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VINAY\Downloads\"/>
    </mc:Choice>
  </mc:AlternateContent>
  <xr:revisionPtr revIDLastSave="0" documentId="13_ncr:1_{000FA49B-57D8-4BBB-BCC9-715DDDEBE2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etCode Questions" sheetId="1" r:id="rId1"/>
    <sheet name="test" sheetId="2" state="hidden" r:id="rId2"/>
  </sheets>
  <definedNames>
    <definedName name="_xlnm._FilterDatabase" localSheetId="0" hidden="1">'LeetCode Questions'!$A$1:$N$3852</definedName>
    <definedName name="_xlnm._FilterDatabase" localSheetId="1" hidden="1">test!$A$3:$O$3815</definedName>
    <definedName name="Z_313A068B_4C18_4BE4_8EFF_F8FE2E4ABD50_.wvu.FilterData" localSheetId="0" hidden="1">'LeetCode Questions'!$A$1:$N$2</definedName>
  </definedNames>
  <calcPr calcId="191029"/>
  <customWorkbookViews>
    <customWorkbookView name="Default Filter (Sorted by Likes)" guid="{313A068B-4C18-4BE4-8EFF-F8FE2E4ABD50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815" i="2" l="1"/>
  <c r="B3815" i="2"/>
  <c r="E3814" i="2"/>
  <c r="B3814" i="2"/>
  <c r="E3813" i="2"/>
  <c r="B3813" i="2"/>
  <c r="E3812" i="2"/>
  <c r="B3812" i="2"/>
  <c r="E3811" i="2"/>
  <c r="B3811" i="2"/>
  <c r="E3810" i="2"/>
  <c r="B3810" i="2"/>
  <c r="E3809" i="2"/>
  <c r="B3809" i="2"/>
  <c r="E3808" i="2"/>
  <c r="B3808" i="2"/>
  <c r="E3807" i="2"/>
  <c r="B3807" i="2"/>
  <c r="E3806" i="2"/>
  <c r="B3806" i="2"/>
  <c r="E3805" i="2"/>
  <c r="B3805" i="2"/>
  <c r="E3804" i="2"/>
  <c r="B3804" i="2"/>
  <c r="E3803" i="2"/>
  <c r="B3803" i="2"/>
  <c r="E3802" i="2"/>
  <c r="B3802" i="2"/>
  <c r="E3801" i="2"/>
  <c r="B3801" i="2"/>
  <c r="E3800" i="2"/>
  <c r="B3800" i="2"/>
  <c r="E3799" i="2"/>
  <c r="B3799" i="2"/>
  <c r="E3798" i="2"/>
  <c r="B3798" i="2"/>
  <c r="E3797" i="2"/>
  <c r="B3797" i="2"/>
  <c r="E3796" i="2"/>
  <c r="B3796" i="2"/>
  <c r="E3795" i="2"/>
  <c r="B3795" i="2"/>
  <c r="E3794" i="2"/>
  <c r="B3794" i="2"/>
  <c r="E3793" i="2"/>
  <c r="B3793" i="2"/>
  <c r="E3792" i="2"/>
  <c r="B3792" i="2"/>
  <c r="E3791" i="2"/>
  <c r="B3791" i="2"/>
  <c r="E3790" i="2"/>
  <c r="B3790" i="2"/>
  <c r="E3789" i="2"/>
  <c r="B3789" i="2"/>
  <c r="E3788" i="2"/>
  <c r="B3788" i="2"/>
  <c r="E3787" i="2"/>
  <c r="B3787" i="2"/>
  <c r="E3786" i="2"/>
  <c r="B3786" i="2"/>
  <c r="E3785" i="2"/>
  <c r="B3785" i="2"/>
  <c r="E3784" i="2"/>
  <c r="B3784" i="2"/>
  <c r="E3783" i="2"/>
  <c r="B3783" i="2"/>
  <c r="E3782" i="2"/>
  <c r="B3782" i="2"/>
  <c r="E3781" i="2"/>
  <c r="B3781" i="2"/>
  <c r="E3780" i="2"/>
  <c r="B3780" i="2"/>
  <c r="E3779" i="2"/>
  <c r="B3779" i="2"/>
  <c r="E3778" i="2"/>
  <c r="B3778" i="2"/>
  <c r="E3777" i="2"/>
  <c r="B3777" i="2"/>
  <c r="E3776" i="2"/>
  <c r="B3776" i="2"/>
  <c r="E3775" i="2"/>
  <c r="B3775" i="2"/>
  <c r="E3774" i="2"/>
  <c r="B3774" i="2"/>
  <c r="E3773" i="2"/>
  <c r="B3773" i="2"/>
  <c r="E3772" i="2"/>
  <c r="B3772" i="2"/>
  <c r="E3771" i="2"/>
  <c r="B3771" i="2"/>
  <c r="E3770" i="2"/>
  <c r="B3770" i="2"/>
  <c r="E3769" i="2"/>
  <c r="B3769" i="2"/>
  <c r="E3768" i="2"/>
  <c r="B3768" i="2"/>
  <c r="E3767" i="2"/>
  <c r="B3767" i="2"/>
  <c r="E3766" i="2"/>
  <c r="B3766" i="2"/>
  <c r="E3765" i="2"/>
  <c r="B3765" i="2"/>
  <c r="E3764" i="2"/>
  <c r="B3764" i="2"/>
  <c r="E3763" i="2"/>
  <c r="B3763" i="2"/>
  <c r="E3762" i="2"/>
  <c r="B3762" i="2"/>
  <c r="E3761" i="2"/>
  <c r="B3761" i="2"/>
  <c r="E3760" i="2"/>
  <c r="B3760" i="2"/>
  <c r="E3759" i="2"/>
  <c r="B3759" i="2"/>
  <c r="E3758" i="2"/>
  <c r="B3758" i="2"/>
  <c r="E3757" i="2"/>
  <c r="B3757" i="2"/>
  <c r="E3756" i="2"/>
  <c r="B3756" i="2"/>
  <c r="E3755" i="2"/>
  <c r="B3755" i="2"/>
  <c r="E3754" i="2"/>
  <c r="B3754" i="2"/>
  <c r="E3753" i="2"/>
  <c r="B3753" i="2"/>
  <c r="E3752" i="2"/>
  <c r="B3752" i="2"/>
  <c r="E3751" i="2"/>
  <c r="B3751" i="2"/>
  <c r="E3750" i="2"/>
  <c r="B3750" i="2"/>
  <c r="E3749" i="2"/>
  <c r="B3749" i="2"/>
  <c r="E3748" i="2"/>
  <c r="B3748" i="2"/>
  <c r="E3747" i="2"/>
  <c r="B3747" i="2"/>
  <c r="E3746" i="2"/>
  <c r="B3746" i="2"/>
  <c r="E3745" i="2"/>
  <c r="B3745" i="2"/>
  <c r="E3744" i="2"/>
  <c r="B3744" i="2"/>
  <c r="E3743" i="2"/>
  <c r="B3743" i="2"/>
  <c r="E3742" i="2"/>
  <c r="B3742" i="2"/>
  <c r="E3741" i="2"/>
  <c r="B3741" i="2"/>
  <c r="E3740" i="2"/>
  <c r="B3740" i="2"/>
  <c r="E3739" i="2"/>
  <c r="B3739" i="2"/>
  <c r="E3738" i="2"/>
  <c r="B3738" i="2"/>
  <c r="E3737" i="2"/>
  <c r="B3737" i="2"/>
  <c r="E3736" i="2"/>
  <c r="B3736" i="2"/>
  <c r="E3735" i="2"/>
  <c r="B3735" i="2"/>
  <c r="E3734" i="2"/>
  <c r="B3734" i="2"/>
  <c r="E3733" i="2"/>
  <c r="B3733" i="2"/>
  <c r="E3732" i="2"/>
  <c r="B3732" i="2"/>
  <c r="E3731" i="2"/>
  <c r="B3731" i="2"/>
  <c r="E3730" i="2"/>
  <c r="B3730" i="2"/>
  <c r="E3729" i="2"/>
  <c r="B3729" i="2"/>
  <c r="E3728" i="2"/>
  <c r="B3728" i="2"/>
  <c r="E3727" i="2"/>
  <c r="B3727" i="2"/>
  <c r="E3726" i="2"/>
  <c r="B3726" i="2"/>
  <c r="E3725" i="2"/>
  <c r="B3725" i="2"/>
  <c r="E3724" i="2"/>
  <c r="B3724" i="2"/>
  <c r="E3723" i="2"/>
  <c r="B3723" i="2"/>
  <c r="E3722" i="2"/>
  <c r="B3722" i="2"/>
  <c r="E3721" i="2"/>
  <c r="B3721" i="2"/>
  <c r="E3720" i="2"/>
  <c r="B3720" i="2"/>
  <c r="E3719" i="2"/>
  <c r="B3719" i="2"/>
  <c r="E3718" i="2"/>
  <c r="B3718" i="2"/>
  <c r="E3717" i="2"/>
  <c r="B3717" i="2"/>
  <c r="E3716" i="2"/>
  <c r="B3716" i="2"/>
  <c r="E3715" i="2"/>
  <c r="B3715" i="2"/>
  <c r="E3714" i="2"/>
  <c r="B3714" i="2"/>
  <c r="E3713" i="2"/>
  <c r="B3713" i="2"/>
  <c r="E3712" i="2"/>
  <c r="B3712" i="2"/>
  <c r="E3711" i="2"/>
  <c r="B3711" i="2"/>
  <c r="E3710" i="2"/>
  <c r="B3710" i="2"/>
  <c r="E3709" i="2"/>
  <c r="B3709" i="2"/>
  <c r="E3708" i="2"/>
  <c r="B3708" i="2"/>
  <c r="E3707" i="2"/>
  <c r="B3707" i="2"/>
  <c r="E3706" i="2"/>
  <c r="B3706" i="2"/>
  <c r="E3705" i="2"/>
  <c r="B3705" i="2"/>
  <c r="E3704" i="2"/>
  <c r="B3704" i="2"/>
  <c r="E3703" i="2"/>
  <c r="B3703" i="2"/>
  <c r="E3702" i="2"/>
  <c r="B3702" i="2"/>
  <c r="E3701" i="2"/>
  <c r="B3701" i="2"/>
  <c r="E3700" i="2"/>
  <c r="B3700" i="2"/>
  <c r="E3699" i="2"/>
  <c r="B3699" i="2"/>
  <c r="E3698" i="2"/>
  <c r="B3698" i="2"/>
  <c r="E3697" i="2"/>
  <c r="B3697" i="2"/>
  <c r="E3696" i="2"/>
  <c r="B3696" i="2"/>
  <c r="E3695" i="2"/>
  <c r="B3695" i="2"/>
  <c r="E3694" i="2"/>
  <c r="B3694" i="2"/>
  <c r="E3693" i="2"/>
  <c r="B3693" i="2"/>
  <c r="E3692" i="2"/>
  <c r="B3692" i="2"/>
  <c r="E3691" i="2"/>
  <c r="B3691" i="2"/>
  <c r="E3690" i="2"/>
  <c r="B3690" i="2"/>
  <c r="E3689" i="2"/>
  <c r="B3689" i="2"/>
  <c r="E3688" i="2"/>
  <c r="B3688" i="2"/>
  <c r="E3687" i="2"/>
  <c r="B3687" i="2"/>
  <c r="E3686" i="2"/>
  <c r="B3686" i="2"/>
  <c r="E3685" i="2"/>
  <c r="B3685" i="2"/>
  <c r="E3684" i="2"/>
  <c r="B3684" i="2"/>
  <c r="E3683" i="2"/>
  <c r="B3683" i="2"/>
  <c r="E3682" i="2"/>
  <c r="B3682" i="2"/>
  <c r="E3681" i="2"/>
  <c r="B3681" i="2"/>
  <c r="E3680" i="2"/>
  <c r="B3680" i="2"/>
  <c r="E3679" i="2"/>
  <c r="B3679" i="2"/>
  <c r="E3678" i="2"/>
  <c r="B3678" i="2"/>
  <c r="E3677" i="2"/>
  <c r="B3677" i="2"/>
  <c r="E3676" i="2"/>
  <c r="B3676" i="2"/>
  <c r="E3675" i="2"/>
  <c r="B3675" i="2"/>
  <c r="E3674" i="2"/>
  <c r="B3674" i="2"/>
  <c r="E3673" i="2"/>
  <c r="B3673" i="2"/>
  <c r="E3672" i="2"/>
  <c r="B3672" i="2"/>
  <c r="E3671" i="2"/>
  <c r="B3671" i="2"/>
  <c r="E3670" i="2"/>
  <c r="B3670" i="2"/>
  <c r="E3669" i="2"/>
  <c r="B3669" i="2"/>
  <c r="E3668" i="2"/>
  <c r="B3668" i="2"/>
  <c r="E3667" i="2"/>
  <c r="B3667" i="2"/>
  <c r="E3666" i="2"/>
  <c r="B3666" i="2"/>
  <c r="E3665" i="2"/>
  <c r="B3665" i="2"/>
  <c r="E3664" i="2"/>
  <c r="B3664" i="2"/>
  <c r="E3663" i="2"/>
  <c r="B3663" i="2"/>
  <c r="E3662" i="2"/>
  <c r="B3662" i="2"/>
  <c r="E3661" i="2"/>
  <c r="B3661" i="2"/>
  <c r="E3660" i="2"/>
  <c r="B3660" i="2"/>
  <c r="E3659" i="2"/>
  <c r="B3659" i="2"/>
  <c r="E3658" i="2"/>
  <c r="B3658" i="2"/>
  <c r="E3657" i="2"/>
  <c r="B3657" i="2"/>
  <c r="E3656" i="2"/>
  <c r="B3656" i="2"/>
  <c r="E3655" i="2"/>
  <c r="B3655" i="2"/>
  <c r="E3654" i="2"/>
  <c r="B3654" i="2"/>
  <c r="E3653" i="2"/>
  <c r="B3653" i="2"/>
  <c r="E3652" i="2"/>
  <c r="B3652" i="2"/>
  <c r="E3651" i="2"/>
  <c r="B3651" i="2"/>
  <c r="E3650" i="2"/>
  <c r="B3650" i="2"/>
  <c r="E3649" i="2"/>
  <c r="B3649" i="2"/>
  <c r="E3648" i="2"/>
  <c r="B3648" i="2"/>
  <c r="E3647" i="2"/>
  <c r="B3647" i="2"/>
  <c r="E3646" i="2"/>
  <c r="B3646" i="2"/>
  <c r="E3645" i="2"/>
  <c r="B3645" i="2"/>
  <c r="E3644" i="2"/>
  <c r="B3644" i="2"/>
  <c r="E3643" i="2"/>
  <c r="B3643" i="2"/>
  <c r="E3642" i="2"/>
  <c r="B3642" i="2"/>
  <c r="E3641" i="2"/>
  <c r="B3641" i="2"/>
  <c r="E3640" i="2"/>
  <c r="B3640" i="2"/>
  <c r="E3639" i="2"/>
  <c r="B3639" i="2"/>
  <c r="E3638" i="2"/>
  <c r="B3638" i="2"/>
  <c r="E3637" i="2"/>
  <c r="B3637" i="2"/>
  <c r="E3636" i="2"/>
  <c r="B3636" i="2"/>
  <c r="E3635" i="2"/>
  <c r="B3635" i="2"/>
  <c r="E3634" i="2"/>
  <c r="B3634" i="2"/>
  <c r="E3633" i="2"/>
  <c r="B3633" i="2"/>
  <c r="E3632" i="2"/>
  <c r="B3632" i="2"/>
  <c r="E3631" i="2"/>
  <c r="B3631" i="2"/>
  <c r="E3630" i="2"/>
  <c r="B3630" i="2"/>
  <c r="E3629" i="2"/>
  <c r="B3629" i="2"/>
  <c r="E3628" i="2"/>
  <c r="B3628" i="2"/>
  <c r="E3627" i="2"/>
  <c r="B3627" i="2"/>
  <c r="E3626" i="2"/>
  <c r="B3626" i="2"/>
  <c r="E3625" i="2"/>
  <c r="B3625" i="2"/>
  <c r="E3624" i="2"/>
  <c r="B3624" i="2"/>
  <c r="E3623" i="2"/>
  <c r="B3623" i="2"/>
  <c r="E3622" i="2"/>
  <c r="B3622" i="2"/>
  <c r="E3621" i="2"/>
  <c r="B3621" i="2"/>
  <c r="E3620" i="2"/>
  <c r="B3620" i="2"/>
  <c r="E3619" i="2"/>
  <c r="B3619" i="2"/>
  <c r="E3618" i="2"/>
  <c r="B3618" i="2"/>
  <c r="E3617" i="2"/>
  <c r="B3617" i="2"/>
  <c r="E3616" i="2"/>
  <c r="B3616" i="2"/>
  <c r="E3615" i="2"/>
  <c r="B3615" i="2"/>
  <c r="E3614" i="2"/>
  <c r="B3614" i="2"/>
  <c r="E3613" i="2"/>
  <c r="B3613" i="2"/>
  <c r="E3612" i="2"/>
  <c r="B3612" i="2"/>
  <c r="E3611" i="2"/>
  <c r="B3611" i="2"/>
  <c r="E3610" i="2"/>
  <c r="B3610" i="2"/>
  <c r="E3609" i="2"/>
  <c r="B3609" i="2"/>
  <c r="E3608" i="2"/>
  <c r="B3608" i="2"/>
  <c r="E3607" i="2"/>
  <c r="B3607" i="2"/>
  <c r="E3606" i="2"/>
  <c r="B3606" i="2"/>
  <c r="E3605" i="2"/>
  <c r="B3605" i="2"/>
  <c r="E3604" i="2"/>
  <c r="B3604" i="2"/>
  <c r="E3603" i="2"/>
  <c r="B3603" i="2"/>
  <c r="E3602" i="2"/>
  <c r="B3602" i="2"/>
  <c r="E3601" i="2"/>
  <c r="B3601" i="2"/>
  <c r="E3600" i="2"/>
  <c r="B3600" i="2"/>
  <c r="E3599" i="2"/>
  <c r="B3599" i="2"/>
  <c r="E3598" i="2"/>
  <c r="B3598" i="2"/>
  <c r="E3597" i="2"/>
  <c r="B3597" i="2"/>
  <c r="E3596" i="2"/>
  <c r="B3596" i="2"/>
  <c r="E3595" i="2"/>
  <c r="B3595" i="2"/>
  <c r="E3594" i="2"/>
  <c r="B3594" i="2"/>
  <c r="E3593" i="2"/>
  <c r="B3593" i="2"/>
  <c r="E3592" i="2"/>
  <c r="B3592" i="2"/>
  <c r="E3591" i="2"/>
  <c r="B3591" i="2"/>
  <c r="E3590" i="2"/>
  <c r="B3590" i="2"/>
  <c r="E3589" i="2"/>
  <c r="B3589" i="2"/>
  <c r="E3588" i="2"/>
  <c r="B3588" i="2"/>
  <c r="E3587" i="2"/>
  <c r="B3587" i="2"/>
  <c r="E3586" i="2"/>
  <c r="B3586" i="2"/>
  <c r="E3585" i="2"/>
  <c r="B3585" i="2"/>
  <c r="E3584" i="2"/>
  <c r="B3584" i="2"/>
  <c r="E3583" i="2"/>
  <c r="B3583" i="2"/>
  <c r="E3582" i="2"/>
  <c r="B3582" i="2"/>
  <c r="E3581" i="2"/>
  <c r="B3581" i="2"/>
  <c r="E3580" i="2"/>
  <c r="B3580" i="2"/>
  <c r="E3579" i="2"/>
  <c r="B3579" i="2"/>
  <c r="E3578" i="2"/>
  <c r="B3578" i="2"/>
  <c r="E3577" i="2"/>
  <c r="B3577" i="2"/>
  <c r="E3576" i="2"/>
  <c r="B3576" i="2"/>
  <c r="E3575" i="2"/>
  <c r="B3575" i="2"/>
  <c r="E3574" i="2"/>
  <c r="B3574" i="2"/>
  <c r="E3573" i="2"/>
  <c r="B3573" i="2"/>
  <c r="E3572" i="2"/>
  <c r="B3572" i="2"/>
  <c r="E3571" i="2"/>
  <c r="B3571" i="2"/>
  <c r="E3570" i="2"/>
  <c r="B3570" i="2"/>
  <c r="E3569" i="2"/>
  <c r="B3569" i="2"/>
  <c r="E3568" i="2"/>
  <c r="B3568" i="2"/>
  <c r="E3567" i="2"/>
  <c r="B3567" i="2"/>
  <c r="E3566" i="2"/>
  <c r="B3566" i="2"/>
  <c r="E3565" i="2"/>
  <c r="B3565" i="2"/>
  <c r="E3564" i="2"/>
  <c r="B3564" i="2"/>
  <c r="E3563" i="2"/>
  <c r="B3563" i="2"/>
  <c r="E3562" i="2"/>
  <c r="B3562" i="2"/>
  <c r="E3561" i="2"/>
  <c r="B3561" i="2"/>
  <c r="E3560" i="2"/>
  <c r="B3560" i="2"/>
  <c r="E3559" i="2"/>
  <c r="B3559" i="2"/>
  <c r="E3558" i="2"/>
  <c r="B3558" i="2"/>
  <c r="E3557" i="2"/>
  <c r="B3557" i="2"/>
  <c r="E3556" i="2"/>
  <c r="B3556" i="2"/>
  <c r="E3555" i="2"/>
  <c r="B3555" i="2"/>
  <c r="E3554" i="2"/>
  <c r="B3554" i="2"/>
  <c r="E3553" i="2"/>
  <c r="B3553" i="2"/>
  <c r="E3552" i="2"/>
  <c r="B3552" i="2"/>
  <c r="E3551" i="2"/>
  <c r="B3551" i="2"/>
  <c r="E3550" i="2"/>
  <c r="B3550" i="2"/>
  <c r="E3549" i="2"/>
  <c r="B3549" i="2"/>
  <c r="E3548" i="2"/>
  <c r="B3548" i="2"/>
  <c r="E3547" i="2"/>
  <c r="B3547" i="2"/>
  <c r="E3546" i="2"/>
  <c r="B3546" i="2"/>
  <c r="E3545" i="2"/>
  <c r="B3545" i="2"/>
  <c r="E3544" i="2"/>
  <c r="B3544" i="2"/>
  <c r="E3543" i="2"/>
  <c r="B3543" i="2"/>
  <c r="E3542" i="2"/>
  <c r="B3542" i="2"/>
  <c r="E3541" i="2"/>
  <c r="B3541" i="2"/>
  <c r="E3540" i="2"/>
  <c r="B3540" i="2"/>
  <c r="E3539" i="2"/>
  <c r="B3539" i="2"/>
  <c r="E3538" i="2"/>
  <c r="B3538" i="2"/>
  <c r="E3537" i="2"/>
  <c r="B3537" i="2"/>
  <c r="E3536" i="2"/>
  <c r="B3536" i="2"/>
  <c r="E3535" i="2"/>
  <c r="B3535" i="2"/>
  <c r="E3534" i="2"/>
  <c r="B3534" i="2"/>
  <c r="E3533" i="2"/>
  <c r="B3533" i="2"/>
  <c r="E3532" i="2"/>
  <c r="B3532" i="2"/>
  <c r="E3531" i="2"/>
  <c r="B3531" i="2"/>
  <c r="E3530" i="2"/>
  <c r="B3530" i="2"/>
  <c r="E3529" i="2"/>
  <c r="B3529" i="2"/>
  <c r="E3528" i="2"/>
  <c r="B3528" i="2"/>
  <c r="E3527" i="2"/>
  <c r="B3527" i="2"/>
  <c r="E3526" i="2"/>
  <c r="B3526" i="2"/>
  <c r="E3525" i="2"/>
  <c r="B3525" i="2"/>
  <c r="E3524" i="2"/>
  <c r="B3524" i="2"/>
  <c r="E3523" i="2"/>
  <c r="B3523" i="2"/>
  <c r="E3522" i="2"/>
  <c r="B3522" i="2"/>
  <c r="E3521" i="2"/>
  <c r="B3521" i="2"/>
  <c r="E3520" i="2"/>
  <c r="B3520" i="2"/>
  <c r="E3519" i="2"/>
  <c r="B3519" i="2"/>
  <c r="E3518" i="2"/>
  <c r="B3518" i="2"/>
  <c r="E3517" i="2"/>
  <c r="B3517" i="2"/>
  <c r="E3516" i="2"/>
  <c r="B3516" i="2"/>
  <c r="E3515" i="2"/>
  <c r="B3515" i="2"/>
  <c r="E3514" i="2"/>
  <c r="B3514" i="2"/>
  <c r="E3513" i="2"/>
  <c r="B3513" i="2"/>
  <c r="E3512" i="2"/>
  <c r="B3512" i="2"/>
  <c r="E3511" i="2"/>
  <c r="B3511" i="2"/>
  <c r="E3510" i="2"/>
  <c r="B3510" i="2"/>
  <c r="E3509" i="2"/>
  <c r="B3509" i="2"/>
  <c r="E3508" i="2"/>
  <c r="B3508" i="2"/>
  <c r="E3507" i="2"/>
  <c r="B3507" i="2"/>
  <c r="E3506" i="2"/>
  <c r="B3506" i="2"/>
  <c r="E3505" i="2"/>
  <c r="B3505" i="2"/>
  <c r="E3504" i="2"/>
  <c r="B3504" i="2"/>
  <c r="E3503" i="2"/>
  <c r="B3503" i="2"/>
  <c r="E3502" i="2"/>
  <c r="B3502" i="2"/>
  <c r="E3501" i="2"/>
  <c r="B3501" i="2"/>
  <c r="E3500" i="2"/>
  <c r="B3500" i="2"/>
  <c r="E3499" i="2"/>
  <c r="B3499" i="2"/>
  <c r="E3498" i="2"/>
  <c r="B3498" i="2"/>
  <c r="E3497" i="2"/>
  <c r="B3497" i="2"/>
  <c r="E3496" i="2"/>
  <c r="B3496" i="2"/>
  <c r="E3495" i="2"/>
  <c r="B3495" i="2"/>
  <c r="E3494" i="2"/>
  <c r="B3494" i="2"/>
  <c r="E3493" i="2"/>
  <c r="B3493" i="2"/>
  <c r="E3492" i="2"/>
  <c r="B3492" i="2"/>
  <c r="E3491" i="2"/>
  <c r="B3491" i="2"/>
  <c r="E3490" i="2"/>
  <c r="B3490" i="2"/>
  <c r="E3489" i="2"/>
  <c r="B3489" i="2"/>
  <c r="E3488" i="2"/>
  <c r="B3488" i="2"/>
  <c r="E3487" i="2"/>
  <c r="B3487" i="2"/>
  <c r="E3486" i="2"/>
  <c r="B3486" i="2"/>
  <c r="E3485" i="2"/>
  <c r="B3485" i="2"/>
  <c r="E3484" i="2"/>
  <c r="B3484" i="2"/>
  <c r="E3483" i="2"/>
  <c r="B3483" i="2"/>
  <c r="E3482" i="2"/>
  <c r="B3482" i="2"/>
  <c r="E3481" i="2"/>
  <c r="B3481" i="2"/>
  <c r="E3480" i="2"/>
  <c r="B3480" i="2"/>
  <c r="E3479" i="2"/>
  <c r="B3479" i="2"/>
  <c r="E3478" i="2"/>
  <c r="B3478" i="2"/>
  <c r="E3477" i="2"/>
  <c r="B3477" i="2"/>
  <c r="E3476" i="2"/>
  <c r="B3476" i="2"/>
  <c r="E3475" i="2"/>
  <c r="B3475" i="2"/>
  <c r="E3474" i="2"/>
  <c r="B3474" i="2"/>
  <c r="E3473" i="2"/>
  <c r="B3473" i="2"/>
  <c r="E3472" i="2"/>
  <c r="B3472" i="2"/>
  <c r="E3471" i="2"/>
  <c r="B3471" i="2"/>
  <c r="E3470" i="2"/>
  <c r="B3470" i="2"/>
  <c r="E3469" i="2"/>
  <c r="B3469" i="2"/>
  <c r="E3468" i="2"/>
  <c r="B3468" i="2"/>
  <c r="E3467" i="2"/>
  <c r="B3467" i="2"/>
  <c r="E3466" i="2"/>
  <c r="B3466" i="2"/>
  <c r="E3465" i="2"/>
  <c r="B3465" i="2"/>
  <c r="E3464" i="2"/>
  <c r="B3464" i="2"/>
  <c r="E3463" i="2"/>
  <c r="B3463" i="2"/>
  <c r="E3462" i="2"/>
  <c r="B3462" i="2"/>
  <c r="E3461" i="2"/>
  <c r="B3461" i="2"/>
  <c r="E3460" i="2"/>
  <c r="B3460" i="2"/>
  <c r="E3459" i="2"/>
  <c r="B3459" i="2"/>
  <c r="E3458" i="2"/>
  <c r="B3458" i="2"/>
  <c r="E3457" i="2"/>
  <c r="B3457" i="2"/>
  <c r="E3456" i="2"/>
  <c r="B3456" i="2"/>
  <c r="E3455" i="2"/>
  <c r="B3455" i="2"/>
  <c r="E3454" i="2"/>
  <c r="B3454" i="2"/>
  <c r="E3453" i="2"/>
  <c r="B3453" i="2"/>
  <c r="E3452" i="2"/>
  <c r="B3452" i="2"/>
  <c r="E3451" i="2"/>
  <c r="B3451" i="2"/>
  <c r="E3450" i="2"/>
  <c r="B3450" i="2"/>
  <c r="E3449" i="2"/>
  <c r="B3449" i="2"/>
  <c r="E3448" i="2"/>
  <c r="B3448" i="2"/>
  <c r="E3447" i="2"/>
  <c r="B3447" i="2"/>
  <c r="E3446" i="2"/>
  <c r="B3446" i="2"/>
  <c r="E3445" i="2"/>
  <c r="B3445" i="2"/>
  <c r="E3444" i="2"/>
  <c r="B3444" i="2"/>
  <c r="E3443" i="2"/>
  <c r="B3443" i="2"/>
  <c r="E3442" i="2"/>
  <c r="B3442" i="2"/>
  <c r="E3441" i="2"/>
  <c r="B3441" i="2"/>
  <c r="E3440" i="2"/>
  <c r="B3440" i="2"/>
  <c r="E3439" i="2"/>
  <c r="B3439" i="2"/>
  <c r="E3438" i="2"/>
  <c r="B3438" i="2"/>
  <c r="E3437" i="2"/>
  <c r="B3437" i="2"/>
  <c r="E3436" i="2"/>
  <c r="B3436" i="2"/>
  <c r="E3435" i="2"/>
  <c r="B3435" i="2"/>
  <c r="E3434" i="2"/>
  <c r="B3434" i="2"/>
  <c r="E3433" i="2"/>
  <c r="B3433" i="2"/>
  <c r="E3432" i="2"/>
  <c r="B3432" i="2"/>
  <c r="E3431" i="2"/>
  <c r="B3431" i="2"/>
  <c r="E3430" i="2"/>
  <c r="B3430" i="2"/>
  <c r="E3429" i="2"/>
  <c r="B3429" i="2"/>
  <c r="E3428" i="2"/>
  <c r="B3428" i="2"/>
  <c r="E3427" i="2"/>
  <c r="B3427" i="2"/>
  <c r="E3426" i="2"/>
  <c r="B3426" i="2"/>
  <c r="E3425" i="2"/>
  <c r="B3425" i="2"/>
  <c r="E3424" i="2"/>
  <c r="B3424" i="2"/>
  <c r="E3423" i="2"/>
  <c r="B3423" i="2"/>
  <c r="E3422" i="2"/>
  <c r="B3422" i="2"/>
  <c r="E3421" i="2"/>
  <c r="B3421" i="2"/>
  <c r="E3420" i="2"/>
  <c r="B3420" i="2"/>
  <c r="E3419" i="2"/>
  <c r="B3419" i="2"/>
  <c r="E3418" i="2"/>
  <c r="B3418" i="2"/>
  <c r="E3417" i="2"/>
  <c r="B3417" i="2"/>
  <c r="E3416" i="2"/>
  <c r="B3416" i="2"/>
  <c r="E3415" i="2"/>
  <c r="B3415" i="2"/>
  <c r="E3414" i="2"/>
  <c r="B3414" i="2"/>
  <c r="E3413" i="2"/>
  <c r="B3413" i="2"/>
  <c r="E3412" i="2"/>
  <c r="B3412" i="2"/>
  <c r="E3411" i="2"/>
  <c r="B3411" i="2"/>
  <c r="E3410" i="2"/>
  <c r="B3410" i="2"/>
  <c r="E3409" i="2"/>
  <c r="B3409" i="2"/>
  <c r="E3408" i="2"/>
  <c r="B3408" i="2"/>
  <c r="E3407" i="2"/>
  <c r="B3407" i="2"/>
  <c r="E3406" i="2"/>
  <c r="B3406" i="2"/>
  <c r="E3405" i="2"/>
  <c r="B3405" i="2"/>
  <c r="E3404" i="2"/>
  <c r="B3404" i="2"/>
  <c r="E3403" i="2"/>
  <c r="B3403" i="2"/>
  <c r="E3402" i="2"/>
  <c r="B3402" i="2"/>
  <c r="E3401" i="2"/>
  <c r="B3401" i="2"/>
  <c r="E3400" i="2"/>
  <c r="B3400" i="2"/>
  <c r="E3399" i="2"/>
  <c r="B3399" i="2"/>
  <c r="E3398" i="2"/>
  <c r="B3398" i="2"/>
  <c r="E3397" i="2"/>
  <c r="B3397" i="2"/>
  <c r="E3396" i="2"/>
  <c r="B3396" i="2"/>
  <c r="E3395" i="2"/>
  <c r="B3395" i="2"/>
  <c r="E3394" i="2"/>
  <c r="B3394" i="2"/>
  <c r="E3393" i="2"/>
  <c r="B3393" i="2"/>
  <c r="E3392" i="2"/>
  <c r="B3392" i="2"/>
  <c r="E3391" i="2"/>
  <c r="B3391" i="2"/>
  <c r="E3390" i="2"/>
  <c r="B3390" i="2"/>
  <c r="E3389" i="2"/>
  <c r="B3389" i="2"/>
  <c r="E3388" i="2"/>
  <c r="B3388" i="2"/>
  <c r="E3387" i="2"/>
  <c r="B3387" i="2"/>
  <c r="E3386" i="2"/>
  <c r="B3386" i="2"/>
  <c r="E3385" i="2"/>
  <c r="B3385" i="2"/>
  <c r="E3384" i="2"/>
  <c r="B3384" i="2"/>
  <c r="E3383" i="2"/>
  <c r="B3383" i="2"/>
  <c r="E3382" i="2"/>
  <c r="B3382" i="2"/>
  <c r="E3381" i="2"/>
  <c r="B3381" i="2"/>
  <c r="E3380" i="2"/>
  <c r="B3380" i="2"/>
  <c r="E3379" i="2"/>
  <c r="B3379" i="2"/>
  <c r="E3378" i="2"/>
  <c r="B3378" i="2"/>
  <c r="E3377" i="2"/>
  <c r="B3377" i="2"/>
  <c r="E3376" i="2"/>
  <c r="B3376" i="2"/>
  <c r="E3375" i="2"/>
  <c r="B3375" i="2"/>
  <c r="E3374" i="2"/>
  <c r="B3374" i="2"/>
  <c r="E3373" i="2"/>
  <c r="B3373" i="2"/>
  <c r="E3372" i="2"/>
  <c r="B3372" i="2"/>
  <c r="E3371" i="2"/>
  <c r="B3371" i="2"/>
  <c r="E3370" i="2"/>
  <c r="B3370" i="2"/>
  <c r="E3369" i="2"/>
  <c r="B3369" i="2"/>
  <c r="E3368" i="2"/>
  <c r="B3368" i="2"/>
  <c r="E3367" i="2"/>
  <c r="B3367" i="2"/>
  <c r="E3366" i="2"/>
  <c r="B3366" i="2"/>
  <c r="E3365" i="2"/>
  <c r="B3365" i="2"/>
  <c r="E3364" i="2"/>
  <c r="B3364" i="2"/>
  <c r="E3363" i="2"/>
  <c r="B3363" i="2"/>
  <c r="E3362" i="2"/>
  <c r="B3362" i="2"/>
  <c r="E3361" i="2"/>
  <c r="B3361" i="2"/>
  <c r="E3360" i="2"/>
  <c r="B3360" i="2"/>
  <c r="E3359" i="2"/>
  <c r="B3359" i="2"/>
  <c r="E3358" i="2"/>
  <c r="B3358" i="2"/>
  <c r="E3357" i="2"/>
  <c r="B3357" i="2"/>
  <c r="E3356" i="2"/>
  <c r="B3356" i="2"/>
  <c r="E3355" i="2"/>
  <c r="B3355" i="2"/>
  <c r="E3354" i="2"/>
  <c r="B3354" i="2"/>
  <c r="E3353" i="2"/>
  <c r="B3353" i="2"/>
  <c r="E3352" i="2"/>
  <c r="B3352" i="2"/>
  <c r="E3351" i="2"/>
  <c r="B3351" i="2"/>
  <c r="E3350" i="2"/>
  <c r="B3350" i="2"/>
  <c r="E3349" i="2"/>
  <c r="B3349" i="2"/>
  <c r="E3348" i="2"/>
  <c r="B3348" i="2"/>
  <c r="E3347" i="2"/>
  <c r="B3347" i="2"/>
  <c r="E3346" i="2"/>
  <c r="B3346" i="2"/>
  <c r="E3345" i="2"/>
  <c r="B3345" i="2"/>
  <c r="E3344" i="2"/>
  <c r="B3344" i="2"/>
  <c r="E3343" i="2"/>
  <c r="B3343" i="2"/>
  <c r="E3342" i="2"/>
  <c r="B3342" i="2"/>
  <c r="E3341" i="2"/>
  <c r="B3341" i="2"/>
  <c r="E3340" i="2"/>
  <c r="B3340" i="2"/>
  <c r="E3339" i="2"/>
  <c r="B3339" i="2"/>
  <c r="E3338" i="2"/>
  <c r="B3338" i="2"/>
  <c r="E3337" i="2"/>
  <c r="B3337" i="2"/>
  <c r="E3336" i="2"/>
  <c r="B3336" i="2"/>
  <c r="E3335" i="2"/>
  <c r="B3335" i="2"/>
  <c r="E3334" i="2"/>
  <c r="B3334" i="2"/>
  <c r="E3333" i="2"/>
  <c r="B3333" i="2"/>
  <c r="E3332" i="2"/>
  <c r="B3332" i="2"/>
  <c r="E3331" i="2"/>
  <c r="B3331" i="2"/>
  <c r="E3330" i="2"/>
  <c r="B3330" i="2"/>
  <c r="E3329" i="2"/>
  <c r="B3329" i="2"/>
  <c r="E3328" i="2"/>
  <c r="B3328" i="2"/>
  <c r="E3327" i="2"/>
  <c r="B3327" i="2"/>
  <c r="E3326" i="2"/>
  <c r="B3326" i="2"/>
  <c r="E3325" i="2"/>
  <c r="B3325" i="2"/>
  <c r="E3324" i="2"/>
  <c r="B3324" i="2"/>
  <c r="E3323" i="2"/>
  <c r="B3323" i="2"/>
  <c r="E3322" i="2"/>
  <c r="B3322" i="2"/>
  <c r="E3321" i="2"/>
  <c r="B3321" i="2"/>
  <c r="E3320" i="2"/>
  <c r="B3320" i="2"/>
  <c r="E3319" i="2"/>
  <c r="B3319" i="2"/>
  <c r="E3318" i="2"/>
  <c r="B3318" i="2"/>
  <c r="E3317" i="2"/>
  <c r="B3317" i="2"/>
  <c r="E3316" i="2"/>
  <c r="B3316" i="2"/>
  <c r="E3315" i="2"/>
  <c r="B3315" i="2"/>
  <c r="E3314" i="2"/>
  <c r="B3314" i="2"/>
  <c r="E3313" i="2"/>
  <c r="B3313" i="2"/>
  <c r="E3312" i="2"/>
  <c r="B3312" i="2"/>
  <c r="E3311" i="2"/>
  <c r="B3311" i="2"/>
  <c r="E3310" i="2"/>
  <c r="B3310" i="2"/>
  <c r="E3309" i="2"/>
  <c r="B3309" i="2"/>
  <c r="E3308" i="2"/>
  <c r="B3308" i="2"/>
  <c r="E3307" i="2"/>
  <c r="B3307" i="2"/>
  <c r="E3306" i="2"/>
  <c r="B3306" i="2"/>
  <c r="E3305" i="2"/>
  <c r="B3305" i="2"/>
  <c r="E3304" i="2"/>
  <c r="B3304" i="2"/>
  <c r="E3303" i="2"/>
  <c r="B3303" i="2"/>
  <c r="E3302" i="2"/>
  <c r="B3302" i="2"/>
  <c r="E3301" i="2"/>
  <c r="B3301" i="2"/>
  <c r="E3300" i="2"/>
  <c r="B3300" i="2"/>
  <c r="E3299" i="2"/>
  <c r="B3299" i="2"/>
  <c r="E3298" i="2"/>
  <c r="B3298" i="2"/>
  <c r="E3297" i="2"/>
  <c r="B3297" i="2"/>
  <c r="E3296" i="2"/>
  <c r="B3296" i="2"/>
  <c r="E3295" i="2"/>
  <c r="B3295" i="2"/>
  <c r="E3294" i="2"/>
  <c r="B3294" i="2"/>
  <c r="E3293" i="2"/>
  <c r="B3293" i="2"/>
  <c r="E3292" i="2"/>
  <c r="B3292" i="2"/>
  <c r="E3291" i="2"/>
  <c r="B3291" i="2"/>
  <c r="E3290" i="2"/>
  <c r="B3290" i="2"/>
  <c r="E3289" i="2"/>
  <c r="B3289" i="2"/>
  <c r="E3288" i="2"/>
  <c r="B3288" i="2"/>
  <c r="E3287" i="2"/>
  <c r="B3287" i="2"/>
  <c r="E3286" i="2"/>
  <c r="B3286" i="2"/>
  <c r="E3285" i="2"/>
  <c r="B3285" i="2"/>
  <c r="E3284" i="2"/>
  <c r="B3284" i="2"/>
  <c r="E3283" i="2"/>
  <c r="B3283" i="2"/>
  <c r="E3282" i="2"/>
  <c r="B3282" i="2"/>
  <c r="E3281" i="2"/>
  <c r="B3281" i="2"/>
  <c r="E3280" i="2"/>
  <c r="B3280" i="2"/>
  <c r="E3279" i="2"/>
  <c r="B3279" i="2"/>
  <c r="E3278" i="2"/>
  <c r="B3278" i="2"/>
  <c r="E3277" i="2"/>
  <c r="B3277" i="2"/>
  <c r="E3276" i="2"/>
  <c r="B3276" i="2"/>
  <c r="E3275" i="2"/>
  <c r="B3275" i="2"/>
  <c r="E3274" i="2"/>
  <c r="B3274" i="2"/>
  <c r="E3273" i="2"/>
  <c r="B3273" i="2"/>
  <c r="E3272" i="2"/>
  <c r="B3272" i="2"/>
  <c r="E3271" i="2"/>
  <c r="B3271" i="2"/>
  <c r="E3270" i="2"/>
  <c r="B3270" i="2"/>
  <c r="E3269" i="2"/>
  <c r="B3269" i="2"/>
  <c r="E3268" i="2"/>
  <c r="B3268" i="2"/>
  <c r="E3267" i="2"/>
  <c r="B3267" i="2"/>
  <c r="E3266" i="2"/>
  <c r="B3266" i="2"/>
  <c r="E3265" i="2"/>
  <c r="B3265" i="2"/>
  <c r="E3264" i="2"/>
  <c r="B3264" i="2"/>
  <c r="E3263" i="2"/>
  <c r="B3263" i="2"/>
  <c r="E3262" i="2"/>
  <c r="B3262" i="2"/>
  <c r="E3261" i="2"/>
  <c r="B3261" i="2"/>
  <c r="E3260" i="2"/>
  <c r="B3260" i="2"/>
  <c r="E3259" i="2"/>
  <c r="B3259" i="2"/>
  <c r="E3258" i="2"/>
  <c r="B3258" i="2"/>
  <c r="E3257" i="2"/>
  <c r="B3257" i="2"/>
  <c r="E3256" i="2"/>
  <c r="B3256" i="2"/>
  <c r="E3255" i="2"/>
  <c r="B3255" i="2"/>
  <c r="E3254" i="2"/>
  <c r="B3254" i="2"/>
  <c r="E3253" i="2"/>
  <c r="B3253" i="2"/>
  <c r="E3252" i="2"/>
  <c r="B3252" i="2"/>
  <c r="E3251" i="2"/>
  <c r="B3251" i="2"/>
  <c r="E3250" i="2"/>
  <c r="B3250" i="2"/>
  <c r="E3249" i="2"/>
  <c r="B3249" i="2"/>
  <c r="E3248" i="2"/>
  <c r="B3248" i="2"/>
  <c r="E3247" i="2"/>
  <c r="B3247" i="2"/>
  <c r="E3246" i="2"/>
  <c r="B3246" i="2"/>
  <c r="E3245" i="2"/>
  <c r="B3245" i="2"/>
  <c r="E3244" i="2"/>
  <c r="B3244" i="2"/>
  <c r="E3243" i="2"/>
  <c r="B3243" i="2"/>
  <c r="E3242" i="2"/>
  <c r="B3242" i="2"/>
  <c r="E3241" i="2"/>
  <c r="B3241" i="2"/>
  <c r="E3240" i="2"/>
  <c r="B3240" i="2"/>
  <c r="E3239" i="2"/>
  <c r="B3239" i="2"/>
  <c r="E3238" i="2"/>
  <c r="B3238" i="2"/>
  <c r="E3237" i="2"/>
  <c r="B3237" i="2"/>
  <c r="E3236" i="2"/>
  <c r="B3236" i="2"/>
  <c r="E3235" i="2"/>
  <c r="B3235" i="2"/>
  <c r="E3234" i="2"/>
  <c r="B3234" i="2"/>
  <c r="E3233" i="2"/>
  <c r="B3233" i="2"/>
  <c r="E3232" i="2"/>
  <c r="B3232" i="2"/>
  <c r="E3231" i="2"/>
  <c r="B3231" i="2"/>
  <c r="E3230" i="2"/>
  <c r="B3230" i="2"/>
  <c r="E3229" i="2"/>
  <c r="B3229" i="2"/>
  <c r="E3228" i="2"/>
  <c r="B3228" i="2"/>
  <c r="E3227" i="2"/>
  <c r="B3227" i="2"/>
  <c r="E3226" i="2"/>
  <c r="B3226" i="2"/>
  <c r="E3225" i="2"/>
  <c r="B3225" i="2"/>
  <c r="E3224" i="2"/>
  <c r="B3224" i="2"/>
  <c r="E3223" i="2"/>
  <c r="B3223" i="2"/>
  <c r="E3222" i="2"/>
  <c r="B3222" i="2"/>
  <c r="E3221" i="2"/>
  <c r="B3221" i="2"/>
  <c r="E3220" i="2"/>
  <c r="B3220" i="2"/>
  <c r="E3219" i="2"/>
  <c r="B3219" i="2"/>
  <c r="E3218" i="2"/>
  <c r="B3218" i="2"/>
  <c r="E3217" i="2"/>
  <c r="B3217" i="2"/>
  <c r="E3216" i="2"/>
  <c r="B3216" i="2"/>
  <c r="E3215" i="2"/>
  <c r="B3215" i="2"/>
  <c r="E3214" i="2"/>
  <c r="B3214" i="2"/>
  <c r="E3213" i="2"/>
  <c r="B3213" i="2"/>
  <c r="E3212" i="2"/>
  <c r="B3212" i="2"/>
  <c r="E3211" i="2"/>
  <c r="B3211" i="2"/>
  <c r="E3210" i="2"/>
  <c r="B3210" i="2"/>
  <c r="E3209" i="2"/>
  <c r="B3209" i="2"/>
  <c r="E3208" i="2"/>
  <c r="B3208" i="2"/>
  <c r="E3207" i="2"/>
  <c r="B3207" i="2"/>
  <c r="E3206" i="2"/>
  <c r="B3206" i="2"/>
  <c r="E3205" i="2"/>
  <c r="B3205" i="2"/>
  <c r="E3204" i="2"/>
  <c r="B3204" i="2"/>
  <c r="E3203" i="2"/>
  <c r="B3203" i="2"/>
  <c r="E3202" i="2"/>
  <c r="B3202" i="2"/>
  <c r="E3201" i="2"/>
  <c r="B3201" i="2"/>
  <c r="E3200" i="2"/>
  <c r="B3200" i="2"/>
  <c r="E3199" i="2"/>
  <c r="B3199" i="2"/>
  <c r="E3198" i="2"/>
  <c r="B3198" i="2"/>
  <c r="E3197" i="2"/>
  <c r="B3197" i="2"/>
  <c r="E3196" i="2"/>
  <c r="B3196" i="2"/>
  <c r="E3195" i="2"/>
  <c r="B3195" i="2"/>
  <c r="E3194" i="2"/>
  <c r="B3194" i="2"/>
  <c r="E3193" i="2"/>
  <c r="B3193" i="2"/>
  <c r="E3192" i="2"/>
  <c r="B3192" i="2"/>
  <c r="E3191" i="2"/>
  <c r="B3191" i="2"/>
  <c r="E3190" i="2"/>
  <c r="B3190" i="2"/>
  <c r="E3189" i="2"/>
  <c r="B3189" i="2"/>
  <c r="E3188" i="2"/>
  <c r="B3188" i="2"/>
  <c r="E3187" i="2"/>
  <c r="B3187" i="2"/>
  <c r="E3186" i="2"/>
  <c r="B3186" i="2"/>
  <c r="E3185" i="2"/>
  <c r="B3185" i="2"/>
  <c r="E3184" i="2"/>
  <c r="B3184" i="2"/>
  <c r="E3183" i="2"/>
  <c r="B3183" i="2"/>
  <c r="E3182" i="2"/>
  <c r="B3182" i="2"/>
  <c r="E3181" i="2"/>
  <c r="B3181" i="2"/>
  <c r="E3180" i="2"/>
  <c r="B3180" i="2"/>
  <c r="E3179" i="2"/>
  <c r="B3179" i="2"/>
  <c r="E3178" i="2"/>
  <c r="B3178" i="2"/>
  <c r="E3177" i="2"/>
  <c r="B3177" i="2"/>
  <c r="E3176" i="2"/>
  <c r="B3176" i="2"/>
  <c r="E3175" i="2"/>
  <c r="B3175" i="2"/>
  <c r="E3174" i="2"/>
  <c r="B3174" i="2"/>
  <c r="E3173" i="2"/>
  <c r="B3173" i="2"/>
  <c r="E3172" i="2"/>
  <c r="B3172" i="2"/>
  <c r="E3171" i="2"/>
  <c r="B3171" i="2"/>
  <c r="E3170" i="2"/>
  <c r="B3170" i="2"/>
  <c r="E3169" i="2"/>
  <c r="B3169" i="2"/>
  <c r="E3168" i="2"/>
  <c r="B3168" i="2"/>
  <c r="E3167" i="2"/>
  <c r="B3167" i="2"/>
  <c r="E3166" i="2"/>
  <c r="B3166" i="2"/>
  <c r="E3165" i="2"/>
  <c r="B3165" i="2"/>
  <c r="E3164" i="2"/>
  <c r="B3164" i="2"/>
  <c r="E3163" i="2"/>
  <c r="B3163" i="2"/>
  <c r="E3162" i="2"/>
  <c r="B3162" i="2"/>
  <c r="E3161" i="2"/>
  <c r="B3161" i="2"/>
  <c r="E3160" i="2"/>
  <c r="B3160" i="2"/>
  <c r="E3159" i="2"/>
  <c r="B3159" i="2"/>
  <c r="E3158" i="2"/>
  <c r="B3158" i="2"/>
  <c r="E3157" i="2"/>
  <c r="B3157" i="2"/>
  <c r="E3156" i="2"/>
  <c r="B3156" i="2"/>
  <c r="E3155" i="2"/>
  <c r="B3155" i="2"/>
  <c r="E3154" i="2"/>
  <c r="B3154" i="2"/>
  <c r="E3153" i="2"/>
  <c r="B3153" i="2"/>
  <c r="E3152" i="2"/>
  <c r="B3152" i="2"/>
  <c r="E3151" i="2"/>
  <c r="B3151" i="2"/>
  <c r="E3150" i="2"/>
  <c r="B3150" i="2"/>
  <c r="E3149" i="2"/>
  <c r="B3149" i="2"/>
  <c r="E3148" i="2"/>
  <c r="B3148" i="2"/>
  <c r="E3147" i="2"/>
  <c r="B3147" i="2"/>
  <c r="E3146" i="2"/>
  <c r="B3146" i="2"/>
  <c r="E3145" i="2"/>
  <c r="B3145" i="2"/>
  <c r="E3144" i="2"/>
  <c r="B3144" i="2"/>
  <c r="E3143" i="2"/>
  <c r="B3143" i="2"/>
  <c r="E3142" i="2"/>
  <c r="B3142" i="2"/>
  <c r="E3141" i="2"/>
  <c r="B3141" i="2"/>
  <c r="E3140" i="2"/>
  <c r="B3140" i="2"/>
  <c r="E3139" i="2"/>
  <c r="B3139" i="2"/>
  <c r="E3138" i="2"/>
  <c r="B3138" i="2"/>
  <c r="E3137" i="2"/>
  <c r="B3137" i="2"/>
  <c r="E3136" i="2"/>
  <c r="B3136" i="2"/>
  <c r="E3135" i="2"/>
  <c r="B3135" i="2"/>
  <c r="E3134" i="2"/>
  <c r="B3134" i="2"/>
  <c r="E3133" i="2"/>
  <c r="B3133" i="2"/>
  <c r="E3132" i="2"/>
  <c r="B3132" i="2"/>
  <c r="E3131" i="2"/>
  <c r="B3131" i="2"/>
  <c r="E3130" i="2"/>
  <c r="B3130" i="2"/>
  <c r="E3129" i="2"/>
  <c r="B3129" i="2"/>
  <c r="E3128" i="2"/>
  <c r="B3128" i="2"/>
  <c r="E3127" i="2"/>
  <c r="B3127" i="2"/>
  <c r="E3126" i="2"/>
  <c r="B3126" i="2"/>
  <c r="E3125" i="2"/>
  <c r="B3125" i="2"/>
  <c r="E3124" i="2"/>
  <c r="B3124" i="2"/>
  <c r="E3123" i="2"/>
  <c r="B3123" i="2"/>
  <c r="E3122" i="2"/>
  <c r="B3122" i="2"/>
  <c r="E3121" i="2"/>
  <c r="B3121" i="2"/>
  <c r="E3120" i="2"/>
  <c r="B3120" i="2"/>
  <c r="E3119" i="2"/>
  <c r="B3119" i="2"/>
  <c r="E3118" i="2"/>
  <c r="B3118" i="2"/>
  <c r="E3117" i="2"/>
  <c r="B3117" i="2"/>
  <c r="E3116" i="2"/>
  <c r="B3116" i="2"/>
  <c r="E3115" i="2"/>
  <c r="B3115" i="2"/>
  <c r="E3114" i="2"/>
  <c r="B3114" i="2"/>
  <c r="E3113" i="2"/>
  <c r="B3113" i="2"/>
  <c r="E3112" i="2"/>
  <c r="B3112" i="2"/>
  <c r="E3111" i="2"/>
  <c r="B3111" i="2"/>
  <c r="E3110" i="2"/>
  <c r="B3110" i="2"/>
  <c r="E3109" i="2"/>
  <c r="B3109" i="2"/>
  <c r="E3108" i="2"/>
  <c r="B3108" i="2"/>
  <c r="E3107" i="2"/>
  <c r="B3107" i="2"/>
  <c r="E3106" i="2"/>
  <c r="B3106" i="2"/>
  <c r="E3105" i="2"/>
  <c r="B3105" i="2"/>
  <c r="E3104" i="2"/>
  <c r="B3104" i="2"/>
  <c r="E3103" i="2"/>
  <c r="B3103" i="2"/>
  <c r="E3102" i="2"/>
  <c r="B3102" i="2"/>
  <c r="E3101" i="2"/>
  <c r="B3101" i="2"/>
  <c r="E3100" i="2"/>
  <c r="B3100" i="2"/>
  <c r="E3099" i="2"/>
  <c r="B3099" i="2"/>
  <c r="E3098" i="2"/>
  <c r="B3098" i="2"/>
  <c r="E3097" i="2"/>
  <c r="B3097" i="2"/>
  <c r="E3096" i="2"/>
  <c r="B3096" i="2"/>
  <c r="E3095" i="2"/>
  <c r="B3095" i="2"/>
  <c r="E3094" i="2"/>
  <c r="B3094" i="2"/>
  <c r="E3093" i="2"/>
  <c r="B3093" i="2"/>
  <c r="E3092" i="2"/>
  <c r="B3092" i="2"/>
  <c r="E3091" i="2"/>
  <c r="B3091" i="2"/>
  <c r="E3090" i="2"/>
  <c r="B3090" i="2"/>
  <c r="E3089" i="2"/>
  <c r="B3089" i="2"/>
  <c r="E3088" i="2"/>
  <c r="B3088" i="2"/>
  <c r="E3087" i="2"/>
  <c r="B3087" i="2"/>
  <c r="E3086" i="2"/>
  <c r="B3086" i="2"/>
  <c r="E3085" i="2"/>
  <c r="B3085" i="2"/>
  <c r="E3084" i="2"/>
  <c r="B3084" i="2"/>
  <c r="E3083" i="2"/>
  <c r="B3083" i="2"/>
  <c r="E3082" i="2"/>
  <c r="B3082" i="2"/>
  <c r="E3081" i="2"/>
  <c r="B3081" i="2"/>
  <c r="E3080" i="2"/>
  <c r="B3080" i="2"/>
  <c r="E3079" i="2"/>
  <c r="B3079" i="2"/>
  <c r="E3078" i="2"/>
  <c r="B3078" i="2"/>
  <c r="E3077" i="2"/>
  <c r="B3077" i="2"/>
  <c r="E3076" i="2"/>
  <c r="B3076" i="2"/>
  <c r="E3075" i="2"/>
  <c r="B3075" i="2"/>
  <c r="E3074" i="2"/>
  <c r="B3074" i="2"/>
  <c r="E3073" i="2"/>
  <c r="B3073" i="2"/>
  <c r="E3072" i="2"/>
  <c r="B3072" i="2"/>
  <c r="E3071" i="2"/>
  <c r="B3071" i="2"/>
  <c r="E3070" i="2"/>
  <c r="B3070" i="2"/>
  <c r="E3069" i="2"/>
  <c r="B3069" i="2"/>
  <c r="E3068" i="2"/>
  <c r="B3068" i="2"/>
  <c r="E3067" i="2"/>
  <c r="B3067" i="2"/>
  <c r="E3066" i="2"/>
  <c r="B3066" i="2"/>
  <c r="E3065" i="2"/>
  <c r="B3065" i="2"/>
  <c r="E3064" i="2"/>
  <c r="B3064" i="2"/>
  <c r="E3063" i="2"/>
  <c r="B3063" i="2"/>
  <c r="E3062" i="2"/>
  <c r="B3062" i="2"/>
  <c r="E3061" i="2"/>
  <c r="B3061" i="2"/>
  <c r="E3060" i="2"/>
  <c r="B3060" i="2"/>
  <c r="E3059" i="2"/>
  <c r="B3059" i="2"/>
  <c r="E3058" i="2"/>
  <c r="B3058" i="2"/>
  <c r="E3057" i="2"/>
  <c r="B3057" i="2"/>
  <c r="E3056" i="2"/>
  <c r="B3056" i="2"/>
  <c r="E3055" i="2"/>
  <c r="B3055" i="2"/>
  <c r="E3054" i="2"/>
  <c r="B3054" i="2"/>
  <c r="E3053" i="2"/>
  <c r="B3053" i="2"/>
  <c r="E3052" i="2"/>
  <c r="B3052" i="2"/>
  <c r="E3051" i="2"/>
  <c r="B3051" i="2"/>
  <c r="E3050" i="2"/>
  <c r="B3050" i="2"/>
  <c r="E3049" i="2"/>
  <c r="B3049" i="2"/>
  <c r="E3048" i="2"/>
  <c r="B3048" i="2"/>
  <c r="E3047" i="2"/>
  <c r="B3047" i="2"/>
  <c r="E3046" i="2"/>
  <c r="B3046" i="2"/>
  <c r="E3045" i="2"/>
  <c r="B3045" i="2"/>
  <c r="E3044" i="2"/>
  <c r="B3044" i="2"/>
  <c r="E3043" i="2"/>
  <c r="B3043" i="2"/>
  <c r="E3042" i="2"/>
  <c r="B3042" i="2"/>
  <c r="E3041" i="2"/>
  <c r="B3041" i="2"/>
  <c r="E3040" i="2"/>
  <c r="B3040" i="2"/>
  <c r="E3039" i="2"/>
  <c r="B3039" i="2"/>
  <c r="E3038" i="2"/>
  <c r="B3038" i="2"/>
  <c r="E3037" i="2"/>
  <c r="B3037" i="2"/>
  <c r="E3036" i="2"/>
  <c r="B3036" i="2"/>
  <c r="E3035" i="2"/>
  <c r="B3035" i="2"/>
  <c r="E3034" i="2"/>
  <c r="B3034" i="2"/>
  <c r="E3033" i="2"/>
  <c r="B3033" i="2"/>
  <c r="E3032" i="2"/>
  <c r="B3032" i="2"/>
  <c r="E3031" i="2"/>
  <c r="B3031" i="2"/>
  <c r="E3030" i="2"/>
  <c r="B3030" i="2"/>
  <c r="E3029" i="2"/>
  <c r="B3029" i="2"/>
  <c r="E3028" i="2"/>
  <c r="B3028" i="2"/>
  <c r="E3027" i="2"/>
  <c r="B3027" i="2"/>
  <c r="E3026" i="2"/>
  <c r="B3026" i="2"/>
  <c r="E3025" i="2"/>
  <c r="B3025" i="2"/>
  <c r="E3024" i="2"/>
  <c r="B3024" i="2"/>
  <c r="E3023" i="2"/>
  <c r="B3023" i="2"/>
  <c r="E3022" i="2"/>
  <c r="B3022" i="2"/>
  <c r="E3021" i="2"/>
  <c r="B3021" i="2"/>
  <c r="E3020" i="2"/>
  <c r="B3020" i="2"/>
  <c r="E3019" i="2"/>
  <c r="B3019" i="2"/>
  <c r="E3018" i="2"/>
  <c r="B3018" i="2"/>
  <c r="E3017" i="2"/>
  <c r="B3017" i="2"/>
  <c r="E3016" i="2"/>
  <c r="B3016" i="2"/>
  <c r="E3015" i="2"/>
  <c r="B3015" i="2"/>
  <c r="E3014" i="2"/>
  <c r="B3014" i="2"/>
  <c r="E3013" i="2"/>
  <c r="B3013" i="2"/>
  <c r="E3012" i="2"/>
  <c r="B3012" i="2"/>
  <c r="E3011" i="2"/>
  <c r="B3011" i="2"/>
  <c r="E3010" i="2"/>
  <c r="B3010" i="2"/>
  <c r="E3009" i="2"/>
  <c r="B3009" i="2"/>
  <c r="E3008" i="2"/>
  <c r="B3008" i="2"/>
  <c r="E3007" i="2"/>
  <c r="B3007" i="2"/>
  <c r="E3006" i="2"/>
  <c r="B3006" i="2"/>
  <c r="E3005" i="2"/>
  <c r="B3005" i="2"/>
  <c r="E3004" i="2"/>
  <c r="B3004" i="2"/>
  <c r="E3003" i="2"/>
  <c r="B3003" i="2"/>
  <c r="E3002" i="2"/>
  <c r="B3002" i="2"/>
  <c r="E3001" i="2"/>
  <c r="B3001" i="2"/>
  <c r="E3000" i="2"/>
  <c r="B3000" i="2"/>
  <c r="E2999" i="2"/>
  <c r="B2999" i="2"/>
  <c r="E2998" i="2"/>
  <c r="B2998" i="2"/>
  <c r="E2997" i="2"/>
  <c r="B2997" i="2"/>
  <c r="E2996" i="2"/>
  <c r="B2996" i="2"/>
  <c r="E2995" i="2"/>
  <c r="B2995" i="2"/>
  <c r="E2994" i="2"/>
  <c r="B2994" i="2"/>
  <c r="E2993" i="2"/>
  <c r="B2993" i="2"/>
  <c r="E2992" i="2"/>
  <c r="B2992" i="2"/>
  <c r="E2991" i="2"/>
  <c r="B2991" i="2"/>
  <c r="E2990" i="2"/>
  <c r="B2990" i="2"/>
  <c r="E2989" i="2"/>
  <c r="B2989" i="2"/>
  <c r="E2988" i="2"/>
  <c r="B2988" i="2"/>
  <c r="E2987" i="2"/>
  <c r="B2987" i="2"/>
  <c r="E2986" i="2"/>
  <c r="B2986" i="2"/>
  <c r="E2985" i="2"/>
  <c r="B2985" i="2"/>
  <c r="E2984" i="2"/>
  <c r="B2984" i="2"/>
  <c r="E2983" i="2"/>
  <c r="B2983" i="2"/>
  <c r="E2982" i="2"/>
  <c r="B2982" i="2"/>
  <c r="E2981" i="2"/>
  <c r="B2981" i="2"/>
  <c r="E2980" i="2"/>
  <c r="B2980" i="2"/>
  <c r="E2979" i="2"/>
  <c r="B2979" i="2"/>
  <c r="E2978" i="2"/>
  <c r="B2978" i="2"/>
  <c r="E2977" i="2"/>
  <c r="B2977" i="2"/>
  <c r="E2976" i="2"/>
  <c r="B2976" i="2"/>
  <c r="E2975" i="2"/>
  <c r="B2975" i="2"/>
  <c r="E2974" i="2"/>
  <c r="B2974" i="2"/>
  <c r="E2973" i="2"/>
  <c r="B2973" i="2"/>
  <c r="E2972" i="2"/>
  <c r="B2972" i="2"/>
  <c r="E2971" i="2"/>
  <c r="B2971" i="2"/>
  <c r="E2970" i="2"/>
  <c r="B2970" i="2"/>
  <c r="E2969" i="2"/>
  <c r="B2969" i="2"/>
  <c r="E2968" i="2"/>
  <c r="B2968" i="2"/>
  <c r="E2967" i="2"/>
  <c r="B2967" i="2"/>
  <c r="E2966" i="2"/>
  <c r="B2966" i="2"/>
  <c r="E2965" i="2"/>
  <c r="B2965" i="2"/>
  <c r="E2964" i="2"/>
  <c r="B2964" i="2"/>
  <c r="E2963" i="2"/>
  <c r="B2963" i="2"/>
  <c r="E2962" i="2"/>
  <c r="B2962" i="2"/>
  <c r="E2961" i="2"/>
  <c r="B2961" i="2"/>
  <c r="E2960" i="2"/>
  <c r="B2960" i="2"/>
  <c r="E2959" i="2"/>
  <c r="B2959" i="2"/>
  <c r="E2958" i="2"/>
  <c r="B2958" i="2"/>
  <c r="E2957" i="2"/>
  <c r="B2957" i="2"/>
  <c r="E2956" i="2"/>
  <c r="B2956" i="2"/>
  <c r="E2955" i="2"/>
  <c r="B2955" i="2"/>
  <c r="E2954" i="2"/>
  <c r="B2954" i="2"/>
  <c r="E2953" i="2"/>
  <c r="B2953" i="2"/>
  <c r="E2952" i="2"/>
  <c r="B2952" i="2"/>
  <c r="E2951" i="2"/>
  <c r="B2951" i="2"/>
  <c r="E2950" i="2"/>
  <c r="B2950" i="2"/>
  <c r="E2949" i="2"/>
  <c r="B2949" i="2"/>
  <c r="E2948" i="2"/>
  <c r="B2948" i="2"/>
  <c r="E2947" i="2"/>
  <c r="B2947" i="2"/>
  <c r="E2946" i="2"/>
  <c r="B2946" i="2"/>
  <c r="E2945" i="2"/>
  <c r="B2945" i="2"/>
  <c r="E2944" i="2"/>
  <c r="B2944" i="2"/>
  <c r="E2943" i="2"/>
  <c r="B2943" i="2"/>
  <c r="E2942" i="2"/>
  <c r="B2942" i="2"/>
  <c r="E2941" i="2"/>
  <c r="B2941" i="2"/>
  <c r="E2940" i="2"/>
  <c r="B2940" i="2"/>
  <c r="E2939" i="2"/>
  <c r="B2939" i="2"/>
  <c r="E2938" i="2"/>
  <c r="B2938" i="2"/>
  <c r="E2937" i="2"/>
  <c r="B2937" i="2"/>
  <c r="E2936" i="2"/>
  <c r="B2936" i="2"/>
  <c r="E2935" i="2"/>
  <c r="B2935" i="2"/>
  <c r="E2934" i="2"/>
  <c r="B2934" i="2"/>
  <c r="E2933" i="2"/>
  <c r="B2933" i="2"/>
  <c r="E2932" i="2"/>
  <c r="B2932" i="2"/>
  <c r="E2931" i="2"/>
  <c r="B2931" i="2"/>
  <c r="E2930" i="2"/>
  <c r="B2930" i="2"/>
  <c r="E2929" i="2"/>
  <c r="B2929" i="2"/>
  <c r="E2928" i="2"/>
  <c r="B2928" i="2"/>
  <c r="E2927" i="2"/>
  <c r="B2927" i="2"/>
  <c r="E2926" i="2"/>
  <c r="B2926" i="2"/>
  <c r="E2925" i="2"/>
  <c r="B2925" i="2"/>
  <c r="E2924" i="2"/>
  <c r="B2924" i="2"/>
  <c r="E2923" i="2"/>
  <c r="B2923" i="2"/>
  <c r="E2922" i="2"/>
  <c r="B2922" i="2"/>
  <c r="E2921" i="2"/>
  <c r="B2921" i="2"/>
  <c r="E2920" i="2"/>
  <c r="B2920" i="2"/>
  <c r="E2919" i="2"/>
  <c r="B2919" i="2"/>
  <c r="E2918" i="2"/>
  <c r="B2918" i="2"/>
  <c r="E2917" i="2"/>
  <c r="B2917" i="2"/>
  <c r="E2916" i="2"/>
  <c r="B2916" i="2"/>
  <c r="E2915" i="2"/>
  <c r="B2915" i="2"/>
  <c r="E2914" i="2"/>
  <c r="B2914" i="2"/>
  <c r="E2913" i="2"/>
  <c r="B2913" i="2"/>
  <c r="E2912" i="2"/>
  <c r="B2912" i="2"/>
  <c r="E2911" i="2"/>
  <c r="B2911" i="2"/>
  <c r="E2910" i="2"/>
  <c r="B2910" i="2"/>
  <c r="E2909" i="2"/>
  <c r="B2909" i="2"/>
  <c r="E2908" i="2"/>
  <c r="B2908" i="2"/>
  <c r="E2907" i="2"/>
  <c r="B2907" i="2"/>
  <c r="E2906" i="2"/>
  <c r="B2906" i="2"/>
  <c r="E2905" i="2"/>
  <c r="B2905" i="2"/>
  <c r="E2904" i="2"/>
  <c r="B2904" i="2"/>
  <c r="E2903" i="2"/>
  <c r="B2903" i="2"/>
  <c r="E2902" i="2"/>
  <c r="B2902" i="2"/>
  <c r="E2901" i="2"/>
  <c r="B2901" i="2"/>
  <c r="E2900" i="2"/>
  <c r="B2900" i="2"/>
  <c r="E2899" i="2"/>
  <c r="B2899" i="2"/>
  <c r="E2898" i="2"/>
  <c r="B2898" i="2"/>
  <c r="E2897" i="2"/>
  <c r="B2897" i="2"/>
  <c r="E2896" i="2"/>
  <c r="B2896" i="2"/>
  <c r="E2895" i="2"/>
  <c r="B2895" i="2"/>
  <c r="E2894" i="2"/>
  <c r="B2894" i="2"/>
  <c r="E2893" i="2"/>
  <c r="B2893" i="2"/>
  <c r="E2892" i="2"/>
  <c r="B2892" i="2"/>
  <c r="E2891" i="2"/>
  <c r="B2891" i="2"/>
  <c r="E2890" i="2"/>
  <c r="B2890" i="2"/>
  <c r="E2889" i="2"/>
  <c r="B2889" i="2"/>
  <c r="E2888" i="2"/>
  <c r="B2888" i="2"/>
  <c r="E2887" i="2"/>
  <c r="B2887" i="2"/>
  <c r="E2886" i="2"/>
  <c r="B2886" i="2"/>
  <c r="E2885" i="2"/>
  <c r="B2885" i="2"/>
  <c r="E2884" i="2"/>
  <c r="B2884" i="2"/>
  <c r="E2883" i="2"/>
  <c r="B2883" i="2"/>
  <c r="E2882" i="2"/>
  <c r="B2882" i="2"/>
  <c r="E2881" i="2"/>
  <c r="B2881" i="2"/>
  <c r="E2880" i="2"/>
  <c r="B2880" i="2"/>
  <c r="E2879" i="2"/>
  <c r="B2879" i="2"/>
  <c r="E2878" i="2"/>
  <c r="B2878" i="2"/>
  <c r="E2877" i="2"/>
  <c r="B2877" i="2"/>
  <c r="E2876" i="2"/>
  <c r="B2876" i="2"/>
  <c r="E2875" i="2"/>
  <c r="B2875" i="2"/>
  <c r="E2874" i="2"/>
  <c r="B2874" i="2"/>
  <c r="E2873" i="2"/>
  <c r="B2873" i="2"/>
  <c r="E2872" i="2"/>
  <c r="B2872" i="2"/>
  <c r="E2871" i="2"/>
  <c r="B2871" i="2"/>
  <c r="E2870" i="2"/>
  <c r="B2870" i="2"/>
  <c r="E2869" i="2"/>
  <c r="B2869" i="2"/>
  <c r="E2868" i="2"/>
  <c r="B2868" i="2"/>
  <c r="E2867" i="2"/>
  <c r="B2867" i="2"/>
  <c r="E2866" i="2"/>
  <c r="B2866" i="2"/>
  <c r="E2865" i="2"/>
  <c r="B2865" i="2"/>
  <c r="E2864" i="2"/>
  <c r="B2864" i="2"/>
  <c r="E2863" i="2"/>
  <c r="B2863" i="2"/>
  <c r="E2862" i="2"/>
  <c r="B2862" i="2"/>
  <c r="E2861" i="2"/>
  <c r="B2861" i="2"/>
  <c r="E2860" i="2"/>
  <c r="B2860" i="2"/>
  <c r="E2859" i="2"/>
  <c r="B2859" i="2"/>
  <c r="E2858" i="2"/>
  <c r="B2858" i="2"/>
  <c r="E2857" i="2"/>
  <c r="B2857" i="2"/>
  <c r="E2856" i="2"/>
  <c r="B2856" i="2"/>
  <c r="E2855" i="2"/>
  <c r="B2855" i="2"/>
  <c r="E2854" i="2"/>
  <c r="B2854" i="2"/>
  <c r="E2853" i="2"/>
  <c r="B2853" i="2"/>
  <c r="E2852" i="2"/>
  <c r="B2852" i="2"/>
  <c r="E2851" i="2"/>
  <c r="B2851" i="2"/>
  <c r="E2850" i="2"/>
  <c r="B2850" i="2"/>
  <c r="E2849" i="2"/>
  <c r="B2849" i="2"/>
  <c r="E2848" i="2"/>
  <c r="B2848" i="2"/>
  <c r="E2847" i="2"/>
  <c r="B2847" i="2"/>
  <c r="E2846" i="2"/>
  <c r="B2846" i="2"/>
  <c r="E2845" i="2"/>
  <c r="B2845" i="2"/>
  <c r="E2844" i="2"/>
  <c r="B2844" i="2"/>
  <c r="E2843" i="2"/>
  <c r="B2843" i="2"/>
  <c r="E2842" i="2"/>
  <c r="B2842" i="2"/>
  <c r="E2841" i="2"/>
  <c r="B2841" i="2"/>
  <c r="E2840" i="2"/>
  <c r="B2840" i="2"/>
  <c r="E2839" i="2"/>
  <c r="B2839" i="2"/>
  <c r="E2838" i="2"/>
  <c r="B2838" i="2"/>
  <c r="E2837" i="2"/>
  <c r="B2837" i="2"/>
  <c r="E2836" i="2"/>
  <c r="B2836" i="2"/>
  <c r="E2835" i="2"/>
  <c r="B2835" i="2"/>
  <c r="E2834" i="2"/>
  <c r="B2834" i="2"/>
  <c r="E2833" i="2"/>
  <c r="B2833" i="2"/>
  <c r="E2832" i="2"/>
  <c r="B2832" i="2"/>
  <c r="E2831" i="2"/>
  <c r="B2831" i="2"/>
  <c r="E2830" i="2"/>
  <c r="B2830" i="2"/>
  <c r="E2829" i="2"/>
  <c r="B2829" i="2"/>
  <c r="E2828" i="2"/>
  <c r="B2828" i="2"/>
  <c r="E2827" i="2"/>
  <c r="B2827" i="2"/>
  <c r="E2826" i="2"/>
  <c r="B2826" i="2"/>
  <c r="E2825" i="2"/>
  <c r="B2825" i="2"/>
  <c r="E2824" i="2"/>
  <c r="B2824" i="2"/>
  <c r="E2823" i="2"/>
  <c r="B2823" i="2"/>
  <c r="E2822" i="2"/>
  <c r="B2822" i="2"/>
  <c r="E2821" i="2"/>
  <c r="B2821" i="2"/>
  <c r="E2820" i="2"/>
  <c r="B2820" i="2"/>
  <c r="E2819" i="2"/>
  <c r="B2819" i="2"/>
  <c r="E2818" i="2"/>
  <c r="B2818" i="2"/>
  <c r="E2817" i="2"/>
  <c r="B2817" i="2"/>
  <c r="E2816" i="2"/>
  <c r="B2816" i="2"/>
  <c r="E2815" i="2"/>
  <c r="B2815" i="2"/>
  <c r="E2814" i="2"/>
  <c r="B2814" i="2"/>
  <c r="E2813" i="2"/>
  <c r="B2813" i="2"/>
  <c r="E2812" i="2"/>
  <c r="B2812" i="2"/>
  <c r="E2811" i="2"/>
  <c r="B2811" i="2"/>
  <c r="E2810" i="2"/>
  <c r="B2810" i="2"/>
  <c r="E2809" i="2"/>
  <c r="B2809" i="2"/>
  <c r="E2808" i="2"/>
  <c r="B2808" i="2"/>
  <c r="E2807" i="2"/>
  <c r="B2807" i="2"/>
  <c r="E2806" i="2"/>
  <c r="B2806" i="2"/>
  <c r="E2805" i="2"/>
  <c r="B2805" i="2"/>
  <c r="E2804" i="2"/>
  <c r="B2804" i="2"/>
  <c r="E2803" i="2"/>
  <c r="B2803" i="2"/>
  <c r="E2802" i="2"/>
  <c r="B2802" i="2"/>
  <c r="E2801" i="2"/>
  <c r="B2801" i="2"/>
  <c r="E2800" i="2"/>
  <c r="B2800" i="2"/>
  <c r="E2799" i="2"/>
  <c r="B2799" i="2"/>
  <c r="E2798" i="2"/>
  <c r="B2798" i="2"/>
  <c r="E2797" i="2"/>
  <c r="B2797" i="2"/>
  <c r="E2796" i="2"/>
  <c r="B2796" i="2"/>
  <c r="E2795" i="2"/>
  <c r="B2795" i="2"/>
  <c r="E2794" i="2"/>
  <c r="B2794" i="2"/>
  <c r="E2793" i="2"/>
  <c r="B2793" i="2"/>
  <c r="E2792" i="2"/>
  <c r="B2792" i="2"/>
  <c r="E2791" i="2"/>
  <c r="B2791" i="2"/>
  <c r="E2790" i="2"/>
  <c r="B2790" i="2"/>
  <c r="E2789" i="2"/>
  <c r="B2789" i="2"/>
  <c r="E2788" i="2"/>
  <c r="B2788" i="2"/>
  <c r="E2787" i="2"/>
  <c r="B2787" i="2"/>
  <c r="E2786" i="2"/>
  <c r="B2786" i="2"/>
  <c r="E2785" i="2"/>
  <c r="B2785" i="2"/>
  <c r="E2784" i="2"/>
  <c r="B2784" i="2"/>
  <c r="E2783" i="2"/>
  <c r="B2783" i="2"/>
  <c r="E2782" i="2"/>
  <c r="B2782" i="2"/>
  <c r="E2781" i="2"/>
  <c r="B2781" i="2"/>
  <c r="E2780" i="2"/>
  <c r="B2780" i="2"/>
  <c r="E2779" i="2"/>
  <c r="B2779" i="2"/>
  <c r="E2778" i="2"/>
  <c r="B2778" i="2"/>
  <c r="E2777" i="2"/>
  <c r="B2777" i="2"/>
  <c r="E2776" i="2"/>
  <c r="B2776" i="2"/>
  <c r="E2775" i="2"/>
  <c r="B2775" i="2"/>
  <c r="E2774" i="2"/>
  <c r="B2774" i="2"/>
  <c r="E2773" i="2"/>
  <c r="B2773" i="2"/>
  <c r="E2772" i="2"/>
  <c r="B2772" i="2"/>
  <c r="E2771" i="2"/>
  <c r="B2771" i="2"/>
  <c r="E2770" i="2"/>
  <c r="B2770" i="2"/>
  <c r="E2769" i="2"/>
  <c r="B2769" i="2"/>
  <c r="E2768" i="2"/>
  <c r="B2768" i="2"/>
  <c r="E2767" i="2"/>
  <c r="B2767" i="2"/>
  <c r="E2766" i="2"/>
  <c r="B2766" i="2"/>
  <c r="E2765" i="2"/>
  <c r="B2765" i="2"/>
  <c r="E2764" i="2"/>
  <c r="B2764" i="2"/>
  <c r="E2763" i="2"/>
  <c r="B2763" i="2"/>
  <c r="E2762" i="2"/>
  <c r="B2762" i="2"/>
  <c r="E2761" i="2"/>
  <c r="B2761" i="2"/>
  <c r="E2760" i="2"/>
  <c r="B2760" i="2"/>
  <c r="E2759" i="2"/>
  <c r="B2759" i="2"/>
  <c r="E2758" i="2"/>
  <c r="B2758" i="2"/>
  <c r="E2757" i="2"/>
  <c r="B2757" i="2"/>
  <c r="E2756" i="2"/>
  <c r="B2756" i="2"/>
  <c r="E2755" i="2"/>
  <c r="B2755" i="2"/>
  <c r="E2754" i="2"/>
  <c r="B2754" i="2"/>
  <c r="E2753" i="2"/>
  <c r="B2753" i="2"/>
  <c r="E2752" i="2"/>
  <c r="B2752" i="2"/>
  <c r="E2751" i="2"/>
  <c r="B2751" i="2"/>
  <c r="E2750" i="2"/>
  <c r="B2750" i="2"/>
  <c r="E2749" i="2"/>
  <c r="B2749" i="2"/>
  <c r="E2748" i="2"/>
  <c r="B2748" i="2"/>
  <c r="E2747" i="2"/>
  <c r="B2747" i="2"/>
  <c r="E2746" i="2"/>
  <c r="B2746" i="2"/>
  <c r="E2745" i="2"/>
  <c r="B2745" i="2"/>
  <c r="E2744" i="2"/>
  <c r="B2744" i="2"/>
  <c r="E2743" i="2"/>
  <c r="B2743" i="2"/>
  <c r="E2742" i="2"/>
  <c r="B2742" i="2"/>
  <c r="E2741" i="2"/>
  <c r="B2741" i="2"/>
  <c r="E2740" i="2"/>
  <c r="B2740" i="2"/>
  <c r="E2739" i="2"/>
  <c r="B2739" i="2"/>
  <c r="E2738" i="2"/>
  <c r="B2738" i="2"/>
  <c r="E2737" i="2"/>
  <c r="B2737" i="2"/>
  <c r="E2736" i="2"/>
  <c r="B2736" i="2"/>
  <c r="E2735" i="2"/>
  <c r="B2735" i="2"/>
  <c r="E2734" i="2"/>
  <c r="B2734" i="2"/>
  <c r="E2733" i="2"/>
  <c r="B2733" i="2"/>
  <c r="E2732" i="2"/>
  <c r="B2732" i="2"/>
  <c r="E2731" i="2"/>
  <c r="B2731" i="2"/>
  <c r="E2730" i="2"/>
  <c r="B2730" i="2"/>
  <c r="E2729" i="2"/>
  <c r="B2729" i="2"/>
  <c r="E2728" i="2"/>
  <c r="B2728" i="2"/>
  <c r="E2727" i="2"/>
  <c r="B2727" i="2"/>
  <c r="E2726" i="2"/>
  <c r="B2726" i="2"/>
  <c r="E2725" i="2"/>
  <c r="B2725" i="2"/>
  <c r="E2724" i="2"/>
  <c r="B2724" i="2"/>
  <c r="E2723" i="2"/>
  <c r="B2723" i="2"/>
  <c r="E2722" i="2"/>
  <c r="B2722" i="2"/>
  <c r="E2721" i="2"/>
  <c r="B2721" i="2"/>
  <c r="E2720" i="2"/>
  <c r="B2720" i="2"/>
  <c r="E2719" i="2"/>
  <c r="B2719" i="2"/>
  <c r="E2718" i="2"/>
  <c r="B2718" i="2"/>
  <c r="E2717" i="2"/>
  <c r="B2717" i="2"/>
  <c r="E2716" i="2"/>
  <c r="B2716" i="2"/>
  <c r="E2715" i="2"/>
  <c r="B2715" i="2"/>
  <c r="E2714" i="2"/>
  <c r="B2714" i="2"/>
  <c r="E2713" i="2"/>
  <c r="B2713" i="2"/>
  <c r="E2712" i="2"/>
  <c r="B2712" i="2"/>
  <c r="E2711" i="2"/>
  <c r="B2711" i="2"/>
  <c r="E2710" i="2"/>
  <c r="B2710" i="2"/>
  <c r="E2709" i="2"/>
  <c r="B2709" i="2"/>
  <c r="E2708" i="2"/>
  <c r="B2708" i="2"/>
  <c r="E2707" i="2"/>
  <c r="B2707" i="2"/>
  <c r="E2706" i="2"/>
  <c r="B2706" i="2"/>
  <c r="E2705" i="2"/>
  <c r="B2705" i="2"/>
  <c r="E2704" i="2"/>
  <c r="B2704" i="2"/>
  <c r="E2703" i="2"/>
  <c r="B2703" i="2"/>
  <c r="E2702" i="2"/>
  <c r="B2702" i="2"/>
  <c r="E2701" i="2"/>
  <c r="B2701" i="2"/>
  <c r="E2700" i="2"/>
  <c r="B2700" i="2"/>
  <c r="E2699" i="2"/>
  <c r="B2699" i="2"/>
  <c r="E2698" i="2"/>
  <c r="B2698" i="2"/>
  <c r="E2697" i="2"/>
  <c r="B2697" i="2"/>
  <c r="E2696" i="2"/>
  <c r="B2696" i="2"/>
  <c r="E2695" i="2"/>
  <c r="B2695" i="2"/>
  <c r="E2694" i="2"/>
  <c r="B2694" i="2"/>
  <c r="E2693" i="2"/>
  <c r="B2693" i="2"/>
  <c r="E2692" i="2"/>
  <c r="B2692" i="2"/>
  <c r="E2691" i="2"/>
  <c r="B2691" i="2"/>
  <c r="E2690" i="2"/>
  <c r="B2690" i="2"/>
  <c r="E2689" i="2"/>
  <c r="B2689" i="2"/>
  <c r="E2688" i="2"/>
  <c r="B2688" i="2"/>
  <c r="E2687" i="2"/>
  <c r="B2687" i="2"/>
  <c r="E2686" i="2"/>
  <c r="B2686" i="2"/>
  <c r="E2685" i="2"/>
  <c r="B2685" i="2"/>
  <c r="E2684" i="2"/>
  <c r="B2684" i="2"/>
  <c r="E2683" i="2"/>
  <c r="B2683" i="2"/>
  <c r="E2682" i="2"/>
  <c r="B2682" i="2"/>
  <c r="E2681" i="2"/>
  <c r="B2681" i="2"/>
  <c r="E2680" i="2"/>
  <c r="B2680" i="2"/>
  <c r="E2679" i="2"/>
  <c r="B2679" i="2"/>
  <c r="E2678" i="2"/>
  <c r="B2678" i="2"/>
  <c r="E2677" i="2"/>
  <c r="B2677" i="2"/>
  <c r="E2676" i="2"/>
  <c r="B2676" i="2"/>
  <c r="E2675" i="2"/>
  <c r="B2675" i="2"/>
  <c r="E2674" i="2"/>
  <c r="B2674" i="2"/>
  <c r="E2673" i="2"/>
  <c r="B2673" i="2"/>
  <c r="E2672" i="2"/>
  <c r="B2672" i="2"/>
  <c r="E2671" i="2"/>
  <c r="B2671" i="2"/>
  <c r="E2670" i="2"/>
  <c r="B2670" i="2"/>
  <c r="E2669" i="2"/>
  <c r="B2669" i="2"/>
  <c r="E2668" i="2"/>
  <c r="B2668" i="2"/>
  <c r="E2667" i="2"/>
  <c r="B2667" i="2"/>
  <c r="E2666" i="2"/>
  <c r="B2666" i="2"/>
  <c r="E2665" i="2"/>
  <c r="B2665" i="2"/>
  <c r="E2664" i="2"/>
  <c r="B2664" i="2"/>
  <c r="E2663" i="2"/>
  <c r="B2663" i="2"/>
  <c r="E2662" i="2"/>
  <c r="B2662" i="2"/>
  <c r="E2661" i="2"/>
  <c r="B2661" i="2"/>
  <c r="E2660" i="2"/>
  <c r="B2660" i="2"/>
  <c r="E2659" i="2"/>
  <c r="B2659" i="2"/>
  <c r="E2658" i="2"/>
  <c r="B2658" i="2"/>
  <c r="E2657" i="2"/>
  <c r="B2657" i="2"/>
  <c r="E2656" i="2"/>
  <c r="B2656" i="2"/>
  <c r="E2655" i="2"/>
  <c r="B2655" i="2"/>
  <c r="E2654" i="2"/>
  <c r="B2654" i="2"/>
  <c r="E2653" i="2"/>
  <c r="B2653" i="2"/>
  <c r="E2652" i="2"/>
  <c r="B2652" i="2"/>
  <c r="E2651" i="2"/>
  <c r="B2651" i="2"/>
  <c r="E2650" i="2"/>
  <c r="B2650" i="2"/>
  <c r="E2649" i="2"/>
  <c r="B2649" i="2"/>
  <c r="E2648" i="2"/>
  <c r="B2648" i="2"/>
  <c r="E2647" i="2"/>
  <c r="B2647" i="2"/>
  <c r="E2646" i="2"/>
  <c r="B2646" i="2"/>
  <c r="E2645" i="2"/>
  <c r="B2645" i="2"/>
  <c r="E2644" i="2"/>
  <c r="B2644" i="2"/>
  <c r="E2643" i="2"/>
  <c r="B2643" i="2"/>
  <c r="E2642" i="2"/>
  <c r="B2642" i="2"/>
  <c r="E2641" i="2"/>
  <c r="B2641" i="2"/>
  <c r="E2640" i="2"/>
  <c r="B2640" i="2"/>
  <c r="E2639" i="2"/>
  <c r="B2639" i="2"/>
  <c r="E2638" i="2"/>
  <c r="B2638" i="2"/>
  <c r="E2637" i="2"/>
  <c r="B2637" i="2"/>
  <c r="E2636" i="2"/>
  <c r="B2636" i="2"/>
  <c r="E2635" i="2"/>
  <c r="B2635" i="2"/>
  <c r="E2634" i="2"/>
  <c r="B2634" i="2"/>
  <c r="E2633" i="2"/>
  <c r="B2633" i="2"/>
  <c r="E2632" i="2"/>
  <c r="B2632" i="2"/>
  <c r="E2631" i="2"/>
  <c r="B2631" i="2"/>
  <c r="E2630" i="2"/>
  <c r="B2630" i="2"/>
  <c r="E2629" i="2"/>
  <c r="B2629" i="2"/>
  <c r="E2628" i="2"/>
  <c r="B2628" i="2"/>
  <c r="E2627" i="2"/>
  <c r="B2627" i="2"/>
  <c r="E2626" i="2"/>
  <c r="B2626" i="2"/>
  <c r="E2625" i="2"/>
  <c r="B2625" i="2"/>
  <c r="E2624" i="2"/>
  <c r="B2624" i="2"/>
  <c r="E2623" i="2"/>
  <c r="B2623" i="2"/>
  <c r="E2622" i="2"/>
  <c r="B2622" i="2"/>
  <c r="E2621" i="2"/>
  <c r="B2621" i="2"/>
  <c r="E2620" i="2"/>
  <c r="B2620" i="2"/>
  <c r="E2619" i="2"/>
  <c r="B2619" i="2"/>
  <c r="E2618" i="2"/>
  <c r="B2618" i="2"/>
  <c r="E2617" i="2"/>
  <c r="B2617" i="2"/>
  <c r="E2616" i="2"/>
  <c r="B2616" i="2"/>
  <c r="E2615" i="2"/>
  <c r="B2615" i="2"/>
  <c r="E2614" i="2"/>
  <c r="B2614" i="2"/>
  <c r="E2613" i="2"/>
  <c r="B2613" i="2"/>
  <c r="E2612" i="2"/>
  <c r="B2612" i="2"/>
  <c r="E2611" i="2"/>
  <c r="B2611" i="2"/>
  <c r="E2610" i="2"/>
  <c r="B2610" i="2"/>
  <c r="E2609" i="2"/>
  <c r="B2609" i="2"/>
  <c r="E2608" i="2"/>
  <c r="B2608" i="2"/>
  <c r="E2607" i="2"/>
  <c r="B2607" i="2"/>
  <c r="E2606" i="2"/>
  <c r="B2606" i="2"/>
  <c r="E2605" i="2"/>
  <c r="B2605" i="2"/>
  <c r="E2604" i="2"/>
  <c r="B2604" i="2"/>
  <c r="E2603" i="2"/>
  <c r="B2603" i="2"/>
  <c r="E2602" i="2"/>
  <c r="B2602" i="2"/>
  <c r="E2601" i="2"/>
  <c r="B2601" i="2"/>
  <c r="E2600" i="2"/>
  <c r="B2600" i="2"/>
  <c r="E2599" i="2"/>
  <c r="B2599" i="2"/>
  <c r="E2598" i="2"/>
  <c r="B2598" i="2"/>
  <c r="E2597" i="2"/>
  <c r="B2597" i="2"/>
  <c r="E2596" i="2"/>
  <c r="B2596" i="2"/>
  <c r="E2595" i="2"/>
  <c r="B2595" i="2"/>
  <c r="E2594" i="2"/>
  <c r="B2594" i="2"/>
  <c r="E2593" i="2"/>
  <c r="B2593" i="2"/>
  <c r="E2592" i="2"/>
  <c r="B2592" i="2"/>
  <c r="E2591" i="2"/>
  <c r="B2591" i="2"/>
  <c r="E2590" i="2"/>
  <c r="B2590" i="2"/>
  <c r="E2589" i="2"/>
  <c r="B2589" i="2"/>
  <c r="E2588" i="2"/>
  <c r="B2588" i="2"/>
  <c r="E2587" i="2"/>
  <c r="B2587" i="2"/>
  <c r="E2586" i="2"/>
  <c r="B2586" i="2"/>
  <c r="E2585" i="2"/>
  <c r="B2585" i="2"/>
  <c r="E2584" i="2"/>
  <c r="B2584" i="2"/>
  <c r="E2583" i="2"/>
  <c r="B2583" i="2"/>
  <c r="E2582" i="2"/>
  <c r="B2582" i="2"/>
  <c r="E2581" i="2"/>
  <c r="B2581" i="2"/>
  <c r="E2580" i="2"/>
  <c r="B2580" i="2"/>
  <c r="E2579" i="2"/>
  <c r="B2579" i="2"/>
  <c r="E2578" i="2"/>
  <c r="B2578" i="2"/>
  <c r="E2577" i="2"/>
  <c r="B2577" i="2"/>
  <c r="E2576" i="2"/>
  <c r="B2576" i="2"/>
  <c r="E2575" i="2"/>
  <c r="B2575" i="2"/>
  <c r="E2574" i="2"/>
  <c r="B2574" i="2"/>
  <c r="E2573" i="2"/>
  <c r="B2573" i="2"/>
  <c r="E2572" i="2"/>
  <c r="B2572" i="2"/>
  <c r="E2571" i="2"/>
  <c r="B2571" i="2"/>
  <c r="E2570" i="2"/>
  <c r="B2570" i="2"/>
  <c r="E2569" i="2"/>
  <c r="B2569" i="2"/>
  <c r="E2568" i="2"/>
  <c r="B2568" i="2"/>
  <c r="E2567" i="2"/>
  <c r="B2567" i="2"/>
  <c r="E2566" i="2"/>
  <c r="B2566" i="2"/>
  <c r="E2565" i="2"/>
  <c r="B2565" i="2"/>
  <c r="E2564" i="2"/>
  <c r="B2564" i="2"/>
  <c r="E2563" i="2"/>
  <c r="B2563" i="2"/>
  <c r="E2562" i="2"/>
  <c r="B2562" i="2"/>
  <c r="E2561" i="2"/>
  <c r="B2561" i="2"/>
  <c r="E2560" i="2"/>
  <c r="B2560" i="2"/>
  <c r="E2559" i="2"/>
  <c r="B2559" i="2"/>
  <c r="E2558" i="2"/>
  <c r="B2558" i="2"/>
  <c r="E2557" i="2"/>
  <c r="B2557" i="2"/>
  <c r="E2556" i="2"/>
  <c r="B2556" i="2"/>
  <c r="E2555" i="2"/>
  <c r="B2555" i="2"/>
  <c r="E2554" i="2"/>
  <c r="B2554" i="2"/>
  <c r="E2553" i="2"/>
  <c r="B2553" i="2"/>
  <c r="E2552" i="2"/>
  <c r="B2552" i="2"/>
  <c r="E2551" i="2"/>
  <c r="B2551" i="2"/>
  <c r="E2550" i="2"/>
  <c r="B2550" i="2"/>
  <c r="E2549" i="2"/>
  <c r="B2549" i="2"/>
  <c r="E2548" i="2"/>
  <c r="B2548" i="2"/>
  <c r="E2547" i="2"/>
  <c r="B2547" i="2"/>
  <c r="E2546" i="2"/>
  <c r="B2546" i="2"/>
  <c r="E2545" i="2"/>
  <c r="B2545" i="2"/>
  <c r="E2544" i="2"/>
  <c r="B2544" i="2"/>
  <c r="E2543" i="2"/>
  <c r="B2543" i="2"/>
  <c r="E2542" i="2"/>
  <c r="B2542" i="2"/>
  <c r="E2541" i="2"/>
  <c r="B2541" i="2"/>
  <c r="E2540" i="2"/>
  <c r="B2540" i="2"/>
  <c r="E2539" i="2"/>
  <c r="B2539" i="2"/>
  <c r="E2538" i="2"/>
  <c r="B2538" i="2"/>
  <c r="E2537" i="2"/>
  <c r="B2537" i="2"/>
  <c r="E2536" i="2"/>
  <c r="B2536" i="2"/>
  <c r="E2535" i="2"/>
  <c r="B2535" i="2"/>
  <c r="E2534" i="2"/>
  <c r="B2534" i="2"/>
  <c r="E2533" i="2"/>
  <c r="B2533" i="2"/>
  <c r="E2532" i="2"/>
  <c r="B2532" i="2"/>
  <c r="E2531" i="2"/>
  <c r="B2531" i="2"/>
  <c r="E2530" i="2"/>
  <c r="B2530" i="2"/>
  <c r="E2529" i="2"/>
  <c r="B2529" i="2"/>
  <c r="E2528" i="2"/>
  <c r="B2528" i="2"/>
  <c r="E2527" i="2"/>
  <c r="B2527" i="2"/>
  <c r="E2526" i="2"/>
  <c r="B2526" i="2"/>
  <c r="E2525" i="2"/>
  <c r="B2525" i="2"/>
  <c r="E2524" i="2"/>
  <c r="B2524" i="2"/>
  <c r="E2523" i="2"/>
  <c r="B2523" i="2"/>
  <c r="E2522" i="2"/>
  <c r="B2522" i="2"/>
  <c r="E2521" i="2"/>
  <c r="B2521" i="2"/>
  <c r="E2520" i="2"/>
  <c r="B2520" i="2"/>
  <c r="E2519" i="2"/>
  <c r="B2519" i="2"/>
  <c r="E2518" i="2"/>
  <c r="B2518" i="2"/>
  <c r="E2517" i="2"/>
  <c r="B2517" i="2"/>
  <c r="E2516" i="2"/>
  <c r="B2516" i="2"/>
  <c r="E2515" i="2"/>
  <c r="B2515" i="2"/>
  <c r="E2514" i="2"/>
  <c r="B2514" i="2"/>
  <c r="E2513" i="2"/>
  <c r="B2513" i="2"/>
  <c r="E2512" i="2"/>
  <c r="B2512" i="2"/>
  <c r="E2511" i="2"/>
  <c r="B2511" i="2"/>
  <c r="E2510" i="2"/>
  <c r="B2510" i="2"/>
  <c r="E2509" i="2"/>
  <c r="B2509" i="2"/>
  <c r="E2508" i="2"/>
  <c r="B2508" i="2"/>
  <c r="E2507" i="2"/>
  <c r="B2507" i="2"/>
  <c r="E2506" i="2"/>
  <c r="B2506" i="2"/>
  <c r="E2505" i="2"/>
  <c r="B2505" i="2"/>
  <c r="E2504" i="2"/>
  <c r="B2504" i="2"/>
  <c r="E2503" i="2"/>
  <c r="B2503" i="2"/>
  <c r="E2502" i="2"/>
  <c r="B2502" i="2"/>
  <c r="E2501" i="2"/>
  <c r="B2501" i="2"/>
  <c r="E2500" i="2"/>
  <c r="B2500" i="2"/>
  <c r="E2499" i="2"/>
  <c r="B2499" i="2"/>
  <c r="E2498" i="2"/>
  <c r="B2498" i="2"/>
  <c r="E2497" i="2"/>
  <c r="B2497" i="2"/>
  <c r="E2496" i="2"/>
  <c r="B2496" i="2"/>
  <c r="E2495" i="2"/>
  <c r="B2495" i="2"/>
  <c r="E2494" i="2"/>
  <c r="B2494" i="2"/>
  <c r="E2493" i="2"/>
  <c r="B2493" i="2"/>
  <c r="E2492" i="2"/>
  <c r="B2492" i="2"/>
  <c r="E2491" i="2"/>
  <c r="B2491" i="2"/>
  <c r="E2490" i="2"/>
  <c r="B2490" i="2"/>
  <c r="E2489" i="2"/>
  <c r="B2489" i="2"/>
  <c r="E2488" i="2"/>
  <c r="B2488" i="2"/>
  <c r="E2487" i="2"/>
  <c r="B2487" i="2"/>
  <c r="E2486" i="2"/>
  <c r="B2486" i="2"/>
  <c r="E2485" i="2"/>
  <c r="B2485" i="2"/>
  <c r="E2484" i="2"/>
  <c r="B2484" i="2"/>
  <c r="E2483" i="2"/>
  <c r="B2483" i="2"/>
  <c r="E2482" i="2"/>
  <c r="B2482" i="2"/>
  <c r="E2481" i="2"/>
  <c r="B2481" i="2"/>
  <c r="E2480" i="2"/>
  <c r="B2480" i="2"/>
  <c r="E2479" i="2"/>
  <c r="B2479" i="2"/>
  <c r="E2478" i="2"/>
  <c r="B2478" i="2"/>
  <c r="E2477" i="2"/>
  <c r="B2477" i="2"/>
  <c r="E2476" i="2"/>
  <c r="B2476" i="2"/>
  <c r="E2475" i="2"/>
  <c r="B2475" i="2"/>
  <c r="E2474" i="2"/>
  <c r="B2474" i="2"/>
  <c r="E2473" i="2"/>
  <c r="B2473" i="2"/>
  <c r="E2472" i="2"/>
  <c r="B2472" i="2"/>
  <c r="E2471" i="2"/>
  <c r="B2471" i="2"/>
  <c r="E2470" i="2"/>
  <c r="B2470" i="2"/>
  <c r="E2469" i="2"/>
  <c r="B2469" i="2"/>
  <c r="E2468" i="2"/>
  <c r="B2468" i="2"/>
  <c r="E2467" i="2"/>
  <c r="B2467" i="2"/>
  <c r="E2466" i="2"/>
  <c r="B2466" i="2"/>
  <c r="E2465" i="2"/>
  <c r="B2465" i="2"/>
  <c r="E2464" i="2"/>
  <c r="B2464" i="2"/>
  <c r="E2463" i="2"/>
  <c r="B2463" i="2"/>
  <c r="E2462" i="2"/>
  <c r="B2462" i="2"/>
  <c r="E2461" i="2"/>
  <c r="B2461" i="2"/>
  <c r="E2460" i="2"/>
  <c r="B2460" i="2"/>
  <c r="E2459" i="2"/>
  <c r="B2459" i="2"/>
  <c r="E2458" i="2"/>
  <c r="B2458" i="2"/>
  <c r="E2457" i="2"/>
  <c r="B2457" i="2"/>
  <c r="E2456" i="2"/>
  <c r="B2456" i="2"/>
  <c r="E2455" i="2"/>
  <c r="B2455" i="2"/>
  <c r="E2454" i="2"/>
  <c r="B2454" i="2"/>
  <c r="E2453" i="2"/>
  <c r="B2453" i="2"/>
  <c r="E2452" i="2"/>
  <c r="B2452" i="2"/>
  <c r="E2451" i="2"/>
  <c r="B2451" i="2"/>
  <c r="E2450" i="2"/>
  <c r="B2450" i="2"/>
  <c r="E2449" i="2"/>
  <c r="B2449" i="2"/>
  <c r="E2448" i="2"/>
  <c r="B2448" i="2"/>
  <c r="E2447" i="2"/>
  <c r="B2447" i="2"/>
  <c r="E2446" i="2"/>
  <c r="B2446" i="2"/>
  <c r="E2445" i="2"/>
  <c r="B2445" i="2"/>
  <c r="E2444" i="2"/>
  <c r="B2444" i="2"/>
  <c r="E2443" i="2"/>
  <c r="B2443" i="2"/>
  <c r="E2442" i="2"/>
  <c r="B2442" i="2"/>
  <c r="E2441" i="2"/>
  <c r="B2441" i="2"/>
  <c r="E2440" i="2"/>
  <c r="B2440" i="2"/>
  <c r="E2439" i="2"/>
  <c r="B2439" i="2"/>
  <c r="E2438" i="2"/>
  <c r="B2438" i="2"/>
  <c r="E2437" i="2"/>
  <c r="B2437" i="2"/>
  <c r="E2436" i="2"/>
  <c r="B2436" i="2"/>
  <c r="E2435" i="2"/>
  <c r="B2435" i="2"/>
  <c r="E2434" i="2"/>
  <c r="B2434" i="2"/>
  <c r="E2433" i="2"/>
  <c r="B2433" i="2"/>
  <c r="E2432" i="2"/>
  <c r="B2432" i="2"/>
  <c r="E2431" i="2"/>
  <c r="B2431" i="2"/>
  <c r="E2430" i="2"/>
  <c r="B2430" i="2"/>
  <c r="E2429" i="2"/>
  <c r="B2429" i="2"/>
  <c r="E2428" i="2"/>
  <c r="B2428" i="2"/>
  <c r="E2427" i="2"/>
  <c r="B2427" i="2"/>
  <c r="E2426" i="2"/>
  <c r="B2426" i="2"/>
  <c r="E2425" i="2"/>
  <c r="B2425" i="2"/>
  <c r="E2424" i="2"/>
  <c r="B2424" i="2"/>
  <c r="E2423" i="2"/>
  <c r="B2423" i="2"/>
  <c r="E2422" i="2"/>
  <c r="B2422" i="2"/>
  <c r="E2421" i="2"/>
  <c r="B2421" i="2"/>
  <c r="E2420" i="2"/>
  <c r="B2420" i="2"/>
  <c r="E2419" i="2"/>
  <c r="B2419" i="2"/>
  <c r="E2418" i="2"/>
  <c r="B2418" i="2"/>
  <c r="E2417" i="2"/>
  <c r="B2417" i="2"/>
  <c r="E2416" i="2"/>
  <c r="B2416" i="2"/>
  <c r="E2415" i="2"/>
  <c r="B2415" i="2"/>
  <c r="E2414" i="2"/>
  <c r="B2414" i="2"/>
  <c r="E2413" i="2"/>
  <c r="B2413" i="2"/>
  <c r="E2412" i="2"/>
  <c r="B2412" i="2"/>
  <c r="E2411" i="2"/>
  <c r="B2411" i="2"/>
  <c r="E2410" i="2"/>
  <c r="B2410" i="2"/>
  <c r="E2409" i="2"/>
  <c r="B2409" i="2"/>
  <c r="E2408" i="2"/>
  <c r="B2408" i="2"/>
  <c r="E2407" i="2"/>
  <c r="B2407" i="2"/>
  <c r="E2406" i="2"/>
  <c r="B2406" i="2"/>
  <c r="E2405" i="2"/>
  <c r="B2405" i="2"/>
  <c r="E2404" i="2"/>
  <c r="B2404" i="2"/>
  <c r="E2403" i="2"/>
  <c r="B2403" i="2"/>
  <c r="E2402" i="2"/>
  <c r="B2402" i="2"/>
  <c r="E2401" i="2"/>
  <c r="B2401" i="2"/>
  <c r="E2400" i="2"/>
  <c r="B2400" i="2"/>
  <c r="E2399" i="2"/>
  <c r="B2399" i="2"/>
  <c r="E2398" i="2"/>
  <c r="B2398" i="2"/>
  <c r="E2397" i="2"/>
  <c r="B2397" i="2"/>
  <c r="E2396" i="2"/>
  <c r="B2396" i="2"/>
  <c r="E2395" i="2"/>
  <c r="B2395" i="2"/>
  <c r="E2394" i="2"/>
  <c r="B2394" i="2"/>
  <c r="E2393" i="2"/>
  <c r="B2393" i="2"/>
  <c r="E2392" i="2"/>
  <c r="B2392" i="2"/>
  <c r="E2391" i="2"/>
  <c r="B2391" i="2"/>
  <c r="E2390" i="2"/>
  <c r="B2390" i="2"/>
  <c r="E2389" i="2"/>
  <c r="B2389" i="2"/>
  <c r="E2388" i="2"/>
  <c r="B2388" i="2"/>
  <c r="E2387" i="2"/>
  <c r="B2387" i="2"/>
  <c r="E2386" i="2"/>
  <c r="B2386" i="2"/>
  <c r="E2385" i="2"/>
  <c r="B2385" i="2"/>
  <c r="E2384" i="2"/>
  <c r="B2384" i="2"/>
  <c r="E2383" i="2"/>
  <c r="B2383" i="2"/>
  <c r="E2382" i="2"/>
  <c r="B2382" i="2"/>
  <c r="E2381" i="2"/>
  <c r="B2381" i="2"/>
  <c r="E2380" i="2"/>
  <c r="B2380" i="2"/>
  <c r="E2379" i="2"/>
  <c r="B2379" i="2"/>
  <c r="E2378" i="2"/>
  <c r="B2378" i="2"/>
  <c r="E2377" i="2"/>
  <c r="B2377" i="2"/>
  <c r="E2376" i="2"/>
  <c r="B2376" i="2"/>
  <c r="E2375" i="2"/>
  <c r="B2375" i="2"/>
  <c r="E2374" i="2"/>
  <c r="B2374" i="2"/>
  <c r="E2373" i="2"/>
  <c r="B2373" i="2"/>
  <c r="E2372" i="2"/>
  <c r="B2372" i="2"/>
  <c r="E2371" i="2"/>
  <c r="B2371" i="2"/>
  <c r="E2370" i="2"/>
  <c r="B2370" i="2"/>
  <c r="E2369" i="2"/>
  <c r="B2369" i="2"/>
  <c r="E2368" i="2"/>
  <c r="B2368" i="2"/>
  <c r="E2367" i="2"/>
  <c r="B2367" i="2"/>
  <c r="E2366" i="2"/>
  <c r="B2366" i="2"/>
  <c r="E2365" i="2"/>
  <c r="B2365" i="2"/>
  <c r="E2364" i="2"/>
  <c r="B2364" i="2"/>
  <c r="E2363" i="2"/>
  <c r="B2363" i="2"/>
  <c r="E2362" i="2"/>
  <c r="B2362" i="2"/>
  <c r="E2361" i="2"/>
  <c r="B2361" i="2"/>
  <c r="E2360" i="2"/>
  <c r="B2360" i="2"/>
  <c r="E2359" i="2"/>
  <c r="B2359" i="2"/>
  <c r="E2358" i="2"/>
  <c r="B2358" i="2"/>
  <c r="E2357" i="2"/>
  <c r="B2357" i="2"/>
  <c r="E2356" i="2"/>
  <c r="B2356" i="2"/>
  <c r="E2355" i="2"/>
  <c r="B2355" i="2"/>
  <c r="E2354" i="2"/>
  <c r="B2354" i="2"/>
  <c r="E2353" i="2"/>
  <c r="B2353" i="2"/>
  <c r="E2352" i="2"/>
  <c r="B2352" i="2"/>
  <c r="E2351" i="2"/>
  <c r="B2351" i="2"/>
  <c r="E2350" i="2"/>
  <c r="B2350" i="2"/>
  <c r="E2349" i="2"/>
  <c r="B2349" i="2"/>
  <c r="E2348" i="2"/>
  <c r="B2348" i="2"/>
  <c r="E2347" i="2"/>
  <c r="B2347" i="2"/>
  <c r="E2346" i="2"/>
  <c r="B2346" i="2"/>
  <c r="E2345" i="2"/>
  <c r="B2345" i="2"/>
  <c r="E2344" i="2"/>
  <c r="B2344" i="2"/>
  <c r="E2343" i="2"/>
  <c r="B2343" i="2"/>
  <c r="E2342" i="2"/>
  <c r="B2342" i="2"/>
  <c r="E2341" i="2"/>
  <c r="B2341" i="2"/>
  <c r="E2340" i="2"/>
  <c r="B2340" i="2"/>
  <c r="E2339" i="2"/>
  <c r="B2339" i="2"/>
  <c r="E2338" i="2"/>
  <c r="B2338" i="2"/>
  <c r="E2337" i="2"/>
  <c r="B2337" i="2"/>
  <c r="E2336" i="2"/>
  <c r="B2336" i="2"/>
  <c r="E2335" i="2"/>
  <c r="B2335" i="2"/>
  <c r="E2334" i="2"/>
  <c r="B2334" i="2"/>
  <c r="E2333" i="2"/>
  <c r="B2333" i="2"/>
  <c r="E2332" i="2"/>
  <c r="B2332" i="2"/>
  <c r="E2331" i="2"/>
  <c r="B2331" i="2"/>
  <c r="E2330" i="2"/>
  <c r="B2330" i="2"/>
  <c r="E2329" i="2"/>
  <c r="B2329" i="2"/>
  <c r="E2328" i="2"/>
  <c r="B2328" i="2"/>
  <c r="E2327" i="2"/>
  <c r="B2327" i="2"/>
  <c r="E2326" i="2"/>
  <c r="B2326" i="2"/>
  <c r="E2325" i="2"/>
  <c r="B2325" i="2"/>
  <c r="E2324" i="2"/>
  <c r="B2324" i="2"/>
  <c r="E2323" i="2"/>
  <c r="B2323" i="2"/>
  <c r="E2322" i="2"/>
  <c r="B2322" i="2"/>
  <c r="E2321" i="2"/>
  <c r="B2321" i="2"/>
  <c r="E2320" i="2"/>
  <c r="B2320" i="2"/>
  <c r="E2319" i="2"/>
  <c r="B2319" i="2"/>
  <c r="E2318" i="2"/>
  <c r="B2318" i="2"/>
  <c r="E2317" i="2"/>
  <c r="B2317" i="2"/>
  <c r="E2316" i="2"/>
  <c r="B2316" i="2"/>
  <c r="E2315" i="2"/>
  <c r="B2315" i="2"/>
  <c r="E2314" i="2"/>
  <c r="B2314" i="2"/>
  <c r="E2313" i="2"/>
  <c r="B2313" i="2"/>
  <c r="E2312" i="2"/>
  <c r="B2312" i="2"/>
  <c r="E2311" i="2"/>
  <c r="B2311" i="2"/>
  <c r="E2310" i="2"/>
  <c r="B2310" i="2"/>
  <c r="E2309" i="2"/>
  <c r="B2309" i="2"/>
  <c r="E2308" i="2"/>
  <c r="B2308" i="2"/>
  <c r="E2307" i="2"/>
  <c r="B2307" i="2"/>
  <c r="E2306" i="2"/>
  <c r="B2306" i="2"/>
  <c r="E2305" i="2"/>
  <c r="B2305" i="2"/>
  <c r="E2304" i="2"/>
  <c r="B2304" i="2"/>
  <c r="E2303" i="2"/>
  <c r="B2303" i="2"/>
  <c r="E2302" i="2"/>
  <c r="B2302" i="2"/>
  <c r="E2301" i="2"/>
  <c r="B2301" i="2"/>
  <c r="E2300" i="2"/>
  <c r="B2300" i="2"/>
  <c r="E2299" i="2"/>
  <c r="B2299" i="2"/>
  <c r="E2298" i="2"/>
  <c r="B2298" i="2"/>
  <c r="E2297" i="2"/>
  <c r="B2297" i="2"/>
  <c r="E2296" i="2"/>
  <c r="B2296" i="2"/>
  <c r="E2295" i="2"/>
  <c r="B2295" i="2"/>
  <c r="E2294" i="2"/>
  <c r="B2294" i="2"/>
  <c r="E2293" i="2"/>
  <c r="B2293" i="2"/>
  <c r="E2292" i="2"/>
  <c r="B2292" i="2"/>
  <c r="E2291" i="2"/>
  <c r="B2291" i="2"/>
  <c r="E2290" i="2"/>
  <c r="B2290" i="2"/>
  <c r="E2289" i="2"/>
  <c r="B2289" i="2"/>
  <c r="E2288" i="2"/>
  <c r="B2288" i="2"/>
  <c r="E2287" i="2"/>
  <c r="B2287" i="2"/>
  <c r="E2286" i="2"/>
  <c r="B2286" i="2"/>
  <c r="E2285" i="2"/>
  <c r="B2285" i="2"/>
  <c r="E2284" i="2"/>
  <c r="B2284" i="2"/>
  <c r="E2283" i="2"/>
  <c r="B2283" i="2"/>
  <c r="E2282" i="2"/>
  <c r="B2282" i="2"/>
  <c r="E2281" i="2"/>
  <c r="B2281" i="2"/>
  <c r="E2280" i="2"/>
  <c r="B2280" i="2"/>
  <c r="E2279" i="2"/>
  <c r="B2279" i="2"/>
  <c r="E2278" i="2"/>
  <c r="B2278" i="2"/>
  <c r="E2277" i="2"/>
  <c r="B2277" i="2"/>
  <c r="E2276" i="2"/>
  <c r="B2276" i="2"/>
  <c r="E2275" i="2"/>
  <c r="B2275" i="2"/>
  <c r="E2274" i="2"/>
  <c r="B2274" i="2"/>
  <c r="E2273" i="2"/>
  <c r="B2273" i="2"/>
  <c r="E2272" i="2"/>
  <c r="B2272" i="2"/>
  <c r="E2271" i="2"/>
  <c r="B2271" i="2"/>
  <c r="E2270" i="2"/>
  <c r="B2270" i="2"/>
  <c r="E2269" i="2"/>
  <c r="B2269" i="2"/>
  <c r="E2268" i="2"/>
  <c r="B2268" i="2"/>
  <c r="E2267" i="2"/>
  <c r="B2267" i="2"/>
  <c r="E2266" i="2"/>
  <c r="B2266" i="2"/>
  <c r="E2265" i="2"/>
  <c r="B2265" i="2"/>
  <c r="E2264" i="2"/>
  <c r="B2264" i="2"/>
  <c r="E2263" i="2"/>
  <c r="B2263" i="2"/>
  <c r="E2262" i="2"/>
  <c r="B2262" i="2"/>
  <c r="E2261" i="2"/>
  <c r="B2261" i="2"/>
  <c r="E2260" i="2"/>
  <c r="B2260" i="2"/>
  <c r="E2259" i="2"/>
  <c r="B2259" i="2"/>
  <c r="E2258" i="2"/>
  <c r="B2258" i="2"/>
  <c r="E2257" i="2"/>
  <c r="B2257" i="2"/>
  <c r="E2256" i="2"/>
  <c r="B2256" i="2"/>
  <c r="E2255" i="2"/>
  <c r="B2255" i="2"/>
  <c r="E2254" i="2"/>
  <c r="B2254" i="2"/>
  <c r="E2253" i="2"/>
  <c r="B2253" i="2"/>
  <c r="E2252" i="2"/>
  <c r="B2252" i="2"/>
  <c r="E2251" i="2"/>
  <c r="B2251" i="2"/>
  <c r="E2250" i="2"/>
  <c r="B2250" i="2"/>
  <c r="E2249" i="2"/>
  <c r="B2249" i="2"/>
  <c r="E2248" i="2"/>
  <c r="B2248" i="2"/>
  <c r="E2247" i="2"/>
  <c r="B2247" i="2"/>
  <c r="E2246" i="2"/>
  <c r="B2246" i="2"/>
  <c r="E2245" i="2"/>
  <c r="B2245" i="2"/>
  <c r="E2244" i="2"/>
  <c r="B2244" i="2"/>
  <c r="E2243" i="2"/>
  <c r="B2243" i="2"/>
  <c r="E2242" i="2"/>
  <c r="B2242" i="2"/>
  <c r="E2241" i="2"/>
  <c r="B2241" i="2"/>
  <c r="E2240" i="2"/>
  <c r="B2240" i="2"/>
  <c r="E2239" i="2"/>
  <c r="B2239" i="2"/>
  <c r="E2238" i="2"/>
  <c r="B2238" i="2"/>
  <c r="E2237" i="2"/>
  <c r="B2237" i="2"/>
  <c r="E2236" i="2"/>
  <c r="B2236" i="2"/>
  <c r="E2235" i="2"/>
  <c r="B2235" i="2"/>
  <c r="E2234" i="2"/>
  <c r="B2234" i="2"/>
  <c r="E2233" i="2"/>
  <c r="B2233" i="2"/>
  <c r="E2232" i="2"/>
  <c r="B2232" i="2"/>
  <c r="E2231" i="2"/>
  <c r="B2231" i="2"/>
  <c r="E2230" i="2"/>
  <c r="B2230" i="2"/>
  <c r="E2229" i="2"/>
  <c r="B2229" i="2"/>
  <c r="E2228" i="2"/>
  <c r="B2228" i="2"/>
  <c r="E2227" i="2"/>
  <c r="B2227" i="2"/>
  <c r="E2226" i="2"/>
  <c r="B2226" i="2"/>
  <c r="E2225" i="2"/>
  <c r="B2225" i="2"/>
  <c r="E2224" i="2"/>
  <c r="B2224" i="2"/>
  <c r="E2223" i="2"/>
  <c r="B2223" i="2"/>
  <c r="E2222" i="2"/>
  <c r="B2222" i="2"/>
  <c r="E2221" i="2"/>
  <c r="B2221" i="2"/>
  <c r="E2220" i="2"/>
  <c r="B2220" i="2"/>
  <c r="E2219" i="2"/>
  <c r="B2219" i="2"/>
  <c r="E2218" i="2"/>
  <c r="B2218" i="2"/>
  <c r="E2217" i="2"/>
  <c r="B2217" i="2"/>
  <c r="E2216" i="2"/>
  <c r="B2216" i="2"/>
  <c r="E2215" i="2"/>
  <c r="B2215" i="2"/>
  <c r="E2214" i="2"/>
  <c r="B2214" i="2"/>
  <c r="E2213" i="2"/>
  <c r="B2213" i="2"/>
  <c r="E2212" i="2"/>
  <c r="B2212" i="2"/>
  <c r="E2211" i="2"/>
  <c r="B2211" i="2"/>
  <c r="E2210" i="2"/>
  <c r="B2210" i="2"/>
  <c r="E2209" i="2"/>
  <c r="B2209" i="2"/>
  <c r="E2208" i="2"/>
  <c r="B2208" i="2"/>
  <c r="E2207" i="2"/>
  <c r="B2207" i="2"/>
  <c r="E2206" i="2"/>
  <c r="B2206" i="2"/>
  <c r="E2205" i="2"/>
  <c r="B2205" i="2"/>
  <c r="E2204" i="2"/>
  <c r="B2204" i="2"/>
  <c r="E2203" i="2"/>
  <c r="B2203" i="2"/>
  <c r="E2202" i="2"/>
  <c r="B2202" i="2"/>
  <c r="E2201" i="2"/>
  <c r="B2201" i="2"/>
  <c r="E2200" i="2"/>
  <c r="B2200" i="2"/>
  <c r="E2199" i="2"/>
  <c r="B2199" i="2"/>
  <c r="E2198" i="2"/>
  <c r="B2198" i="2"/>
  <c r="E2197" i="2"/>
  <c r="B2197" i="2"/>
  <c r="E2196" i="2"/>
  <c r="B2196" i="2"/>
  <c r="E2195" i="2"/>
  <c r="B2195" i="2"/>
  <c r="E2194" i="2"/>
  <c r="B2194" i="2"/>
  <c r="E2193" i="2"/>
  <c r="B2193" i="2"/>
  <c r="E2192" i="2"/>
  <c r="B2192" i="2"/>
  <c r="E2191" i="2"/>
  <c r="B2191" i="2"/>
  <c r="E2190" i="2"/>
  <c r="B2190" i="2"/>
  <c r="E2189" i="2"/>
  <c r="B2189" i="2"/>
  <c r="E2188" i="2"/>
  <c r="B2188" i="2"/>
  <c r="E2187" i="2"/>
  <c r="B2187" i="2"/>
  <c r="E2186" i="2"/>
  <c r="B2186" i="2"/>
  <c r="E2185" i="2"/>
  <c r="B2185" i="2"/>
  <c r="E2184" i="2"/>
  <c r="B2184" i="2"/>
  <c r="E2183" i="2"/>
  <c r="B2183" i="2"/>
  <c r="E2182" i="2"/>
  <c r="B2182" i="2"/>
  <c r="E2181" i="2"/>
  <c r="B2181" i="2"/>
  <c r="E2180" i="2"/>
  <c r="B2180" i="2"/>
  <c r="E2179" i="2"/>
  <c r="B2179" i="2"/>
  <c r="E2178" i="2"/>
  <c r="B2178" i="2"/>
  <c r="E2177" i="2"/>
  <c r="B2177" i="2"/>
  <c r="E2176" i="2"/>
  <c r="B2176" i="2"/>
  <c r="E2175" i="2"/>
  <c r="B2175" i="2"/>
  <c r="E2174" i="2"/>
  <c r="B2174" i="2"/>
  <c r="E2173" i="2"/>
  <c r="B2173" i="2"/>
  <c r="E2172" i="2"/>
  <c r="B2172" i="2"/>
  <c r="E2171" i="2"/>
  <c r="B2171" i="2"/>
  <c r="E2170" i="2"/>
  <c r="B2170" i="2"/>
  <c r="E2169" i="2"/>
  <c r="B2169" i="2"/>
  <c r="E2168" i="2"/>
  <c r="B2168" i="2"/>
  <c r="E2167" i="2"/>
  <c r="B2167" i="2"/>
  <c r="E2166" i="2"/>
  <c r="B2166" i="2"/>
  <c r="E2165" i="2"/>
  <c r="B2165" i="2"/>
  <c r="E2164" i="2"/>
  <c r="B2164" i="2"/>
  <c r="E2163" i="2"/>
  <c r="B2163" i="2"/>
  <c r="E2162" i="2"/>
  <c r="B2162" i="2"/>
  <c r="E2161" i="2"/>
  <c r="B2161" i="2"/>
  <c r="E2160" i="2"/>
  <c r="B2160" i="2"/>
  <c r="E2159" i="2"/>
  <c r="B2159" i="2"/>
  <c r="E2158" i="2"/>
  <c r="B2158" i="2"/>
  <c r="E2157" i="2"/>
  <c r="B2157" i="2"/>
  <c r="E2156" i="2"/>
  <c r="B2156" i="2"/>
  <c r="E2155" i="2"/>
  <c r="B2155" i="2"/>
  <c r="E2154" i="2"/>
  <c r="B2154" i="2"/>
  <c r="E2153" i="2"/>
  <c r="B2153" i="2"/>
  <c r="E2152" i="2"/>
  <c r="B2152" i="2"/>
  <c r="E2151" i="2"/>
  <c r="B2151" i="2"/>
  <c r="E2150" i="2"/>
  <c r="B2150" i="2"/>
  <c r="E2149" i="2"/>
  <c r="B2149" i="2"/>
  <c r="E2148" i="2"/>
  <c r="B2148" i="2"/>
  <c r="E2147" i="2"/>
  <c r="B2147" i="2"/>
  <c r="E2146" i="2"/>
  <c r="B2146" i="2"/>
  <c r="E2145" i="2"/>
  <c r="B2145" i="2"/>
  <c r="E2144" i="2"/>
  <c r="B2144" i="2"/>
  <c r="E2143" i="2"/>
  <c r="B2143" i="2"/>
  <c r="E2142" i="2"/>
  <c r="B2142" i="2"/>
  <c r="E2141" i="2"/>
  <c r="B2141" i="2"/>
  <c r="E2140" i="2"/>
  <c r="B2140" i="2"/>
  <c r="E2139" i="2"/>
  <c r="B2139" i="2"/>
  <c r="E2138" i="2"/>
  <c r="B2138" i="2"/>
  <c r="E2137" i="2"/>
  <c r="B2137" i="2"/>
  <c r="E2136" i="2"/>
  <c r="B2136" i="2"/>
  <c r="E2135" i="2"/>
  <c r="B2135" i="2"/>
  <c r="E2134" i="2"/>
  <c r="B2134" i="2"/>
  <c r="E2133" i="2"/>
  <c r="B2133" i="2"/>
  <c r="E2132" i="2"/>
  <c r="B2132" i="2"/>
  <c r="E2131" i="2"/>
  <c r="B2131" i="2"/>
  <c r="E2130" i="2"/>
  <c r="B2130" i="2"/>
  <c r="E2129" i="2"/>
  <c r="B2129" i="2"/>
  <c r="E2128" i="2"/>
  <c r="B2128" i="2"/>
  <c r="E2127" i="2"/>
  <c r="B2127" i="2"/>
  <c r="E2126" i="2"/>
  <c r="B2126" i="2"/>
  <c r="E2125" i="2"/>
  <c r="B2125" i="2"/>
  <c r="E2124" i="2"/>
  <c r="B2124" i="2"/>
  <c r="E2123" i="2"/>
  <c r="B2123" i="2"/>
  <c r="E2122" i="2"/>
  <c r="B2122" i="2"/>
  <c r="E2121" i="2"/>
  <c r="B2121" i="2"/>
  <c r="E2120" i="2"/>
  <c r="B2120" i="2"/>
  <c r="E2119" i="2"/>
  <c r="B2119" i="2"/>
  <c r="E2118" i="2"/>
  <c r="B2118" i="2"/>
  <c r="E2117" i="2"/>
  <c r="B2117" i="2"/>
  <c r="E2116" i="2"/>
  <c r="B2116" i="2"/>
  <c r="E2115" i="2"/>
  <c r="B2115" i="2"/>
  <c r="E2114" i="2"/>
  <c r="B2114" i="2"/>
  <c r="E2113" i="2"/>
  <c r="B2113" i="2"/>
  <c r="E2112" i="2"/>
  <c r="B2112" i="2"/>
  <c r="E2111" i="2"/>
  <c r="B2111" i="2"/>
  <c r="E2110" i="2"/>
  <c r="B2110" i="2"/>
  <c r="E2109" i="2"/>
  <c r="B2109" i="2"/>
  <c r="E2108" i="2"/>
  <c r="B2108" i="2"/>
  <c r="E2107" i="2"/>
  <c r="B2107" i="2"/>
  <c r="E2106" i="2"/>
  <c r="B2106" i="2"/>
  <c r="E2105" i="2"/>
  <c r="B2105" i="2"/>
  <c r="E2104" i="2"/>
  <c r="B2104" i="2"/>
  <c r="E2103" i="2"/>
  <c r="B2103" i="2"/>
  <c r="E2102" i="2"/>
  <c r="B2102" i="2"/>
  <c r="E2101" i="2"/>
  <c r="B2101" i="2"/>
  <c r="E2100" i="2"/>
  <c r="B2100" i="2"/>
  <c r="E2099" i="2"/>
  <c r="B2099" i="2"/>
  <c r="E2098" i="2"/>
  <c r="B2098" i="2"/>
  <c r="E2097" i="2"/>
  <c r="B2097" i="2"/>
  <c r="E2096" i="2"/>
  <c r="B2096" i="2"/>
  <c r="E2095" i="2"/>
  <c r="B2095" i="2"/>
  <c r="E2094" i="2"/>
  <c r="B2094" i="2"/>
  <c r="E2093" i="2"/>
  <c r="B2093" i="2"/>
  <c r="E2092" i="2"/>
  <c r="B2092" i="2"/>
  <c r="E2091" i="2"/>
  <c r="B2091" i="2"/>
  <c r="E2090" i="2"/>
  <c r="B2090" i="2"/>
  <c r="E2089" i="2"/>
  <c r="B2089" i="2"/>
  <c r="E2088" i="2"/>
  <c r="B2088" i="2"/>
  <c r="E2087" i="2"/>
  <c r="B2087" i="2"/>
  <c r="E2086" i="2"/>
  <c r="B2086" i="2"/>
  <c r="E2085" i="2"/>
  <c r="B2085" i="2"/>
  <c r="E2084" i="2"/>
  <c r="B2084" i="2"/>
  <c r="E2083" i="2"/>
  <c r="B2083" i="2"/>
  <c r="E2082" i="2"/>
  <c r="B2082" i="2"/>
  <c r="E2081" i="2"/>
  <c r="B2081" i="2"/>
  <c r="E2080" i="2"/>
  <c r="B2080" i="2"/>
  <c r="E2079" i="2"/>
  <c r="B2079" i="2"/>
  <c r="E2078" i="2"/>
  <c r="B2078" i="2"/>
  <c r="E2077" i="2"/>
  <c r="B2077" i="2"/>
  <c r="E2076" i="2"/>
  <c r="B2076" i="2"/>
  <c r="E2075" i="2"/>
  <c r="B2075" i="2"/>
  <c r="E2074" i="2"/>
  <c r="B2074" i="2"/>
  <c r="E2073" i="2"/>
  <c r="B2073" i="2"/>
  <c r="E2072" i="2"/>
  <c r="B2072" i="2"/>
  <c r="E2071" i="2"/>
  <c r="B2071" i="2"/>
  <c r="E2070" i="2"/>
  <c r="B2070" i="2"/>
  <c r="E2069" i="2"/>
  <c r="B2069" i="2"/>
  <c r="E2068" i="2"/>
  <c r="B2068" i="2"/>
  <c r="E2067" i="2"/>
  <c r="B2067" i="2"/>
  <c r="E2066" i="2"/>
  <c r="B2066" i="2"/>
  <c r="E2065" i="2"/>
  <c r="B2065" i="2"/>
  <c r="E2064" i="2"/>
  <c r="B2064" i="2"/>
  <c r="E2063" i="2"/>
  <c r="B2063" i="2"/>
  <c r="E2062" i="2"/>
  <c r="B2062" i="2"/>
  <c r="E2061" i="2"/>
  <c r="B2061" i="2"/>
  <c r="E2060" i="2"/>
  <c r="B2060" i="2"/>
  <c r="E2059" i="2"/>
  <c r="B2059" i="2"/>
  <c r="E2058" i="2"/>
  <c r="B2058" i="2"/>
  <c r="E2057" i="2"/>
  <c r="B2057" i="2"/>
  <c r="E2056" i="2"/>
  <c r="B2056" i="2"/>
  <c r="E2055" i="2"/>
  <c r="B2055" i="2"/>
  <c r="E2054" i="2"/>
  <c r="B2054" i="2"/>
  <c r="E2053" i="2"/>
  <c r="B2053" i="2"/>
  <c r="E2052" i="2"/>
  <c r="B2052" i="2"/>
  <c r="E2051" i="2"/>
  <c r="B2051" i="2"/>
  <c r="E2050" i="2"/>
  <c r="B2050" i="2"/>
  <c r="E2049" i="2"/>
  <c r="B2049" i="2"/>
  <c r="E2048" i="2"/>
  <c r="B2048" i="2"/>
  <c r="E2047" i="2"/>
  <c r="B2047" i="2"/>
  <c r="E2046" i="2"/>
  <c r="B2046" i="2"/>
  <c r="E2045" i="2"/>
  <c r="B2045" i="2"/>
  <c r="E2044" i="2"/>
  <c r="B2044" i="2"/>
  <c r="E2043" i="2"/>
  <c r="B2043" i="2"/>
  <c r="E2042" i="2"/>
  <c r="B2042" i="2"/>
  <c r="E2041" i="2"/>
  <c r="B2041" i="2"/>
  <c r="E2040" i="2"/>
  <c r="B2040" i="2"/>
  <c r="E2039" i="2"/>
  <c r="B2039" i="2"/>
  <c r="E2038" i="2"/>
  <c r="B2038" i="2"/>
  <c r="E2037" i="2"/>
  <c r="B2037" i="2"/>
  <c r="E2036" i="2"/>
  <c r="B2036" i="2"/>
  <c r="E2035" i="2"/>
  <c r="B2035" i="2"/>
  <c r="E2034" i="2"/>
  <c r="B2034" i="2"/>
  <c r="E2033" i="2"/>
  <c r="B2033" i="2"/>
  <c r="E2032" i="2"/>
  <c r="B2032" i="2"/>
  <c r="E2031" i="2"/>
  <c r="B2031" i="2"/>
  <c r="E2030" i="2"/>
  <c r="B2030" i="2"/>
  <c r="E2029" i="2"/>
  <c r="B2029" i="2"/>
  <c r="E2028" i="2"/>
  <c r="B2028" i="2"/>
  <c r="E2027" i="2"/>
  <c r="B2027" i="2"/>
  <c r="E2026" i="2"/>
  <c r="B2026" i="2"/>
  <c r="E2025" i="2"/>
  <c r="B2025" i="2"/>
  <c r="E2024" i="2"/>
  <c r="B2024" i="2"/>
  <c r="E2023" i="2"/>
  <c r="B2023" i="2"/>
  <c r="E2022" i="2"/>
  <c r="B2022" i="2"/>
  <c r="E2021" i="2"/>
  <c r="B2021" i="2"/>
  <c r="E2020" i="2"/>
  <c r="B2020" i="2"/>
  <c r="E2019" i="2"/>
  <c r="B2019" i="2"/>
  <c r="E2018" i="2"/>
  <c r="B2018" i="2"/>
  <c r="E2017" i="2"/>
  <c r="B2017" i="2"/>
  <c r="E2016" i="2"/>
  <c r="B2016" i="2"/>
  <c r="E2015" i="2"/>
  <c r="B2015" i="2"/>
  <c r="E2014" i="2"/>
  <c r="B2014" i="2"/>
  <c r="E2013" i="2"/>
  <c r="B2013" i="2"/>
  <c r="E2012" i="2"/>
  <c r="B2012" i="2"/>
  <c r="E2011" i="2"/>
  <c r="B2011" i="2"/>
  <c r="E2010" i="2"/>
  <c r="B2010" i="2"/>
  <c r="E2009" i="2"/>
  <c r="B2009" i="2"/>
  <c r="E2008" i="2"/>
  <c r="B2008" i="2"/>
  <c r="E2007" i="2"/>
  <c r="B2007" i="2"/>
  <c r="E2006" i="2"/>
  <c r="B2006" i="2"/>
  <c r="E2005" i="2"/>
  <c r="B2005" i="2"/>
  <c r="E2004" i="2"/>
  <c r="B2004" i="2"/>
  <c r="E2003" i="2"/>
  <c r="B2003" i="2"/>
  <c r="E2002" i="2"/>
  <c r="B2002" i="2"/>
  <c r="E2001" i="2"/>
  <c r="B2001" i="2"/>
  <c r="E2000" i="2"/>
  <c r="B2000" i="2"/>
  <c r="E1999" i="2"/>
  <c r="B1999" i="2"/>
  <c r="E1998" i="2"/>
  <c r="B1998" i="2"/>
  <c r="E1997" i="2"/>
  <c r="B1997" i="2"/>
  <c r="E1996" i="2"/>
  <c r="B1996" i="2"/>
  <c r="E1995" i="2"/>
  <c r="B1995" i="2"/>
  <c r="E1994" i="2"/>
  <c r="B1994" i="2"/>
  <c r="E1993" i="2"/>
  <c r="B1993" i="2"/>
  <c r="E1992" i="2"/>
  <c r="B1992" i="2"/>
  <c r="E1991" i="2"/>
  <c r="B1991" i="2"/>
  <c r="E1990" i="2"/>
  <c r="B1990" i="2"/>
  <c r="E1989" i="2"/>
  <c r="B1989" i="2"/>
  <c r="E1988" i="2"/>
  <c r="B1988" i="2"/>
  <c r="E1987" i="2"/>
  <c r="B1987" i="2"/>
  <c r="E1986" i="2"/>
  <c r="B1986" i="2"/>
  <c r="E1985" i="2"/>
  <c r="B1985" i="2"/>
  <c r="E1984" i="2"/>
  <c r="B1984" i="2"/>
  <c r="E1983" i="2"/>
  <c r="B1983" i="2"/>
  <c r="E1982" i="2"/>
  <c r="B1982" i="2"/>
  <c r="E1981" i="2"/>
  <c r="B1981" i="2"/>
  <c r="E1980" i="2"/>
  <c r="B1980" i="2"/>
  <c r="E1979" i="2"/>
  <c r="B1979" i="2"/>
  <c r="E1978" i="2"/>
  <c r="B1978" i="2"/>
  <c r="E1977" i="2"/>
  <c r="B1977" i="2"/>
  <c r="E1976" i="2"/>
  <c r="B1976" i="2"/>
  <c r="E1975" i="2"/>
  <c r="B1975" i="2"/>
  <c r="E1974" i="2"/>
  <c r="B1974" i="2"/>
  <c r="E1973" i="2"/>
  <c r="B1973" i="2"/>
  <c r="E1972" i="2"/>
  <c r="B1972" i="2"/>
  <c r="E1971" i="2"/>
  <c r="B1971" i="2"/>
  <c r="E1970" i="2"/>
  <c r="B1970" i="2"/>
  <c r="E1969" i="2"/>
  <c r="B1969" i="2"/>
  <c r="E1968" i="2"/>
  <c r="B1968" i="2"/>
  <c r="E1967" i="2"/>
  <c r="B1967" i="2"/>
  <c r="E1966" i="2"/>
  <c r="B1966" i="2"/>
  <c r="E1965" i="2"/>
  <c r="B1965" i="2"/>
  <c r="E1964" i="2"/>
  <c r="B1964" i="2"/>
  <c r="E1963" i="2"/>
  <c r="B1963" i="2"/>
  <c r="E1962" i="2"/>
  <c r="B1962" i="2"/>
  <c r="E1961" i="2"/>
  <c r="B1961" i="2"/>
  <c r="E1960" i="2"/>
  <c r="B1960" i="2"/>
  <c r="E1959" i="2"/>
  <c r="B1959" i="2"/>
  <c r="E1958" i="2"/>
  <c r="B1958" i="2"/>
  <c r="E1957" i="2"/>
  <c r="B1957" i="2"/>
  <c r="E1956" i="2"/>
  <c r="B1956" i="2"/>
  <c r="E1955" i="2"/>
  <c r="B1955" i="2"/>
  <c r="E1954" i="2"/>
  <c r="B1954" i="2"/>
  <c r="E1953" i="2"/>
  <c r="B1953" i="2"/>
  <c r="E1952" i="2"/>
  <c r="B1952" i="2"/>
  <c r="E1951" i="2"/>
  <c r="B1951" i="2"/>
  <c r="E1950" i="2"/>
  <c r="B1950" i="2"/>
  <c r="E1949" i="2"/>
  <c r="B1949" i="2"/>
  <c r="E1948" i="2"/>
  <c r="B1948" i="2"/>
  <c r="E1947" i="2"/>
  <c r="B1947" i="2"/>
  <c r="E1946" i="2"/>
  <c r="B1946" i="2"/>
  <c r="E1945" i="2"/>
  <c r="B1945" i="2"/>
  <c r="E1944" i="2"/>
  <c r="B1944" i="2"/>
  <c r="E1943" i="2"/>
  <c r="B1943" i="2"/>
  <c r="E1942" i="2"/>
  <c r="B1942" i="2"/>
  <c r="E1941" i="2"/>
  <c r="B1941" i="2"/>
  <c r="E1940" i="2"/>
  <c r="B1940" i="2"/>
  <c r="E1939" i="2"/>
  <c r="B1939" i="2"/>
  <c r="E1938" i="2"/>
  <c r="B1938" i="2"/>
  <c r="E1937" i="2"/>
  <c r="B1937" i="2"/>
  <c r="E1936" i="2"/>
  <c r="B1936" i="2"/>
  <c r="E1935" i="2"/>
  <c r="B1935" i="2"/>
  <c r="E1934" i="2"/>
  <c r="B1934" i="2"/>
  <c r="E1933" i="2"/>
  <c r="B1933" i="2"/>
  <c r="E1932" i="2"/>
  <c r="B1932" i="2"/>
  <c r="E1931" i="2"/>
  <c r="B1931" i="2"/>
  <c r="E1930" i="2"/>
  <c r="B1930" i="2"/>
  <c r="E1929" i="2"/>
  <c r="B1929" i="2"/>
  <c r="E1928" i="2"/>
  <c r="B1928" i="2"/>
  <c r="E1927" i="2"/>
  <c r="B1927" i="2"/>
  <c r="E1926" i="2"/>
  <c r="B1926" i="2"/>
  <c r="E1925" i="2"/>
  <c r="B1925" i="2"/>
  <c r="E1924" i="2"/>
  <c r="B1924" i="2"/>
  <c r="E1923" i="2"/>
  <c r="B1923" i="2"/>
  <c r="E1922" i="2"/>
  <c r="B1922" i="2"/>
  <c r="E1921" i="2"/>
  <c r="B1921" i="2"/>
  <c r="E1920" i="2"/>
  <c r="B1920" i="2"/>
  <c r="E1919" i="2"/>
  <c r="B1919" i="2"/>
  <c r="E1918" i="2"/>
  <c r="B1918" i="2"/>
  <c r="E1917" i="2"/>
  <c r="B1917" i="2"/>
  <c r="E1916" i="2"/>
  <c r="B1916" i="2"/>
  <c r="E1915" i="2"/>
  <c r="B1915" i="2"/>
  <c r="E1914" i="2"/>
  <c r="B1914" i="2"/>
  <c r="E1913" i="2"/>
  <c r="B1913" i="2"/>
  <c r="E1912" i="2"/>
  <c r="B1912" i="2"/>
  <c r="E1911" i="2"/>
  <c r="B1911" i="2"/>
  <c r="E1910" i="2"/>
  <c r="B1910" i="2"/>
  <c r="E1909" i="2"/>
  <c r="B1909" i="2"/>
  <c r="E1908" i="2"/>
  <c r="B1908" i="2"/>
  <c r="E1907" i="2"/>
  <c r="B1907" i="2"/>
  <c r="E1906" i="2"/>
  <c r="B1906" i="2"/>
  <c r="E1905" i="2"/>
  <c r="B1905" i="2"/>
  <c r="E1904" i="2"/>
  <c r="B1904" i="2"/>
  <c r="E1903" i="2"/>
  <c r="B1903" i="2"/>
  <c r="E1902" i="2"/>
  <c r="B1902" i="2"/>
  <c r="E1901" i="2"/>
  <c r="B1901" i="2"/>
  <c r="E1900" i="2"/>
  <c r="B1900" i="2"/>
  <c r="E1899" i="2"/>
  <c r="B1899" i="2"/>
  <c r="E1898" i="2"/>
  <c r="B1898" i="2"/>
  <c r="E1897" i="2"/>
  <c r="B1897" i="2"/>
  <c r="E1896" i="2"/>
  <c r="B1896" i="2"/>
  <c r="E1895" i="2"/>
  <c r="B1895" i="2"/>
  <c r="E1894" i="2"/>
  <c r="B1894" i="2"/>
  <c r="E1893" i="2"/>
  <c r="B1893" i="2"/>
  <c r="E1892" i="2"/>
  <c r="B1892" i="2"/>
  <c r="E1891" i="2"/>
  <c r="B1891" i="2"/>
  <c r="E1890" i="2"/>
  <c r="B1890" i="2"/>
  <c r="E1889" i="2"/>
  <c r="B1889" i="2"/>
  <c r="E1888" i="2"/>
  <c r="B1888" i="2"/>
  <c r="E1887" i="2"/>
  <c r="B1887" i="2"/>
  <c r="E1886" i="2"/>
  <c r="B1886" i="2"/>
  <c r="E1885" i="2"/>
  <c r="B1885" i="2"/>
  <c r="E1884" i="2"/>
  <c r="B1884" i="2"/>
  <c r="E1883" i="2"/>
  <c r="B1883" i="2"/>
  <c r="E1882" i="2"/>
  <c r="B1882" i="2"/>
  <c r="E1881" i="2"/>
  <c r="B1881" i="2"/>
  <c r="E1880" i="2"/>
  <c r="B1880" i="2"/>
  <c r="E1879" i="2"/>
  <c r="B1879" i="2"/>
  <c r="E1878" i="2"/>
  <c r="B1878" i="2"/>
  <c r="E1877" i="2"/>
  <c r="B1877" i="2"/>
  <c r="E1876" i="2"/>
  <c r="B1876" i="2"/>
  <c r="E1875" i="2"/>
  <c r="B1875" i="2"/>
  <c r="E1874" i="2"/>
  <c r="B1874" i="2"/>
  <c r="E1873" i="2"/>
  <c r="B1873" i="2"/>
  <c r="E1872" i="2"/>
  <c r="B1872" i="2"/>
  <c r="E1871" i="2"/>
  <c r="B1871" i="2"/>
  <c r="E1870" i="2"/>
  <c r="B1870" i="2"/>
  <c r="E1869" i="2"/>
  <c r="B1869" i="2"/>
  <c r="E1868" i="2"/>
  <c r="B1868" i="2"/>
  <c r="E1867" i="2"/>
  <c r="B1867" i="2"/>
  <c r="E1866" i="2"/>
  <c r="B1866" i="2"/>
  <c r="E1865" i="2"/>
  <c r="B1865" i="2"/>
  <c r="E1864" i="2"/>
  <c r="B1864" i="2"/>
  <c r="E1863" i="2"/>
  <c r="B1863" i="2"/>
  <c r="E1862" i="2"/>
  <c r="B1862" i="2"/>
  <c r="E1861" i="2"/>
  <c r="B1861" i="2"/>
  <c r="E1860" i="2"/>
  <c r="B1860" i="2"/>
  <c r="E1859" i="2"/>
  <c r="B1859" i="2"/>
  <c r="E1858" i="2"/>
  <c r="B1858" i="2"/>
  <c r="E1857" i="2"/>
  <c r="B1857" i="2"/>
  <c r="E1856" i="2"/>
  <c r="B1856" i="2"/>
  <c r="E1855" i="2"/>
  <c r="B1855" i="2"/>
  <c r="E1854" i="2"/>
  <c r="B1854" i="2"/>
  <c r="E1853" i="2"/>
  <c r="B1853" i="2"/>
  <c r="E1852" i="2"/>
  <c r="B1852" i="2"/>
  <c r="E1851" i="2"/>
  <c r="B1851" i="2"/>
  <c r="E1850" i="2"/>
  <c r="B1850" i="2"/>
  <c r="E1849" i="2"/>
  <c r="B1849" i="2"/>
  <c r="E1848" i="2"/>
  <c r="B1848" i="2"/>
  <c r="E1847" i="2"/>
  <c r="B1847" i="2"/>
  <c r="E1846" i="2"/>
  <c r="B1846" i="2"/>
  <c r="E1845" i="2"/>
  <c r="B1845" i="2"/>
  <c r="E1844" i="2"/>
  <c r="B1844" i="2"/>
  <c r="E1843" i="2"/>
  <c r="B1843" i="2"/>
  <c r="E1842" i="2"/>
  <c r="B1842" i="2"/>
  <c r="E1841" i="2"/>
  <c r="B1841" i="2"/>
  <c r="E1840" i="2"/>
  <c r="B1840" i="2"/>
  <c r="E1839" i="2"/>
  <c r="B1839" i="2"/>
  <c r="E1838" i="2"/>
  <c r="B1838" i="2"/>
  <c r="E1837" i="2"/>
  <c r="B1837" i="2"/>
  <c r="E1836" i="2"/>
  <c r="B1836" i="2"/>
  <c r="E1835" i="2"/>
  <c r="B1835" i="2"/>
  <c r="E1834" i="2"/>
  <c r="B1834" i="2"/>
  <c r="E1833" i="2"/>
  <c r="B1833" i="2"/>
  <c r="E1832" i="2"/>
  <c r="B1832" i="2"/>
  <c r="E1831" i="2"/>
  <c r="B1831" i="2"/>
  <c r="E1830" i="2"/>
  <c r="B1830" i="2"/>
  <c r="E1829" i="2"/>
  <c r="B1829" i="2"/>
  <c r="E1828" i="2"/>
  <c r="B1828" i="2"/>
  <c r="E1827" i="2"/>
  <c r="B1827" i="2"/>
  <c r="E1826" i="2"/>
  <c r="B1826" i="2"/>
  <c r="E1825" i="2"/>
  <c r="B1825" i="2"/>
  <c r="E1824" i="2"/>
  <c r="B1824" i="2"/>
  <c r="E1823" i="2"/>
  <c r="B1823" i="2"/>
  <c r="E1822" i="2"/>
  <c r="B1822" i="2"/>
  <c r="E1821" i="2"/>
  <c r="B1821" i="2"/>
  <c r="E1820" i="2"/>
  <c r="B1820" i="2"/>
  <c r="E1819" i="2"/>
  <c r="B1819" i="2"/>
  <c r="E1818" i="2"/>
  <c r="B1818" i="2"/>
  <c r="E1817" i="2"/>
  <c r="B1817" i="2"/>
  <c r="E1816" i="2"/>
  <c r="B1816" i="2"/>
  <c r="E1815" i="2"/>
  <c r="B1815" i="2"/>
  <c r="E1814" i="2"/>
  <c r="B1814" i="2"/>
  <c r="E1813" i="2"/>
  <c r="B1813" i="2"/>
  <c r="E1812" i="2"/>
  <c r="B1812" i="2"/>
  <c r="E1811" i="2"/>
  <c r="B1811" i="2"/>
  <c r="E1810" i="2"/>
  <c r="B1810" i="2"/>
  <c r="E1809" i="2"/>
  <c r="B1809" i="2"/>
  <c r="E1808" i="2"/>
  <c r="B1808" i="2"/>
  <c r="E1807" i="2"/>
  <c r="B1807" i="2"/>
  <c r="E1806" i="2"/>
  <c r="B1806" i="2"/>
  <c r="E1805" i="2"/>
  <c r="B1805" i="2"/>
  <c r="E1804" i="2"/>
  <c r="B1804" i="2"/>
  <c r="E1803" i="2"/>
  <c r="B1803" i="2"/>
  <c r="E1802" i="2"/>
  <c r="B1802" i="2"/>
  <c r="E1801" i="2"/>
  <c r="B1801" i="2"/>
  <c r="E1800" i="2"/>
  <c r="B1800" i="2"/>
  <c r="E1799" i="2"/>
  <c r="B1799" i="2"/>
  <c r="E1798" i="2"/>
  <c r="B1798" i="2"/>
  <c r="E1797" i="2"/>
  <c r="B1797" i="2"/>
  <c r="E1796" i="2"/>
  <c r="B1796" i="2"/>
  <c r="E1795" i="2"/>
  <c r="B1795" i="2"/>
  <c r="E1794" i="2"/>
  <c r="B1794" i="2"/>
  <c r="E1793" i="2"/>
  <c r="B1793" i="2"/>
  <c r="E1792" i="2"/>
  <c r="B1792" i="2"/>
  <c r="E1791" i="2"/>
  <c r="B1791" i="2"/>
  <c r="E1790" i="2"/>
  <c r="B1790" i="2"/>
  <c r="E1789" i="2"/>
  <c r="B1789" i="2"/>
  <c r="E1788" i="2"/>
  <c r="B1788" i="2"/>
  <c r="E1787" i="2"/>
  <c r="B1787" i="2"/>
  <c r="E1786" i="2"/>
  <c r="B1786" i="2"/>
  <c r="E1785" i="2"/>
  <c r="B1785" i="2"/>
  <c r="E1784" i="2"/>
  <c r="B1784" i="2"/>
  <c r="E1783" i="2"/>
  <c r="B1783" i="2"/>
  <c r="E1782" i="2"/>
  <c r="B1782" i="2"/>
  <c r="E1781" i="2"/>
  <c r="B1781" i="2"/>
  <c r="E1780" i="2"/>
  <c r="B1780" i="2"/>
  <c r="E1779" i="2"/>
  <c r="B1779" i="2"/>
  <c r="E1778" i="2"/>
  <c r="B1778" i="2"/>
  <c r="E1777" i="2"/>
  <c r="B1777" i="2"/>
  <c r="E1776" i="2"/>
  <c r="B1776" i="2"/>
  <c r="E1775" i="2"/>
  <c r="B1775" i="2"/>
  <c r="E1774" i="2"/>
  <c r="B1774" i="2"/>
  <c r="E1773" i="2"/>
  <c r="B1773" i="2"/>
  <c r="E1772" i="2"/>
  <c r="B1772" i="2"/>
  <c r="E1771" i="2"/>
  <c r="B1771" i="2"/>
  <c r="E1770" i="2"/>
  <c r="B1770" i="2"/>
  <c r="E1769" i="2"/>
  <c r="B1769" i="2"/>
  <c r="E1768" i="2"/>
  <c r="B1768" i="2"/>
  <c r="E1767" i="2"/>
  <c r="B1767" i="2"/>
  <c r="E1766" i="2"/>
  <c r="B1766" i="2"/>
  <c r="E1765" i="2"/>
  <c r="B1765" i="2"/>
  <c r="E1764" i="2"/>
  <c r="B1764" i="2"/>
  <c r="E1763" i="2"/>
  <c r="B1763" i="2"/>
  <c r="E1762" i="2"/>
  <c r="B1762" i="2"/>
  <c r="E1761" i="2"/>
  <c r="B1761" i="2"/>
  <c r="E1760" i="2"/>
  <c r="B1760" i="2"/>
  <c r="E1759" i="2"/>
  <c r="B1759" i="2"/>
  <c r="E1758" i="2"/>
  <c r="B1758" i="2"/>
  <c r="E1757" i="2"/>
  <c r="B1757" i="2"/>
  <c r="E1756" i="2"/>
  <c r="B1756" i="2"/>
  <c r="E1755" i="2"/>
  <c r="B1755" i="2"/>
  <c r="E1754" i="2"/>
  <c r="B1754" i="2"/>
  <c r="E1753" i="2"/>
  <c r="B1753" i="2"/>
  <c r="E1752" i="2"/>
  <c r="B1752" i="2"/>
  <c r="E1751" i="2"/>
  <c r="B1751" i="2"/>
  <c r="E1750" i="2"/>
  <c r="B1750" i="2"/>
  <c r="E1749" i="2"/>
  <c r="B1749" i="2"/>
  <c r="E1748" i="2"/>
  <c r="B1748" i="2"/>
  <c r="E1747" i="2"/>
  <c r="B1747" i="2"/>
  <c r="E1746" i="2"/>
  <c r="B1746" i="2"/>
  <c r="E1745" i="2"/>
  <c r="B1745" i="2"/>
  <c r="E1744" i="2"/>
  <c r="B1744" i="2"/>
  <c r="E1743" i="2"/>
  <c r="B1743" i="2"/>
  <c r="E1742" i="2"/>
  <c r="B1742" i="2"/>
  <c r="E1741" i="2"/>
  <c r="B1741" i="2"/>
  <c r="E1740" i="2"/>
  <c r="B1740" i="2"/>
  <c r="E1739" i="2"/>
  <c r="B1739" i="2"/>
  <c r="E1738" i="2"/>
  <c r="B1738" i="2"/>
  <c r="E1737" i="2"/>
  <c r="B1737" i="2"/>
  <c r="E1736" i="2"/>
  <c r="B1736" i="2"/>
  <c r="E1735" i="2"/>
  <c r="B1735" i="2"/>
  <c r="E1734" i="2"/>
  <c r="B1734" i="2"/>
  <c r="E1733" i="2"/>
  <c r="B1733" i="2"/>
  <c r="E1732" i="2"/>
  <c r="B1732" i="2"/>
  <c r="E1731" i="2"/>
  <c r="B1731" i="2"/>
  <c r="E1730" i="2"/>
  <c r="B1730" i="2"/>
  <c r="E1729" i="2"/>
  <c r="B1729" i="2"/>
  <c r="E1728" i="2"/>
  <c r="B1728" i="2"/>
  <c r="E1727" i="2"/>
  <c r="B1727" i="2"/>
  <c r="E1726" i="2"/>
  <c r="B1726" i="2"/>
  <c r="E1725" i="2"/>
  <c r="B1725" i="2"/>
  <c r="E1724" i="2"/>
  <c r="B1724" i="2"/>
  <c r="E1723" i="2"/>
  <c r="B1723" i="2"/>
  <c r="E1722" i="2"/>
  <c r="B1722" i="2"/>
  <c r="E1721" i="2"/>
  <c r="B1721" i="2"/>
  <c r="E1720" i="2"/>
  <c r="B1720" i="2"/>
  <c r="E1719" i="2"/>
  <c r="B1719" i="2"/>
  <c r="E1718" i="2"/>
  <c r="B1718" i="2"/>
  <c r="E1717" i="2"/>
  <c r="B1717" i="2"/>
  <c r="E1716" i="2"/>
  <c r="B1716" i="2"/>
  <c r="E1715" i="2"/>
  <c r="B1715" i="2"/>
  <c r="E1714" i="2"/>
  <c r="B1714" i="2"/>
  <c r="E1713" i="2"/>
  <c r="B1713" i="2"/>
  <c r="E1712" i="2"/>
  <c r="B1712" i="2"/>
  <c r="E1711" i="2"/>
  <c r="B1711" i="2"/>
  <c r="E1710" i="2"/>
  <c r="B1710" i="2"/>
  <c r="E1709" i="2"/>
  <c r="B1709" i="2"/>
  <c r="E1708" i="2"/>
  <c r="B1708" i="2"/>
  <c r="E1707" i="2"/>
  <c r="B1707" i="2"/>
  <c r="E1706" i="2"/>
  <c r="B1706" i="2"/>
  <c r="E1705" i="2"/>
  <c r="B1705" i="2"/>
  <c r="E1704" i="2"/>
  <c r="B1704" i="2"/>
  <c r="E1703" i="2"/>
  <c r="B1703" i="2"/>
  <c r="E1702" i="2"/>
  <c r="B1702" i="2"/>
  <c r="E1701" i="2"/>
  <c r="B1701" i="2"/>
  <c r="E1700" i="2"/>
  <c r="B1700" i="2"/>
  <c r="E1699" i="2"/>
  <c r="B1699" i="2"/>
  <c r="E1698" i="2"/>
  <c r="B1698" i="2"/>
  <c r="E1697" i="2"/>
  <c r="B1697" i="2"/>
  <c r="E1696" i="2"/>
  <c r="B1696" i="2"/>
  <c r="E1695" i="2"/>
  <c r="B1695" i="2"/>
  <c r="E1694" i="2"/>
  <c r="B1694" i="2"/>
  <c r="E1693" i="2"/>
  <c r="B1693" i="2"/>
  <c r="E1692" i="2"/>
  <c r="B1692" i="2"/>
  <c r="E1691" i="2"/>
  <c r="B1691" i="2"/>
  <c r="E1690" i="2"/>
  <c r="B1690" i="2"/>
  <c r="E1689" i="2"/>
  <c r="B1689" i="2"/>
  <c r="E1688" i="2"/>
  <c r="B1688" i="2"/>
  <c r="E1687" i="2"/>
  <c r="B1687" i="2"/>
  <c r="E1686" i="2"/>
  <c r="B1686" i="2"/>
  <c r="E1685" i="2"/>
  <c r="B1685" i="2"/>
  <c r="E1684" i="2"/>
  <c r="B1684" i="2"/>
  <c r="E1683" i="2"/>
  <c r="B1683" i="2"/>
  <c r="E1682" i="2"/>
  <c r="B1682" i="2"/>
  <c r="E1681" i="2"/>
  <c r="B1681" i="2"/>
  <c r="E1680" i="2"/>
  <c r="B1680" i="2"/>
  <c r="E1679" i="2"/>
  <c r="B1679" i="2"/>
  <c r="E1678" i="2"/>
  <c r="B1678" i="2"/>
  <c r="E1677" i="2"/>
  <c r="B1677" i="2"/>
  <c r="E1676" i="2"/>
  <c r="B1676" i="2"/>
  <c r="E1675" i="2"/>
  <c r="B1675" i="2"/>
  <c r="E1674" i="2"/>
  <c r="B1674" i="2"/>
  <c r="E1673" i="2"/>
  <c r="B1673" i="2"/>
  <c r="E1672" i="2"/>
  <c r="B1672" i="2"/>
  <c r="E1671" i="2"/>
  <c r="B1671" i="2"/>
  <c r="E1670" i="2"/>
  <c r="B1670" i="2"/>
  <c r="E1669" i="2"/>
  <c r="B1669" i="2"/>
  <c r="E1668" i="2"/>
  <c r="B1668" i="2"/>
  <c r="E1667" i="2"/>
  <c r="B1667" i="2"/>
  <c r="E1666" i="2"/>
  <c r="B1666" i="2"/>
  <c r="E1665" i="2"/>
  <c r="B1665" i="2"/>
  <c r="E1664" i="2"/>
  <c r="B1664" i="2"/>
  <c r="E1663" i="2"/>
  <c r="B1663" i="2"/>
  <c r="E1662" i="2"/>
  <c r="B1662" i="2"/>
  <c r="E1661" i="2"/>
  <c r="B1661" i="2"/>
  <c r="E1660" i="2"/>
  <c r="B1660" i="2"/>
  <c r="E1659" i="2"/>
  <c r="B1659" i="2"/>
  <c r="E1658" i="2"/>
  <c r="B1658" i="2"/>
  <c r="E1657" i="2"/>
  <c r="B1657" i="2"/>
  <c r="E1656" i="2"/>
  <c r="B1656" i="2"/>
  <c r="E1655" i="2"/>
  <c r="B1655" i="2"/>
  <c r="E1654" i="2"/>
  <c r="B1654" i="2"/>
  <c r="E1653" i="2"/>
  <c r="B1653" i="2"/>
  <c r="E1652" i="2"/>
  <c r="B1652" i="2"/>
  <c r="E1651" i="2"/>
  <c r="B1651" i="2"/>
  <c r="E1650" i="2"/>
  <c r="B1650" i="2"/>
  <c r="E1649" i="2"/>
  <c r="B1649" i="2"/>
  <c r="E1648" i="2"/>
  <c r="B1648" i="2"/>
  <c r="E1647" i="2"/>
  <c r="B1647" i="2"/>
  <c r="E1646" i="2"/>
  <c r="B1646" i="2"/>
  <c r="E1645" i="2"/>
  <c r="B1645" i="2"/>
  <c r="E1644" i="2"/>
  <c r="B1644" i="2"/>
  <c r="E1643" i="2"/>
  <c r="B1643" i="2"/>
  <c r="E1642" i="2"/>
  <c r="B1642" i="2"/>
  <c r="E1641" i="2"/>
  <c r="B1641" i="2"/>
  <c r="E1640" i="2"/>
  <c r="B1640" i="2"/>
  <c r="E1639" i="2"/>
  <c r="B1639" i="2"/>
  <c r="E1638" i="2"/>
  <c r="B1638" i="2"/>
  <c r="E1637" i="2"/>
  <c r="B1637" i="2"/>
  <c r="E1636" i="2"/>
  <c r="B1636" i="2"/>
  <c r="E1635" i="2"/>
  <c r="B1635" i="2"/>
  <c r="E1634" i="2"/>
  <c r="B1634" i="2"/>
  <c r="E1633" i="2"/>
  <c r="B1633" i="2"/>
  <c r="E1632" i="2"/>
  <c r="B1632" i="2"/>
  <c r="E1631" i="2"/>
  <c r="B1631" i="2"/>
  <c r="E1630" i="2"/>
  <c r="B1630" i="2"/>
  <c r="E1629" i="2"/>
  <c r="B1629" i="2"/>
  <c r="E1628" i="2"/>
  <c r="B1628" i="2"/>
  <c r="E1627" i="2"/>
  <c r="B1627" i="2"/>
  <c r="E1626" i="2"/>
  <c r="B1626" i="2"/>
  <c r="E1625" i="2"/>
  <c r="B1625" i="2"/>
  <c r="E1624" i="2"/>
  <c r="B1624" i="2"/>
  <c r="E1623" i="2"/>
  <c r="B1623" i="2"/>
  <c r="E1622" i="2"/>
  <c r="B1622" i="2"/>
  <c r="E1621" i="2"/>
  <c r="B1621" i="2"/>
  <c r="E1620" i="2"/>
  <c r="B1620" i="2"/>
  <c r="E1619" i="2"/>
  <c r="B1619" i="2"/>
  <c r="E1618" i="2"/>
  <c r="B1618" i="2"/>
  <c r="E1617" i="2"/>
  <c r="B1617" i="2"/>
  <c r="E1616" i="2"/>
  <c r="B1616" i="2"/>
  <c r="E1615" i="2"/>
  <c r="B1615" i="2"/>
  <c r="E1614" i="2"/>
  <c r="B1614" i="2"/>
  <c r="E1613" i="2"/>
  <c r="B1613" i="2"/>
  <c r="E1612" i="2"/>
  <c r="B1612" i="2"/>
  <c r="E1611" i="2"/>
  <c r="B1611" i="2"/>
  <c r="E1610" i="2"/>
  <c r="B1610" i="2"/>
  <c r="E1609" i="2"/>
  <c r="B1609" i="2"/>
  <c r="E1608" i="2"/>
  <c r="B1608" i="2"/>
  <c r="E1607" i="2"/>
  <c r="B1607" i="2"/>
  <c r="E1606" i="2"/>
  <c r="B1606" i="2"/>
  <c r="E1605" i="2"/>
  <c r="B1605" i="2"/>
  <c r="E1604" i="2"/>
  <c r="B1604" i="2"/>
  <c r="E1603" i="2"/>
  <c r="B1603" i="2"/>
  <c r="E1602" i="2"/>
  <c r="B1602" i="2"/>
  <c r="E1601" i="2"/>
  <c r="B1601" i="2"/>
  <c r="E1600" i="2"/>
  <c r="B1600" i="2"/>
  <c r="E1599" i="2"/>
  <c r="B1599" i="2"/>
  <c r="E1598" i="2"/>
  <c r="B1598" i="2"/>
  <c r="E1597" i="2"/>
  <c r="B1597" i="2"/>
  <c r="E1596" i="2"/>
  <c r="B1596" i="2"/>
  <c r="E1595" i="2"/>
  <c r="B1595" i="2"/>
  <c r="E1594" i="2"/>
  <c r="B1594" i="2"/>
  <c r="E1593" i="2"/>
  <c r="B1593" i="2"/>
  <c r="E1592" i="2"/>
  <c r="B1592" i="2"/>
  <c r="E1591" i="2"/>
  <c r="B1591" i="2"/>
  <c r="E1590" i="2"/>
  <c r="B1590" i="2"/>
  <c r="E1589" i="2"/>
  <c r="B1589" i="2"/>
  <c r="E1588" i="2"/>
  <c r="B1588" i="2"/>
  <c r="E1587" i="2"/>
  <c r="B1587" i="2"/>
  <c r="E1586" i="2"/>
  <c r="B1586" i="2"/>
  <c r="E1585" i="2"/>
  <c r="B1585" i="2"/>
  <c r="E1584" i="2"/>
  <c r="B1584" i="2"/>
  <c r="E1583" i="2"/>
  <c r="B1583" i="2"/>
  <c r="E1582" i="2"/>
  <c r="B1582" i="2"/>
  <c r="E1581" i="2"/>
  <c r="B1581" i="2"/>
  <c r="E1580" i="2"/>
  <c r="B1580" i="2"/>
  <c r="E1579" i="2"/>
  <c r="B1579" i="2"/>
  <c r="E1578" i="2"/>
  <c r="B1578" i="2"/>
  <c r="E1577" i="2"/>
  <c r="B1577" i="2"/>
  <c r="E1576" i="2"/>
  <c r="B1576" i="2"/>
  <c r="E1575" i="2"/>
  <c r="B1575" i="2"/>
  <c r="E1574" i="2"/>
  <c r="B1574" i="2"/>
  <c r="E1573" i="2"/>
  <c r="B1573" i="2"/>
  <c r="E1572" i="2"/>
  <c r="B1572" i="2"/>
  <c r="E1571" i="2"/>
  <c r="B1571" i="2"/>
  <c r="E1570" i="2"/>
  <c r="B1570" i="2"/>
  <c r="E1569" i="2"/>
  <c r="B1569" i="2"/>
  <c r="E1568" i="2"/>
  <c r="B1568" i="2"/>
  <c r="E1567" i="2"/>
  <c r="B1567" i="2"/>
  <c r="E1566" i="2"/>
  <c r="B1566" i="2"/>
  <c r="E1565" i="2"/>
  <c r="B1565" i="2"/>
  <c r="E1564" i="2"/>
  <c r="B1564" i="2"/>
  <c r="E1563" i="2"/>
  <c r="B1563" i="2"/>
  <c r="E1562" i="2"/>
  <c r="B1562" i="2"/>
  <c r="E1561" i="2"/>
  <c r="B1561" i="2"/>
  <c r="E1560" i="2"/>
  <c r="B1560" i="2"/>
  <c r="E1559" i="2"/>
  <c r="B1559" i="2"/>
  <c r="E1558" i="2"/>
  <c r="B1558" i="2"/>
  <c r="E1557" i="2"/>
  <c r="B1557" i="2"/>
  <c r="E1556" i="2"/>
  <c r="B1556" i="2"/>
  <c r="E1555" i="2"/>
  <c r="B1555" i="2"/>
  <c r="E1554" i="2"/>
  <c r="B1554" i="2"/>
  <c r="E1553" i="2"/>
  <c r="B1553" i="2"/>
  <c r="E1552" i="2"/>
  <c r="B1552" i="2"/>
  <c r="E1551" i="2"/>
  <c r="B1551" i="2"/>
  <c r="E1550" i="2"/>
  <c r="B1550" i="2"/>
  <c r="E1549" i="2"/>
  <c r="B1549" i="2"/>
  <c r="E1548" i="2"/>
  <c r="B1548" i="2"/>
  <c r="E1547" i="2"/>
  <c r="B1547" i="2"/>
  <c r="E1546" i="2"/>
  <c r="B1546" i="2"/>
  <c r="E1545" i="2"/>
  <c r="B1545" i="2"/>
  <c r="E1544" i="2"/>
  <c r="B1544" i="2"/>
  <c r="E1543" i="2"/>
  <c r="B1543" i="2"/>
  <c r="E1542" i="2"/>
  <c r="B1542" i="2"/>
  <c r="E1541" i="2"/>
  <c r="B1541" i="2"/>
  <c r="E1540" i="2"/>
  <c r="B1540" i="2"/>
  <c r="E1539" i="2"/>
  <c r="B1539" i="2"/>
  <c r="E1538" i="2"/>
  <c r="B1538" i="2"/>
  <c r="E1537" i="2"/>
  <c r="B1537" i="2"/>
  <c r="E1536" i="2"/>
  <c r="B1536" i="2"/>
  <c r="E1535" i="2"/>
  <c r="B1535" i="2"/>
  <c r="E1534" i="2"/>
  <c r="B1534" i="2"/>
  <c r="E1533" i="2"/>
  <c r="B1533" i="2"/>
  <c r="E1532" i="2"/>
  <c r="B1532" i="2"/>
  <c r="E1531" i="2"/>
  <c r="B1531" i="2"/>
  <c r="E1530" i="2"/>
  <c r="B1530" i="2"/>
  <c r="E1529" i="2"/>
  <c r="B1529" i="2"/>
  <c r="E1528" i="2"/>
  <c r="B1528" i="2"/>
  <c r="E1527" i="2"/>
  <c r="B1527" i="2"/>
  <c r="E1526" i="2"/>
  <c r="B1526" i="2"/>
  <c r="E1525" i="2"/>
  <c r="B1525" i="2"/>
  <c r="E1524" i="2"/>
  <c r="B1524" i="2"/>
  <c r="E1523" i="2"/>
  <c r="B1523" i="2"/>
  <c r="E1522" i="2"/>
  <c r="B1522" i="2"/>
  <c r="E1521" i="2"/>
  <c r="B1521" i="2"/>
  <c r="E1520" i="2"/>
  <c r="B1520" i="2"/>
  <c r="E1519" i="2"/>
  <c r="B1519" i="2"/>
  <c r="E1518" i="2"/>
  <c r="B1518" i="2"/>
  <c r="E1517" i="2"/>
  <c r="B1517" i="2"/>
  <c r="E1516" i="2"/>
  <c r="B1516" i="2"/>
  <c r="E1515" i="2"/>
  <c r="B1515" i="2"/>
  <c r="E1514" i="2"/>
  <c r="B1514" i="2"/>
  <c r="E1513" i="2"/>
  <c r="B1513" i="2"/>
  <c r="E1512" i="2"/>
  <c r="B1512" i="2"/>
  <c r="E1511" i="2"/>
  <c r="B1511" i="2"/>
  <c r="E1510" i="2"/>
  <c r="B1510" i="2"/>
  <c r="E1509" i="2"/>
  <c r="B1509" i="2"/>
  <c r="E1508" i="2"/>
  <c r="B1508" i="2"/>
  <c r="E1507" i="2"/>
  <c r="B1507" i="2"/>
  <c r="E1506" i="2"/>
  <c r="B1506" i="2"/>
  <c r="E1505" i="2"/>
  <c r="B1505" i="2"/>
  <c r="E1504" i="2"/>
  <c r="B1504" i="2"/>
  <c r="E1503" i="2"/>
  <c r="B1503" i="2"/>
  <c r="E1502" i="2"/>
  <c r="B1502" i="2"/>
  <c r="E1501" i="2"/>
  <c r="B1501" i="2"/>
  <c r="E1500" i="2"/>
  <c r="B1500" i="2"/>
  <c r="E1499" i="2"/>
  <c r="B1499" i="2"/>
  <c r="E1498" i="2"/>
  <c r="B1498" i="2"/>
  <c r="E1497" i="2"/>
  <c r="B1497" i="2"/>
  <c r="E1496" i="2"/>
  <c r="B1496" i="2"/>
  <c r="E1495" i="2"/>
  <c r="B1495" i="2"/>
  <c r="E1494" i="2"/>
  <c r="B1494" i="2"/>
  <c r="E1493" i="2"/>
  <c r="B1493" i="2"/>
  <c r="E1492" i="2"/>
  <c r="B1492" i="2"/>
  <c r="E1491" i="2"/>
  <c r="B1491" i="2"/>
  <c r="E1490" i="2"/>
  <c r="B1490" i="2"/>
  <c r="E1489" i="2"/>
  <c r="B1489" i="2"/>
  <c r="E1488" i="2"/>
  <c r="B1488" i="2"/>
  <c r="E1487" i="2"/>
  <c r="B1487" i="2"/>
  <c r="E1486" i="2"/>
  <c r="B1486" i="2"/>
  <c r="E1485" i="2"/>
  <c r="B1485" i="2"/>
  <c r="E1484" i="2"/>
  <c r="B1484" i="2"/>
  <c r="E1483" i="2"/>
  <c r="B1483" i="2"/>
  <c r="E1482" i="2"/>
  <c r="B1482" i="2"/>
  <c r="E1481" i="2"/>
  <c r="B1481" i="2"/>
  <c r="E1480" i="2"/>
  <c r="B1480" i="2"/>
  <c r="E1479" i="2"/>
  <c r="B1479" i="2"/>
  <c r="E1478" i="2"/>
  <c r="B1478" i="2"/>
  <c r="E1477" i="2"/>
  <c r="B1477" i="2"/>
  <c r="E1476" i="2"/>
  <c r="B1476" i="2"/>
  <c r="E1475" i="2"/>
  <c r="B1475" i="2"/>
  <c r="E1474" i="2"/>
  <c r="B1474" i="2"/>
  <c r="E1473" i="2"/>
  <c r="B1473" i="2"/>
  <c r="E1472" i="2"/>
  <c r="B1472" i="2"/>
  <c r="E1471" i="2"/>
  <c r="B1471" i="2"/>
  <c r="E1470" i="2"/>
  <c r="B1470" i="2"/>
  <c r="E1469" i="2"/>
  <c r="B1469" i="2"/>
  <c r="E1468" i="2"/>
  <c r="B1468" i="2"/>
  <c r="E1467" i="2"/>
  <c r="B1467" i="2"/>
  <c r="E1466" i="2"/>
  <c r="B1466" i="2"/>
  <c r="E1465" i="2"/>
  <c r="B1465" i="2"/>
  <c r="E1464" i="2"/>
  <c r="B1464" i="2"/>
  <c r="E1463" i="2"/>
  <c r="B1463" i="2"/>
  <c r="E1462" i="2"/>
  <c r="B1462" i="2"/>
  <c r="E1461" i="2"/>
  <c r="B1461" i="2"/>
  <c r="E1460" i="2"/>
  <c r="B1460" i="2"/>
  <c r="E1459" i="2"/>
  <c r="B1459" i="2"/>
  <c r="E1458" i="2"/>
  <c r="B1458" i="2"/>
  <c r="E1457" i="2"/>
  <c r="B1457" i="2"/>
  <c r="E1456" i="2"/>
  <c r="B1456" i="2"/>
  <c r="E1455" i="2"/>
  <c r="B1455" i="2"/>
  <c r="E1454" i="2"/>
  <c r="B1454" i="2"/>
  <c r="E1453" i="2"/>
  <c r="B1453" i="2"/>
  <c r="E1452" i="2"/>
  <c r="B1452" i="2"/>
  <c r="E1451" i="2"/>
  <c r="B1451" i="2"/>
  <c r="E1450" i="2"/>
  <c r="B1450" i="2"/>
  <c r="E1449" i="2"/>
  <c r="B1449" i="2"/>
  <c r="E1448" i="2"/>
  <c r="B1448" i="2"/>
  <c r="E1447" i="2"/>
  <c r="B1447" i="2"/>
  <c r="E1446" i="2"/>
  <c r="B1446" i="2"/>
  <c r="E1445" i="2"/>
  <c r="B1445" i="2"/>
  <c r="E1444" i="2"/>
  <c r="B1444" i="2"/>
  <c r="E1443" i="2"/>
  <c r="B1443" i="2"/>
  <c r="E1442" i="2"/>
  <c r="B1442" i="2"/>
  <c r="E1441" i="2"/>
  <c r="B1441" i="2"/>
  <c r="E1440" i="2"/>
  <c r="B1440" i="2"/>
  <c r="E1439" i="2"/>
  <c r="B1439" i="2"/>
  <c r="E1438" i="2"/>
  <c r="B1438" i="2"/>
  <c r="E1437" i="2"/>
  <c r="B1437" i="2"/>
  <c r="E1436" i="2"/>
  <c r="B1436" i="2"/>
  <c r="E1435" i="2"/>
  <c r="B1435" i="2"/>
  <c r="E1434" i="2"/>
  <c r="B1434" i="2"/>
  <c r="E1433" i="2"/>
  <c r="B1433" i="2"/>
  <c r="E1432" i="2"/>
  <c r="B1432" i="2"/>
  <c r="E1431" i="2"/>
  <c r="B1431" i="2"/>
  <c r="E1430" i="2"/>
  <c r="B1430" i="2"/>
  <c r="E1429" i="2"/>
  <c r="B1429" i="2"/>
  <c r="E1428" i="2"/>
  <c r="B1428" i="2"/>
  <c r="E1427" i="2"/>
  <c r="B1427" i="2"/>
  <c r="E1426" i="2"/>
  <c r="B1426" i="2"/>
  <c r="E1425" i="2"/>
  <c r="B1425" i="2"/>
  <c r="E1424" i="2"/>
  <c r="B1424" i="2"/>
  <c r="E1423" i="2"/>
  <c r="B1423" i="2"/>
  <c r="E1422" i="2"/>
  <c r="B1422" i="2"/>
  <c r="E1421" i="2"/>
  <c r="B1421" i="2"/>
  <c r="E1420" i="2"/>
  <c r="B1420" i="2"/>
  <c r="E1419" i="2"/>
  <c r="B1419" i="2"/>
  <c r="E1418" i="2"/>
  <c r="B1418" i="2"/>
  <c r="E1417" i="2"/>
  <c r="B1417" i="2"/>
  <c r="E1416" i="2"/>
  <c r="B1416" i="2"/>
  <c r="E1415" i="2"/>
  <c r="B1415" i="2"/>
  <c r="E1414" i="2"/>
  <c r="B1414" i="2"/>
  <c r="E1413" i="2"/>
  <c r="B1413" i="2"/>
  <c r="E1412" i="2"/>
  <c r="B1412" i="2"/>
  <c r="E1411" i="2"/>
  <c r="B1411" i="2"/>
  <c r="E1410" i="2"/>
  <c r="B1410" i="2"/>
  <c r="E1409" i="2"/>
  <c r="B1409" i="2"/>
  <c r="E1408" i="2"/>
  <c r="B1408" i="2"/>
  <c r="E1407" i="2"/>
  <c r="B1407" i="2"/>
  <c r="E1406" i="2"/>
  <c r="B1406" i="2"/>
  <c r="E1405" i="2"/>
  <c r="B1405" i="2"/>
  <c r="E1404" i="2"/>
  <c r="B1404" i="2"/>
  <c r="E1403" i="2"/>
  <c r="B1403" i="2"/>
  <c r="E1402" i="2"/>
  <c r="B1402" i="2"/>
  <c r="E1401" i="2"/>
  <c r="B1401" i="2"/>
  <c r="E1400" i="2"/>
  <c r="B1400" i="2"/>
  <c r="E1399" i="2"/>
  <c r="B1399" i="2"/>
  <c r="E1398" i="2"/>
  <c r="B1398" i="2"/>
  <c r="E1397" i="2"/>
  <c r="B1397" i="2"/>
  <c r="E1396" i="2"/>
  <c r="B1396" i="2"/>
  <c r="E1395" i="2"/>
  <c r="B1395" i="2"/>
  <c r="E1394" i="2"/>
  <c r="B1394" i="2"/>
  <c r="E1393" i="2"/>
  <c r="B1393" i="2"/>
  <c r="E1392" i="2"/>
  <c r="B1392" i="2"/>
  <c r="E1391" i="2"/>
  <c r="B1391" i="2"/>
  <c r="E1390" i="2"/>
  <c r="B1390" i="2"/>
  <c r="E1389" i="2"/>
  <c r="B1389" i="2"/>
  <c r="E1388" i="2"/>
  <c r="B1388" i="2"/>
  <c r="E1387" i="2"/>
  <c r="B1387" i="2"/>
  <c r="E1386" i="2"/>
  <c r="B1386" i="2"/>
  <c r="E1385" i="2"/>
  <c r="B1385" i="2"/>
  <c r="E1384" i="2"/>
  <c r="B1384" i="2"/>
  <c r="E1383" i="2"/>
  <c r="B1383" i="2"/>
  <c r="E1382" i="2"/>
  <c r="B1382" i="2"/>
  <c r="E1381" i="2"/>
  <c r="B1381" i="2"/>
  <c r="E1380" i="2"/>
  <c r="B1380" i="2"/>
  <c r="E1379" i="2"/>
  <c r="B1379" i="2"/>
  <c r="E1378" i="2"/>
  <c r="B1378" i="2"/>
  <c r="E1377" i="2"/>
  <c r="B1377" i="2"/>
  <c r="E1376" i="2"/>
  <c r="B1376" i="2"/>
  <c r="E1375" i="2"/>
  <c r="B1375" i="2"/>
  <c r="E1374" i="2"/>
  <c r="B1374" i="2"/>
  <c r="E1373" i="2"/>
  <c r="B1373" i="2"/>
  <c r="E1372" i="2"/>
  <c r="B1372" i="2"/>
  <c r="E1371" i="2"/>
  <c r="B1371" i="2"/>
  <c r="E1370" i="2"/>
  <c r="B1370" i="2"/>
  <c r="E1369" i="2"/>
  <c r="B1369" i="2"/>
  <c r="E1368" i="2"/>
  <c r="B1368" i="2"/>
  <c r="E1367" i="2"/>
  <c r="B1367" i="2"/>
  <c r="E1366" i="2"/>
  <c r="B1366" i="2"/>
  <c r="E1365" i="2"/>
  <c r="B1365" i="2"/>
  <c r="E1364" i="2"/>
  <c r="B1364" i="2"/>
  <c r="E1363" i="2"/>
  <c r="B1363" i="2"/>
  <c r="E1362" i="2"/>
  <c r="B1362" i="2"/>
  <c r="E1361" i="2"/>
  <c r="B1361" i="2"/>
  <c r="E1360" i="2"/>
  <c r="B1360" i="2"/>
  <c r="E1359" i="2"/>
  <c r="B1359" i="2"/>
  <c r="E1358" i="2"/>
  <c r="B1358" i="2"/>
  <c r="E1357" i="2"/>
  <c r="B1357" i="2"/>
  <c r="E1356" i="2"/>
  <c r="B1356" i="2"/>
  <c r="E1355" i="2"/>
  <c r="B1355" i="2"/>
  <c r="E1354" i="2"/>
  <c r="B1354" i="2"/>
  <c r="E1353" i="2"/>
  <c r="B1353" i="2"/>
  <c r="E1352" i="2"/>
  <c r="B1352" i="2"/>
  <c r="E1351" i="2"/>
  <c r="B1351" i="2"/>
  <c r="E1350" i="2"/>
  <c r="B1350" i="2"/>
  <c r="E1349" i="2"/>
  <c r="B1349" i="2"/>
  <c r="E1348" i="2"/>
  <c r="B1348" i="2"/>
  <c r="E1347" i="2"/>
  <c r="B1347" i="2"/>
  <c r="E1346" i="2"/>
  <c r="B1346" i="2"/>
  <c r="E1345" i="2"/>
  <c r="B1345" i="2"/>
  <c r="E1344" i="2"/>
  <c r="B1344" i="2"/>
  <c r="E1343" i="2"/>
  <c r="B1343" i="2"/>
  <c r="E1342" i="2"/>
  <c r="B1342" i="2"/>
  <c r="E1341" i="2"/>
  <c r="B1341" i="2"/>
  <c r="E1340" i="2"/>
  <c r="B1340" i="2"/>
  <c r="E1339" i="2"/>
  <c r="B1339" i="2"/>
  <c r="E1338" i="2"/>
  <c r="B1338" i="2"/>
  <c r="E1337" i="2"/>
  <c r="B1337" i="2"/>
  <c r="E1336" i="2"/>
  <c r="B1336" i="2"/>
  <c r="E1335" i="2"/>
  <c r="B1335" i="2"/>
  <c r="E1334" i="2"/>
  <c r="B1334" i="2"/>
  <c r="E1333" i="2"/>
  <c r="B1333" i="2"/>
  <c r="E1332" i="2"/>
  <c r="B1332" i="2"/>
  <c r="E1331" i="2"/>
  <c r="B1331" i="2"/>
  <c r="E1330" i="2"/>
  <c r="B1330" i="2"/>
  <c r="E1329" i="2"/>
  <c r="B1329" i="2"/>
  <c r="E1328" i="2"/>
  <c r="B1328" i="2"/>
  <c r="E1327" i="2"/>
  <c r="B1327" i="2"/>
  <c r="E1326" i="2"/>
  <c r="B1326" i="2"/>
  <c r="E1325" i="2"/>
  <c r="B1325" i="2"/>
  <c r="E1324" i="2"/>
  <c r="B1324" i="2"/>
  <c r="E1323" i="2"/>
  <c r="B1323" i="2"/>
  <c r="E1322" i="2"/>
  <c r="B1322" i="2"/>
  <c r="E1321" i="2"/>
  <c r="B1321" i="2"/>
  <c r="E1320" i="2"/>
  <c r="B1320" i="2"/>
  <c r="E1319" i="2"/>
  <c r="B1319" i="2"/>
  <c r="E1318" i="2"/>
  <c r="B1318" i="2"/>
  <c r="E1317" i="2"/>
  <c r="B1317" i="2"/>
  <c r="E1316" i="2"/>
  <c r="B1316" i="2"/>
  <c r="E1315" i="2"/>
  <c r="B1315" i="2"/>
  <c r="E1314" i="2"/>
  <c r="B1314" i="2"/>
  <c r="E1313" i="2"/>
  <c r="B1313" i="2"/>
  <c r="E1312" i="2"/>
  <c r="B1312" i="2"/>
  <c r="E1311" i="2"/>
  <c r="B1311" i="2"/>
  <c r="E1310" i="2"/>
  <c r="B1310" i="2"/>
  <c r="E1309" i="2"/>
  <c r="B1309" i="2"/>
  <c r="E1308" i="2"/>
  <c r="B1308" i="2"/>
  <c r="E1307" i="2"/>
  <c r="B1307" i="2"/>
  <c r="E1306" i="2"/>
  <c r="B1306" i="2"/>
  <c r="E1305" i="2"/>
  <c r="B1305" i="2"/>
  <c r="E1304" i="2"/>
  <c r="B1304" i="2"/>
  <c r="E1303" i="2"/>
  <c r="B1303" i="2"/>
  <c r="E1302" i="2"/>
  <c r="B1302" i="2"/>
  <c r="E1301" i="2"/>
  <c r="B1301" i="2"/>
  <c r="E1300" i="2"/>
  <c r="B1300" i="2"/>
  <c r="E1299" i="2"/>
  <c r="B1299" i="2"/>
  <c r="E1298" i="2"/>
  <c r="B1298" i="2"/>
  <c r="E1297" i="2"/>
  <c r="B1297" i="2"/>
  <c r="E1296" i="2"/>
  <c r="B1296" i="2"/>
  <c r="E1295" i="2"/>
  <c r="B1295" i="2"/>
  <c r="E1294" i="2"/>
  <c r="B1294" i="2"/>
  <c r="E1293" i="2"/>
  <c r="B1293" i="2"/>
  <c r="E1292" i="2"/>
  <c r="B1292" i="2"/>
  <c r="E1291" i="2"/>
  <c r="B1291" i="2"/>
  <c r="E1290" i="2"/>
  <c r="B1290" i="2"/>
  <c r="E1289" i="2"/>
  <c r="B1289" i="2"/>
  <c r="E1288" i="2"/>
  <c r="B1288" i="2"/>
  <c r="E1287" i="2"/>
  <c r="B1287" i="2"/>
  <c r="E1286" i="2"/>
  <c r="B1286" i="2"/>
  <c r="E1285" i="2"/>
  <c r="B1285" i="2"/>
  <c r="E1284" i="2"/>
  <c r="B1284" i="2"/>
  <c r="E1283" i="2"/>
  <c r="B1283" i="2"/>
  <c r="E1282" i="2"/>
  <c r="B1282" i="2"/>
  <c r="E1281" i="2"/>
  <c r="B1281" i="2"/>
  <c r="E1280" i="2"/>
  <c r="B1280" i="2"/>
  <c r="E1279" i="2"/>
  <c r="B1279" i="2"/>
  <c r="E1278" i="2"/>
  <c r="B1278" i="2"/>
  <c r="E1277" i="2"/>
  <c r="B1277" i="2"/>
  <c r="E1276" i="2"/>
  <c r="B1276" i="2"/>
  <c r="E1275" i="2"/>
  <c r="B1275" i="2"/>
  <c r="E1274" i="2"/>
  <c r="B1274" i="2"/>
  <c r="E1273" i="2"/>
  <c r="B1273" i="2"/>
  <c r="E1272" i="2"/>
  <c r="B1272" i="2"/>
  <c r="E1271" i="2"/>
  <c r="B1271" i="2"/>
  <c r="E1270" i="2"/>
  <c r="B1270" i="2"/>
  <c r="E1269" i="2"/>
  <c r="B1269" i="2"/>
  <c r="E1268" i="2"/>
  <c r="B1268" i="2"/>
  <c r="E1267" i="2"/>
  <c r="B1267" i="2"/>
  <c r="E1266" i="2"/>
  <c r="B1266" i="2"/>
  <c r="E1265" i="2"/>
  <c r="B1265" i="2"/>
  <c r="E1264" i="2"/>
  <c r="B1264" i="2"/>
  <c r="E1263" i="2"/>
  <c r="B1263" i="2"/>
  <c r="E1262" i="2"/>
  <c r="B1262" i="2"/>
  <c r="E1261" i="2"/>
  <c r="B1261" i="2"/>
  <c r="E1260" i="2"/>
  <c r="B1260" i="2"/>
  <c r="E1259" i="2"/>
  <c r="B1259" i="2"/>
  <c r="E1258" i="2"/>
  <c r="B1258" i="2"/>
  <c r="E1257" i="2"/>
  <c r="B1257" i="2"/>
  <c r="E1256" i="2"/>
  <c r="B1256" i="2"/>
  <c r="E1255" i="2"/>
  <c r="B1255" i="2"/>
  <c r="E1254" i="2"/>
  <c r="B1254" i="2"/>
  <c r="E1253" i="2"/>
  <c r="B1253" i="2"/>
  <c r="E1252" i="2"/>
  <c r="B1252" i="2"/>
  <c r="E1251" i="2"/>
  <c r="B1251" i="2"/>
  <c r="E1250" i="2"/>
  <c r="B1250" i="2"/>
  <c r="E1249" i="2"/>
  <c r="B1249" i="2"/>
  <c r="E1248" i="2"/>
  <c r="B1248" i="2"/>
  <c r="E1247" i="2"/>
  <c r="B1247" i="2"/>
  <c r="E1246" i="2"/>
  <c r="B1246" i="2"/>
  <c r="E1245" i="2"/>
  <c r="B1245" i="2"/>
  <c r="E1244" i="2"/>
  <c r="B1244" i="2"/>
  <c r="E1243" i="2"/>
  <c r="B1243" i="2"/>
  <c r="E1242" i="2"/>
  <c r="B1242" i="2"/>
  <c r="E1241" i="2"/>
  <c r="B1241" i="2"/>
  <c r="E1240" i="2"/>
  <c r="B1240" i="2"/>
  <c r="E1239" i="2"/>
  <c r="B1239" i="2"/>
  <c r="E1238" i="2"/>
  <c r="B1238" i="2"/>
  <c r="E1237" i="2"/>
  <c r="B1237" i="2"/>
  <c r="E1236" i="2"/>
  <c r="B1236" i="2"/>
  <c r="E1235" i="2"/>
  <c r="B1235" i="2"/>
  <c r="E1234" i="2"/>
  <c r="B1234" i="2"/>
  <c r="E1233" i="2"/>
  <c r="B1233" i="2"/>
  <c r="E1232" i="2"/>
  <c r="B1232" i="2"/>
  <c r="E1231" i="2"/>
  <c r="B1231" i="2"/>
  <c r="E1230" i="2"/>
  <c r="B1230" i="2"/>
  <c r="E1229" i="2"/>
  <c r="B1229" i="2"/>
  <c r="E1228" i="2"/>
  <c r="B1228" i="2"/>
  <c r="E1227" i="2"/>
  <c r="B1227" i="2"/>
  <c r="E1226" i="2"/>
  <c r="B1226" i="2"/>
  <c r="E1225" i="2"/>
  <c r="B1225" i="2"/>
  <c r="E1224" i="2"/>
  <c r="B1224" i="2"/>
  <c r="E1223" i="2"/>
  <c r="B1223" i="2"/>
  <c r="E1222" i="2"/>
  <c r="B1222" i="2"/>
  <c r="E1221" i="2"/>
  <c r="B1221" i="2"/>
  <c r="E1220" i="2"/>
  <c r="B1220" i="2"/>
  <c r="E1219" i="2"/>
  <c r="B1219" i="2"/>
  <c r="E1218" i="2"/>
  <c r="B1218" i="2"/>
  <c r="E1217" i="2"/>
  <c r="B1217" i="2"/>
  <c r="E1216" i="2"/>
  <c r="B1216" i="2"/>
  <c r="E1215" i="2"/>
  <c r="B1215" i="2"/>
  <c r="E1214" i="2"/>
  <c r="B1214" i="2"/>
  <c r="E1213" i="2"/>
  <c r="B1213" i="2"/>
  <c r="E1212" i="2"/>
  <c r="B1212" i="2"/>
  <c r="E1211" i="2"/>
  <c r="B1211" i="2"/>
  <c r="E1210" i="2"/>
  <c r="B1210" i="2"/>
  <c r="E1209" i="2"/>
  <c r="B1209" i="2"/>
  <c r="E1208" i="2"/>
  <c r="B1208" i="2"/>
  <c r="E1207" i="2"/>
  <c r="B1207" i="2"/>
  <c r="E1206" i="2"/>
  <c r="B1206" i="2"/>
  <c r="E1205" i="2"/>
  <c r="B1205" i="2"/>
  <c r="E1204" i="2"/>
  <c r="B1204" i="2"/>
  <c r="E1203" i="2"/>
  <c r="B1203" i="2"/>
  <c r="E1202" i="2"/>
  <c r="B1202" i="2"/>
  <c r="E1201" i="2"/>
  <c r="B1201" i="2"/>
  <c r="E1200" i="2"/>
  <c r="B1200" i="2"/>
  <c r="E1199" i="2"/>
  <c r="B1199" i="2"/>
  <c r="E1198" i="2"/>
  <c r="B1198" i="2"/>
  <c r="E1197" i="2"/>
  <c r="B1197" i="2"/>
  <c r="E1196" i="2"/>
  <c r="B1196" i="2"/>
  <c r="E1195" i="2"/>
  <c r="B1195" i="2"/>
  <c r="E1194" i="2"/>
  <c r="B1194" i="2"/>
  <c r="E1193" i="2"/>
  <c r="B1193" i="2"/>
  <c r="E1192" i="2"/>
  <c r="B1192" i="2"/>
  <c r="E1191" i="2"/>
  <c r="B1191" i="2"/>
  <c r="E1190" i="2"/>
  <c r="B1190" i="2"/>
  <c r="E1189" i="2"/>
  <c r="B1189" i="2"/>
  <c r="E1188" i="2"/>
  <c r="B1188" i="2"/>
  <c r="E1187" i="2"/>
  <c r="B1187" i="2"/>
  <c r="E1186" i="2"/>
  <c r="B1186" i="2"/>
  <c r="E1185" i="2"/>
  <c r="B1185" i="2"/>
  <c r="E1184" i="2"/>
  <c r="B1184" i="2"/>
  <c r="E1183" i="2"/>
  <c r="B1183" i="2"/>
  <c r="E1182" i="2"/>
  <c r="B1182" i="2"/>
  <c r="E1181" i="2"/>
  <c r="B1181" i="2"/>
  <c r="E1180" i="2"/>
  <c r="B1180" i="2"/>
  <c r="E1179" i="2"/>
  <c r="B1179" i="2"/>
  <c r="E1178" i="2"/>
  <c r="B1178" i="2"/>
  <c r="E1177" i="2"/>
  <c r="B1177" i="2"/>
  <c r="E1176" i="2"/>
  <c r="B1176" i="2"/>
  <c r="E1175" i="2"/>
  <c r="B1175" i="2"/>
  <c r="E1174" i="2"/>
  <c r="B1174" i="2"/>
  <c r="E1173" i="2"/>
  <c r="B1173" i="2"/>
  <c r="E1172" i="2"/>
  <c r="B1172" i="2"/>
  <c r="E1171" i="2"/>
  <c r="B1171" i="2"/>
  <c r="E1170" i="2"/>
  <c r="B1170" i="2"/>
  <c r="E1169" i="2"/>
  <c r="B1169" i="2"/>
  <c r="E1168" i="2"/>
  <c r="B1168" i="2"/>
  <c r="E1167" i="2"/>
  <c r="B1167" i="2"/>
  <c r="E1166" i="2"/>
  <c r="B1166" i="2"/>
  <c r="E1165" i="2"/>
  <c r="B1165" i="2"/>
  <c r="E1164" i="2"/>
  <c r="B1164" i="2"/>
  <c r="E1163" i="2"/>
  <c r="B1163" i="2"/>
  <c r="E1162" i="2"/>
  <c r="B1162" i="2"/>
  <c r="E1161" i="2"/>
  <c r="B1161" i="2"/>
  <c r="E1160" i="2"/>
  <c r="B1160" i="2"/>
  <c r="E1159" i="2"/>
  <c r="B1159" i="2"/>
  <c r="E1158" i="2"/>
  <c r="B1158" i="2"/>
  <c r="E1157" i="2"/>
  <c r="B1157" i="2"/>
  <c r="E1156" i="2"/>
  <c r="B1156" i="2"/>
  <c r="E1155" i="2"/>
  <c r="B1155" i="2"/>
  <c r="E1154" i="2"/>
  <c r="B1154" i="2"/>
  <c r="E1153" i="2"/>
  <c r="B1153" i="2"/>
  <c r="E1152" i="2"/>
  <c r="B1152" i="2"/>
  <c r="E1151" i="2"/>
  <c r="B1151" i="2"/>
  <c r="E1150" i="2"/>
  <c r="B1150" i="2"/>
  <c r="E1149" i="2"/>
  <c r="B1149" i="2"/>
  <c r="E1148" i="2"/>
  <c r="B1148" i="2"/>
  <c r="E1147" i="2"/>
  <c r="B1147" i="2"/>
  <c r="E1146" i="2"/>
  <c r="B1146" i="2"/>
  <c r="E1145" i="2"/>
  <c r="B1145" i="2"/>
  <c r="E1144" i="2"/>
  <c r="B1144" i="2"/>
  <c r="E1143" i="2"/>
  <c r="B1143" i="2"/>
  <c r="E1142" i="2"/>
  <c r="B1142" i="2"/>
  <c r="E1141" i="2"/>
  <c r="B1141" i="2"/>
  <c r="E1140" i="2"/>
  <c r="B1140" i="2"/>
  <c r="E1139" i="2"/>
  <c r="B1139" i="2"/>
  <c r="E1138" i="2"/>
  <c r="B1138" i="2"/>
  <c r="E1137" i="2"/>
  <c r="B1137" i="2"/>
  <c r="E1136" i="2"/>
  <c r="B1136" i="2"/>
  <c r="E1135" i="2"/>
  <c r="B1135" i="2"/>
  <c r="E1134" i="2"/>
  <c r="B1134" i="2"/>
  <c r="E1133" i="2"/>
  <c r="B1133" i="2"/>
  <c r="E1132" i="2"/>
  <c r="B1132" i="2"/>
  <c r="E1131" i="2"/>
  <c r="B1131" i="2"/>
  <c r="E1130" i="2"/>
  <c r="B1130" i="2"/>
  <c r="E1129" i="2"/>
  <c r="B1129" i="2"/>
  <c r="E1128" i="2"/>
  <c r="B1128" i="2"/>
  <c r="E1127" i="2"/>
  <c r="B1127" i="2"/>
  <c r="E1126" i="2"/>
  <c r="B1126" i="2"/>
  <c r="E1125" i="2"/>
  <c r="B1125" i="2"/>
  <c r="E1124" i="2"/>
  <c r="B1124" i="2"/>
  <c r="E1123" i="2"/>
  <c r="B1123" i="2"/>
  <c r="E1122" i="2"/>
  <c r="B1122" i="2"/>
  <c r="E1121" i="2"/>
  <c r="B1121" i="2"/>
  <c r="E1120" i="2"/>
  <c r="B1120" i="2"/>
  <c r="E1119" i="2"/>
  <c r="B1119" i="2"/>
  <c r="E1118" i="2"/>
  <c r="B1118" i="2"/>
  <c r="E1117" i="2"/>
  <c r="B1117" i="2"/>
  <c r="E1116" i="2"/>
  <c r="B1116" i="2"/>
  <c r="E1115" i="2"/>
  <c r="B1115" i="2"/>
  <c r="E1114" i="2"/>
  <c r="B1114" i="2"/>
  <c r="E1113" i="2"/>
  <c r="B1113" i="2"/>
  <c r="E1112" i="2"/>
  <c r="B1112" i="2"/>
  <c r="E1111" i="2"/>
  <c r="B1111" i="2"/>
  <c r="E1110" i="2"/>
  <c r="B1110" i="2"/>
  <c r="E1109" i="2"/>
  <c r="B1109" i="2"/>
  <c r="E1108" i="2"/>
  <c r="B1108" i="2"/>
  <c r="E1107" i="2"/>
  <c r="B1107" i="2"/>
  <c r="E1106" i="2"/>
  <c r="B1106" i="2"/>
  <c r="E1105" i="2"/>
  <c r="B1105" i="2"/>
  <c r="E1104" i="2"/>
  <c r="B1104" i="2"/>
  <c r="E1103" i="2"/>
  <c r="B1103" i="2"/>
  <c r="E1102" i="2"/>
  <c r="B1102" i="2"/>
  <c r="E1101" i="2"/>
  <c r="B1101" i="2"/>
  <c r="E1100" i="2"/>
  <c r="B1100" i="2"/>
  <c r="E1099" i="2"/>
  <c r="B1099" i="2"/>
  <c r="E1098" i="2"/>
  <c r="B1098" i="2"/>
  <c r="E1097" i="2"/>
  <c r="B1097" i="2"/>
  <c r="E1096" i="2"/>
  <c r="B1096" i="2"/>
  <c r="E1095" i="2"/>
  <c r="B1095" i="2"/>
  <c r="E1094" i="2"/>
  <c r="B1094" i="2"/>
  <c r="E1093" i="2"/>
  <c r="B1093" i="2"/>
  <c r="E1092" i="2"/>
  <c r="B1092" i="2"/>
  <c r="E1091" i="2"/>
  <c r="B1091" i="2"/>
  <c r="E1090" i="2"/>
  <c r="B1090" i="2"/>
  <c r="E1089" i="2"/>
  <c r="B1089" i="2"/>
  <c r="E1088" i="2"/>
  <c r="B1088" i="2"/>
  <c r="E1087" i="2"/>
  <c r="B1087" i="2"/>
  <c r="E1086" i="2"/>
  <c r="B1086" i="2"/>
  <c r="E1085" i="2"/>
  <c r="B1085" i="2"/>
  <c r="E1084" i="2"/>
  <c r="B1084" i="2"/>
  <c r="E1083" i="2"/>
  <c r="B1083" i="2"/>
  <c r="E1082" i="2"/>
  <c r="B1082" i="2"/>
  <c r="E1081" i="2"/>
  <c r="B1081" i="2"/>
  <c r="E1080" i="2"/>
  <c r="B1080" i="2"/>
  <c r="E1079" i="2"/>
  <c r="B1079" i="2"/>
  <c r="E1078" i="2"/>
  <c r="B1078" i="2"/>
  <c r="E1077" i="2"/>
  <c r="B1077" i="2"/>
  <c r="E1076" i="2"/>
  <c r="B1076" i="2"/>
  <c r="E1075" i="2"/>
  <c r="B1075" i="2"/>
  <c r="E1074" i="2"/>
  <c r="B1074" i="2"/>
  <c r="E1073" i="2"/>
  <c r="B1073" i="2"/>
  <c r="E1072" i="2"/>
  <c r="B1072" i="2"/>
  <c r="E1071" i="2"/>
  <c r="B1071" i="2"/>
  <c r="E1070" i="2"/>
  <c r="B1070" i="2"/>
  <c r="E1069" i="2"/>
  <c r="B1069" i="2"/>
  <c r="E1068" i="2"/>
  <c r="B1068" i="2"/>
  <c r="E1067" i="2"/>
  <c r="B1067" i="2"/>
  <c r="E1066" i="2"/>
  <c r="B1066" i="2"/>
  <c r="E1065" i="2"/>
  <c r="B1065" i="2"/>
  <c r="E1064" i="2"/>
  <c r="B1064" i="2"/>
  <c r="E1063" i="2"/>
  <c r="B1063" i="2"/>
  <c r="E1062" i="2"/>
  <c r="B1062" i="2"/>
  <c r="E1061" i="2"/>
  <c r="B1061" i="2"/>
  <c r="E1060" i="2"/>
  <c r="B1060" i="2"/>
  <c r="E1059" i="2"/>
  <c r="B1059" i="2"/>
  <c r="E1058" i="2"/>
  <c r="B1058" i="2"/>
  <c r="E1057" i="2"/>
  <c r="B1057" i="2"/>
  <c r="E1056" i="2"/>
  <c r="B1056" i="2"/>
  <c r="E1055" i="2"/>
  <c r="B1055" i="2"/>
  <c r="E1054" i="2"/>
  <c r="B1054" i="2"/>
  <c r="E1053" i="2"/>
  <c r="B1053" i="2"/>
  <c r="E1052" i="2"/>
  <c r="B1052" i="2"/>
  <c r="E1051" i="2"/>
  <c r="B1051" i="2"/>
  <c r="E1050" i="2"/>
  <c r="B1050" i="2"/>
  <c r="E1049" i="2"/>
  <c r="B1049" i="2"/>
  <c r="E1048" i="2"/>
  <c r="B1048" i="2"/>
  <c r="E1047" i="2"/>
  <c r="B1047" i="2"/>
  <c r="E1046" i="2"/>
  <c r="B1046" i="2"/>
  <c r="E1045" i="2"/>
  <c r="B1045" i="2"/>
  <c r="E1044" i="2"/>
  <c r="B1044" i="2"/>
  <c r="E1043" i="2"/>
  <c r="B1043" i="2"/>
  <c r="E1042" i="2"/>
  <c r="B1042" i="2"/>
  <c r="E1041" i="2"/>
  <c r="B1041" i="2"/>
  <c r="E1040" i="2"/>
  <c r="B1040" i="2"/>
  <c r="E1039" i="2"/>
  <c r="B1039" i="2"/>
  <c r="E1038" i="2"/>
  <c r="B1038" i="2"/>
  <c r="E1037" i="2"/>
  <c r="B1037" i="2"/>
  <c r="E1036" i="2"/>
  <c r="B1036" i="2"/>
  <c r="E1035" i="2"/>
  <c r="B1035" i="2"/>
  <c r="E1034" i="2"/>
  <c r="B1034" i="2"/>
  <c r="E1033" i="2"/>
  <c r="B1033" i="2"/>
  <c r="E1032" i="2"/>
  <c r="B1032" i="2"/>
  <c r="E1031" i="2"/>
  <c r="B1031" i="2"/>
  <c r="E1030" i="2"/>
  <c r="B1030" i="2"/>
  <c r="E1029" i="2"/>
  <c r="B1029" i="2"/>
  <c r="E1028" i="2"/>
  <c r="B1028" i="2"/>
  <c r="E1027" i="2"/>
  <c r="B1027" i="2"/>
  <c r="E1026" i="2"/>
  <c r="B1026" i="2"/>
  <c r="E1025" i="2"/>
  <c r="B1025" i="2"/>
  <c r="E1024" i="2"/>
  <c r="B1024" i="2"/>
  <c r="E1023" i="2"/>
  <c r="B1023" i="2"/>
  <c r="E1022" i="2"/>
  <c r="B1022" i="2"/>
  <c r="E1021" i="2"/>
  <c r="B1021" i="2"/>
  <c r="E1020" i="2"/>
  <c r="B1020" i="2"/>
  <c r="E1019" i="2"/>
  <c r="B1019" i="2"/>
  <c r="E1018" i="2"/>
  <c r="B1018" i="2"/>
  <c r="E1017" i="2"/>
  <c r="B1017" i="2"/>
  <c r="E1016" i="2"/>
  <c r="B1016" i="2"/>
  <c r="E1015" i="2"/>
  <c r="B1015" i="2"/>
  <c r="E1014" i="2"/>
  <c r="B1014" i="2"/>
  <c r="E1013" i="2"/>
  <c r="B1013" i="2"/>
  <c r="E1012" i="2"/>
  <c r="B1012" i="2"/>
  <c r="E1011" i="2"/>
  <c r="B1011" i="2"/>
  <c r="E1010" i="2"/>
  <c r="B1010" i="2"/>
  <c r="E1009" i="2"/>
  <c r="B1009" i="2"/>
  <c r="E1008" i="2"/>
  <c r="B1008" i="2"/>
  <c r="E1007" i="2"/>
  <c r="B1007" i="2"/>
  <c r="E1006" i="2"/>
  <c r="B1006" i="2"/>
  <c r="E1005" i="2"/>
  <c r="B1005" i="2"/>
  <c r="E1004" i="2"/>
  <c r="B1004" i="2"/>
  <c r="E1003" i="2"/>
  <c r="B1003" i="2"/>
  <c r="E1002" i="2"/>
  <c r="B1002" i="2"/>
  <c r="E1001" i="2"/>
  <c r="B1001" i="2"/>
  <c r="E1000" i="2"/>
  <c r="B1000" i="2"/>
  <c r="E999" i="2"/>
  <c r="B999" i="2"/>
  <c r="E998" i="2"/>
  <c r="B998" i="2"/>
  <c r="E997" i="2"/>
  <c r="B997" i="2"/>
  <c r="E996" i="2"/>
  <c r="B996" i="2"/>
  <c r="E995" i="2"/>
  <c r="B995" i="2"/>
  <c r="E994" i="2"/>
  <c r="B994" i="2"/>
  <c r="E993" i="2"/>
  <c r="B993" i="2"/>
  <c r="E992" i="2"/>
  <c r="B992" i="2"/>
  <c r="E991" i="2"/>
  <c r="B991" i="2"/>
  <c r="E990" i="2"/>
  <c r="B990" i="2"/>
  <c r="E989" i="2"/>
  <c r="B989" i="2"/>
  <c r="E988" i="2"/>
  <c r="B988" i="2"/>
  <c r="E987" i="2"/>
  <c r="B987" i="2"/>
  <c r="E986" i="2"/>
  <c r="B986" i="2"/>
  <c r="E985" i="2"/>
  <c r="B985" i="2"/>
  <c r="E984" i="2"/>
  <c r="B984" i="2"/>
  <c r="E983" i="2"/>
  <c r="B983" i="2"/>
  <c r="E982" i="2"/>
  <c r="B982" i="2"/>
  <c r="E981" i="2"/>
  <c r="B981" i="2"/>
  <c r="E980" i="2"/>
  <c r="B980" i="2"/>
  <c r="E979" i="2"/>
  <c r="B979" i="2"/>
  <c r="E978" i="2"/>
  <c r="B978" i="2"/>
  <c r="E977" i="2"/>
  <c r="B977" i="2"/>
  <c r="E976" i="2"/>
  <c r="B976" i="2"/>
  <c r="E975" i="2"/>
  <c r="B975" i="2"/>
  <c r="E974" i="2"/>
  <c r="B974" i="2"/>
  <c r="E973" i="2"/>
  <c r="B973" i="2"/>
  <c r="E972" i="2"/>
  <c r="B972" i="2"/>
  <c r="E971" i="2"/>
  <c r="B971" i="2"/>
  <c r="E970" i="2"/>
  <c r="B970" i="2"/>
  <c r="E969" i="2"/>
  <c r="B969" i="2"/>
  <c r="E968" i="2"/>
  <c r="B968" i="2"/>
  <c r="E967" i="2"/>
  <c r="B967" i="2"/>
  <c r="E966" i="2"/>
  <c r="B966" i="2"/>
  <c r="E965" i="2"/>
  <c r="B965" i="2"/>
  <c r="E964" i="2"/>
  <c r="B964" i="2"/>
  <c r="E963" i="2"/>
  <c r="B963" i="2"/>
  <c r="E962" i="2"/>
  <c r="B962" i="2"/>
  <c r="E961" i="2"/>
  <c r="B961" i="2"/>
  <c r="E960" i="2"/>
  <c r="B960" i="2"/>
  <c r="E959" i="2"/>
  <c r="B959" i="2"/>
  <c r="E958" i="2"/>
  <c r="B958" i="2"/>
  <c r="E957" i="2"/>
  <c r="B957" i="2"/>
  <c r="E956" i="2"/>
  <c r="B956" i="2"/>
  <c r="E955" i="2"/>
  <c r="B955" i="2"/>
  <c r="E954" i="2"/>
  <c r="B954" i="2"/>
  <c r="E953" i="2"/>
  <c r="B953" i="2"/>
  <c r="E952" i="2"/>
  <c r="B952" i="2"/>
  <c r="E951" i="2"/>
  <c r="B951" i="2"/>
  <c r="E950" i="2"/>
  <c r="B950" i="2"/>
  <c r="E949" i="2"/>
  <c r="B949" i="2"/>
  <c r="E948" i="2"/>
  <c r="B948" i="2"/>
  <c r="E947" i="2"/>
  <c r="B947" i="2"/>
  <c r="E946" i="2"/>
  <c r="B946" i="2"/>
  <c r="E945" i="2"/>
  <c r="B945" i="2"/>
  <c r="E944" i="2"/>
  <c r="B944" i="2"/>
  <c r="E943" i="2"/>
  <c r="B943" i="2"/>
  <c r="E942" i="2"/>
  <c r="B942" i="2"/>
  <c r="E941" i="2"/>
  <c r="B941" i="2"/>
  <c r="E940" i="2"/>
  <c r="B940" i="2"/>
  <c r="E939" i="2"/>
  <c r="B939" i="2"/>
  <c r="E938" i="2"/>
  <c r="B938" i="2"/>
  <c r="E937" i="2"/>
  <c r="B937" i="2"/>
  <c r="E936" i="2"/>
  <c r="B936" i="2"/>
  <c r="E935" i="2"/>
  <c r="B935" i="2"/>
  <c r="E934" i="2"/>
  <c r="B934" i="2"/>
  <c r="E933" i="2"/>
  <c r="B933" i="2"/>
  <c r="E932" i="2"/>
  <c r="B932" i="2"/>
  <c r="E931" i="2"/>
  <c r="B931" i="2"/>
  <c r="E930" i="2"/>
  <c r="B930" i="2"/>
  <c r="E929" i="2"/>
  <c r="B929" i="2"/>
  <c r="E928" i="2"/>
  <c r="B928" i="2"/>
  <c r="E927" i="2"/>
  <c r="B927" i="2"/>
  <c r="E926" i="2"/>
  <c r="B926" i="2"/>
  <c r="E925" i="2"/>
  <c r="B925" i="2"/>
  <c r="E924" i="2"/>
  <c r="B924" i="2"/>
  <c r="E923" i="2"/>
  <c r="B923" i="2"/>
  <c r="E922" i="2"/>
  <c r="B922" i="2"/>
  <c r="E921" i="2"/>
  <c r="B921" i="2"/>
  <c r="E920" i="2"/>
  <c r="B920" i="2"/>
  <c r="E919" i="2"/>
  <c r="B919" i="2"/>
  <c r="E918" i="2"/>
  <c r="B918" i="2"/>
  <c r="E917" i="2"/>
  <c r="B917" i="2"/>
  <c r="E916" i="2"/>
  <c r="B916" i="2"/>
  <c r="E915" i="2"/>
  <c r="B915" i="2"/>
  <c r="E914" i="2"/>
  <c r="B914" i="2"/>
  <c r="E913" i="2"/>
  <c r="B913" i="2"/>
  <c r="E912" i="2"/>
  <c r="B912" i="2"/>
  <c r="E911" i="2"/>
  <c r="B911" i="2"/>
  <c r="E910" i="2"/>
  <c r="B910" i="2"/>
  <c r="E909" i="2"/>
  <c r="B909" i="2"/>
  <c r="E908" i="2"/>
  <c r="B908" i="2"/>
  <c r="E907" i="2"/>
  <c r="B907" i="2"/>
  <c r="E906" i="2"/>
  <c r="B906" i="2"/>
  <c r="E905" i="2"/>
  <c r="B905" i="2"/>
  <c r="E904" i="2"/>
  <c r="B904" i="2"/>
  <c r="E903" i="2"/>
  <c r="B903" i="2"/>
  <c r="E902" i="2"/>
  <c r="B902" i="2"/>
  <c r="E901" i="2"/>
  <c r="B901" i="2"/>
  <c r="E900" i="2"/>
  <c r="B900" i="2"/>
  <c r="E899" i="2"/>
  <c r="B899" i="2"/>
  <c r="E898" i="2"/>
  <c r="B898" i="2"/>
  <c r="E897" i="2"/>
  <c r="B897" i="2"/>
  <c r="E896" i="2"/>
  <c r="B896" i="2"/>
  <c r="E895" i="2"/>
  <c r="B895" i="2"/>
  <c r="E894" i="2"/>
  <c r="B894" i="2"/>
  <c r="E893" i="2"/>
  <c r="B893" i="2"/>
  <c r="E892" i="2"/>
  <c r="B892" i="2"/>
  <c r="E891" i="2"/>
  <c r="B891" i="2"/>
  <c r="E890" i="2"/>
  <c r="B890" i="2"/>
  <c r="E889" i="2"/>
  <c r="B889" i="2"/>
  <c r="E888" i="2"/>
  <c r="B888" i="2"/>
  <c r="E887" i="2"/>
  <c r="B887" i="2"/>
  <c r="E886" i="2"/>
  <c r="B886" i="2"/>
  <c r="E885" i="2"/>
  <c r="B885" i="2"/>
  <c r="E884" i="2"/>
  <c r="B884" i="2"/>
  <c r="E883" i="2"/>
  <c r="B883" i="2"/>
  <c r="E882" i="2"/>
  <c r="B882" i="2"/>
  <c r="E881" i="2"/>
  <c r="B881" i="2"/>
  <c r="E880" i="2"/>
  <c r="B880" i="2"/>
  <c r="E879" i="2"/>
  <c r="B879" i="2"/>
  <c r="E878" i="2"/>
  <c r="B878" i="2"/>
  <c r="E877" i="2"/>
  <c r="B877" i="2"/>
  <c r="E876" i="2"/>
  <c r="B876" i="2"/>
  <c r="E875" i="2"/>
  <c r="B875" i="2"/>
  <c r="E874" i="2"/>
  <c r="B874" i="2"/>
  <c r="E873" i="2"/>
  <c r="B873" i="2"/>
  <c r="E872" i="2"/>
  <c r="B872" i="2"/>
  <c r="E871" i="2"/>
  <c r="B871" i="2"/>
  <c r="E870" i="2"/>
  <c r="B870" i="2"/>
  <c r="E869" i="2"/>
  <c r="B869" i="2"/>
  <c r="E868" i="2"/>
  <c r="B868" i="2"/>
  <c r="E867" i="2"/>
  <c r="B867" i="2"/>
  <c r="E866" i="2"/>
  <c r="B866" i="2"/>
  <c r="E865" i="2"/>
  <c r="B865" i="2"/>
  <c r="E864" i="2"/>
  <c r="B864" i="2"/>
  <c r="E863" i="2"/>
  <c r="B863" i="2"/>
  <c r="E862" i="2"/>
  <c r="B862" i="2"/>
  <c r="E861" i="2"/>
  <c r="B861" i="2"/>
  <c r="E860" i="2"/>
  <c r="B860" i="2"/>
  <c r="E859" i="2"/>
  <c r="B859" i="2"/>
  <c r="E858" i="2"/>
  <c r="B858" i="2"/>
  <c r="E857" i="2"/>
  <c r="B857" i="2"/>
  <c r="E856" i="2"/>
  <c r="B856" i="2"/>
  <c r="E855" i="2"/>
  <c r="B855" i="2"/>
  <c r="E854" i="2"/>
  <c r="B854" i="2"/>
  <c r="E853" i="2"/>
  <c r="B853" i="2"/>
  <c r="E852" i="2"/>
  <c r="B852" i="2"/>
  <c r="E851" i="2"/>
  <c r="B851" i="2"/>
  <c r="E850" i="2"/>
  <c r="B850" i="2"/>
  <c r="E849" i="2"/>
  <c r="B849" i="2"/>
  <c r="E848" i="2"/>
  <c r="B848" i="2"/>
  <c r="E847" i="2"/>
  <c r="B847" i="2"/>
  <c r="E846" i="2"/>
  <c r="B846" i="2"/>
  <c r="E845" i="2"/>
  <c r="B845" i="2"/>
  <c r="E844" i="2"/>
  <c r="B844" i="2"/>
  <c r="E843" i="2"/>
  <c r="B843" i="2"/>
  <c r="E842" i="2"/>
  <c r="B842" i="2"/>
  <c r="E841" i="2"/>
  <c r="B841" i="2"/>
  <c r="E840" i="2"/>
  <c r="B840" i="2"/>
  <c r="E839" i="2"/>
  <c r="B839" i="2"/>
  <c r="E838" i="2"/>
  <c r="B838" i="2"/>
  <c r="E837" i="2"/>
  <c r="B837" i="2"/>
  <c r="E836" i="2"/>
  <c r="B836" i="2"/>
  <c r="E835" i="2"/>
  <c r="B835" i="2"/>
  <c r="E834" i="2"/>
  <c r="B834" i="2"/>
  <c r="E833" i="2"/>
  <c r="B833" i="2"/>
  <c r="E832" i="2"/>
  <c r="B832" i="2"/>
  <c r="E831" i="2"/>
  <c r="B831" i="2"/>
  <c r="E830" i="2"/>
  <c r="B830" i="2"/>
  <c r="E829" i="2"/>
  <c r="B829" i="2"/>
  <c r="E828" i="2"/>
  <c r="B828" i="2"/>
  <c r="E827" i="2"/>
  <c r="B827" i="2"/>
  <c r="E826" i="2"/>
  <c r="B826" i="2"/>
  <c r="E825" i="2"/>
  <c r="B825" i="2"/>
  <c r="E824" i="2"/>
  <c r="B824" i="2"/>
  <c r="E823" i="2"/>
  <c r="B823" i="2"/>
  <c r="E822" i="2"/>
  <c r="B822" i="2"/>
  <c r="E821" i="2"/>
  <c r="B821" i="2"/>
  <c r="E820" i="2"/>
  <c r="B820" i="2"/>
  <c r="E819" i="2"/>
  <c r="B819" i="2"/>
  <c r="E818" i="2"/>
  <c r="B818" i="2"/>
  <c r="E817" i="2"/>
  <c r="B817" i="2"/>
  <c r="E816" i="2"/>
  <c r="B816" i="2"/>
  <c r="E815" i="2"/>
  <c r="B815" i="2"/>
  <c r="E814" i="2"/>
  <c r="B814" i="2"/>
  <c r="E813" i="2"/>
  <c r="B813" i="2"/>
  <c r="E812" i="2"/>
  <c r="B812" i="2"/>
  <c r="E811" i="2"/>
  <c r="B811" i="2"/>
  <c r="E810" i="2"/>
  <c r="B810" i="2"/>
  <c r="E809" i="2"/>
  <c r="B809" i="2"/>
  <c r="E808" i="2"/>
  <c r="B808" i="2"/>
  <c r="E807" i="2"/>
  <c r="B807" i="2"/>
  <c r="E806" i="2"/>
  <c r="B806" i="2"/>
  <c r="E805" i="2"/>
  <c r="B805" i="2"/>
  <c r="E804" i="2"/>
  <c r="B804" i="2"/>
  <c r="E803" i="2"/>
  <c r="B803" i="2"/>
  <c r="E802" i="2"/>
  <c r="B802" i="2"/>
  <c r="E801" i="2"/>
  <c r="B801" i="2"/>
  <c r="E800" i="2"/>
  <c r="B800" i="2"/>
  <c r="E799" i="2"/>
  <c r="B799" i="2"/>
  <c r="E798" i="2"/>
  <c r="B798" i="2"/>
  <c r="E797" i="2"/>
  <c r="B797" i="2"/>
  <c r="E796" i="2"/>
  <c r="B796" i="2"/>
  <c r="E795" i="2"/>
  <c r="B795" i="2"/>
  <c r="E794" i="2"/>
  <c r="B794" i="2"/>
  <c r="E793" i="2"/>
  <c r="B793" i="2"/>
  <c r="E792" i="2"/>
  <c r="B792" i="2"/>
  <c r="E791" i="2"/>
  <c r="B791" i="2"/>
  <c r="E790" i="2"/>
  <c r="B790" i="2"/>
  <c r="E789" i="2"/>
  <c r="B789" i="2"/>
  <c r="E788" i="2"/>
  <c r="B788" i="2"/>
  <c r="E787" i="2"/>
  <c r="B787" i="2"/>
  <c r="E786" i="2"/>
  <c r="B786" i="2"/>
  <c r="E785" i="2"/>
  <c r="B785" i="2"/>
  <c r="E784" i="2"/>
  <c r="B784" i="2"/>
  <c r="E783" i="2"/>
  <c r="B783" i="2"/>
  <c r="E782" i="2"/>
  <c r="B782" i="2"/>
  <c r="E781" i="2"/>
  <c r="B781" i="2"/>
  <c r="E780" i="2"/>
  <c r="B780" i="2"/>
  <c r="E779" i="2"/>
  <c r="B779" i="2"/>
  <c r="E778" i="2"/>
  <c r="B778" i="2"/>
  <c r="E777" i="2"/>
  <c r="B777" i="2"/>
  <c r="E776" i="2"/>
  <c r="B776" i="2"/>
  <c r="E775" i="2"/>
  <c r="B775" i="2"/>
  <c r="E774" i="2"/>
  <c r="B774" i="2"/>
  <c r="E773" i="2"/>
  <c r="B773" i="2"/>
  <c r="E772" i="2"/>
  <c r="B772" i="2"/>
  <c r="E771" i="2"/>
  <c r="B771" i="2"/>
  <c r="E770" i="2"/>
  <c r="B770" i="2"/>
  <c r="E769" i="2"/>
  <c r="B769" i="2"/>
  <c r="E768" i="2"/>
  <c r="B768" i="2"/>
  <c r="E767" i="2"/>
  <c r="B767" i="2"/>
  <c r="E766" i="2"/>
  <c r="B766" i="2"/>
  <c r="E765" i="2"/>
  <c r="B765" i="2"/>
  <c r="E764" i="2"/>
  <c r="B764" i="2"/>
  <c r="E763" i="2"/>
  <c r="B763" i="2"/>
  <c r="E762" i="2"/>
  <c r="B762" i="2"/>
  <c r="E761" i="2"/>
  <c r="B761" i="2"/>
  <c r="E760" i="2"/>
  <c r="B760" i="2"/>
  <c r="E759" i="2"/>
  <c r="B759" i="2"/>
  <c r="E758" i="2"/>
  <c r="B758" i="2"/>
  <c r="E757" i="2"/>
  <c r="B757" i="2"/>
  <c r="E756" i="2"/>
  <c r="B756" i="2"/>
  <c r="E755" i="2"/>
  <c r="B755" i="2"/>
  <c r="E754" i="2"/>
  <c r="B754" i="2"/>
  <c r="E753" i="2"/>
  <c r="B753" i="2"/>
  <c r="E752" i="2"/>
  <c r="B752" i="2"/>
  <c r="E751" i="2"/>
  <c r="B751" i="2"/>
  <c r="E750" i="2"/>
  <c r="B750" i="2"/>
  <c r="E749" i="2"/>
  <c r="B749" i="2"/>
  <c r="E748" i="2"/>
  <c r="B748" i="2"/>
  <c r="E747" i="2"/>
  <c r="B747" i="2"/>
  <c r="E746" i="2"/>
  <c r="B746" i="2"/>
  <c r="E745" i="2"/>
  <c r="B745" i="2"/>
  <c r="E744" i="2"/>
  <c r="B744" i="2"/>
  <c r="E743" i="2"/>
  <c r="B743" i="2"/>
  <c r="E742" i="2"/>
  <c r="B742" i="2"/>
  <c r="E741" i="2"/>
  <c r="B741" i="2"/>
  <c r="E740" i="2"/>
  <c r="B740" i="2"/>
  <c r="E739" i="2"/>
  <c r="B739" i="2"/>
  <c r="E738" i="2"/>
  <c r="B738" i="2"/>
  <c r="E737" i="2"/>
  <c r="B737" i="2"/>
  <c r="E736" i="2"/>
  <c r="B736" i="2"/>
  <c r="E735" i="2"/>
  <c r="B735" i="2"/>
  <c r="E734" i="2"/>
  <c r="B734" i="2"/>
  <c r="E733" i="2"/>
  <c r="B733" i="2"/>
  <c r="E732" i="2"/>
  <c r="B732" i="2"/>
  <c r="E731" i="2"/>
  <c r="B731" i="2"/>
  <c r="E730" i="2"/>
  <c r="B730" i="2"/>
  <c r="E729" i="2"/>
  <c r="B729" i="2"/>
  <c r="E728" i="2"/>
  <c r="B728" i="2"/>
  <c r="E727" i="2"/>
  <c r="B727" i="2"/>
  <c r="E726" i="2"/>
  <c r="B726" i="2"/>
  <c r="E725" i="2"/>
  <c r="B725" i="2"/>
  <c r="E724" i="2"/>
  <c r="B724" i="2"/>
  <c r="E723" i="2"/>
  <c r="B723" i="2"/>
  <c r="E722" i="2"/>
  <c r="B722" i="2"/>
  <c r="E721" i="2"/>
  <c r="B721" i="2"/>
  <c r="E720" i="2"/>
  <c r="B720" i="2"/>
  <c r="E719" i="2"/>
  <c r="B719" i="2"/>
  <c r="E718" i="2"/>
  <c r="B718" i="2"/>
  <c r="E717" i="2"/>
  <c r="B717" i="2"/>
  <c r="E716" i="2"/>
  <c r="B716" i="2"/>
  <c r="E715" i="2"/>
  <c r="B715" i="2"/>
  <c r="E714" i="2"/>
  <c r="B714" i="2"/>
  <c r="E713" i="2"/>
  <c r="B713" i="2"/>
  <c r="E712" i="2"/>
  <c r="B712" i="2"/>
  <c r="E711" i="2"/>
  <c r="B711" i="2"/>
  <c r="E710" i="2"/>
  <c r="B710" i="2"/>
  <c r="E709" i="2"/>
  <c r="B709" i="2"/>
  <c r="E708" i="2"/>
  <c r="B708" i="2"/>
  <c r="E707" i="2"/>
  <c r="B707" i="2"/>
  <c r="E706" i="2"/>
  <c r="B706" i="2"/>
  <c r="E705" i="2"/>
  <c r="B705" i="2"/>
  <c r="E704" i="2"/>
  <c r="B704" i="2"/>
  <c r="E703" i="2"/>
  <c r="B703" i="2"/>
  <c r="E702" i="2"/>
  <c r="B702" i="2"/>
  <c r="E701" i="2"/>
  <c r="B701" i="2"/>
  <c r="E700" i="2"/>
  <c r="B700" i="2"/>
  <c r="E699" i="2"/>
  <c r="B699" i="2"/>
  <c r="E698" i="2"/>
  <c r="B698" i="2"/>
  <c r="E697" i="2"/>
  <c r="B697" i="2"/>
  <c r="E696" i="2"/>
  <c r="B696" i="2"/>
  <c r="E695" i="2"/>
  <c r="B695" i="2"/>
  <c r="E694" i="2"/>
  <c r="B694" i="2"/>
  <c r="E693" i="2"/>
  <c r="B693" i="2"/>
  <c r="E692" i="2"/>
  <c r="B692" i="2"/>
  <c r="E691" i="2"/>
  <c r="B691" i="2"/>
  <c r="E690" i="2"/>
  <c r="B690" i="2"/>
  <c r="E689" i="2"/>
  <c r="B689" i="2"/>
  <c r="E688" i="2"/>
  <c r="B688" i="2"/>
  <c r="E687" i="2"/>
  <c r="B687" i="2"/>
  <c r="E686" i="2"/>
  <c r="B686" i="2"/>
  <c r="E685" i="2"/>
  <c r="B685" i="2"/>
  <c r="E684" i="2"/>
  <c r="B684" i="2"/>
  <c r="E683" i="2"/>
  <c r="B683" i="2"/>
  <c r="E682" i="2"/>
  <c r="B682" i="2"/>
  <c r="E681" i="2"/>
  <c r="B681" i="2"/>
  <c r="E680" i="2"/>
  <c r="B680" i="2"/>
  <c r="E679" i="2"/>
  <c r="B679" i="2"/>
  <c r="E678" i="2"/>
  <c r="B678" i="2"/>
  <c r="E677" i="2"/>
  <c r="B677" i="2"/>
  <c r="E676" i="2"/>
  <c r="B676" i="2"/>
  <c r="E675" i="2"/>
  <c r="B675" i="2"/>
  <c r="E674" i="2"/>
  <c r="B674" i="2"/>
  <c r="E673" i="2"/>
  <c r="B673" i="2"/>
  <c r="E672" i="2"/>
  <c r="B672" i="2"/>
  <c r="E671" i="2"/>
  <c r="B671" i="2"/>
  <c r="E670" i="2"/>
  <c r="B670" i="2"/>
  <c r="E669" i="2"/>
  <c r="B669" i="2"/>
  <c r="E668" i="2"/>
  <c r="B668" i="2"/>
  <c r="E667" i="2"/>
  <c r="B667" i="2"/>
  <c r="E666" i="2"/>
  <c r="B666" i="2"/>
  <c r="E665" i="2"/>
  <c r="B665" i="2"/>
  <c r="E664" i="2"/>
  <c r="B664" i="2"/>
  <c r="E663" i="2"/>
  <c r="B663" i="2"/>
  <c r="E662" i="2"/>
  <c r="B662" i="2"/>
  <c r="E661" i="2"/>
  <c r="B661" i="2"/>
  <c r="E660" i="2"/>
  <c r="B660" i="2"/>
  <c r="E659" i="2"/>
  <c r="B659" i="2"/>
  <c r="E658" i="2"/>
  <c r="B658" i="2"/>
  <c r="E657" i="2"/>
  <c r="B657" i="2"/>
  <c r="E656" i="2"/>
  <c r="B656" i="2"/>
  <c r="E655" i="2"/>
  <c r="B655" i="2"/>
  <c r="E654" i="2"/>
  <c r="B654" i="2"/>
  <c r="E653" i="2"/>
  <c r="B653" i="2"/>
  <c r="E652" i="2"/>
  <c r="B652" i="2"/>
  <c r="E651" i="2"/>
  <c r="B651" i="2"/>
  <c r="E650" i="2"/>
  <c r="B650" i="2"/>
  <c r="E649" i="2"/>
  <c r="B649" i="2"/>
  <c r="E648" i="2"/>
  <c r="B648" i="2"/>
  <c r="E647" i="2"/>
  <c r="B647" i="2"/>
  <c r="E646" i="2"/>
  <c r="B646" i="2"/>
  <c r="E645" i="2"/>
  <c r="B645" i="2"/>
  <c r="E644" i="2"/>
  <c r="B644" i="2"/>
  <c r="E643" i="2"/>
  <c r="B643" i="2"/>
  <c r="E642" i="2"/>
  <c r="B642" i="2"/>
  <c r="E641" i="2"/>
  <c r="B641" i="2"/>
  <c r="E640" i="2"/>
  <c r="B640" i="2"/>
  <c r="E639" i="2"/>
  <c r="B639" i="2"/>
  <c r="E638" i="2"/>
  <c r="B638" i="2"/>
  <c r="E637" i="2"/>
  <c r="B637" i="2"/>
  <c r="E636" i="2"/>
  <c r="B636" i="2"/>
  <c r="E635" i="2"/>
  <c r="B635" i="2"/>
  <c r="E634" i="2"/>
  <c r="B634" i="2"/>
  <c r="E633" i="2"/>
  <c r="B633" i="2"/>
  <c r="E632" i="2"/>
  <c r="B632" i="2"/>
  <c r="E631" i="2"/>
  <c r="B631" i="2"/>
  <c r="E630" i="2"/>
  <c r="B630" i="2"/>
  <c r="E629" i="2"/>
  <c r="B629" i="2"/>
  <c r="E628" i="2"/>
  <c r="B628" i="2"/>
  <c r="E627" i="2"/>
  <c r="B627" i="2"/>
  <c r="E626" i="2"/>
  <c r="B626" i="2"/>
  <c r="E625" i="2"/>
  <c r="B625" i="2"/>
  <c r="E624" i="2"/>
  <c r="B624" i="2"/>
  <c r="E623" i="2"/>
  <c r="B623" i="2"/>
  <c r="E622" i="2"/>
  <c r="B622" i="2"/>
  <c r="E621" i="2"/>
  <c r="B621" i="2"/>
  <c r="E620" i="2"/>
  <c r="B620" i="2"/>
  <c r="E619" i="2"/>
  <c r="B619" i="2"/>
  <c r="E618" i="2"/>
  <c r="B618" i="2"/>
  <c r="E617" i="2"/>
  <c r="B617" i="2"/>
  <c r="E616" i="2"/>
  <c r="B616" i="2"/>
  <c r="E615" i="2"/>
  <c r="B615" i="2"/>
  <c r="E614" i="2"/>
  <c r="B614" i="2"/>
  <c r="E613" i="2"/>
  <c r="B613" i="2"/>
  <c r="E612" i="2"/>
  <c r="B612" i="2"/>
  <c r="E611" i="2"/>
  <c r="B611" i="2"/>
  <c r="E610" i="2"/>
  <c r="B610" i="2"/>
  <c r="E609" i="2"/>
  <c r="B609" i="2"/>
  <c r="E608" i="2"/>
  <c r="B608" i="2"/>
  <c r="E607" i="2"/>
  <c r="B607" i="2"/>
  <c r="E606" i="2"/>
  <c r="B606" i="2"/>
  <c r="E605" i="2"/>
  <c r="B605" i="2"/>
  <c r="E604" i="2"/>
  <c r="B604" i="2"/>
  <c r="E603" i="2"/>
  <c r="B603" i="2"/>
  <c r="E602" i="2"/>
  <c r="B602" i="2"/>
  <c r="E601" i="2"/>
  <c r="B601" i="2"/>
  <c r="E600" i="2"/>
  <c r="B600" i="2"/>
  <c r="E599" i="2"/>
  <c r="B599" i="2"/>
  <c r="E598" i="2"/>
  <c r="B598" i="2"/>
  <c r="E597" i="2"/>
  <c r="B597" i="2"/>
  <c r="E596" i="2"/>
  <c r="B596" i="2"/>
  <c r="E595" i="2"/>
  <c r="B595" i="2"/>
  <c r="E594" i="2"/>
  <c r="B594" i="2"/>
  <c r="E593" i="2"/>
  <c r="B593" i="2"/>
  <c r="E592" i="2"/>
  <c r="B592" i="2"/>
  <c r="E591" i="2"/>
  <c r="B591" i="2"/>
  <c r="E590" i="2"/>
  <c r="B590" i="2"/>
  <c r="E589" i="2"/>
  <c r="B589" i="2"/>
  <c r="E588" i="2"/>
  <c r="B588" i="2"/>
  <c r="E587" i="2"/>
  <c r="B587" i="2"/>
  <c r="E586" i="2"/>
  <c r="B586" i="2"/>
  <c r="E585" i="2"/>
  <c r="B585" i="2"/>
  <c r="E584" i="2"/>
  <c r="B584" i="2"/>
  <c r="E583" i="2"/>
  <c r="B583" i="2"/>
  <c r="E582" i="2"/>
  <c r="B582" i="2"/>
  <c r="E581" i="2"/>
  <c r="B581" i="2"/>
  <c r="E580" i="2"/>
  <c r="B580" i="2"/>
  <c r="E579" i="2"/>
  <c r="B579" i="2"/>
  <c r="E578" i="2"/>
  <c r="B578" i="2"/>
  <c r="E577" i="2"/>
  <c r="B577" i="2"/>
  <c r="E576" i="2"/>
  <c r="B576" i="2"/>
  <c r="E575" i="2"/>
  <c r="B575" i="2"/>
  <c r="E574" i="2"/>
  <c r="B574" i="2"/>
  <c r="E573" i="2"/>
  <c r="B573" i="2"/>
  <c r="E572" i="2"/>
  <c r="B572" i="2"/>
  <c r="E571" i="2"/>
  <c r="B571" i="2"/>
  <c r="E570" i="2"/>
  <c r="B570" i="2"/>
  <c r="E569" i="2"/>
  <c r="B569" i="2"/>
  <c r="E568" i="2"/>
  <c r="B568" i="2"/>
  <c r="E567" i="2"/>
  <c r="B567" i="2"/>
  <c r="E566" i="2"/>
  <c r="B566" i="2"/>
  <c r="E565" i="2"/>
  <c r="B565" i="2"/>
  <c r="E564" i="2"/>
  <c r="B564" i="2"/>
  <c r="E563" i="2"/>
  <c r="B563" i="2"/>
  <c r="E562" i="2"/>
  <c r="B562" i="2"/>
  <c r="E561" i="2"/>
  <c r="B561" i="2"/>
  <c r="E560" i="2"/>
  <c r="B560" i="2"/>
  <c r="E559" i="2"/>
  <c r="B559" i="2"/>
  <c r="E558" i="2"/>
  <c r="B558" i="2"/>
  <c r="E557" i="2"/>
  <c r="B557" i="2"/>
  <c r="E556" i="2"/>
  <c r="B556" i="2"/>
  <c r="E555" i="2"/>
  <c r="B555" i="2"/>
  <c r="E554" i="2"/>
  <c r="B554" i="2"/>
  <c r="E553" i="2"/>
  <c r="B553" i="2"/>
  <c r="E552" i="2"/>
  <c r="B552" i="2"/>
  <c r="E551" i="2"/>
  <c r="B551" i="2"/>
  <c r="E550" i="2"/>
  <c r="B550" i="2"/>
  <c r="E549" i="2"/>
  <c r="B549" i="2"/>
  <c r="E548" i="2"/>
  <c r="B548" i="2"/>
  <c r="E547" i="2"/>
  <c r="B547" i="2"/>
  <c r="E546" i="2"/>
  <c r="B546" i="2"/>
  <c r="E545" i="2"/>
  <c r="B545" i="2"/>
  <c r="E544" i="2"/>
  <c r="B544" i="2"/>
  <c r="E543" i="2"/>
  <c r="B543" i="2"/>
  <c r="E542" i="2"/>
  <c r="B542" i="2"/>
  <c r="E541" i="2"/>
  <c r="B541" i="2"/>
  <c r="E540" i="2"/>
  <c r="B540" i="2"/>
  <c r="E539" i="2"/>
  <c r="B539" i="2"/>
  <c r="E538" i="2"/>
  <c r="B538" i="2"/>
  <c r="E537" i="2"/>
  <c r="B537" i="2"/>
  <c r="E536" i="2"/>
  <c r="B536" i="2"/>
  <c r="E535" i="2"/>
  <c r="B535" i="2"/>
  <c r="E534" i="2"/>
  <c r="B534" i="2"/>
  <c r="E533" i="2"/>
  <c r="B533" i="2"/>
  <c r="E532" i="2"/>
  <c r="B532" i="2"/>
  <c r="E531" i="2"/>
  <c r="B531" i="2"/>
  <c r="E530" i="2"/>
  <c r="B530" i="2"/>
  <c r="E529" i="2"/>
  <c r="B529" i="2"/>
  <c r="E528" i="2"/>
  <c r="B528" i="2"/>
  <c r="E527" i="2"/>
  <c r="B527" i="2"/>
  <c r="E526" i="2"/>
  <c r="B526" i="2"/>
  <c r="E525" i="2"/>
  <c r="B525" i="2"/>
  <c r="E524" i="2"/>
  <c r="B524" i="2"/>
  <c r="E523" i="2"/>
  <c r="B523" i="2"/>
  <c r="E522" i="2"/>
  <c r="B522" i="2"/>
  <c r="E521" i="2"/>
  <c r="B521" i="2"/>
  <c r="E520" i="2"/>
  <c r="B520" i="2"/>
  <c r="E519" i="2"/>
  <c r="B519" i="2"/>
  <c r="E518" i="2"/>
  <c r="B518" i="2"/>
  <c r="E517" i="2"/>
  <c r="B517" i="2"/>
  <c r="E516" i="2"/>
  <c r="B516" i="2"/>
  <c r="E515" i="2"/>
  <c r="B515" i="2"/>
  <c r="E514" i="2"/>
  <c r="B514" i="2"/>
  <c r="E513" i="2"/>
  <c r="B513" i="2"/>
  <c r="E512" i="2"/>
  <c r="B512" i="2"/>
  <c r="E511" i="2"/>
  <c r="B511" i="2"/>
  <c r="E510" i="2"/>
  <c r="B510" i="2"/>
  <c r="E509" i="2"/>
  <c r="B509" i="2"/>
  <c r="E508" i="2"/>
  <c r="B508" i="2"/>
  <c r="E507" i="2"/>
  <c r="B507" i="2"/>
  <c r="E506" i="2"/>
  <c r="B506" i="2"/>
  <c r="E505" i="2"/>
  <c r="B505" i="2"/>
  <c r="E504" i="2"/>
  <c r="B504" i="2"/>
  <c r="E503" i="2"/>
  <c r="B503" i="2"/>
  <c r="E502" i="2"/>
  <c r="B502" i="2"/>
  <c r="E501" i="2"/>
  <c r="B501" i="2"/>
  <c r="E500" i="2"/>
  <c r="B500" i="2"/>
  <c r="E499" i="2"/>
  <c r="B499" i="2"/>
  <c r="E498" i="2"/>
  <c r="B498" i="2"/>
  <c r="E497" i="2"/>
  <c r="B497" i="2"/>
  <c r="E496" i="2"/>
  <c r="B496" i="2"/>
  <c r="E495" i="2"/>
  <c r="B495" i="2"/>
  <c r="E494" i="2"/>
  <c r="B494" i="2"/>
  <c r="E493" i="2"/>
  <c r="B493" i="2"/>
  <c r="E492" i="2"/>
  <c r="B492" i="2"/>
  <c r="E491" i="2"/>
  <c r="B491" i="2"/>
  <c r="E490" i="2"/>
  <c r="B490" i="2"/>
  <c r="E489" i="2"/>
  <c r="B489" i="2"/>
  <c r="E488" i="2"/>
  <c r="B488" i="2"/>
  <c r="E487" i="2"/>
  <c r="B487" i="2"/>
  <c r="E486" i="2"/>
  <c r="B486" i="2"/>
  <c r="E485" i="2"/>
  <c r="B485" i="2"/>
  <c r="E484" i="2"/>
  <c r="B484" i="2"/>
  <c r="E483" i="2"/>
  <c r="B483" i="2"/>
  <c r="E482" i="2"/>
  <c r="B482" i="2"/>
  <c r="E481" i="2"/>
  <c r="B481" i="2"/>
  <c r="E480" i="2"/>
  <c r="B480" i="2"/>
  <c r="E479" i="2"/>
  <c r="B479" i="2"/>
  <c r="E478" i="2"/>
  <c r="B478" i="2"/>
  <c r="E477" i="2"/>
  <c r="B477" i="2"/>
  <c r="E476" i="2"/>
  <c r="B476" i="2"/>
  <c r="E475" i="2"/>
  <c r="B475" i="2"/>
  <c r="E474" i="2"/>
  <c r="B474" i="2"/>
  <c r="E473" i="2"/>
  <c r="B473" i="2"/>
  <c r="E472" i="2"/>
  <c r="B472" i="2"/>
  <c r="E471" i="2"/>
  <c r="B471" i="2"/>
  <c r="E470" i="2"/>
  <c r="B470" i="2"/>
  <c r="E469" i="2"/>
  <c r="B469" i="2"/>
  <c r="E468" i="2"/>
  <c r="B468" i="2"/>
  <c r="E467" i="2"/>
  <c r="B467" i="2"/>
  <c r="E466" i="2"/>
  <c r="B466" i="2"/>
  <c r="E465" i="2"/>
  <c r="B465" i="2"/>
  <c r="E464" i="2"/>
  <c r="B464" i="2"/>
  <c r="E463" i="2"/>
  <c r="B463" i="2"/>
  <c r="E462" i="2"/>
  <c r="B462" i="2"/>
  <c r="E461" i="2"/>
  <c r="B461" i="2"/>
  <c r="E460" i="2"/>
  <c r="B460" i="2"/>
  <c r="E459" i="2"/>
  <c r="B459" i="2"/>
  <c r="E458" i="2"/>
  <c r="B458" i="2"/>
  <c r="E457" i="2"/>
  <c r="B457" i="2"/>
  <c r="E456" i="2"/>
  <c r="B456" i="2"/>
  <c r="E455" i="2"/>
  <c r="B455" i="2"/>
  <c r="E454" i="2"/>
  <c r="B454" i="2"/>
  <c r="E453" i="2"/>
  <c r="B453" i="2"/>
  <c r="E452" i="2"/>
  <c r="B452" i="2"/>
  <c r="E451" i="2"/>
  <c r="B451" i="2"/>
  <c r="E450" i="2"/>
  <c r="B450" i="2"/>
  <c r="E449" i="2"/>
  <c r="B449" i="2"/>
  <c r="E448" i="2"/>
  <c r="B448" i="2"/>
  <c r="E447" i="2"/>
  <c r="B447" i="2"/>
  <c r="E446" i="2"/>
  <c r="B446" i="2"/>
  <c r="E445" i="2"/>
  <c r="B445" i="2"/>
  <c r="E444" i="2"/>
  <c r="B444" i="2"/>
  <c r="E443" i="2"/>
  <c r="B443" i="2"/>
  <c r="E442" i="2"/>
  <c r="B442" i="2"/>
  <c r="E441" i="2"/>
  <c r="B441" i="2"/>
  <c r="E440" i="2"/>
  <c r="B440" i="2"/>
  <c r="E439" i="2"/>
  <c r="B439" i="2"/>
  <c r="E438" i="2"/>
  <c r="B438" i="2"/>
  <c r="E437" i="2"/>
  <c r="B437" i="2"/>
  <c r="E436" i="2"/>
  <c r="B436" i="2"/>
  <c r="E435" i="2"/>
  <c r="B435" i="2"/>
  <c r="E434" i="2"/>
  <c r="B434" i="2"/>
  <c r="E433" i="2"/>
  <c r="B433" i="2"/>
  <c r="E432" i="2"/>
  <c r="B432" i="2"/>
  <c r="E431" i="2"/>
  <c r="B431" i="2"/>
  <c r="E430" i="2"/>
  <c r="B430" i="2"/>
  <c r="E429" i="2"/>
  <c r="B429" i="2"/>
  <c r="E428" i="2"/>
  <c r="B428" i="2"/>
  <c r="E427" i="2"/>
  <c r="B427" i="2"/>
  <c r="E426" i="2"/>
  <c r="B426" i="2"/>
  <c r="E425" i="2"/>
  <c r="B425" i="2"/>
  <c r="E424" i="2"/>
  <c r="B424" i="2"/>
  <c r="E423" i="2"/>
  <c r="B423" i="2"/>
  <c r="E422" i="2"/>
  <c r="B422" i="2"/>
  <c r="E421" i="2"/>
  <c r="B421" i="2"/>
  <c r="E420" i="2"/>
  <c r="B420" i="2"/>
  <c r="E419" i="2"/>
  <c r="B419" i="2"/>
  <c r="E418" i="2"/>
  <c r="B418" i="2"/>
  <c r="E417" i="2"/>
  <c r="B417" i="2"/>
  <c r="E416" i="2"/>
  <c r="B416" i="2"/>
  <c r="E415" i="2"/>
  <c r="B415" i="2"/>
  <c r="E414" i="2"/>
  <c r="B414" i="2"/>
  <c r="E413" i="2"/>
  <c r="B413" i="2"/>
  <c r="E412" i="2"/>
  <c r="B412" i="2"/>
  <c r="E411" i="2"/>
  <c r="B411" i="2"/>
  <c r="E410" i="2"/>
  <c r="B410" i="2"/>
  <c r="E409" i="2"/>
  <c r="B409" i="2"/>
  <c r="E408" i="2"/>
  <c r="B408" i="2"/>
  <c r="E407" i="2"/>
  <c r="B407" i="2"/>
  <c r="E406" i="2"/>
  <c r="B406" i="2"/>
  <c r="E405" i="2"/>
  <c r="B405" i="2"/>
  <c r="E404" i="2"/>
  <c r="B404" i="2"/>
  <c r="E403" i="2"/>
  <c r="B403" i="2"/>
  <c r="E402" i="2"/>
  <c r="B402" i="2"/>
  <c r="E401" i="2"/>
  <c r="B401" i="2"/>
  <c r="E400" i="2"/>
  <c r="B400" i="2"/>
  <c r="E399" i="2"/>
  <c r="B399" i="2"/>
  <c r="E398" i="2"/>
  <c r="B398" i="2"/>
  <c r="E397" i="2"/>
  <c r="B397" i="2"/>
  <c r="E396" i="2"/>
  <c r="B396" i="2"/>
  <c r="E395" i="2"/>
  <c r="B395" i="2"/>
  <c r="E394" i="2"/>
  <c r="B394" i="2"/>
  <c r="E393" i="2"/>
  <c r="B393" i="2"/>
  <c r="E392" i="2"/>
  <c r="B392" i="2"/>
  <c r="E391" i="2"/>
  <c r="B391" i="2"/>
  <c r="E390" i="2"/>
  <c r="B390" i="2"/>
  <c r="E389" i="2"/>
  <c r="B389" i="2"/>
  <c r="E388" i="2"/>
  <c r="B388" i="2"/>
  <c r="E387" i="2"/>
  <c r="B387" i="2"/>
  <c r="E386" i="2"/>
  <c r="B386" i="2"/>
  <c r="E385" i="2"/>
  <c r="B385" i="2"/>
  <c r="E384" i="2"/>
  <c r="B384" i="2"/>
  <c r="E383" i="2"/>
  <c r="B383" i="2"/>
  <c r="E382" i="2"/>
  <c r="B382" i="2"/>
  <c r="E381" i="2"/>
  <c r="B381" i="2"/>
  <c r="E380" i="2"/>
  <c r="B380" i="2"/>
  <c r="E379" i="2"/>
  <c r="B379" i="2"/>
  <c r="E378" i="2"/>
  <c r="B378" i="2"/>
  <c r="E377" i="2"/>
  <c r="B377" i="2"/>
  <c r="E376" i="2"/>
  <c r="B376" i="2"/>
  <c r="E375" i="2"/>
  <c r="B375" i="2"/>
  <c r="E374" i="2"/>
  <c r="B374" i="2"/>
  <c r="E373" i="2"/>
  <c r="B373" i="2"/>
  <c r="E372" i="2"/>
  <c r="B372" i="2"/>
  <c r="E371" i="2"/>
  <c r="B371" i="2"/>
  <c r="E370" i="2"/>
  <c r="B370" i="2"/>
  <c r="E369" i="2"/>
  <c r="B369" i="2"/>
  <c r="E368" i="2"/>
  <c r="B368" i="2"/>
  <c r="E367" i="2"/>
  <c r="B367" i="2"/>
  <c r="E366" i="2"/>
  <c r="B366" i="2"/>
  <c r="E365" i="2"/>
  <c r="B365" i="2"/>
  <c r="E364" i="2"/>
  <c r="B364" i="2"/>
  <c r="E363" i="2"/>
  <c r="B363" i="2"/>
  <c r="E362" i="2"/>
  <c r="B362" i="2"/>
  <c r="E361" i="2"/>
  <c r="B361" i="2"/>
  <c r="E360" i="2"/>
  <c r="B360" i="2"/>
  <c r="E359" i="2"/>
  <c r="B359" i="2"/>
  <c r="E358" i="2"/>
  <c r="B358" i="2"/>
  <c r="E357" i="2"/>
  <c r="B357" i="2"/>
  <c r="E356" i="2"/>
  <c r="B356" i="2"/>
  <c r="E355" i="2"/>
  <c r="B355" i="2"/>
  <c r="E354" i="2"/>
  <c r="B354" i="2"/>
  <c r="E353" i="2"/>
  <c r="B353" i="2"/>
  <c r="E352" i="2"/>
  <c r="B352" i="2"/>
  <c r="E351" i="2"/>
  <c r="B351" i="2"/>
  <c r="E350" i="2"/>
  <c r="B350" i="2"/>
  <c r="E349" i="2"/>
  <c r="B349" i="2"/>
  <c r="E348" i="2"/>
  <c r="B348" i="2"/>
  <c r="E347" i="2"/>
  <c r="B347" i="2"/>
  <c r="E346" i="2"/>
  <c r="B346" i="2"/>
  <c r="E345" i="2"/>
  <c r="B345" i="2"/>
  <c r="E344" i="2"/>
  <c r="B344" i="2"/>
  <c r="E343" i="2"/>
  <c r="B343" i="2"/>
  <c r="E342" i="2"/>
  <c r="B342" i="2"/>
  <c r="E341" i="2"/>
  <c r="B341" i="2"/>
  <c r="E340" i="2"/>
  <c r="B340" i="2"/>
  <c r="E339" i="2"/>
  <c r="B339" i="2"/>
  <c r="E338" i="2"/>
  <c r="B338" i="2"/>
  <c r="E337" i="2"/>
  <c r="B337" i="2"/>
  <c r="E336" i="2"/>
  <c r="B336" i="2"/>
  <c r="E335" i="2"/>
  <c r="B335" i="2"/>
  <c r="E334" i="2"/>
  <c r="B334" i="2"/>
  <c r="E333" i="2"/>
  <c r="B333" i="2"/>
  <c r="E332" i="2"/>
  <c r="B332" i="2"/>
  <c r="E331" i="2"/>
  <c r="B331" i="2"/>
  <c r="E330" i="2"/>
  <c r="B330" i="2"/>
  <c r="E329" i="2"/>
  <c r="B329" i="2"/>
  <c r="E328" i="2"/>
  <c r="B328" i="2"/>
  <c r="E327" i="2"/>
  <c r="B327" i="2"/>
  <c r="E326" i="2"/>
  <c r="B326" i="2"/>
  <c r="E325" i="2"/>
  <c r="B325" i="2"/>
  <c r="E324" i="2"/>
  <c r="B324" i="2"/>
  <c r="E323" i="2"/>
  <c r="B323" i="2"/>
  <c r="E322" i="2"/>
  <c r="B322" i="2"/>
  <c r="E321" i="2"/>
  <c r="B321" i="2"/>
  <c r="E320" i="2"/>
  <c r="B320" i="2"/>
  <c r="E319" i="2"/>
  <c r="B319" i="2"/>
  <c r="E318" i="2"/>
  <c r="B318" i="2"/>
  <c r="E317" i="2"/>
  <c r="B317" i="2"/>
  <c r="E316" i="2"/>
  <c r="B316" i="2"/>
  <c r="E315" i="2"/>
  <c r="B315" i="2"/>
  <c r="E314" i="2"/>
  <c r="B314" i="2"/>
  <c r="E313" i="2"/>
  <c r="B313" i="2"/>
  <c r="E312" i="2"/>
  <c r="B312" i="2"/>
  <c r="E311" i="2"/>
  <c r="B311" i="2"/>
  <c r="E310" i="2"/>
  <c r="B310" i="2"/>
  <c r="E309" i="2"/>
  <c r="B309" i="2"/>
  <c r="E308" i="2"/>
  <c r="B308" i="2"/>
  <c r="E307" i="2"/>
  <c r="B307" i="2"/>
  <c r="E306" i="2"/>
  <c r="B306" i="2"/>
  <c r="E305" i="2"/>
  <c r="B305" i="2"/>
  <c r="E304" i="2"/>
  <c r="B304" i="2"/>
  <c r="E303" i="2"/>
  <c r="B303" i="2"/>
  <c r="E302" i="2"/>
  <c r="B302" i="2"/>
  <c r="E301" i="2"/>
  <c r="B301" i="2"/>
  <c r="E300" i="2"/>
  <c r="B300" i="2"/>
  <c r="E299" i="2"/>
  <c r="B299" i="2"/>
  <c r="E298" i="2"/>
  <c r="B298" i="2"/>
  <c r="E297" i="2"/>
  <c r="B297" i="2"/>
  <c r="E296" i="2"/>
  <c r="B296" i="2"/>
  <c r="E295" i="2"/>
  <c r="B295" i="2"/>
  <c r="E294" i="2"/>
  <c r="B294" i="2"/>
  <c r="E293" i="2"/>
  <c r="B293" i="2"/>
  <c r="E292" i="2"/>
  <c r="B292" i="2"/>
  <c r="E291" i="2"/>
  <c r="B291" i="2"/>
  <c r="E290" i="2"/>
  <c r="B290" i="2"/>
  <c r="E289" i="2"/>
  <c r="B289" i="2"/>
  <c r="E288" i="2"/>
  <c r="B288" i="2"/>
  <c r="E287" i="2"/>
  <c r="B287" i="2"/>
  <c r="E286" i="2"/>
  <c r="B286" i="2"/>
  <c r="E285" i="2"/>
  <c r="B285" i="2"/>
  <c r="E284" i="2"/>
  <c r="B284" i="2"/>
  <c r="E283" i="2"/>
  <c r="B283" i="2"/>
  <c r="E282" i="2"/>
  <c r="B282" i="2"/>
  <c r="E281" i="2"/>
  <c r="B281" i="2"/>
  <c r="E280" i="2"/>
  <c r="B280" i="2"/>
  <c r="E279" i="2"/>
  <c r="B279" i="2"/>
  <c r="E278" i="2"/>
  <c r="B278" i="2"/>
  <c r="E277" i="2"/>
  <c r="B277" i="2"/>
  <c r="E276" i="2"/>
  <c r="B276" i="2"/>
  <c r="E275" i="2"/>
  <c r="B275" i="2"/>
  <c r="E274" i="2"/>
  <c r="B274" i="2"/>
  <c r="E273" i="2"/>
  <c r="B273" i="2"/>
  <c r="E272" i="2"/>
  <c r="B272" i="2"/>
  <c r="E271" i="2"/>
  <c r="B271" i="2"/>
  <c r="E270" i="2"/>
  <c r="B270" i="2"/>
  <c r="E269" i="2"/>
  <c r="B269" i="2"/>
  <c r="E268" i="2"/>
  <c r="B268" i="2"/>
  <c r="E267" i="2"/>
  <c r="B267" i="2"/>
  <c r="E266" i="2"/>
  <c r="B266" i="2"/>
  <c r="E265" i="2"/>
  <c r="B265" i="2"/>
  <c r="E264" i="2"/>
  <c r="B264" i="2"/>
  <c r="E263" i="2"/>
  <c r="B263" i="2"/>
  <c r="E262" i="2"/>
  <c r="B262" i="2"/>
  <c r="E261" i="2"/>
  <c r="B261" i="2"/>
  <c r="E260" i="2"/>
  <c r="B260" i="2"/>
  <c r="E259" i="2"/>
  <c r="B259" i="2"/>
  <c r="E258" i="2"/>
  <c r="B258" i="2"/>
  <c r="E257" i="2"/>
  <c r="B257" i="2"/>
  <c r="E256" i="2"/>
  <c r="B256" i="2"/>
  <c r="E255" i="2"/>
  <c r="B255" i="2"/>
  <c r="E254" i="2"/>
  <c r="B254" i="2"/>
  <c r="E253" i="2"/>
  <c r="B253" i="2"/>
  <c r="E252" i="2"/>
  <c r="B252" i="2"/>
  <c r="E251" i="2"/>
  <c r="B251" i="2"/>
  <c r="E250" i="2"/>
  <c r="B250" i="2"/>
  <c r="E249" i="2"/>
  <c r="B249" i="2"/>
  <c r="E248" i="2"/>
  <c r="B248" i="2"/>
  <c r="E247" i="2"/>
  <c r="B247" i="2"/>
  <c r="E246" i="2"/>
  <c r="B246" i="2"/>
  <c r="E245" i="2"/>
  <c r="B245" i="2"/>
  <c r="E244" i="2"/>
  <c r="B244" i="2"/>
  <c r="E243" i="2"/>
  <c r="B243" i="2"/>
  <c r="E242" i="2"/>
  <c r="B242" i="2"/>
  <c r="E241" i="2"/>
  <c r="B241" i="2"/>
  <c r="E240" i="2"/>
  <c r="B240" i="2"/>
  <c r="E239" i="2"/>
  <c r="B239" i="2"/>
  <c r="E238" i="2"/>
  <c r="B238" i="2"/>
  <c r="E237" i="2"/>
  <c r="B237" i="2"/>
  <c r="E236" i="2"/>
  <c r="B236" i="2"/>
  <c r="E235" i="2"/>
  <c r="B235" i="2"/>
  <c r="E234" i="2"/>
  <c r="B234" i="2"/>
  <c r="E233" i="2"/>
  <c r="B233" i="2"/>
  <c r="E232" i="2"/>
  <c r="B232" i="2"/>
  <c r="E231" i="2"/>
  <c r="B231" i="2"/>
  <c r="E230" i="2"/>
  <c r="B230" i="2"/>
  <c r="E229" i="2"/>
  <c r="B229" i="2"/>
  <c r="E228" i="2"/>
  <c r="B228" i="2"/>
  <c r="E227" i="2"/>
  <c r="B227" i="2"/>
  <c r="E226" i="2"/>
  <c r="B226" i="2"/>
  <c r="E225" i="2"/>
  <c r="B225" i="2"/>
  <c r="E224" i="2"/>
  <c r="B224" i="2"/>
  <c r="E223" i="2"/>
  <c r="B223" i="2"/>
  <c r="E222" i="2"/>
  <c r="B222" i="2"/>
  <c r="E221" i="2"/>
  <c r="B221" i="2"/>
  <c r="E220" i="2"/>
  <c r="B220" i="2"/>
  <c r="E219" i="2"/>
  <c r="B219" i="2"/>
  <c r="E218" i="2"/>
  <c r="B218" i="2"/>
  <c r="E217" i="2"/>
  <c r="B217" i="2"/>
  <c r="E216" i="2"/>
  <c r="B216" i="2"/>
  <c r="E215" i="2"/>
  <c r="B215" i="2"/>
  <c r="E214" i="2"/>
  <c r="B214" i="2"/>
  <c r="E213" i="2"/>
  <c r="B213" i="2"/>
  <c r="E212" i="2"/>
  <c r="B212" i="2"/>
  <c r="E211" i="2"/>
  <c r="B211" i="2"/>
  <c r="E210" i="2"/>
  <c r="B210" i="2"/>
  <c r="E209" i="2"/>
  <c r="B209" i="2"/>
  <c r="E208" i="2"/>
  <c r="B208" i="2"/>
  <c r="E207" i="2"/>
  <c r="B207" i="2"/>
  <c r="E206" i="2"/>
  <c r="B206" i="2"/>
  <c r="E205" i="2"/>
  <c r="B205" i="2"/>
  <c r="E204" i="2"/>
  <c r="B204" i="2"/>
  <c r="E203" i="2"/>
  <c r="B203" i="2"/>
  <c r="E202" i="2"/>
  <c r="B202" i="2"/>
  <c r="E201" i="2"/>
  <c r="B201" i="2"/>
  <c r="E200" i="2"/>
  <c r="B200" i="2"/>
  <c r="E199" i="2"/>
  <c r="B199" i="2"/>
  <c r="E198" i="2"/>
  <c r="B198" i="2"/>
  <c r="E197" i="2"/>
  <c r="B197" i="2"/>
  <c r="E196" i="2"/>
  <c r="B196" i="2"/>
  <c r="E195" i="2"/>
  <c r="B195" i="2"/>
  <c r="E194" i="2"/>
  <c r="B194" i="2"/>
  <c r="E193" i="2"/>
  <c r="B193" i="2"/>
  <c r="E192" i="2"/>
  <c r="B192" i="2"/>
  <c r="E191" i="2"/>
  <c r="B191" i="2"/>
  <c r="E190" i="2"/>
  <c r="B190" i="2"/>
  <c r="E189" i="2"/>
  <c r="B189" i="2"/>
  <c r="E188" i="2"/>
  <c r="B188" i="2"/>
  <c r="E187" i="2"/>
  <c r="B187" i="2"/>
  <c r="E186" i="2"/>
  <c r="B186" i="2"/>
  <c r="E185" i="2"/>
  <c r="B185" i="2"/>
  <c r="E184" i="2"/>
  <c r="B184" i="2"/>
  <c r="E183" i="2"/>
  <c r="B183" i="2"/>
  <c r="E182" i="2"/>
  <c r="B182" i="2"/>
  <c r="E181" i="2"/>
  <c r="B181" i="2"/>
  <c r="E180" i="2"/>
  <c r="B180" i="2"/>
  <c r="E179" i="2"/>
  <c r="B179" i="2"/>
  <c r="E178" i="2"/>
  <c r="B178" i="2"/>
  <c r="E177" i="2"/>
  <c r="B177" i="2"/>
  <c r="E176" i="2"/>
  <c r="B176" i="2"/>
  <c r="E175" i="2"/>
  <c r="B175" i="2"/>
  <c r="E174" i="2"/>
  <c r="B174" i="2"/>
  <c r="E173" i="2"/>
  <c r="B173" i="2"/>
  <c r="E172" i="2"/>
  <c r="B172" i="2"/>
  <c r="E171" i="2"/>
  <c r="B171" i="2"/>
  <c r="E170" i="2"/>
  <c r="B170" i="2"/>
  <c r="E169" i="2"/>
  <c r="B169" i="2"/>
  <c r="E168" i="2"/>
  <c r="B168" i="2"/>
  <c r="E167" i="2"/>
  <c r="B167" i="2"/>
  <c r="E166" i="2"/>
  <c r="B166" i="2"/>
  <c r="E165" i="2"/>
  <c r="B165" i="2"/>
  <c r="E164" i="2"/>
  <c r="B164" i="2"/>
  <c r="E163" i="2"/>
  <c r="B163" i="2"/>
  <c r="E162" i="2"/>
  <c r="B162" i="2"/>
  <c r="E161" i="2"/>
  <c r="B161" i="2"/>
  <c r="E160" i="2"/>
  <c r="B160" i="2"/>
  <c r="E159" i="2"/>
  <c r="B159" i="2"/>
  <c r="E158" i="2"/>
  <c r="B158" i="2"/>
  <c r="E157" i="2"/>
  <c r="B157" i="2"/>
  <c r="E156" i="2"/>
  <c r="B156" i="2"/>
  <c r="E155" i="2"/>
  <c r="B155" i="2"/>
  <c r="E154" i="2"/>
  <c r="B154" i="2"/>
  <c r="E153" i="2"/>
  <c r="B153" i="2"/>
  <c r="E152" i="2"/>
  <c r="B152" i="2"/>
  <c r="E151" i="2"/>
  <c r="B151" i="2"/>
  <c r="E150" i="2"/>
  <c r="B150" i="2"/>
  <c r="E149" i="2"/>
  <c r="B149" i="2"/>
  <c r="E148" i="2"/>
  <c r="B148" i="2"/>
  <c r="E147" i="2"/>
  <c r="B147" i="2"/>
  <c r="E146" i="2"/>
  <c r="B146" i="2"/>
  <c r="E145" i="2"/>
  <c r="B145" i="2"/>
  <c r="E144" i="2"/>
  <c r="B144" i="2"/>
  <c r="E143" i="2"/>
  <c r="B143" i="2"/>
  <c r="E142" i="2"/>
  <c r="B142" i="2"/>
  <c r="E141" i="2"/>
  <c r="B141" i="2"/>
  <c r="E140" i="2"/>
  <c r="B140" i="2"/>
  <c r="E139" i="2"/>
  <c r="B139" i="2"/>
  <c r="E138" i="2"/>
  <c r="B138" i="2"/>
  <c r="E137" i="2"/>
  <c r="B137" i="2"/>
  <c r="E136" i="2"/>
  <c r="B136" i="2"/>
  <c r="E135" i="2"/>
  <c r="B135" i="2"/>
  <c r="E134" i="2"/>
  <c r="B134" i="2"/>
  <c r="E133" i="2"/>
  <c r="B133" i="2"/>
  <c r="E132" i="2"/>
  <c r="B132" i="2"/>
  <c r="E131" i="2"/>
  <c r="B131" i="2"/>
  <c r="E130" i="2"/>
  <c r="B130" i="2"/>
  <c r="E129" i="2"/>
  <c r="B129" i="2"/>
  <c r="E128" i="2"/>
  <c r="B128" i="2"/>
  <c r="E127" i="2"/>
  <c r="B127" i="2"/>
  <c r="E126" i="2"/>
  <c r="B126" i="2"/>
  <c r="E125" i="2"/>
  <c r="B125" i="2"/>
  <c r="E124" i="2"/>
  <c r="B124" i="2"/>
  <c r="E123" i="2"/>
  <c r="B123" i="2"/>
  <c r="E122" i="2"/>
  <c r="B122" i="2"/>
  <c r="E121" i="2"/>
  <c r="B121" i="2"/>
  <c r="E120" i="2"/>
  <c r="B120" i="2"/>
  <c r="E119" i="2"/>
  <c r="B119" i="2"/>
  <c r="E118" i="2"/>
  <c r="B118" i="2"/>
  <c r="E117" i="2"/>
  <c r="B117" i="2"/>
  <c r="E116" i="2"/>
  <c r="B116" i="2"/>
  <c r="E115" i="2"/>
  <c r="B115" i="2"/>
  <c r="E114" i="2"/>
  <c r="B114" i="2"/>
  <c r="E113" i="2"/>
  <c r="B113" i="2"/>
  <c r="E112" i="2"/>
  <c r="B112" i="2"/>
  <c r="E111" i="2"/>
  <c r="B111" i="2"/>
  <c r="E110" i="2"/>
  <c r="B110" i="2"/>
  <c r="E109" i="2"/>
  <c r="B109" i="2"/>
  <c r="E108" i="2"/>
  <c r="B108" i="2"/>
  <c r="E107" i="2"/>
  <c r="B107" i="2"/>
  <c r="E106" i="2"/>
  <c r="B106" i="2"/>
  <c r="E105" i="2"/>
  <c r="B105" i="2"/>
  <c r="E104" i="2"/>
  <c r="B104" i="2"/>
  <c r="E103" i="2"/>
  <c r="B103" i="2"/>
  <c r="E102" i="2"/>
  <c r="B102" i="2"/>
  <c r="E101" i="2"/>
  <c r="B101" i="2"/>
  <c r="E100" i="2"/>
  <c r="B100" i="2"/>
  <c r="E99" i="2"/>
  <c r="B99" i="2"/>
  <c r="E98" i="2"/>
  <c r="B98" i="2"/>
  <c r="E97" i="2"/>
  <c r="B97" i="2"/>
  <c r="E96" i="2"/>
  <c r="B96" i="2"/>
  <c r="E95" i="2"/>
  <c r="B95" i="2"/>
  <c r="E94" i="2"/>
  <c r="B94" i="2"/>
  <c r="E93" i="2"/>
  <c r="B93" i="2"/>
  <c r="E92" i="2"/>
  <c r="B92" i="2"/>
  <c r="E91" i="2"/>
  <c r="B91" i="2"/>
  <c r="E90" i="2"/>
  <c r="B90" i="2"/>
  <c r="E89" i="2"/>
  <c r="B89" i="2"/>
  <c r="E88" i="2"/>
  <c r="B88" i="2"/>
  <c r="E87" i="2"/>
  <c r="B87" i="2"/>
  <c r="E86" i="2"/>
  <c r="B86" i="2"/>
  <c r="E85" i="2"/>
  <c r="B85" i="2"/>
  <c r="E84" i="2"/>
  <c r="B84" i="2"/>
  <c r="E83" i="2"/>
  <c r="B83" i="2"/>
  <c r="E82" i="2"/>
  <c r="B82" i="2"/>
  <c r="E81" i="2"/>
  <c r="B81" i="2"/>
  <c r="E80" i="2"/>
  <c r="B80" i="2"/>
  <c r="E79" i="2"/>
  <c r="B79" i="2"/>
  <c r="E78" i="2"/>
  <c r="B78" i="2"/>
  <c r="E77" i="2"/>
  <c r="B77" i="2"/>
  <c r="E76" i="2"/>
  <c r="B76" i="2"/>
  <c r="E75" i="2"/>
  <c r="B75" i="2"/>
  <c r="E74" i="2"/>
  <c r="B74" i="2"/>
  <c r="E73" i="2"/>
  <c r="B73" i="2"/>
  <c r="E72" i="2"/>
  <c r="B72" i="2"/>
  <c r="E71" i="2"/>
  <c r="B71" i="2"/>
  <c r="E70" i="2"/>
  <c r="B70" i="2"/>
  <c r="E69" i="2"/>
  <c r="B69" i="2"/>
  <c r="E68" i="2"/>
  <c r="B68" i="2"/>
  <c r="E67" i="2"/>
  <c r="B67" i="2"/>
  <c r="E66" i="2"/>
  <c r="B66" i="2"/>
  <c r="E65" i="2"/>
  <c r="B65" i="2"/>
  <c r="E64" i="2"/>
  <c r="B64" i="2"/>
  <c r="E63" i="2"/>
  <c r="B63" i="2"/>
  <c r="E62" i="2"/>
  <c r="B62" i="2"/>
  <c r="E61" i="2"/>
  <c r="B61" i="2"/>
  <c r="E60" i="2"/>
  <c r="B60" i="2"/>
  <c r="E59" i="2"/>
  <c r="B59" i="2"/>
  <c r="E58" i="2"/>
  <c r="B58" i="2"/>
  <c r="E57" i="2"/>
  <c r="B57" i="2"/>
  <c r="E56" i="2"/>
  <c r="B56" i="2"/>
  <c r="E55" i="2"/>
  <c r="B55" i="2"/>
  <c r="E54" i="2"/>
  <c r="B54" i="2"/>
  <c r="E53" i="2"/>
  <c r="B53" i="2"/>
  <c r="E52" i="2"/>
  <c r="B52" i="2"/>
  <c r="E51" i="2"/>
  <c r="B51" i="2"/>
  <c r="E50" i="2"/>
  <c r="B50" i="2"/>
  <c r="E49" i="2"/>
  <c r="B49" i="2"/>
  <c r="E48" i="2"/>
  <c r="B48" i="2"/>
  <c r="E47" i="2"/>
  <c r="B47" i="2"/>
  <c r="E46" i="2"/>
  <c r="B46" i="2"/>
  <c r="E45" i="2"/>
  <c r="B45" i="2"/>
  <c r="E44" i="2"/>
  <c r="B44" i="2"/>
  <c r="E43" i="2"/>
  <c r="B43" i="2"/>
  <c r="E42" i="2"/>
  <c r="B42" i="2"/>
  <c r="E41" i="2"/>
  <c r="B41" i="2"/>
  <c r="E40" i="2"/>
  <c r="B40" i="2"/>
  <c r="E39" i="2"/>
  <c r="B39" i="2"/>
  <c r="E38" i="2"/>
  <c r="B38" i="2"/>
  <c r="E37" i="2"/>
  <c r="B37" i="2"/>
  <c r="E36" i="2"/>
  <c r="B36" i="2"/>
  <c r="E35" i="2"/>
  <c r="B35" i="2"/>
  <c r="E34" i="2"/>
  <c r="B34" i="2"/>
  <c r="E33" i="2"/>
  <c r="B33" i="2"/>
  <c r="E32" i="2"/>
  <c r="B32" i="2"/>
  <c r="E31" i="2"/>
  <c r="B31" i="2"/>
  <c r="E30" i="2"/>
  <c r="B30" i="2"/>
  <c r="E29" i="2"/>
  <c r="B29" i="2"/>
  <c r="E28" i="2"/>
  <c r="B28" i="2"/>
  <c r="E27" i="2"/>
  <c r="B27" i="2"/>
  <c r="E26" i="2"/>
  <c r="B26" i="2"/>
  <c r="E25" i="2"/>
  <c r="B25" i="2"/>
  <c r="E24" i="2"/>
  <c r="B24" i="2"/>
  <c r="E23" i="2"/>
  <c r="B23" i="2"/>
  <c r="E22" i="2"/>
  <c r="B22" i="2"/>
  <c r="E21" i="2"/>
  <c r="B21" i="2"/>
  <c r="E20" i="2"/>
  <c r="B20" i="2"/>
  <c r="E19" i="2"/>
  <c r="B19" i="2"/>
  <c r="E18" i="2"/>
  <c r="B18" i="2"/>
  <c r="E17" i="2"/>
  <c r="B17" i="2"/>
  <c r="E16" i="2"/>
  <c r="B16" i="2"/>
  <c r="E15" i="2"/>
  <c r="B15" i="2"/>
  <c r="E14" i="2"/>
  <c r="B14" i="2"/>
  <c r="E13" i="2"/>
  <c r="B13" i="2"/>
  <c r="E12" i="2"/>
  <c r="B12" i="2"/>
  <c r="E11" i="2"/>
  <c r="B11" i="2"/>
  <c r="E10" i="2"/>
  <c r="B10" i="2"/>
  <c r="E9" i="2"/>
  <c r="B9" i="2"/>
  <c r="E8" i="2"/>
  <c r="B8" i="2"/>
  <c r="E7" i="2"/>
  <c r="B7" i="2"/>
  <c r="E6" i="2"/>
  <c r="B6" i="2"/>
  <c r="E5" i="2"/>
  <c r="B5" i="2"/>
  <c r="E4" i="2"/>
  <c r="B4" i="2"/>
  <c r="D2" i="2"/>
  <c r="D1" i="2"/>
  <c r="E3852" i="1"/>
  <c r="B3852" i="1"/>
  <c r="E3736" i="1"/>
  <c r="B3736" i="1"/>
  <c r="E3417" i="1"/>
  <c r="B3417" i="1"/>
  <c r="E3818" i="1"/>
  <c r="B3818" i="1"/>
  <c r="E3779" i="1"/>
  <c r="B3779" i="1"/>
  <c r="E3774" i="1"/>
  <c r="B3774" i="1"/>
  <c r="E3750" i="1"/>
  <c r="B3750" i="1"/>
  <c r="E3527" i="1"/>
  <c r="B3527" i="1"/>
  <c r="E3521" i="1"/>
  <c r="B3521" i="1"/>
  <c r="E3402" i="1"/>
  <c r="B3402" i="1"/>
  <c r="E3391" i="1"/>
  <c r="B3391" i="1"/>
  <c r="E3847" i="1"/>
  <c r="B3847" i="1"/>
  <c r="E3832" i="1"/>
  <c r="B3832" i="1"/>
  <c r="E3808" i="1"/>
  <c r="B3808" i="1"/>
  <c r="E3803" i="1"/>
  <c r="B3803" i="1"/>
  <c r="E3793" i="1"/>
  <c r="B3793" i="1"/>
  <c r="E3788" i="1"/>
  <c r="B3788" i="1"/>
  <c r="E3759" i="1"/>
  <c r="B3759" i="1"/>
  <c r="E3633" i="1"/>
  <c r="B3633" i="1"/>
  <c r="E3507" i="1"/>
  <c r="B3507" i="1"/>
  <c r="E3416" i="1"/>
  <c r="B3416" i="1"/>
  <c r="E3385" i="1"/>
  <c r="B3385" i="1"/>
  <c r="E3323" i="1"/>
  <c r="B3323" i="1"/>
  <c r="E3057" i="1"/>
  <c r="B3057" i="1"/>
  <c r="E3838" i="1"/>
  <c r="B3838" i="1"/>
  <c r="E3745" i="1"/>
  <c r="B3745" i="1"/>
  <c r="E3731" i="1"/>
  <c r="B3731" i="1"/>
  <c r="E3707" i="1"/>
  <c r="B3707" i="1"/>
  <c r="E3688" i="1"/>
  <c r="B3688" i="1"/>
  <c r="E3632" i="1"/>
  <c r="B3632" i="1"/>
  <c r="E3617" i="1"/>
  <c r="B3617" i="1"/>
  <c r="E3566" i="1"/>
  <c r="B3566" i="1"/>
  <c r="E3536" i="1"/>
  <c r="B3536" i="1"/>
  <c r="E3432" i="1"/>
  <c r="B3432" i="1"/>
  <c r="E3386" i="1"/>
  <c r="B3386" i="1"/>
  <c r="E3280" i="1"/>
  <c r="B3280" i="1"/>
  <c r="E3215" i="1"/>
  <c r="B3215" i="1"/>
  <c r="E3119" i="1"/>
  <c r="B3119" i="1"/>
  <c r="E3061" i="1"/>
  <c r="B3061" i="1"/>
  <c r="E3058" i="1"/>
  <c r="B3058" i="1"/>
  <c r="E3823" i="1"/>
  <c r="B3823" i="1"/>
  <c r="E3697" i="1"/>
  <c r="B3697" i="1"/>
  <c r="E3683" i="1"/>
  <c r="B3683" i="1"/>
  <c r="E3648" i="1"/>
  <c r="B3648" i="1"/>
  <c r="E3642" i="1"/>
  <c r="B3642" i="1"/>
  <c r="E3550" i="1"/>
  <c r="B3550" i="1"/>
  <c r="E3369" i="1"/>
  <c r="B3369" i="1"/>
  <c r="E3340" i="1"/>
  <c r="B3340" i="1"/>
  <c r="E3237" i="1"/>
  <c r="B3237" i="1"/>
  <c r="E3718" i="1"/>
  <c r="B3718" i="1"/>
  <c r="E3673" i="1"/>
  <c r="B3673" i="1"/>
  <c r="E3668" i="1"/>
  <c r="B3668" i="1"/>
  <c r="E3556" i="1"/>
  <c r="B3556" i="1"/>
  <c r="E3541" i="1"/>
  <c r="B3541" i="1"/>
  <c r="E3512" i="1"/>
  <c r="B3512" i="1"/>
  <c r="E3407" i="1"/>
  <c r="B3407" i="1"/>
  <c r="E3360" i="1"/>
  <c r="B3360" i="1"/>
  <c r="E3314" i="1"/>
  <c r="B3314" i="1"/>
  <c r="E3309" i="1"/>
  <c r="B3309" i="1"/>
  <c r="E3300" i="1"/>
  <c r="B3300" i="1"/>
  <c r="E3269" i="1"/>
  <c r="B3269" i="1"/>
  <c r="E3125" i="1"/>
  <c r="B3125" i="1"/>
  <c r="E3088" i="1"/>
  <c r="B3088" i="1"/>
  <c r="E3053" i="1"/>
  <c r="B3053" i="1"/>
  <c r="E3038" i="1"/>
  <c r="B3038" i="1"/>
  <c r="E3019" i="1"/>
  <c r="B3019" i="1"/>
  <c r="E3764" i="1"/>
  <c r="B3764" i="1"/>
  <c r="E3712" i="1"/>
  <c r="B3712" i="1"/>
  <c r="E3657" i="1"/>
  <c r="B3657" i="1"/>
  <c r="E3582" i="1"/>
  <c r="B3582" i="1"/>
  <c r="E3572" i="1"/>
  <c r="B3572" i="1"/>
  <c r="E3461" i="1"/>
  <c r="B3461" i="1"/>
  <c r="E3345" i="1"/>
  <c r="B3345" i="1"/>
  <c r="E3330" i="1"/>
  <c r="B3330" i="1"/>
  <c r="E3232" i="1"/>
  <c r="B3232" i="1"/>
  <c r="E3189" i="1"/>
  <c r="B3189" i="1"/>
  <c r="E3089" i="1"/>
  <c r="B3089" i="1"/>
  <c r="E2989" i="1"/>
  <c r="B2989" i="1"/>
  <c r="E2922" i="1"/>
  <c r="B2922" i="1"/>
  <c r="E3663" i="1"/>
  <c r="B3663" i="1"/>
  <c r="E3596" i="1"/>
  <c r="B3596" i="1"/>
  <c r="E3423" i="1"/>
  <c r="B3423" i="1"/>
  <c r="E3392" i="1"/>
  <c r="B3392" i="1"/>
  <c r="E3384" i="1"/>
  <c r="B3384" i="1"/>
  <c r="E3359" i="1"/>
  <c r="B3359" i="1"/>
  <c r="E3295" i="1"/>
  <c r="B3295" i="1"/>
  <c r="E3231" i="1"/>
  <c r="B3231" i="1"/>
  <c r="E3205" i="1"/>
  <c r="B3205" i="1"/>
  <c r="E3200" i="1"/>
  <c r="B3200" i="1"/>
  <c r="E3199" i="1"/>
  <c r="B3199" i="1"/>
  <c r="E3127" i="1"/>
  <c r="B3127" i="1"/>
  <c r="E3054" i="1"/>
  <c r="B3054" i="1"/>
  <c r="E2805" i="1"/>
  <c r="B2805" i="1"/>
  <c r="E3597" i="1"/>
  <c r="B3597" i="1"/>
  <c r="E3492" i="1"/>
  <c r="B3492" i="1"/>
  <c r="E3477" i="1"/>
  <c r="B3477" i="1"/>
  <c r="E3294" i="1"/>
  <c r="B3294" i="1"/>
  <c r="E3254" i="1"/>
  <c r="B3254" i="1"/>
  <c r="E3056" i="1"/>
  <c r="B3056" i="1"/>
  <c r="E2996" i="1"/>
  <c r="B2996" i="1"/>
  <c r="E2869" i="1"/>
  <c r="B2869" i="1"/>
  <c r="E3497" i="1"/>
  <c r="B3497" i="1"/>
  <c r="E3329" i="1"/>
  <c r="B3329" i="1"/>
  <c r="E3263" i="1"/>
  <c r="B3263" i="1"/>
  <c r="E3253" i="1"/>
  <c r="B3253" i="1"/>
  <c r="E3173" i="1"/>
  <c r="B3173" i="1"/>
  <c r="E3104" i="1"/>
  <c r="B3104" i="1"/>
  <c r="E3090" i="1"/>
  <c r="B3090" i="1"/>
  <c r="E3079" i="1"/>
  <c r="B3079" i="1"/>
  <c r="E2988" i="1"/>
  <c r="B2988" i="1"/>
  <c r="E2985" i="1"/>
  <c r="B2985" i="1"/>
  <c r="E2798" i="1"/>
  <c r="B2798" i="1"/>
  <c r="E2795" i="1"/>
  <c r="B2795" i="1"/>
  <c r="E2778" i="1"/>
  <c r="B2778" i="1"/>
  <c r="E2758" i="1"/>
  <c r="B2758" i="1"/>
  <c r="E2692" i="1"/>
  <c r="B2692" i="1"/>
  <c r="E2648" i="1"/>
  <c r="B2648" i="1"/>
  <c r="E3285" i="1"/>
  <c r="B3285" i="1"/>
  <c r="E3279" i="1"/>
  <c r="B3279" i="1"/>
  <c r="E3270" i="1"/>
  <c r="B3270" i="1"/>
  <c r="E3247" i="1"/>
  <c r="B3247" i="1"/>
  <c r="E3157" i="1"/>
  <c r="B3157" i="1"/>
  <c r="E3141" i="1"/>
  <c r="B3141" i="1"/>
  <c r="E3126" i="1"/>
  <c r="B3126" i="1"/>
  <c r="E3065" i="1"/>
  <c r="B3065" i="1"/>
  <c r="E3339" i="1"/>
  <c r="B3339" i="1"/>
  <c r="E3248" i="1"/>
  <c r="B3248" i="1"/>
  <c r="E3060" i="1"/>
  <c r="B3060" i="1"/>
  <c r="E2995" i="1"/>
  <c r="B2995" i="1"/>
  <c r="E2794" i="1"/>
  <c r="B2794" i="1"/>
  <c r="E2759" i="1"/>
  <c r="B2759" i="1"/>
  <c r="E3354" i="1"/>
  <c r="B3354" i="1"/>
  <c r="E3183" i="1"/>
  <c r="B3183" i="1"/>
  <c r="E3167" i="1"/>
  <c r="B3167" i="1"/>
  <c r="E3062" i="1"/>
  <c r="B3062" i="1"/>
  <c r="E2992" i="1"/>
  <c r="B2992" i="1"/>
  <c r="E2990" i="1"/>
  <c r="B2990" i="1"/>
  <c r="E2986" i="1"/>
  <c r="B2986" i="1"/>
  <c r="E2979" i="1"/>
  <c r="B2979" i="1"/>
  <c r="E2721" i="1"/>
  <c r="B2721" i="1"/>
  <c r="E3611" i="1"/>
  <c r="B3611" i="1"/>
  <c r="E3451" i="1"/>
  <c r="B3451" i="1"/>
  <c r="E3401" i="1"/>
  <c r="B3401" i="1"/>
  <c r="E3370" i="1"/>
  <c r="B3370" i="1"/>
  <c r="E3238" i="1"/>
  <c r="B3238" i="1"/>
  <c r="E3142" i="1"/>
  <c r="B3142" i="1"/>
  <c r="E3136" i="1"/>
  <c r="B3136" i="1"/>
  <c r="E3095" i="1"/>
  <c r="B3095" i="1"/>
  <c r="E3052" i="1"/>
  <c r="B3052" i="1"/>
  <c r="E3024" i="1"/>
  <c r="B3024" i="1"/>
  <c r="E2994" i="1"/>
  <c r="B2994" i="1"/>
  <c r="E2776" i="1"/>
  <c r="B2776" i="1"/>
  <c r="E2757" i="1"/>
  <c r="B2757" i="1"/>
  <c r="E2756" i="1"/>
  <c r="B2756" i="1"/>
  <c r="E1925" i="1"/>
  <c r="B1925" i="1"/>
  <c r="E3467" i="1"/>
  <c r="B3467" i="1"/>
  <c r="E3110" i="1"/>
  <c r="B3110" i="1"/>
  <c r="E3051" i="1"/>
  <c r="B3051" i="1"/>
  <c r="E2987" i="1"/>
  <c r="B2987" i="1"/>
  <c r="E2796" i="1"/>
  <c r="B2796" i="1"/>
  <c r="E2753" i="1"/>
  <c r="B2753" i="1"/>
  <c r="E2687" i="1"/>
  <c r="B2687" i="1"/>
  <c r="E2006" i="1"/>
  <c r="B2006" i="1"/>
  <c r="E3438" i="1"/>
  <c r="B3438" i="1"/>
  <c r="E3324" i="1"/>
  <c r="B3324" i="1"/>
  <c r="E3222" i="1"/>
  <c r="B3222" i="1"/>
  <c r="E3216" i="1"/>
  <c r="B3216" i="1"/>
  <c r="E2942" i="1"/>
  <c r="B2942" i="1"/>
  <c r="E2824" i="1"/>
  <c r="B2824" i="1"/>
  <c r="E2823" i="1"/>
  <c r="B2823" i="1"/>
  <c r="E2820" i="1"/>
  <c r="B2820" i="1"/>
  <c r="E2806" i="1"/>
  <c r="B2806" i="1"/>
  <c r="E2760" i="1"/>
  <c r="B2760" i="1"/>
  <c r="E2755" i="1"/>
  <c r="B2755" i="1"/>
  <c r="E2693" i="1"/>
  <c r="B2693" i="1"/>
  <c r="E2670" i="1"/>
  <c r="B2670" i="1"/>
  <c r="E3184" i="1"/>
  <c r="B3184" i="1"/>
  <c r="E3151" i="1"/>
  <c r="B3151" i="1"/>
  <c r="E2913" i="1"/>
  <c r="B2913" i="1"/>
  <c r="E2838" i="1"/>
  <c r="B2838" i="1"/>
  <c r="E2822" i="1"/>
  <c r="B2822" i="1"/>
  <c r="E2774" i="1"/>
  <c r="B2774" i="1"/>
  <c r="E2614" i="1"/>
  <c r="B2614" i="1"/>
  <c r="E3168" i="1"/>
  <c r="B3168" i="1"/>
  <c r="E3158" i="1"/>
  <c r="B3158" i="1"/>
  <c r="E3105" i="1"/>
  <c r="B3105" i="1"/>
  <c r="E3055" i="1"/>
  <c r="B3055" i="1"/>
  <c r="E2991" i="1"/>
  <c r="B2991" i="1"/>
  <c r="E2854" i="1"/>
  <c r="B2854" i="1"/>
  <c r="E2777" i="1"/>
  <c r="B2777" i="1"/>
  <c r="E3156" i="1"/>
  <c r="B3156" i="1"/>
  <c r="E3120" i="1"/>
  <c r="B3120" i="1"/>
  <c r="E3059" i="1"/>
  <c r="B3059" i="1"/>
  <c r="E2923" i="1"/>
  <c r="B2923" i="1"/>
  <c r="E2908" i="1"/>
  <c r="B2908" i="1"/>
  <c r="E2804" i="1"/>
  <c r="B2804" i="1"/>
  <c r="E2784" i="1"/>
  <c r="B2784" i="1"/>
  <c r="E2669" i="1"/>
  <c r="B2669" i="1"/>
  <c r="E2254" i="1"/>
  <c r="B2254" i="1"/>
  <c r="E3833" i="1"/>
  <c r="B3833" i="1"/>
  <c r="E3794" i="1"/>
  <c r="B3794" i="1"/>
  <c r="E3264" i="1"/>
  <c r="B3264" i="1"/>
  <c r="E2970" i="1"/>
  <c r="B2970" i="1"/>
  <c r="E2848" i="1"/>
  <c r="B2848" i="1"/>
  <c r="E3570" i="1"/>
  <c r="B3570" i="1"/>
  <c r="E3074" i="1"/>
  <c r="B3074" i="1"/>
  <c r="E2993" i="1"/>
  <c r="B2993" i="1"/>
  <c r="E2980" i="1"/>
  <c r="B2980" i="1"/>
  <c r="E2899" i="1"/>
  <c r="B2899" i="1"/>
  <c r="E2894" i="1"/>
  <c r="B2894" i="1"/>
  <c r="E2775" i="1"/>
  <c r="B2775" i="1"/>
  <c r="E2688" i="1"/>
  <c r="B2688" i="1"/>
  <c r="E3502" i="1"/>
  <c r="B3502" i="1"/>
  <c r="E3396" i="1"/>
  <c r="B3396" i="1"/>
  <c r="E3174" i="1"/>
  <c r="B3174" i="1"/>
  <c r="E2937" i="1"/>
  <c r="B2937" i="1"/>
  <c r="E2793" i="1"/>
  <c r="B2793" i="1"/>
  <c r="E2119" i="1"/>
  <c r="B2119" i="1"/>
  <c r="E3765" i="1"/>
  <c r="B3765" i="1"/>
  <c r="E3005" i="1"/>
  <c r="B3005" i="1"/>
  <c r="E2928" i="1"/>
  <c r="B2928" i="1"/>
  <c r="E2815" i="1"/>
  <c r="B2815" i="1"/>
  <c r="E2797" i="1"/>
  <c r="B2797" i="1"/>
  <c r="E2525" i="1"/>
  <c r="B2525" i="1"/>
  <c r="E2231" i="1"/>
  <c r="B2231" i="1"/>
  <c r="E3809" i="1"/>
  <c r="B3809" i="1"/>
  <c r="E2689" i="1"/>
  <c r="B2689" i="1"/>
  <c r="E1991" i="1"/>
  <c r="B1991" i="1"/>
  <c r="E3701" i="1"/>
  <c r="B3701" i="1"/>
  <c r="E3674" i="1"/>
  <c r="B3674" i="1"/>
  <c r="E3591" i="1"/>
  <c r="B3591" i="1"/>
  <c r="E2821" i="1"/>
  <c r="B2821" i="1"/>
  <c r="E2754" i="1"/>
  <c r="B2754" i="1"/>
  <c r="E2739" i="1"/>
  <c r="B2739" i="1"/>
  <c r="E3717" i="1"/>
  <c r="B3717" i="1"/>
  <c r="E3471" i="1"/>
  <c r="B3471" i="1"/>
  <c r="E3436" i="1"/>
  <c r="B3436" i="1"/>
  <c r="E3206" i="1"/>
  <c r="B3206" i="1"/>
  <c r="E2855" i="1"/>
  <c r="B2855" i="1"/>
  <c r="E2199" i="1"/>
  <c r="B2199" i="1"/>
  <c r="E3848" i="1"/>
  <c r="B3848" i="1"/>
  <c r="E3839" i="1"/>
  <c r="B3839" i="1"/>
  <c r="E3375" i="1"/>
  <c r="B3375" i="1"/>
  <c r="E3010" i="1"/>
  <c r="B3010" i="1"/>
  <c r="E2893" i="1"/>
  <c r="B2893" i="1"/>
  <c r="E2418" i="1"/>
  <c r="B2418" i="1"/>
  <c r="E2021" i="1"/>
  <c r="B2021" i="1"/>
  <c r="E3758" i="1"/>
  <c r="B3758" i="1"/>
  <c r="E3631" i="1"/>
  <c r="B3631" i="1"/>
  <c r="E3526" i="1"/>
  <c r="B3526" i="1"/>
  <c r="E3850" i="1"/>
  <c r="B3850" i="1"/>
  <c r="E3654" i="1"/>
  <c r="B3654" i="1"/>
  <c r="E3475" i="1"/>
  <c r="B3475" i="1"/>
  <c r="E2951" i="1"/>
  <c r="B2951" i="1"/>
  <c r="E2481" i="1"/>
  <c r="B2481" i="1"/>
  <c r="E2395" i="1"/>
  <c r="B2395" i="1"/>
  <c r="E2347" i="1"/>
  <c r="B2347" i="1"/>
  <c r="E3706" i="1"/>
  <c r="B3706" i="1"/>
  <c r="E3555" i="1"/>
  <c r="B3555" i="1"/>
  <c r="E3487" i="1"/>
  <c r="B3487" i="1"/>
  <c r="E3063" i="1"/>
  <c r="B3063" i="1"/>
  <c r="E2691" i="1"/>
  <c r="B2691" i="1"/>
  <c r="E2505" i="1"/>
  <c r="B2505" i="1"/>
  <c r="E2480" i="1"/>
  <c r="B2480" i="1"/>
  <c r="E2206" i="1"/>
  <c r="B2206" i="1"/>
  <c r="E2000" i="1"/>
  <c r="B2000" i="1"/>
  <c r="E1957" i="1"/>
  <c r="B1957" i="1"/>
  <c r="E3849" i="1"/>
  <c r="B3849" i="1"/>
  <c r="E3618" i="1"/>
  <c r="B3618" i="1"/>
  <c r="E2965" i="1"/>
  <c r="B2965" i="1"/>
  <c r="E2656" i="1"/>
  <c r="B2656" i="1"/>
  <c r="E3689" i="1"/>
  <c r="B3689" i="1"/>
  <c r="E3625" i="1"/>
  <c r="B3625" i="1"/>
  <c r="E3452" i="1"/>
  <c r="B3452" i="1"/>
  <c r="E2253" i="1"/>
  <c r="B2253" i="1"/>
  <c r="E1715" i="1"/>
  <c r="B1715" i="1"/>
  <c r="E1652" i="1"/>
  <c r="B1652" i="1"/>
  <c r="E1517" i="1"/>
  <c r="B1517" i="1"/>
  <c r="E3798" i="1"/>
  <c r="B3798" i="1"/>
  <c r="E3751" i="1"/>
  <c r="B3751" i="1"/>
  <c r="E3737" i="1"/>
  <c r="B3737" i="1"/>
  <c r="E3672" i="1"/>
  <c r="B3672" i="1"/>
  <c r="E3656" i="1"/>
  <c r="B3656" i="1"/>
  <c r="E3033" i="1"/>
  <c r="B3033" i="1"/>
  <c r="E2783" i="1"/>
  <c r="B2783" i="1"/>
  <c r="E2765" i="1"/>
  <c r="B2765" i="1"/>
  <c r="E2363" i="1"/>
  <c r="B2363" i="1"/>
  <c r="E2330" i="1"/>
  <c r="B2330" i="1"/>
  <c r="E3795" i="1"/>
  <c r="B3795" i="1"/>
  <c r="E3755" i="1"/>
  <c r="B3755" i="1"/>
  <c r="E3723" i="1"/>
  <c r="B3723" i="1"/>
  <c r="E3637" i="1"/>
  <c r="B3637" i="1"/>
  <c r="E3602" i="1"/>
  <c r="B3602" i="1"/>
  <c r="E3775" i="1"/>
  <c r="B3775" i="1"/>
  <c r="E3754" i="1"/>
  <c r="B3754" i="1"/>
  <c r="E3783" i="1"/>
  <c r="B3783" i="1"/>
  <c r="E3667" i="1"/>
  <c r="B3667" i="1"/>
  <c r="E3735" i="1"/>
  <c r="B3735" i="1"/>
  <c r="E3708" i="1"/>
  <c r="B3708" i="1"/>
  <c r="E3612" i="1"/>
  <c r="B3612" i="1"/>
  <c r="E3549" i="1"/>
  <c r="B3549" i="1"/>
  <c r="E2451" i="1"/>
  <c r="B2451" i="1"/>
  <c r="E3813" i="1"/>
  <c r="B3813" i="1"/>
  <c r="E3727" i="1"/>
  <c r="B3727" i="1"/>
  <c r="E2715" i="1"/>
  <c r="B2715" i="1"/>
  <c r="E2540" i="1"/>
  <c r="B2540" i="1"/>
  <c r="E2465" i="1"/>
  <c r="B2465" i="1"/>
  <c r="E2378" i="1"/>
  <c r="B2378" i="1"/>
  <c r="E2373" i="1"/>
  <c r="B2373" i="1"/>
  <c r="E1678" i="1"/>
  <c r="B1678" i="1"/>
  <c r="E3817" i="1"/>
  <c r="B3817" i="1"/>
  <c r="E3802" i="1"/>
  <c r="B3802" i="1"/>
  <c r="E3606" i="1"/>
  <c r="B3606" i="1"/>
  <c r="E3595" i="1"/>
  <c r="B3595" i="1"/>
  <c r="E3465" i="1"/>
  <c r="B3465" i="1"/>
  <c r="E3442" i="1"/>
  <c r="B3442" i="1"/>
  <c r="E3427" i="1"/>
  <c r="B3427" i="1"/>
  <c r="E2690" i="1"/>
  <c r="B2690" i="1"/>
  <c r="E2144" i="1"/>
  <c r="B2144" i="1"/>
  <c r="E2011" i="1"/>
  <c r="B2011" i="1"/>
  <c r="E3827" i="1"/>
  <c r="B3827" i="1"/>
  <c r="E3658" i="1"/>
  <c r="B3658" i="1"/>
  <c r="E3529" i="1"/>
  <c r="B3529" i="1"/>
  <c r="E2558" i="1"/>
  <c r="B2558" i="1"/>
  <c r="E2549" i="1"/>
  <c r="B2549" i="1"/>
  <c r="E3840" i="1"/>
  <c r="B3840" i="1"/>
  <c r="E3792" i="1"/>
  <c r="B3792" i="1"/>
  <c r="E3627" i="1"/>
  <c r="B3627" i="1"/>
  <c r="E3581" i="1"/>
  <c r="B3581" i="1"/>
  <c r="E3515" i="1"/>
  <c r="B3515" i="1"/>
  <c r="E3824" i="1"/>
  <c r="B3824" i="1"/>
  <c r="E3780" i="1"/>
  <c r="B3780" i="1"/>
  <c r="E3752" i="1"/>
  <c r="B3752" i="1"/>
  <c r="E3580" i="1"/>
  <c r="B3580" i="1"/>
  <c r="E3466" i="1"/>
  <c r="B3466" i="1"/>
  <c r="E3400" i="1"/>
  <c r="B3400" i="1"/>
  <c r="E3834" i="1"/>
  <c r="B3834" i="1"/>
  <c r="E3830" i="1"/>
  <c r="B3830" i="1"/>
  <c r="E3684" i="1"/>
  <c r="B3684" i="1"/>
  <c r="E3664" i="1"/>
  <c r="B3664" i="1"/>
  <c r="E3545" i="1"/>
  <c r="B3545" i="1"/>
  <c r="E3523" i="1"/>
  <c r="B3523" i="1"/>
  <c r="E2437" i="1"/>
  <c r="B2437" i="1"/>
  <c r="E2053" i="1"/>
  <c r="B2053" i="1"/>
  <c r="E3814" i="1"/>
  <c r="B3814" i="1"/>
  <c r="E3698" i="1"/>
  <c r="B3698" i="1"/>
  <c r="E3587" i="1"/>
  <c r="B3587" i="1"/>
  <c r="E3575" i="1"/>
  <c r="B3575" i="1"/>
  <c r="E3456" i="1"/>
  <c r="B3456" i="1"/>
  <c r="E2675" i="1"/>
  <c r="B2675" i="1"/>
  <c r="E2475" i="1"/>
  <c r="B2475" i="1"/>
  <c r="E3842" i="1"/>
  <c r="B3842" i="1"/>
  <c r="E3778" i="1"/>
  <c r="B3778" i="1"/>
  <c r="E3766" i="1"/>
  <c r="B3766" i="1"/>
  <c r="E3744" i="1"/>
  <c r="B3744" i="1"/>
  <c r="E3643" i="1"/>
  <c r="B3643" i="1"/>
  <c r="E3383" i="1"/>
  <c r="B3383" i="1"/>
  <c r="E2176" i="1"/>
  <c r="B2176" i="1"/>
  <c r="E1119" i="1"/>
  <c r="B1119" i="1"/>
  <c r="E3769" i="1"/>
  <c r="B3769" i="1"/>
  <c r="E3738" i="1"/>
  <c r="B3738" i="1"/>
  <c r="E3681" i="1"/>
  <c r="B3681" i="1"/>
  <c r="E3603" i="1"/>
  <c r="B3603" i="1"/>
  <c r="E3534" i="1"/>
  <c r="B3534" i="1"/>
  <c r="E2591" i="1"/>
  <c r="B2591" i="1"/>
  <c r="E2200" i="1"/>
  <c r="B2200" i="1"/>
  <c r="E1795" i="1"/>
  <c r="B1795" i="1"/>
  <c r="E3828" i="1"/>
  <c r="B3828" i="1"/>
  <c r="E3773" i="1"/>
  <c r="B3773" i="1"/>
  <c r="E3763" i="1"/>
  <c r="B3763" i="1"/>
  <c r="E3693" i="1"/>
  <c r="B3693" i="1"/>
  <c r="E3568" i="1"/>
  <c r="B3568" i="1"/>
  <c r="E3514" i="1"/>
  <c r="B3514" i="1"/>
  <c r="E3064" i="1"/>
  <c r="B3064" i="1"/>
  <c r="E2703" i="1"/>
  <c r="B2703" i="1"/>
  <c r="E2340" i="1"/>
  <c r="B2340" i="1"/>
  <c r="E3843" i="1"/>
  <c r="B3843" i="1"/>
  <c r="E3819" i="1"/>
  <c r="B3819" i="1"/>
  <c r="E3548" i="1"/>
  <c r="B3548" i="1"/>
  <c r="E2605" i="1"/>
  <c r="B2605" i="1"/>
  <c r="E3767" i="1"/>
  <c r="B3767" i="1"/>
  <c r="E3685" i="1"/>
  <c r="B3685" i="1"/>
  <c r="E3623" i="1"/>
  <c r="B3623" i="1"/>
  <c r="E3576" i="1"/>
  <c r="B3576" i="1"/>
  <c r="E3491" i="1"/>
  <c r="B3491" i="1"/>
  <c r="E3450" i="1"/>
  <c r="B3450" i="1"/>
  <c r="E2404" i="1"/>
  <c r="B2404" i="1"/>
  <c r="E3746" i="1"/>
  <c r="B3746" i="1"/>
  <c r="E3705" i="1"/>
  <c r="B3705" i="1"/>
  <c r="E3690" i="1"/>
  <c r="B3690" i="1"/>
  <c r="E3649" i="1"/>
  <c r="B3649" i="1"/>
  <c r="E3622" i="1"/>
  <c r="B3622" i="1"/>
  <c r="E3589" i="1"/>
  <c r="B3589" i="1"/>
  <c r="E3564" i="1"/>
  <c r="B3564" i="1"/>
  <c r="E3554" i="1"/>
  <c r="B3554" i="1"/>
  <c r="E3535" i="1"/>
  <c r="B3535" i="1"/>
  <c r="E3520" i="1"/>
  <c r="B3520" i="1"/>
  <c r="E3776" i="1"/>
  <c r="B3776" i="1"/>
  <c r="E3770" i="1"/>
  <c r="B3770" i="1"/>
  <c r="E3709" i="1"/>
  <c r="B3709" i="1"/>
  <c r="E3662" i="1"/>
  <c r="B3662" i="1"/>
  <c r="E3571" i="1"/>
  <c r="B3571" i="1"/>
  <c r="E2702" i="1"/>
  <c r="B2702" i="1"/>
  <c r="E2299" i="1"/>
  <c r="B2299" i="1"/>
  <c r="E1501" i="1"/>
  <c r="B1501" i="1"/>
  <c r="E3784" i="1"/>
  <c r="B3784" i="1"/>
  <c r="E3719" i="1"/>
  <c r="B3719" i="1"/>
  <c r="E3713" i="1"/>
  <c r="B3713" i="1"/>
  <c r="E3619" i="1"/>
  <c r="B3619" i="1"/>
  <c r="E2496" i="1"/>
  <c r="B2496" i="1"/>
  <c r="E2495" i="1"/>
  <c r="B2495" i="1"/>
  <c r="E2124" i="1"/>
  <c r="B2124" i="1"/>
  <c r="E3846" i="1"/>
  <c r="B3846" i="1"/>
  <c r="E3800" i="1"/>
  <c r="B3800" i="1"/>
  <c r="E3696" i="1"/>
  <c r="B3696" i="1"/>
  <c r="E3610" i="1"/>
  <c r="B3610" i="1"/>
  <c r="E3557" i="1"/>
  <c r="B3557" i="1"/>
  <c r="E3476" i="1"/>
  <c r="B3476" i="1"/>
  <c r="E2506" i="1"/>
  <c r="B2506" i="1"/>
  <c r="E2490" i="1"/>
  <c r="B2490" i="1"/>
  <c r="E2432" i="1"/>
  <c r="B2432" i="1"/>
  <c r="E2027" i="1"/>
  <c r="B2027" i="1"/>
  <c r="E2016" i="1"/>
  <c r="B2016" i="1"/>
  <c r="E3811" i="1"/>
  <c r="B3811" i="1"/>
  <c r="E3810" i="1"/>
  <c r="B3810" i="1"/>
  <c r="E3742" i="1"/>
  <c r="B3742" i="1"/>
  <c r="E3644" i="1"/>
  <c r="B3644" i="1"/>
  <c r="E3613" i="1"/>
  <c r="B3613" i="1"/>
  <c r="E3415" i="1"/>
  <c r="B3415" i="1"/>
  <c r="E3675" i="1"/>
  <c r="B3675" i="1"/>
  <c r="E3560" i="1"/>
  <c r="B3560" i="1"/>
  <c r="E3528" i="1"/>
  <c r="B3528" i="1"/>
  <c r="E3510" i="1"/>
  <c r="B3510" i="1"/>
  <c r="E3483" i="1"/>
  <c r="B3483" i="1"/>
  <c r="E3349" i="1"/>
  <c r="B3349" i="1"/>
  <c r="E2665" i="1"/>
  <c r="B2665" i="1"/>
  <c r="E2315" i="1"/>
  <c r="B2315" i="1"/>
  <c r="E3781" i="1"/>
  <c r="B3781" i="1"/>
  <c r="E3710" i="1"/>
  <c r="B3710" i="1"/>
  <c r="E3616" i="1"/>
  <c r="B3616" i="1"/>
  <c r="E3559" i="1"/>
  <c r="B3559" i="1"/>
  <c r="E3531" i="1"/>
  <c r="B3531" i="1"/>
  <c r="E3506" i="1"/>
  <c r="B3506" i="1"/>
  <c r="E2738" i="1"/>
  <c r="B2738" i="1"/>
  <c r="E2534" i="1"/>
  <c r="B2534" i="1"/>
  <c r="E2042" i="1"/>
  <c r="B2042" i="1"/>
  <c r="E3825" i="1"/>
  <c r="B3825" i="1"/>
  <c r="E3747" i="1"/>
  <c r="B3747" i="1"/>
  <c r="E3741" i="1"/>
  <c r="B3741" i="1"/>
  <c r="E3730" i="1"/>
  <c r="B3730" i="1"/>
  <c r="E3682" i="1"/>
  <c r="B3682" i="1"/>
  <c r="E3565" i="1"/>
  <c r="B3565" i="1"/>
  <c r="E3561" i="1"/>
  <c r="B3561" i="1"/>
  <c r="E2853" i="1"/>
  <c r="B2853" i="1"/>
  <c r="E2729" i="1"/>
  <c r="B2729" i="1"/>
  <c r="E3740" i="1"/>
  <c r="B3740" i="1"/>
  <c r="E3679" i="1"/>
  <c r="B3679" i="1"/>
  <c r="E3498" i="1"/>
  <c r="B3498" i="1"/>
  <c r="E3482" i="1"/>
  <c r="B3482" i="1"/>
  <c r="E3437" i="1"/>
  <c r="B3437" i="1"/>
  <c r="E3411" i="1"/>
  <c r="B3411" i="1"/>
  <c r="E3258" i="1"/>
  <c r="B3258" i="1"/>
  <c r="E3246" i="1"/>
  <c r="B3246" i="1"/>
  <c r="E2379" i="1"/>
  <c r="B2379" i="1"/>
  <c r="E3837" i="1"/>
  <c r="B3837" i="1"/>
  <c r="E3804" i="1"/>
  <c r="B3804" i="1"/>
  <c r="E3749" i="1"/>
  <c r="B3749" i="1"/>
  <c r="E3724" i="1"/>
  <c r="B3724" i="1"/>
  <c r="E3647" i="1"/>
  <c r="B3647" i="1"/>
  <c r="E3190" i="1"/>
  <c r="B3190" i="1"/>
  <c r="E3087" i="1"/>
  <c r="B3087" i="1"/>
  <c r="E2325" i="1"/>
  <c r="B2325" i="1"/>
  <c r="E1934" i="1"/>
  <c r="B1934" i="1"/>
  <c r="E1920" i="1"/>
  <c r="B1920" i="1"/>
  <c r="E1422" i="1"/>
  <c r="B1422" i="1"/>
  <c r="E3771" i="1"/>
  <c r="B3771" i="1"/>
  <c r="E3530" i="1"/>
  <c r="B3530" i="1"/>
  <c r="E3146" i="1"/>
  <c r="B3146" i="1"/>
  <c r="E3799" i="1"/>
  <c r="B3799" i="1"/>
  <c r="E3726" i="1"/>
  <c r="B3726" i="1"/>
  <c r="E3702" i="1"/>
  <c r="B3702" i="1"/>
  <c r="E3516" i="1"/>
  <c r="B3516" i="1"/>
  <c r="E3486" i="1"/>
  <c r="B3486" i="1"/>
  <c r="E3457" i="1"/>
  <c r="B3457" i="1"/>
  <c r="E3358" i="1"/>
  <c r="B3358" i="1"/>
  <c r="E2460" i="1"/>
  <c r="B2460" i="1"/>
  <c r="E2248" i="1"/>
  <c r="B2248" i="1"/>
  <c r="E2052" i="1"/>
  <c r="B2052" i="1"/>
  <c r="E3768" i="1"/>
  <c r="B3768" i="1"/>
  <c r="E3753" i="1"/>
  <c r="B3753" i="1"/>
  <c r="E3620" i="1"/>
  <c r="B3620" i="1"/>
  <c r="E3493" i="1"/>
  <c r="B3493" i="1"/>
  <c r="E3353" i="1"/>
  <c r="B3353" i="1"/>
  <c r="E2803" i="1"/>
  <c r="B2803" i="1"/>
  <c r="E1646" i="1"/>
  <c r="B1646" i="1"/>
  <c r="E3851" i="1"/>
  <c r="B3851" i="1"/>
  <c r="E3841" i="1"/>
  <c r="B3841" i="1"/>
  <c r="E3822" i="1"/>
  <c r="B3822" i="1"/>
  <c r="E3695" i="1"/>
  <c r="B3695" i="1"/>
  <c r="E3592" i="1"/>
  <c r="B3592" i="1"/>
  <c r="E3403" i="1"/>
  <c r="B3403" i="1"/>
  <c r="E2293" i="1"/>
  <c r="B2293" i="1"/>
  <c r="E3761" i="1"/>
  <c r="B3761" i="1"/>
  <c r="E3583" i="1"/>
  <c r="B3583" i="1"/>
  <c r="E3537" i="1"/>
  <c r="B3537" i="1"/>
  <c r="E3503" i="1"/>
  <c r="B3503" i="1"/>
  <c r="E2283" i="1"/>
  <c r="B2283" i="1"/>
  <c r="E2229" i="1"/>
  <c r="B2229" i="1"/>
  <c r="E2114" i="1"/>
  <c r="B2114" i="1"/>
  <c r="E1822" i="1"/>
  <c r="B1822" i="1"/>
  <c r="E3844" i="1"/>
  <c r="B3844" i="1"/>
  <c r="E3831" i="1"/>
  <c r="B3831" i="1"/>
  <c r="E3790" i="1"/>
  <c r="B3790" i="1"/>
  <c r="E3716" i="1"/>
  <c r="B3716" i="1"/>
  <c r="E3634" i="1"/>
  <c r="B3634" i="1"/>
  <c r="E1940" i="1"/>
  <c r="B1940" i="1"/>
  <c r="E735" i="1"/>
  <c r="B735" i="1"/>
  <c r="E3787" i="1"/>
  <c r="B3787" i="1"/>
  <c r="E3757" i="1"/>
  <c r="B3757" i="1"/>
  <c r="E3598" i="1"/>
  <c r="B3598" i="1"/>
  <c r="E3551" i="1"/>
  <c r="B3551" i="1"/>
  <c r="E3362" i="1"/>
  <c r="B3362" i="1"/>
  <c r="E3361" i="1"/>
  <c r="B3361" i="1"/>
  <c r="E2308" i="1"/>
  <c r="B2308" i="1"/>
  <c r="E1918" i="1"/>
  <c r="B1918" i="1"/>
  <c r="E3789" i="1"/>
  <c r="B3789" i="1"/>
  <c r="E3760" i="1"/>
  <c r="B3760" i="1"/>
  <c r="E3732" i="1"/>
  <c r="B3732" i="1"/>
  <c r="E3573" i="1"/>
  <c r="B3573" i="1"/>
  <c r="E3539" i="1"/>
  <c r="B3539" i="1"/>
  <c r="E3500" i="1"/>
  <c r="B3500" i="1"/>
  <c r="E3221" i="1"/>
  <c r="B3221" i="1"/>
  <c r="E2324" i="1"/>
  <c r="B2324" i="1"/>
  <c r="E2190" i="1"/>
  <c r="B2190" i="1"/>
  <c r="E1854" i="1"/>
  <c r="B1854" i="1"/>
  <c r="E1667" i="1"/>
  <c r="B1667" i="1"/>
  <c r="E3728" i="1"/>
  <c r="B3728" i="1"/>
  <c r="E3601" i="1"/>
  <c r="B3601" i="1"/>
  <c r="E3636" i="1"/>
  <c r="B3636" i="1"/>
  <c r="E3604" i="1"/>
  <c r="B3604" i="1"/>
  <c r="E3586" i="1"/>
  <c r="B3586" i="1"/>
  <c r="E2073" i="1"/>
  <c r="B2073" i="1"/>
  <c r="E3805" i="1"/>
  <c r="B3805" i="1"/>
  <c r="E3522" i="1"/>
  <c r="B3522" i="1"/>
  <c r="E3519" i="1"/>
  <c r="B3519" i="1"/>
  <c r="E3346" i="1"/>
  <c r="B3346" i="1"/>
  <c r="E3131" i="1"/>
  <c r="B3131" i="1"/>
  <c r="E2651" i="1"/>
  <c r="B2651" i="1"/>
  <c r="E2220" i="1"/>
  <c r="B2220" i="1"/>
  <c r="E2113" i="1"/>
  <c r="B2113" i="1"/>
  <c r="E1827" i="1"/>
  <c r="B1827" i="1"/>
  <c r="E3676" i="1"/>
  <c r="B3676" i="1"/>
  <c r="E2239" i="1"/>
  <c r="B2239" i="1"/>
  <c r="E3820" i="1"/>
  <c r="B3820" i="1"/>
  <c r="E3816" i="1"/>
  <c r="B3816" i="1"/>
  <c r="E3782" i="1"/>
  <c r="B3782" i="1"/>
  <c r="E3304" i="1"/>
  <c r="B3304" i="1"/>
  <c r="E2839" i="1"/>
  <c r="B2839" i="1"/>
  <c r="E2067" i="1"/>
  <c r="B2067" i="1"/>
  <c r="E3807" i="1"/>
  <c r="B3807" i="1"/>
  <c r="E3558" i="1"/>
  <c r="B3558" i="1"/>
  <c r="E3390" i="1"/>
  <c r="B3390" i="1"/>
  <c r="E3318" i="1"/>
  <c r="B3318" i="1"/>
  <c r="E2057" i="1"/>
  <c r="B2057" i="1"/>
  <c r="E3797" i="1"/>
  <c r="B3797" i="1"/>
  <c r="E3796" i="1"/>
  <c r="B3796" i="1"/>
  <c r="E3639" i="1"/>
  <c r="B3639" i="1"/>
  <c r="E2153" i="1"/>
  <c r="B2153" i="1"/>
  <c r="E1990" i="1"/>
  <c r="B1990" i="1"/>
  <c r="E1624" i="1"/>
  <c r="B1624" i="1"/>
  <c r="E3762" i="1"/>
  <c r="B3762" i="1"/>
  <c r="E3733" i="1"/>
  <c r="B3733" i="1"/>
  <c r="E3711" i="1"/>
  <c r="B3711" i="1"/>
  <c r="E3680" i="1"/>
  <c r="B3680" i="1"/>
  <c r="E3628" i="1"/>
  <c r="B3628" i="1"/>
  <c r="E3547" i="1"/>
  <c r="B3547" i="1"/>
  <c r="E3439" i="1"/>
  <c r="B3439" i="1"/>
  <c r="E3387" i="1"/>
  <c r="B3387" i="1"/>
  <c r="E3381" i="1"/>
  <c r="B3381" i="1"/>
  <c r="E3694" i="1"/>
  <c r="B3694" i="1"/>
  <c r="E3678" i="1"/>
  <c r="B3678" i="1"/>
  <c r="E3646" i="1"/>
  <c r="B3646" i="1"/>
  <c r="E3567" i="1"/>
  <c r="B3567" i="1"/>
  <c r="E3449" i="1"/>
  <c r="B3449" i="1"/>
  <c r="E3328" i="1"/>
  <c r="B3328" i="1"/>
  <c r="E2160" i="1"/>
  <c r="B2160" i="1"/>
  <c r="E1876" i="1"/>
  <c r="B1876" i="1"/>
  <c r="E1693" i="1"/>
  <c r="B1693" i="1"/>
  <c r="E1280" i="1"/>
  <c r="B1280" i="1"/>
  <c r="E3692" i="1"/>
  <c r="B3692" i="1"/>
  <c r="E3453" i="1"/>
  <c r="B3453" i="1"/>
  <c r="E3418" i="1"/>
  <c r="B3418" i="1"/>
  <c r="E1967" i="1"/>
  <c r="B1967" i="1"/>
  <c r="E1868" i="1"/>
  <c r="B1868" i="1"/>
  <c r="E3431" i="1"/>
  <c r="B3431" i="1"/>
  <c r="E3312" i="1"/>
  <c r="B3312" i="1"/>
  <c r="E2833" i="1"/>
  <c r="B2833" i="1"/>
  <c r="E1272" i="1"/>
  <c r="B1272" i="1"/>
  <c r="E556" i="1"/>
  <c r="B556" i="1"/>
  <c r="E3518" i="1"/>
  <c r="B3518" i="1"/>
  <c r="E3499" i="1"/>
  <c r="B3499" i="1"/>
  <c r="E3268" i="1"/>
  <c r="B3268" i="1"/>
  <c r="E3240" i="1"/>
  <c r="B3240" i="1"/>
  <c r="E2446" i="1"/>
  <c r="B2446" i="1"/>
  <c r="E2409" i="1"/>
  <c r="B2409" i="1"/>
  <c r="E1989" i="1"/>
  <c r="B1989" i="1"/>
  <c r="E3700" i="1"/>
  <c r="B3700" i="1"/>
  <c r="E3599" i="1"/>
  <c r="B3599" i="1"/>
  <c r="E3504" i="1"/>
  <c r="B3504" i="1"/>
  <c r="E3379" i="1"/>
  <c r="B3379" i="1"/>
  <c r="E3226" i="1"/>
  <c r="B3226" i="1"/>
  <c r="E1789" i="1"/>
  <c r="B1789" i="1"/>
  <c r="E1566" i="1"/>
  <c r="B1566" i="1"/>
  <c r="E1257" i="1"/>
  <c r="B1257" i="1"/>
  <c r="E3835" i="1"/>
  <c r="B3835" i="1"/>
  <c r="E3687" i="1"/>
  <c r="B3687" i="1"/>
  <c r="E3666" i="1"/>
  <c r="B3666" i="1"/>
  <c r="E3421" i="1"/>
  <c r="B3421" i="1"/>
  <c r="E3050" i="1"/>
  <c r="B3050" i="1"/>
  <c r="E2886" i="1"/>
  <c r="B2886" i="1"/>
  <c r="E3725" i="1"/>
  <c r="B3725" i="1"/>
  <c r="E3525" i="1"/>
  <c r="B3525" i="1"/>
  <c r="E3501" i="1"/>
  <c r="B3501" i="1"/>
  <c r="E2154" i="1"/>
  <c r="B2154" i="1"/>
  <c r="E3821" i="1"/>
  <c r="B3821" i="1"/>
  <c r="E3590" i="1"/>
  <c r="B3590" i="1"/>
  <c r="E3544" i="1"/>
  <c r="B3544" i="1"/>
  <c r="E3293" i="1"/>
  <c r="B3293" i="1"/>
  <c r="E1070" i="1"/>
  <c r="B1070" i="1"/>
  <c r="E3812" i="1"/>
  <c r="B3812" i="1"/>
  <c r="E3425" i="1"/>
  <c r="B3425" i="1"/>
  <c r="E3335" i="1"/>
  <c r="B3335" i="1"/>
  <c r="E2956" i="1"/>
  <c r="B2956" i="1"/>
  <c r="E3785" i="1"/>
  <c r="B3785" i="1"/>
  <c r="E3445" i="1"/>
  <c r="B3445" i="1"/>
  <c r="E3366" i="1"/>
  <c r="B3366" i="1"/>
  <c r="E2255" i="1"/>
  <c r="B2255" i="1"/>
  <c r="E3524" i="1"/>
  <c r="B3524" i="1"/>
  <c r="E3337" i="1"/>
  <c r="B3337" i="1"/>
  <c r="E3288" i="1"/>
  <c r="B3288" i="1"/>
  <c r="E3097" i="1"/>
  <c r="B3097" i="1"/>
  <c r="E2887" i="1"/>
  <c r="B2887" i="1"/>
  <c r="E2388" i="1"/>
  <c r="B2388" i="1"/>
  <c r="E3739" i="1"/>
  <c r="B3739" i="1"/>
  <c r="E3562" i="1"/>
  <c r="B3562" i="1"/>
  <c r="E3299" i="1"/>
  <c r="B3299" i="1"/>
  <c r="E2889" i="1"/>
  <c r="B2889" i="1"/>
  <c r="E2888" i="1"/>
  <c r="B2888" i="1"/>
  <c r="E2238" i="1"/>
  <c r="B2238" i="1"/>
  <c r="E3546" i="1"/>
  <c r="B3546" i="1"/>
  <c r="E3505" i="1"/>
  <c r="B3505" i="1"/>
  <c r="E3018" i="1"/>
  <c r="B3018" i="1"/>
  <c r="E2309" i="1"/>
  <c r="B2309" i="1"/>
  <c r="E2230" i="1"/>
  <c r="B2230" i="1"/>
  <c r="E1716" i="1"/>
  <c r="B1716" i="1"/>
  <c r="E3588" i="1"/>
  <c r="B3588" i="1"/>
  <c r="E3394" i="1"/>
  <c r="B3394" i="1"/>
  <c r="E3333" i="1"/>
  <c r="B3333" i="1"/>
  <c r="E3031" i="1"/>
  <c r="B3031" i="1"/>
  <c r="E2118" i="1"/>
  <c r="B2118" i="1"/>
  <c r="E1893" i="1"/>
  <c r="B1893" i="1"/>
  <c r="E3801" i="1"/>
  <c r="B3801" i="1"/>
  <c r="E3791" i="1"/>
  <c r="B3791" i="1"/>
  <c r="E3615" i="1"/>
  <c r="B3615" i="1"/>
  <c r="E3494" i="1"/>
  <c r="B3494" i="1"/>
  <c r="E3422" i="1"/>
  <c r="B3422" i="1"/>
  <c r="E1773" i="1"/>
  <c r="B1773" i="1"/>
  <c r="E1621" i="1"/>
  <c r="B1621" i="1"/>
  <c r="E1496" i="1"/>
  <c r="B1496" i="1"/>
  <c r="E1182" i="1"/>
  <c r="B1182" i="1"/>
  <c r="E3826" i="1"/>
  <c r="B3826" i="1"/>
  <c r="E3659" i="1"/>
  <c r="B3659" i="1"/>
  <c r="E3474" i="1"/>
  <c r="B3474" i="1"/>
  <c r="E1544" i="1"/>
  <c r="B1544" i="1"/>
  <c r="E534" i="1"/>
  <c r="B534" i="1"/>
  <c r="E3703" i="1"/>
  <c r="B3703" i="1"/>
  <c r="E3650" i="1"/>
  <c r="B3650" i="1"/>
  <c r="E3577" i="1"/>
  <c r="B3577" i="1"/>
  <c r="E3128" i="1"/>
  <c r="B3128" i="1"/>
  <c r="E2389" i="1"/>
  <c r="B2389" i="1"/>
  <c r="E2264" i="1"/>
  <c r="B2264" i="1"/>
  <c r="E2175" i="1"/>
  <c r="B2175" i="1"/>
  <c r="E3691" i="1"/>
  <c r="B3691" i="1"/>
  <c r="E3039" i="1"/>
  <c r="B3039" i="1"/>
  <c r="E3023" i="1"/>
  <c r="B3023" i="1"/>
  <c r="E1811" i="1"/>
  <c r="B1811" i="1"/>
  <c r="E1365" i="1"/>
  <c r="B1365" i="1"/>
  <c r="E1337" i="1"/>
  <c r="B1337" i="1"/>
  <c r="E1068" i="1"/>
  <c r="B1068" i="1"/>
  <c r="E3671" i="1"/>
  <c r="B3671" i="1"/>
  <c r="E3645" i="1"/>
  <c r="B3645" i="1"/>
  <c r="E3399" i="1"/>
  <c r="B3399" i="1"/>
  <c r="E3296" i="1"/>
  <c r="B3296" i="1"/>
  <c r="E2885" i="1"/>
  <c r="B2885" i="1"/>
  <c r="E2639" i="1"/>
  <c r="B2639" i="1"/>
  <c r="E1832" i="1"/>
  <c r="B1832" i="1"/>
  <c r="E2085" i="1"/>
  <c r="B2085" i="1"/>
  <c r="E3468" i="1"/>
  <c r="B3468" i="1"/>
  <c r="E2984" i="1"/>
  <c r="B2984" i="1"/>
  <c r="E2744" i="1"/>
  <c r="B2744" i="1"/>
  <c r="E2600" i="1"/>
  <c r="B2600" i="1"/>
  <c r="E2099" i="1"/>
  <c r="B2099" i="1"/>
  <c r="E3699" i="1"/>
  <c r="B3699" i="1"/>
  <c r="E3239" i="1"/>
  <c r="B3239" i="1"/>
  <c r="E1952" i="1"/>
  <c r="B1952" i="1"/>
  <c r="E1810" i="1"/>
  <c r="B1810" i="1"/>
  <c r="E1460" i="1"/>
  <c r="B1460" i="1"/>
  <c r="E3368" i="1"/>
  <c r="B3368" i="1"/>
  <c r="E3313" i="1"/>
  <c r="B3313" i="1"/>
  <c r="E3217" i="1"/>
  <c r="B3217" i="1"/>
  <c r="E3605" i="1"/>
  <c r="B3605" i="1"/>
  <c r="E3412" i="1"/>
  <c r="B3412" i="1"/>
  <c r="E3301" i="1"/>
  <c r="B3301" i="1"/>
  <c r="E3045" i="1"/>
  <c r="B3045" i="1"/>
  <c r="E2884" i="1"/>
  <c r="B2884" i="1"/>
  <c r="E2083" i="1"/>
  <c r="B2083" i="1"/>
  <c r="E3464" i="1"/>
  <c r="B3464" i="1"/>
  <c r="E3289" i="1"/>
  <c r="B3289" i="1"/>
  <c r="E3252" i="1"/>
  <c r="B3252" i="1"/>
  <c r="E3829" i="1"/>
  <c r="B3829" i="1"/>
  <c r="E3743" i="1"/>
  <c r="B3743" i="1"/>
  <c r="E3321" i="1"/>
  <c r="B3321" i="1"/>
  <c r="E3286" i="1"/>
  <c r="B3286" i="1"/>
  <c r="E3271" i="1"/>
  <c r="B3271" i="1"/>
  <c r="E3227" i="1"/>
  <c r="B3227" i="1"/>
  <c r="E1844" i="1"/>
  <c r="B1844" i="1"/>
  <c r="E470" i="1"/>
  <c r="B470" i="1"/>
  <c r="E3806" i="1"/>
  <c r="B3806" i="1"/>
  <c r="E3377" i="1"/>
  <c r="B3377" i="1"/>
  <c r="E3332" i="1"/>
  <c r="B3332" i="1"/>
  <c r="E2169" i="1"/>
  <c r="B2169" i="1"/>
  <c r="E1984" i="1"/>
  <c r="B1984" i="1"/>
  <c r="E1909" i="1"/>
  <c r="B1909" i="1"/>
  <c r="E3756" i="1"/>
  <c r="B3756" i="1"/>
  <c r="E3472" i="1"/>
  <c r="B3472" i="1"/>
  <c r="E3389" i="1"/>
  <c r="B3389" i="1"/>
  <c r="E2174" i="1"/>
  <c r="B2174" i="1"/>
  <c r="E2037" i="1"/>
  <c r="B2037" i="1"/>
  <c r="E3772" i="1"/>
  <c r="B3772" i="1"/>
  <c r="E973" i="1"/>
  <c r="B973" i="1"/>
  <c r="E3786" i="1"/>
  <c r="B3786" i="1"/>
  <c r="E3600" i="1"/>
  <c r="B3600" i="1"/>
  <c r="E3469" i="1"/>
  <c r="B3469" i="1"/>
  <c r="E3458" i="1"/>
  <c r="B3458" i="1"/>
  <c r="E3428" i="1"/>
  <c r="B3428" i="1"/>
  <c r="E3310" i="1"/>
  <c r="B3310" i="1"/>
  <c r="E1143" i="1"/>
  <c r="B1143" i="1"/>
  <c r="E3463" i="1"/>
  <c r="B3463" i="1"/>
  <c r="E3272" i="1"/>
  <c r="B3272" i="1"/>
  <c r="E3261" i="1"/>
  <c r="B3261" i="1"/>
  <c r="E3257" i="1"/>
  <c r="B3257" i="1"/>
  <c r="E3669" i="1"/>
  <c r="B3669" i="1"/>
  <c r="E3533" i="1"/>
  <c r="B3533" i="1"/>
  <c r="E3278" i="1"/>
  <c r="B3278" i="1"/>
  <c r="E3112" i="1"/>
  <c r="B3112" i="1"/>
  <c r="E2892" i="1"/>
  <c r="B2892" i="1"/>
  <c r="E2882" i="1"/>
  <c r="B2882" i="1"/>
  <c r="E3777" i="1"/>
  <c r="B3777" i="1"/>
  <c r="E3211" i="1"/>
  <c r="B3211" i="1"/>
  <c r="E2511" i="1"/>
  <c r="B2511" i="1"/>
  <c r="E1709" i="1"/>
  <c r="B1709" i="1"/>
  <c r="E3660" i="1"/>
  <c r="B3660" i="1"/>
  <c r="E3538" i="1"/>
  <c r="B3538" i="1"/>
  <c r="E3084" i="1"/>
  <c r="B3084" i="1"/>
  <c r="E2331" i="1"/>
  <c r="B2331" i="1"/>
  <c r="E2068" i="1"/>
  <c r="B2068" i="1"/>
  <c r="E1903" i="1"/>
  <c r="B1903" i="1"/>
  <c r="E1600" i="1"/>
  <c r="B1600" i="1"/>
  <c r="E2520" i="1"/>
  <c r="B2520" i="1"/>
  <c r="E2314" i="1"/>
  <c r="B2314" i="1"/>
  <c r="E801" i="1"/>
  <c r="B801" i="1"/>
  <c r="E3721" i="1"/>
  <c r="B3721" i="1"/>
  <c r="E3585" i="1"/>
  <c r="B3585" i="1"/>
  <c r="E3143" i="1"/>
  <c r="B3143" i="1"/>
  <c r="E2891" i="1"/>
  <c r="B2891" i="1"/>
  <c r="E752" i="1"/>
  <c r="B752" i="1"/>
  <c r="E3748" i="1"/>
  <c r="B3748" i="1"/>
  <c r="E1842" i="1"/>
  <c r="B1842" i="1"/>
  <c r="E1619" i="1"/>
  <c r="B1619" i="1"/>
  <c r="E522" i="1"/>
  <c r="B522" i="1"/>
  <c r="E2535" i="1"/>
  <c r="B2535" i="1"/>
  <c r="E3670" i="1"/>
  <c r="B3670" i="1"/>
  <c r="E3614" i="1"/>
  <c r="B3614" i="1"/>
  <c r="E3408" i="1"/>
  <c r="B3408" i="1"/>
  <c r="E3276" i="1"/>
  <c r="B3276" i="1"/>
  <c r="E3243" i="1"/>
  <c r="B3243" i="1"/>
  <c r="E2143" i="1"/>
  <c r="B2143" i="1"/>
  <c r="E2474" i="1"/>
  <c r="B2474" i="1"/>
  <c r="E2138" i="1"/>
  <c r="B2138" i="1"/>
  <c r="E3115" i="1"/>
  <c r="B3115" i="1"/>
  <c r="E2932" i="1"/>
  <c r="B2932" i="1"/>
  <c r="E2108" i="1"/>
  <c r="B2108" i="1"/>
  <c r="E1636" i="1"/>
  <c r="B1636" i="1"/>
  <c r="E1114" i="1"/>
  <c r="B1114" i="1"/>
  <c r="E3665" i="1"/>
  <c r="B3665" i="1"/>
  <c r="E3489" i="1"/>
  <c r="B3489" i="1"/>
  <c r="E2005" i="1"/>
  <c r="B2005" i="1"/>
  <c r="E3640" i="1"/>
  <c r="B3640" i="1"/>
  <c r="E3473" i="1"/>
  <c r="B3473" i="1"/>
  <c r="E3430" i="1"/>
  <c r="B3430" i="1"/>
  <c r="E3236" i="1"/>
  <c r="B3236" i="1"/>
  <c r="E3070" i="1"/>
  <c r="B3070" i="1"/>
  <c r="E1086" i="1"/>
  <c r="B1086" i="1"/>
  <c r="E3298" i="1"/>
  <c r="B3298" i="1"/>
  <c r="E3180" i="1"/>
  <c r="B3180" i="1"/>
  <c r="E1725" i="1"/>
  <c r="B1725" i="1"/>
  <c r="E3609" i="1"/>
  <c r="B3609" i="1"/>
  <c r="E3138" i="1"/>
  <c r="B3138" i="1"/>
  <c r="E2962" i="1"/>
  <c r="B2962" i="1"/>
  <c r="E2880" i="1"/>
  <c r="B2880" i="1"/>
  <c r="E2625" i="1"/>
  <c r="B2625" i="1"/>
  <c r="E2533" i="1"/>
  <c r="B2533" i="1"/>
  <c r="E3426" i="1"/>
  <c r="B3426" i="1"/>
  <c r="E3413" i="1"/>
  <c r="B3413" i="1"/>
  <c r="E3035" i="1"/>
  <c r="B3035" i="1"/>
  <c r="E1160" i="1"/>
  <c r="B1160" i="1"/>
  <c r="E3569" i="1"/>
  <c r="B3569" i="1"/>
  <c r="E3116" i="1"/>
  <c r="B3116" i="1"/>
  <c r="E3845" i="1"/>
  <c r="B3845" i="1"/>
  <c r="E3220" i="1"/>
  <c r="B3220" i="1"/>
  <c r="E1843" i="1"/>
  <c r="B1843" i="1"/>
  <c r="E3484" i="1"/>
  <c r="B3484" i="1"/>
  <c r="E3704" i="1"/>
  <c r="B3704" i="1"/>
  <c r="E3630" i="1"/>
  <c r="B3630" i="1"/>
  <c r="E3629" i="1"/>
  <c r="B3629" i="1"/>
  <c r="E3223" i="1"/>
  <c r="B3223" i="1"/>
  <c r="E3208" i="1"/>
  <c r="B3208" i="1"/>
  <c r="E3302" i="1"/>
  <c r="B3302" i="1"/>
  <c r="E3081" i="1"/>
  <c r="B3081" i="1"/>
  <c r="E2912" i="1"/>
  <c r="B2912" i="1"/>
  <c r="E2062" i="1"/>
  <c r="B2062" i="1"/>
  <c r="E3378" i="1"/>
  <c r="B3378" i="1"/>
  <c r="E3182" i="1"/>
  <c r="B3182" i="1"/>
  <c r="E3129" i="1"/>
  <c r="B3129" i="1"/>
  <c r="E2883" i="1"/>
  <c r="B2883" i="1"/>
  <c r="E2631" i="1"/>
  <c r="B2631" i="1"/>
  <c r="E1122" i="1"/>
  <c r="B1122" i="1"/>
  <c r="E626" i="1"/>
  <c r="B626" i="1"/>
  <c r="E3553" i="1"/>
  <c r="B3553" i="1"/>
  <c r="E3448" i="1"/>
  <c r="B3448" i="1"/>
  <c r="E3327" i="1"/>
  <c r="B3327" i="1"/>
  <c r="E2676" i="1"/>
  <c r="B2676" i="1"/>
  <c r="E1469" i="1"/>
  <c r="B1469" i="1"/>
  <c r="E3130" i="1"/>
  <c r="B3130" i="1"/>
  <c r="E3080" i="1"/>
  <c r="B3080" i="1"/>
  <c r="E1150" i="1"/>
  <c r="B1150" i="1"/>
  <c r="E3621" i="1"/>
  <c r="B3621" i="1"/>
  <c r="E2881" i="1"/>
  <c r="B2881" i="1"/>
  <c r="E579" i="1"/>
  <c r="B579" i="1"/>
  <c r="E3419" i="1"/>
  <c r="B3419" i="1"/>
  <c r="E3096" i="1"/>
  <c r="B3096" i="1"/>
  <c r="E2890" i="1"/>
  <c r="B2890" i="1"/>
  <c r="E2864" i="1"/>
  <c r="B2864" i="1"/>
  <c r="E2084" i="1"/>
  <c r="B2084" i="1"/>
  <c r="E3341" i="1"/>
  <c r="B3341" i="1"/>
  <c r="E3325" i="1"/>
  <c r="B3325" i="1"/>
  <c r="E3242" i="1"/>
  <c r="B3242" i="1"/>
  <c r="E3176" i="1"/>
  <c r="B3176" i="1"/>
  <c r="E2981" i="1"/>
  <c r="B2981" i="1"/>
  <c r="E2278" i="1"/>
  <c r="B2278" i="1"/>
  <c r="E1973" i="1"/>
  <c r="B1973" i="1"/>
  <c r="E3836" i="1"/>
  <c r="B3836" i="1"/>
  <c r="E3262" i="1"/>
  <c r="B3262" i="1"/>
  <c r="E3490" i="1"/>
  <c r="B3490" i="1"/>
  <c r="E3306" i="1"/>
  <c r="B3306" i="1"/>
  <c r="E3178" i="1"/>
  <c r="B3178" i="1"/>
  <c r="E1550" i="1"/>
  <c r="B1550" i="1"/>
  <c r="E3594" i="1"/>
  <c r="B3594" i="1"/>
  <c r="E3459" i="1"/>
  <c r="B3459" i="1"/>
  <c r="E3275" i="1"/>
  <c r="B3275" i="1"/>
  <c r="E3241" i="1"/>
  <c r="B3241" i="1"/>
  <c r="E3188" i="1"/>
  <c r="B3188" i="1"/>
  <c r="E3118" i="1"/>
  <c r="B3118" i="1"/>
  <c r="E2078" i="1"/>
  <c r="B2078" i="1"/>
  <c r="E1778" i="1"/>
  <c r="B1778" i="1"/>
  <c r="E3552" i="1"/>
  <c r="B3552" i="1"/>
  <c r="E2712" i="1"/>
  <c r="B2712" i="1"/>
  <c r="E2394" i="1"/>
  <c r="B2394" i="1"/>
  <c r="E2372" i="1"/>
  <c r="B2372" i="1"/>
  <c r="E3284" i="1"/>
  <c r="B3284" i="1"/>
  <c r="E2694" i="1"/>
  <c r="B2694" i="1"/>
  <c r="E3150" i="1"/>
  <c r="B3150" i="1"/>
  <c r="E3099" i="1"/>
  <c r="B3099" i="1"/>
  <c r="E2701" i="1"/>
  <c r="B2701" i="1"/>
  <c r="E1951" i="1"/>
  <c r="B1951" i="1"/>
  <c r="E1613" i="1"/>
  <c r="B1613" i="1"/>
  <c r="E1556" i="1"/>
  <c r="B1556" i="1"/>
  <c r="E3429" i="1"/>
  <c r="B3429" i="1"/>
  <c r="E3326" i="1"/>
  <c r="B3326" i="1"/>
  <c r="E3162" i="1"/>
  <c r="B3162" i="1"/>
  <c r="E3072" i="1"/>
  <c r="B3072" i="1"/>
  <c r="E2955" i="1"/>
  <c r="B2955" i="1"/>
  <c r="E1608" i="1"/>
  <c r="B1608" i="1"/>
  <c r="E1539" i="1"/>
  <c r="B1539" i="1"/>
  <c r="E1295" i="1"/>
  <c r="B1295" i="1"/>
  <c r="E3655" i="1"/>
  <c r="B3655" i="1"/>
  <c r="E3470" i="1"/>
  <c r="B3470" i="1"/>
  <c r="E3140" i="1"/>
  <c r="B3140" i="1"/>
  <c r="E3085" i="1"/>
  <c r="B3085" i="1"/>
  <c r="E3410" i="1"/>
  <c r="B3410" i="1"/>
  <c r="E1745" i="1"/>
  <c r="B1745" i="1"/>
  <c r="E2929" i="1"/>
  <c r="B2929" i="1"/>
  <c r="E2727" i="1"/>
  <c r="B2727" i="1"/>
  <c r="E2423" i="1"/>
  <c r="B2423" i="1"/>
  <c r="E3320" i="1"/>
  <c r="B3320" i="1"/>
  <c r="E3251" i="1"/>
  <c r="B3251" i="1"/>
  <c r="E3193" i="1"/>
  <c r="B3193" i="1"/>
  <c r="E2205" i="1"/>
  <c r="B2205" i="1"/>
  <c r="E1356" i="1"/>
  <c r="B1356" i="1"/>
  <c r="E1195" i="1"/>
  <c r="B1195" i="1"/>
  <c r="E3166" i="1"/>
  <c r="B3166" i="1"/>
  <c r="E3034" i="1"/>
  <c r="B3034" i="1"/>
  <c r="E2879" i="1"/>
  <c r="B2879" i="1"/>
  <c r="E1244" i="1"/>
  <c r="B1244" i="1"/>
  <c r="E3169" i="1"/>
  <c r="B3169" i="1"/>
  <c r="E3365" i="1"/>
  <c r="B3365" i="1"/>
  <c r="E3311" i="1"/>
  <c r="B3311" i="1"/>
  <c r="E3281" i="1"/>
  <c r="B3281" i="1"/>
  <c r="E3388" i="1"/>
  <c r="B3388" i="1"/>
  <c r="E3352" i="1"/>
  <c r="B3352" i="1"/>
  <c r="E3073" i="1"/>
  <c r="B3073" i="1"/>
  <c r="E2917" i="1"/>
  <c r="B2917" i="1"/>
  <c r="E1853" i="1"/>
  <c r="B1853" i="1"/>
  <c r="E1059" i="1"/>
  <c r="B1059" i="1"/>
  <c r="E1683" i="1"/>
  <c r="B1683" i="1"/>
  <c r="E1436" i="1"/>
  <c r="B1436" i="1"/>
  <c r="E3303" i="1"/>
  <c r="B3303" i="1"/>
  <c r="E3266" i="1"/>
  <c r="B3266" i="1"/>
  <c r="E3256" i="1"/>
  <c r="B3256" i="1"/>
  <c r="E3032" i="1"/>
  <c r="B3032" i="1"/>
  <c r="E1480" i="1"/>
  <c r="B1480" i="1"/>
  <c r="E1454" i="1"/>
  <c r="B1454" i="1"/>
  <c r="E3686" i="1"/>
  <c r="B3686" i="1"/>
  <c r="E3593" i="1"/>
  <c r="B3593" i="1"/>
  <c r="E3213" i="1"/>
  <c r="B3213" i="1"/>
  <c r="E3185" i="1"/>
  <c r="B3185" i="1"/>
  <c r="E1533" i="1"/>
  <c r="B1533" i="1"/>
  <c r="E2903" i="1"/>
  <c r="B2903" i="1"/>
  <c r="E3020" i="1"/>
  <c r="B3020" i="1"/>
  <c r="E1206" i="1"/>
  <c r="B1206" i="1"/>
  <c r="E3163" i="1"/>
  <c r="B3163" i="1"/>
  <c r="E3108" i="1"/>
  <c r="B3108" i="1"/>
  <c r="E3071" i="1"/>
  <c r="B3071" i="1"/>
  <c r="E1572" i="1"/>
  <c r="B1572" i="1"/>
  <c r="E195" i="1"/>
  <c r="B195" i="1"/>
  <c r="E3317" i="1"/>
  <c r="B3317" i="1"/>
  <c r="E3274" i="1"/>
  <c r="B3274" i="1"/>
  <c r="E3201" i="1"/>
  <c r="B3201" i="1"/>
  <c r="E3159" i="1"/>
  <c r="B3159" i="1"/>
  <c r="E3107" i="1"/>
  <c r="B3107" i="1"/>
  <c r="E2900" i="1"/>
  <c r="B2900" i="1"/>
  <c r="E3207" i="1"/>
  <c r="B3207" i="1"/>
  <c r="E3177" i="1"/>
  <c r="B3177" i="1"/>
  <c r="E1427" i="1"/>
  <c r="B1427" i="1"/>
  <c r="E661" i="1"/>
  <c r="B661" i="1"/>
  <c r="E3729" i="1"/>
  <c r="B3729" i="1"/>
  <c r="E3040" i="1"/>
  <c r="B3040" i="1"/>
  <c r="E2904" i="1"/>
  <c r="B2904" i="1"/>
  <c r="E1950" i="1"/>
  <c r="B1950" i="1"/>
  <c r="E3734" i="1"/>
  <c r="B3734" i="1"/>
  <c r="E3083" i="1"/>
  <c r="B3083" i="1"/>
  <c r="E3047" i="1"/>
  <c r="B3047" i="1"/>
  <c r="E1370" i="1"/>
  <c r="B1370" i="1"/>
  <c r="E1108" i="1"/>
  <c r="B1108" i="1"/>
  <c r="E3210" i="1"/>
  <c r="B3210" i="1"/>
  <c r="E3077" i="1"/>
  <c r="B3077" i="1"/>
  <c r="E3037" i="1"/>
  <c r="B3037" i="1"/>
  <c r="E615" i="1"/>
  <c r="B615" i="1"/>
  <c r="E3144" i="1"/>
  <c r="B3144" i="1"/>
  <c r="E3029" i="1"/>
  <c r="B3029" i="1"/>
  <c r="E3367" i="1"/>
  <c r="B3367" i="1"/>
  <c r="E3121" i="1"/>
  <c r="B3121" i="1"/>
  <c r="E3092" i="1"/>
  <c r="B3092" i="1"/>
  <c r="E2677" i="1"/>
  <c r="B2677" i="1"/>
  <c r="E2650" i="1"/>
  <c r="B2650" i="1"/>
  <c r="E3214" i="1"/>
  <c r="B3214" i="1"/>
  <c r="E3132" i="1"/>
  <c r="B3132" i="1"/>
  <c r="E3066" i="1"/>
  <c r="B3066" i="1"/>
  <c r="E2298" i="1"/>
  <c r="B2298" i="1"/>
  <c r="E2022" i="1"/>
  <c r="B2022" i="1"/>
  <c r="E1133" i="1"/>
  <c r="B1133" i="1"/>
  <c r="E1635" i="1"/>
  <c r="B1635" i="1"/>
  <c r="E1184" i="1"/>
  <c r="B1184" i="1"/>
  <c r="E3078" i="1"/>
  <c r="B3078" i="1"/>
  <c r="E2997" i="1"/>
  <c r="B2997" i="1"/>
  <c r="E2047" i="1"/>
  <c r="B2047" i="1"/>
  <c r="E1177" i="1"/>
  <c r="B1177" i="1"/>
  <c r="E3259" i="1"/>
  <c r="B3259" i="1"/>
  <c r="E3249" i="1"/>
  <c r="B3249" i="1"/>
  <c r="E2961" i="1"/>
  <c r="B2961" i="1"/>
  <c r="E3479" i="1"/>
  <c r="B3479" i="1"/>
  <c r="E3292" i="1"/>
  <c r="B3292" i="1"/>
  <c r="E3145" i="1"/>
  <c r="B3145" i="1"/>
  <c r="E3135" i="1"/>
  <c r="B3135" i="1"/>
  <c r="E3030" i="1"/>
  <c r="B3030" i="1"/>
  <c r="E2948" i="1"/>
  <c r="B2948" i="1"/>
  <c r="E1094" i="1"/>
  <c r="B1094" i="1"/>
  <c r="E3042" i="1"/>
  <c r="B3042" i="1"/>
  <c r="E3815" i="1"/>
  <c r="B3815" i="1"/>
  <c r="E3250" i="1"/>
  <c r="B3250" i="1"/>
  <c r="E3179" i="1"/>
  <c r="B3179" i="1"/>
  <c r="E3160" i="1"/>
  <c r="B3160" i="1"/>
  <c r="E3133" i="1"/>
  <c r="B3133" i="1"/>
  <c r="E3661" i="1"/>
  <c r="B3661" i="1"/>
  <c r="E3267" i="1"/>
  <c r="B3267" i="1"/>
  <c r="E3260" i="1"/>
  <c r="B3260" i="1"/>
  <c r="E3122" i="1"/>
  <c r="B3122" i="1"/>
  <c r="E1959" i="1"/>
  <c r="B1959" i="1"/>
  <c r="E3677" i="1"/>
  <c r="B3677" i="1"/>
  <c r="E771" i="1"/>
  <c r="B771" i="1"/>
  <c r="E592" i="1"/>
  <c r="B592" i="1"/>
  <c r="E2914" i="1"/>
  <c r="B2914" i="1"/>
  <c r="E2861" i="1"/>
  <c r="B2861" i="1"/>
  <c r="E2346" i="1"/>
  <c r="B2346" i="1"/>
  <c r="E3194" i="1"/>
  <c r="B3194" i="1"/>
  <c r="E3002" i="1"/>
  <c r="B3002" i="1"/>
  <c r="E2852" i="1"/>
  <c r="B2852" i="1"/>
  <c r="E1974" i="1"/>
  <c r="B1974" i="1"/>
  <c r="E1351" i="1"/>
  <c r="B1351" i="1"/>
  <c r="E575" i="1"/>
  <c r="B575" i="1"/>
  <c r="E412" i="1"/>
  <c r="B412" i="1"/>
  <c r="E2032" i="1"/>
  <c r="B2032" i="1"/>
  <c r="E3103" i="1"/>
  <c r="B3103" i="1"/>
  <c r="E3041" i="1"/>
  <c r="B3041" i="1"/>
  <c r="E2931" i="1"/>
  <c r="B2931" i="1"/>
  <c r="E2924" i="1"/>
  <c r="B2924" i="1"/>
  <c r="E1242" i="1"/>
  <c r="B1242" i="1"/>
  <c r="E3291" i="1"/>
  <c r="B3291" i="1"/>
  <c r="E2933" i="1"/>
  <c r="B2933" i="1"/>
  <c r="E1831" i="1"/>
  <c r="B1831" i="1"/>
  <c r="E1216" i="1"/>
  <c r="B1216" i="1"/>
  <c r="E1128" i="1"/>
  <c r="B1128" i="1"/>
  <c r="E3094" i="1"/>
  <c r="B3094" i="1"/>
  <c r="E1768" i="1"/>
  <c r="B1768" i="1"/>
  <c r="E3147" i="1"/>
  <c r="B3147" i="1"/>
  <c r="E2292" i="1"/>
  <c r="B2292" i="1"/>
  <c r="E1941" i="1"/>
  <c r="B1941" i="1"/>
  <c r="E823" i="1"/>
  <c r="B823" i="1"/>
  <c r="E3186" i="1"/>
  <c r="B3186" i="1"/>
  <c r="E619" i="1"/>
  <c r="B619" i="1"/>
  <c r="E607" i="1"/>
  <c r="B607" i="1"/>
  <c r="E480" i="1"/>
  <c r="B480" i="1"/>
  <c r="E3405" i="1"/>
  <c r="B3405" i="1"/>
  <c r="E3197" i="1"/>
  <c r="B3197" i="1"/>
  <c r="E3155" i="1"/>
  <c r="B3155" i="1"/>
  <c r="E2070" i="1"/>
  <c r="B2070" i="1"/>
  <c r="E1098" i="1"/>
  <c r="B1098" i="1"/>
  <c r="E2640" i="1"/>
  <c r="B2640" i="1"/>
  <c r="E3015" i="1"/>
  <c r="B3015" i="1"/>
  <c r="E2947" i="1"/>
  <c r="B2947" i="1"/>
  <c r="E673" i="1"/>
  <c r="B673" i="1"/>
  <c r="E3414" i="1"/>
  <c r="B3414" i="1"/>
  <c r="E3234" i="1"/>
  <c r="B3234" i="1"/>
  <c r="E3233" i="1"/>
  <c r="B3233" i="1"/>
  <c r="E2971" i="1"/>
  <c r="B2971" i="1"/>
  <c r="E2898" i="1"/>
  <c r="B2898" i="1"/>
  <c r="E2362" i="1"/>
  <c r="B2362" i="1"/>
  <c r="E2341" i="1"/>
  <c r="B2341" i="1"/>
  <c r="E3013" i="1"/>
  <c r="B3013" i="1"/>
  <c r="E2570" i="1"/>
  <c r="B2570" i="1"/>
  <c r="E2958" i="1"/>
  <c r="B2958" i="1"/>
  <c r="E2909" i="1"/>
  <c r="B2909" i="1"/>
  <c r="E2469" i="1"/>
  <c r="B2469" i="1"/>
  <c r="E2185" i="1"/>
  <c r="B2185" i="1"/>
  <c r="E832" i="1"/>
  <c r="B832" i="1"/>
  <c r="E2960" i="1"/>
  <c r="B2960" i="1"/>
  <c r="E2840" i="1"/>
  <c r="B2840" i="1"/>
  <c r="E3139" i="1"/>
  <c r="B3139" i="1"/>
  <c r="E2974" i="1"/>
  <c r="B2974" i="1"/>
  <c r="E1748" i="1"/>
  <c r="B1748" i="1"/>
  <c r="E3049" i="1"/>
  <c r="B3049" i="1"/>
  <c r="E2246" i="1"/>
  <c r="B2246" i="1"/>
  <c r="E3219" i="1"/>
  <c r="B3219" i="1"/>
  <c r="E3195" i="1"/>
  <c r="B3195" i="1"/>
  <c r="E3007" i="1"/>
  <c r="B3007" i="1"/>
  <c r="E2935" i="1"/>
  <c r="B2935" i="1"/>
  <c r="E1083" i="1"/>
  <c r="B1083" i="1"/>
  <c r="E3082" i="1"/>
  <c r="B3082" i="1"/>
  <c r="E2905" i="1"/>
  <c r="B2905" i="1"/>
  <c r="E1859" i="1"/>
  <c r="B1859" i="1"/>
  <c r="E559" i="1"/>
  <c r="B559" i="1"/>
  <c r="E3172" i="1"/>
  <c r="B3172" i="1"/>
  <c r="E2574" i="1"/>
  <c r="B2574" i="1"/>
  <c r="E2870" i="1"/>
  <c r="B2870" i="1"/>
  <c r="E1699" i="1"/>
  <c r="B1699" i="1"/>
  <c r="E1077" i="1"/>
  <c r="B1077" i="1"/>
  <c r="E3245" i="1"/>
  <c r="B3245" i="1"/>
  <c r="E3009" i="1"/>
  <c r="B3009" i="1"/>
  <c r="E1779" i="1"/>
  <c r="B1779" i="1"/>
  <c r="E3100" i="1"/>
  <c r="B3100" i="1"/>
  <c r="E3016" i="1"/>
  <c r="B3016" i="1"/>
  <c r="E2936" i="1"/>
  <c r="B2936" i="1"/>
  <c r="E2634" i="1"/>
  <c r="B2634" i="1"/>
  <c r="E1812" i="1"/>
  <c r="B1812" i="1"/>
  <c r="E352" i="1"/>
  <c r="B352" i="1"/>
  <c r="E3181" i="1"/>
  <c r="B3181" i="1"/>
  <c r="E2767" i="1"/>
  <c r="B2767" i="1"/>
  <c r="E2733" i="1"/>
  <c r="B2733" i="1"/>
  <c r="E2950" i="1"/>
  <c r="B2950" i="1"/>
  <c r="E2946" i="1"/>
  <c r="B2946" i="1"/>
  <c r="E2726" i="1"/>
  <c r="B2726" i="1"/>
  <c r="E1411" i="1"/>
  <c r="B1411" i="1"/>
  <c r="E3113" i="1"/>
  <c r="B3113" i="1"/>
  <c r="E1358" i="1"/>
  <c r="B1358" i="1"/>
  <c r="E2952" i="1"/>
  <c r="B2952" i="1"/>
  <c r="E1135" i="1"/>
  <c r="B1135" i="1"/>
  <c r="E3540" i="1"/>
  <c r="B3540" i="1"/>
  <c r="E3021" i="1"/>
  <c r="B3021" i="1"/>
  <c r="E1099" i="1"/>
  <c r="B1099" i="1"/>
  <c r="E2728" i="1"/>
  <c r="B2728" i="1"/>
  <c r="E1431" i="1"/>
  <c r="B1431" i="1"/>
  <c r="E1349" i="1"/>
  <c r="B1349" i="1"/>
  <c r="E289" i="1"/>
  <c r="B289" i="1"/>
  <c r="E3282" i="1"/>
  <c r="B3282" i="1"/>
  <c r="E2629" i="1"/>
  <c r="B2629" i="1"/>
  <c r="E2289" i="1"/>
  <c r="B2289" i="1"/>
  <c r="E635" i="1"/>
  <c r="B635" i="1"/>
  <c r="E3283" i="1"/>
  <c r="B3283" i="1"/>
  <c r="E2664" i="1"/>
  <c r="B2664" i="1"/>
  <c r="E1710" i="1"/>
  <c r="B1710" i="1"/>
  <c r="E1309" i="1"/>
  <c r="B1309" i="1"/>
  <c r="E3372" i="1"/>
  <c r="B3372" i="1"/>
  <c r="E3154" i="1"/>
  <c r="B3154" i="1"/>
  <c r="E2202" i="1"/>
  <c r="B2202" i="1"/>
  <c r="E1919" i="1"/>
  <c r="B1919" i="1"/>
  <c r="E3277" i="1"/>
  <c r="B3277" i="1"/>
  <c r="E2934" i="1"/>
  <c r="B2934" i="1"/>
  <c r="E2233" i="1"/>
  <c r="B2233" i="1"/>
  <c r="E613" i="1"/>
  <c r="B613" i="1"/>
  <c r="E2706" i="1"/>
  <c r="B2706" i="1"/>
  <c r="E1581" i="1"/>
  <c r="B1581" i="1"/>
  <c r="E1413" i="1"/>
  <c r="B1413" i="1"/>
  <c r="E3287" i="1"/>
  <c r="B3287" i="1"/>
  <c r="E2725" i="1"/>
  <c r="B2725" i="1"/>
  <c r="E2718" i="1"/>
  <c r="B2718" i="1"/>
  <c r="E1905" i="1"/>
  <c r="B1905" i="1"/>
  <c r="E1197" i="1"/>
  <c r="B1197" i="1"/>
  <c r="E1441" i="1"/>
  <c r="B1441" i="1"/>
  <c r="E3297" i="1"/>
  <c r="B3297" i="1"/>
  <c r="E294" i="1"/>
  <c r="B294" i="1"/>
  <c r="E2863" i="1"/>
  <c r="B2863" i="1"/>
  <c r="E1809" i="1"/>
  <c r="B1809" i="1"/>
  <c r="E2500" i="1"/>
  <c r="B2500" i="1"/>
  <c r="E1879" i="1"/>
  <c r="B1879" i="1"/>
  <c r="E1861" i="1"/>
  <c r="B1861" i="1"/>
  <c r="E1720" i="1"/>
  <c r="B1720" i="1"/>
  <c r="E1385" i="1"/>
  <c r="B1385" i="1"/>
  <c r="E1274" i="1"/>
  <c r="B1274" i="1"/>
  <c r="E2749" i="1"/>
  <c r="B2749" i="1"/>
  <c r="E2163" i="1"/>
  <c r="B2163" i="1"/>
  <c r="E1947" i="1"/>
  <c r="B1947" i="1"/>
  <c r="E1821" i="1"/>
  <c r="B1821" i="1"/>
  <c r="E3068" i="1"/>
  <c r="B3068" i="1"/>
  <c r="E2921" i="1"/>
  <c r="B2921" i="1"/>
  <c r="E2526" i="1"/>
  <c r="B2526" i="1"/>
  <c r="E2723" i="1"/>
  <c r="B2723" i="1"/>
  <c r="E1614" i="1"/>
  <c r="B1614" i="1"/>
  <c r="E3420" i="1"/>
  <c r="B3420" i="1"/>
  <c r="E1200" i="1"/>
  <c r="B1200" i="1"/>
  <c r="E3102" i="1"/>
  <c r="B3102" i="1"/>
  <c r="E2094" i="1"/>
  <c r="B2094" i="1"/>
  <c r="E616" i="1"/>
  <c r="B616" i="1"/>
  <c r="E2856" i="1"/>
  <c r="B2856" i="1"/>
  <c r="E2968" i="1"/>
  <c r="B2968" i="1"/>
  <c r="E2872" i="1"/>
  <c r="B2872" i="1"/>
  <c r="E1886" i="1"/>
  <c r="B1886" i="1"/>
  <c r="E2973" i="1"/>
  <c r="B2973" i="1"/>
  <c r="E2766" i="1"/>
  <c r="B2766" i="1"/>
  <c r="E1784" i="1"/>
  <c r="B1784" i="1"/>
  <c r="E1516" i="1"/>
  <c r="B1516" i="1"/>
  <c r="E811" i="1"/>
  <c r="B811" i="1"/>
  <c r="E2910" i="1"/>
  <c r="B2910" i="1"/>
  <c r="E2810" i="1"/>
  <c r="B2810" i="1"/>
  <c r="E2645" i="1"/>
  <c r="B2645" i="1"/>
  <c r="E1897" i="1"/>
  <c r="B1897" i="1"/>
  <c r="E580" i="1"/>
  <c r="B580" i="1"/>
  <c r="E2918" i="1"/>
  <c r="B2918" i="1"/>
  <c r="E2269" i="1"/>
  <c r="B2269" i="1"/>
  <c r="E1446" i="1"/>
  <c r="B1446" i="1"/>
  <c r="E1260" i="1"/>
  <c r="B1260" i="1"/>
  <c r="E3117" i="1"/>
  <c r="B3117" i="1"/>
  <c r="E3046" i="1"/>
  <c r="B3046" i="1"/>
  <c r="E3225" i="1"/>
  <c r="B3225" i="1"/>
  <c r="E3165" i="1"/>
  <c r="B3165" i="1"/>
  <c r="E3091" i="1"/>
  <c r="B3091" i="1"/>
  <c r="E2250" i="1"/>
  <c r="B2250" i="1"/>
  <c r="E2613" i="1"/>
  <c r="B2613" i="1"/>
  <c r="E581" i="1"/>
  <c r="B581" i="1"/>
  <c r="E3036" i="1"/>
  <c r="B3036" i="1"/>
  <c r="E1961" i="1"/>
  <c r="B1961" i="1"/>
  <c r="E2683" i="1"/>
  <c r="B2683" i="1"/>
  <c r="E2954" i="1"/>
  <c r="B2954" i="1"/>
  <c r="E1875" i="1"/>
  <c r="B1875" i="1"/>
  <c r="E1034" i="1"/>
  <c r="B1034" i="1"/>
  <c r="E3626" i="1"/>
  <c r="B3626" i="1"/>
  <c r="E2722" i="1"/>
  <c r="B2722" i="1"/>
  <c r="E657" i="1"/>
  <c r="B657" i="1"/>
  <c r="E2907" i="1"/>
  <c r="B2907" i="1"/>
  <c r="E2030" i="1"/>
  <c r="B2030" i="1"/>
  <c r="E3114" i="1"/>
  <c r="B3114" i="1"/>
  <c r="E2547" i="1"/>
  <c r="B2547" i="1"/>
  <c r="E2544" i="1"/>
  <c r="B2544" i="1"/>
  <c r="E1597" i="1"/>
  <c r="B1597" i="1"/>
  <c r="E2730" i="1"/>
  <c r="B2730" i="1"/>
  <c r="E1534" i="1"/>
  <c r="B1534" i="1"/>
  <c r="E3435" i="1"/>
  <c r="B3435" i="1"/>
  <c r="E1265" i="1"/>
  <c r="B1265" i="1"/>
  <c r="E2551" i="1"/>
  <c r="B2551" i="1"/>
  <c r="E632" i="1"/>
  <c r="B632" i="1"/>
  <c r="E3093" i="1"/>
  <c r="B3093" i="1"/>
  <c r="E2076" i="1"/>
  <c r="B2076" i="1"/>
  <c r="E1915" i="1"/>
  <c r="B1915" i="1"/>
  <c r="E3455" i="1"/>
  <c r="B3455" i="1"/>
  <c r="E2940" i="1"/>
  <c r="B2940" i="1"/>
  <c r="E1598" i="1"/>
  <c r="B1598" i="1"/>
  <c r="E2841" i="1"/>
  <c r="B2841" i="1"/>
  <c r="E2568" i="1"/>
  <c r="B2568" i="1"/>
  <c r="E1587" i="1"/>
  <c r="B1587" i="1"/>
  <c r="E1323" i="1"/>
  <c r="B1323" i="1"/>
  <c r="E1428" i="1"/>
  <c r="B1428" i="1"/>
  <c r="E2834" i="1"/>
  <c r="B2834" i="1"/>
  <c r="E1661" i="1"/>
  <c r="B1661" i="1"/>
  <c r="E513" i="1"/>
  <c r="B513" i="1"/>
  <c r="E2735" i="1"/>
  <c r="B2735" i="1"/>
  <c r="E2444" i="1"/>
  <c r="B2444" i="1"/>
  <c r="E3212" i="1"/>
  <c r="B3212" i="1"/>
  <c r="E2696" i="1"/>
  <c r="B2696" i="1"/>
  <c r="E712" i="1"/>
  <c r="B712" i="1"/>
  <c r="E2020" i="1"/>
  <c r="B2020" i="1"/>
  <c r="E2896" i="1"/>
  <c r="B2896" i="1"/>
  <c r="E2858" i="1"/>
  <c r="B2858" i="1"/>
  <c r="E2769" i="1"/>
  <c r="B2769" i="1"/>
  <c r="E2649" i="1"/>
  <c r="B2649" i="1"/>
  <c r="E1970" i="1"/>
  <c r="B1970" i="1"/>
  <c r="E1084" i="1"/>
  <c r="B1084" i="1"/>
  <c r="E759" i="1"/>
  <c r="B759" i="1"/>
  <c r="E2410" i="1"/>
  <c r="B2410" i="1"/>
  <c r="E1786" i="1"/>
  <c r="B1786" i="1"/>
  <c r="E1127" i="1"/>
  <c r="B1127" i="1"/>
  <c r="E1078" i="1"/>
  <c r="B1078" i="1"/>
  <c r="E3149" i="1"/>
  <c r="B3149" i="1"/>
  <c r="E3123" i="1"/>
  <c r="B3123" i="1"/>
  <c r="E2868" i="1"/>
  <c r="B2868" i="1"/>
  <c r="E2304" i="1"/>
  <c r="B2304" i="1"/>
  <c r="E2999" i="1"/>
  <c r="B2999" i="1"/>
  <c r="E1729" i="1"/>
  <c r="B1729" i="1"/>
  <c r="E1211" i="1"/>
  <c r="B1211" i="1"/>
  <c r="E2927" i="1"/>
  <c r="B2927" i="1"/>
  <c r="E2695" i="1"/>
  <c r="B2695" i="1"/>
  <c r="E2878" i="1"/>
  <c r="B2878" i="1"/>
  <c r="E2652" i="1"/>
  <c r="B2652" i="1"/>
  <c r="E2807" i="1"/>
  <c r="B2807" i="1"/>
  <c r="E2661" i="1"/>
  <c r="B2661" i="1"/>
  <c r="E3230" i="1"/>
  <c r="B3230" i="1"/>
  <c r="E2619" i="1"/>
  <c r="B2619" i="1"/>
  <c r="E2433" i="1"/>
  <c r="B2433" i="1"/>
  <c r="E2969" i="1"/>
  <c r="B2969" i="1"/>
  <c r="E2398" i="1"/>
  <c r="B2398" i="1"/>
  <c r="E2356" i="1"/>
  <c r="B2356" i="1"/>
  <c r="E2916" i="1"/>
  <c r="B2916" i="1"/>
  <c r="E2637" i="1"/>
  <c r="B2637" i="1"/>
  <c r="E1682" i="1"/>
  <c r="B1682" i="1"/>
  <c r="E1468" i="1"/>
  <c r="B1468" i="1"/>
  <c r="E2224" i="1"/>
  <c r="B2224" i="1"/>
  <c r="E2957" i="1"/>
  <c r="B2957" i="1"/>
  <c r="E2906" i="1"/>
  <c r="B2906" i="1"/>
  <c r="E3348" i="1"/>
  <c r="B3348" i="1"/>
  <c r="E3393" i="1"/>
  <c r="B3393" i="1"/>
  <c r="E2862" i="1"/>
  <c r="B2862" i="1"/>
  <c r="E157" i="1"/>
  <c r="B157" i="1"/>
  <c r="E1174" i="1"/>
  <c r="B1174" i="1"/>
  <c r="E1584" i="1"/>
  <c r="B1584" i="1"/>
  <c r="E3481" i="1"/>
  <c r="B3481" i="1"/>
  <c r="E2438" i="1"/>
  <c r="B2438" i="1"/>
  <c r="E2964" i="1"/>
  <c r="B2964" i="1"/>
  <c r="E249" i="1"/>
  <c r="B249" i="1"/>
  <c r="E2457" i="1"/>
  <c r="B2457" i="1"/>
  <c r="E1237" i="1"/>
  <c r="B1237" i="1"/>
  <c r="E3124" i="1"/>
  <c r="B3124" i="1"/>
  <c r="E2588" i="1"/>
  <c r="B2588" i="1"/>
  <c r="E2736" i="1"/>
  <c r="B2736" i="1"/>
  <c r="E2242" i="1"/>
  <c r="B2242" i="1"/>
  <c r="E2785" i="1"/>
  <c r="B2785" i="1"/>
  <c r="E1747" i="1"/>
  <c r="B1747" i="1"/>
  <c r="E1700" i="1"/>
  <c r="B1700" i="1"/>
  <c r="E1502" i="1"/>
  <c r="B1502" i="1"/>
  <c r="E2106" i="1"/>
  <c r="B2106" i="1"/>
  <c r="E1740" i="1"/>
  <c r="B1740" i="1"/>
  <c r="E756" i="1"/>
  <c r="B756" i="1"/>
  <c r="E1113" i="1"/>
  <c r="B1113" i="1"/>
  <c r="E2945" i="1"/>
  <c r="B2945" i="1"/>
  <c r="E2860" i="1"/>
  <c r="B2860" i="1"/>
  <c r="E2842" i="1"/>
  <c r="B2842" i="1"/>
  <c r="E2835" i="1"/>
  <c r="B2835" i="1"/>
  <c r="E2716" i="1"/>
  <c r="B2716" i="1"/>
  <c r="E1247" i="1"/>
  <c r="B1247" i="1"/>
  <c r="E357" i="1"/>
  <c r="B357" i="1"/>
  <c r="E2837" i="1"/>
  <c r="B2837" i="1"/>
  <c r="E2779" i="1"/>
  <c r="B2779" i="1"/>
  <c r="E2731" i="1"/>
  <c r="B2731" i="1"/>
  <c r="E2550" i="1"/>
  <c r="B2550" i="1"/>
  <c r="E1736" i="1"/>
  <c r="B1736" i="1"/>
  <c r="E1601" i="1"/>
  <c r="B1601" i="1"/>
  <c r="E1334" i="1"/>
  <c r="B1334" i="1"/>
  <c r="E598" i="1"/>
  <c r="B598" i="1"/>
  <c r="E572" i="1"/>
  <c r="B572" i="1"/>
  <c r="E3513" i="1"/>
  <c r="B3513" i="1"/>
  <c r="E2938" i="1"/>
  <c r="B2938" i="1"/>
  <c r="E2585" i="1"/>
  <c r="B2585" i="1"/>
  <c r="E2482" i="1"/>
  <c r="B2482" i="1"/>
  <c r="E2582" i="1"/>
  <c r="B2582" i="1"/>
  <c r="E2214" i="1"/>
  <c r="B2214" i="1"/>
  <c r="E3003" i="1"/>
  <c r="B3003" i="1"/>
  <c r="E2814" i="1"/>
  <c r="B2814" i="1"/>
  <c r="E3485" i="1"/>
  <c r="B3485" i="1"/>
  <c r="E2741" i="1"/>
  <c r="B2741" i="1"/>
  <c r="E2764" i="1"/>
  <c r="B2764" i="1"/>
  <c r="E2453" i="1"/>
  <c r="B2453" i="1"/>
  <c r="E790" i="1"/>
  <c r="B790" i="1"/>
  <c r="E2740" i="1"/>
  <c r="B2740" i="1"/>
  <c r="E2512" i="1"/>
  <c r="B2512" i="1"/>
  <c r="E1807" i="1"/>
  <c r="B1807" i="1"/>
  <c r="E1399" i="1"/>
  <c r="B1399" i="1"/>
  <c r="E2215" i="1"/>
  <c r="B2215" i="1"/>
  <c r="E2061" i="1"/>
  <c r="B2061" i="1"/>
  <c r="E2606" i="1"/>
  <c r="B2606" i="1"/>
  <c r="E2019" i="1"/>
  <c r="B2019" i="1"/>
  <c r="E1757" i="1"/>
  <c r="B1757" i="1"/>
  <c r="E1213" i="1"/>
  <c r="B1213" i="1"/>
  <c r="E965" i="1"/>
  <c r="B965" i="1"/>
  <c r="E3722" i="1"/>
  <c r="B3722" i="1"/>
  <c r="E1229" i="1"/>
  <c r="B1229" i="1"/>
  <c r="E1512" i="1"/>
  <c r="B1512" i="1"/>
  <c r="E1057" i="1"/>
  <c r="B1057" i="1"/>
  <c r="E3607" i="1"/>
  <c r="B3607" i="1"/>
  <c r="E3424" i="1"/>
  <c r="B3424" i="1"/>
  <c r="E1603" i="1"/>
  <c r="B1603" i="1"/>
  <c r="E1064" i="1"/>
  <c r="B1064" i="1"/>
  <c r="E2682" i="1"/>
  <c r="B2682" i="1"/>
  <c r="E2601" i="1"/>
  <c r="B2601" i="1"/>
  <c r="E1738" i="1"/>
  <c r="B1738" i="1"/>
  <c r="E1074" i="1"/>
  <c r="B1074" i="1"/>
  <c r="E1317" i="1"/>
  <c r="B1317" i="1"/>
  <c r="E2975" i="1"/>
  <c r="B2975" i="1"/>
  <c r="E2711" i="1"/>
  <c r="B2711" i="1"/>
  <c r="E2581" i="1"/>
  <c r="B2581" i="1"/>
  <c r="E1802" i="1"/>
  <c r="B1802" i="1"/>
  <c r="E1605" i="1"/>
  <c r="B1605" i="1"/>
  <c r="E1561" i="1"/>
  <c r="B1561" i="1"/>
  <c r="E1363" i="1"/>
  <c r="B1363" i="1"/>
  <c r="E2746" i="1"/>
  <c r="B2746" i="1"/>
  <c r="E2527" i="1"/>
  <c r="B2527" i="1"/>
  <c r="E570" i="1"/>
  <c r="B570" i="1"/>
  <c r="E817" i="1"/>
  <c r="B817" i="1"/>
  <c r="E3462" i="1"/>
  <c r="B3462" i="1"/>
  <c r="E3008" i="1"/>
  <c r="B3008" i="1"/>
  <c r="E1660" i="1"/>
  <c r="B1660" i="1"/>
  <c r="E1783" i="1"/>
  <c r="B1783" i="1"/>
  <c r="E1304" i="1"/>
  <c r="B1304" i="1"/>
  <c r="E1277" i="1"/>
  <c r="B1277" i="1"/>
  <c r="E2830" i="1"/>
  <c r="B2830" i="1"/>
  <c r="E1565" i="1"/>
  <c r="B1565" i="1"/>
  <c r="E614" i="1"/>
  <c r="B614" i="1"/>
  <c r="E2672" i="1"/>
  <c r="B2672" i="1"/>
  <c r="E2344" i="1"/>
  <c r="B2344" i="1"/>
  <c r="E2789" i="1"/>
  <c r="B2789" i="1"/>
  <c r="E2633" i="1"/>
  <c r="B2633" i="1"/>
  <c r="E1226" i="1"/>
  <c r="B1226" i="1"/>
  <c r="E2287" i="1"/>
  <c r="B2287" i="1"/>
  <c r="E3653" i="1"/>
  <c r="B3653" i="1"/>
  <c r="E2920" i="1"/>
  <c r="B2920" i="1"/>
  <c r="E2737" i="1"/>
  <c r="B2737" i="1"/>
  <c r="E2228" i="1"/>
  <c r="B2228" i="1"/>
  <c r="E1765" i="1"/>
  <c r="B1765" i="1"/>
  <c r="E2048" i="1"/>
  <c r="B2048" i="1"/>
  <c r="E1884" i="1"/>
  <c r="B1884" i="1"/>
  <c r="E3316" i="1"/>
  <c r="B3316" i="1"/>
  <c r="E2503" i="1"/>
  <c r="B2503" i="1"/>
  <c r="E1805" i="1"/>
  <c r="B1805" i="1"/>
  <c r="E3578" i="1"/>
  <c r="B3578" i="1"/>
  <c r="E3343" i="1"/>
  <c r="B3343" i="1"/>
  <c r="E2802" i="1"/>
  <c r="B2802" i="1"/>
  <c r="E1762" i="1"/>
  <c r="B1762" i="1"/>
  <c r="E1134" i="1"/>
  <c r="B1134" i="1"/>
  <c r="E2761" i="1"/>
  <c r="B2761" i="1"/>
  <c r="E1816" i="1"/>
  <c r="B1816" i="1"/>
  <c r="E3028" i="1"/>
  <c r="B3028" i="1"/>
  <c r="E2877" i="1"/>
  <c r="B2877" i="1"/>
  <c r="E2724" i="1"/>
  <c r="B2724" i="1"/>
  <c r="E2847" i="1"/>
  <c r="B2847" i="1"/>
  <c r="E2843" i="1"/>
  <c r="B2843" i="1"/>
  <c r="E2513" i="1"/>
  <c r="B2513" i="1"/>
  <c r="E2866" i="1"/>
  <c r="B2866" i="1"/>
  <c r="E2592" i="1"/>
  <c r="B2592" i="1"/>
  <c r="E2509" i="1"/>
  <c r="B2509" i="1"/>
  <c r="E1181" i="1"/>
  <c r="B1181" i="1"/>
  <c r="E3344" i="1"/>
  <c r="B3344" i="1"/>
  <c r="E2641" i="1"/>
  <c r="B2641" i="1"/>
  <c r="E2632" i="1"/>
  <c r="B2632" i="1"/>
  <c r="E380" i="1"/>
  <c r="B380" i="1"/>
  <c r="E2926" i="1"/>
  <c r="B2926" i="1"/>
  <c r="E2281" i="1"/>
  <c r="B2281" i="1"/>
  <c r="E3371" i="1"/>
  <c r="B3371" i="1"/>
  <c r="E2829" i="1"/>
  <c r="B2829" i="1"/>
  <c r="E1120" i="1"/>
  <c r="B1120" i="1"/>
  <c r="E2849" i="1"/>
  <c r="B2849" i="1"/>
  <c r="E2671" i="1"/>
  <c r="B2671" i="1"/>
  <c r="E3374" i="1"/>
  <c r="B3374" i="1"/>
  <c r="E2801" i="1"/>
  <c r="B2801" i="1"/>
  <c r="E2596" i="1"/>
  <c r="B2596" i="1"/>
  <c r="E2479" i="1"/>
  <c r="B2479" i="1"/>
  <c r="E2845" i="1"/>
  <c r="B2845" i="1"/>
  <c r="E1259" i="1"/>
  <c r="B1259" i="1"/>
  <c r="E783" i="1"/>
  <c r="B783" i="1"/>
  <c r="E3460" i="1"/>
  <c r="B3460" i="1"/>
  <c r="E2456" i="1"/>
  <c r="B2456" i="1"/>
  <c r="E3563" i="1"/>
  <c r="B3563" i="1"/>
  <c r="E2747" i="1"/>
  <c r="B2747" i="1"/>
  <c r="E2717" i="1"/>
  <c r="B2717" i="1"/>
  <c r="E2516" i="1"/>
  <c r="B2516" i="1"/>
  <c r="E1785" i="1"/>
  <c r="B1785" i="1"/>
  <c r="E907" i="1"/>
  <c r="B907" i="1"/>
  <c r="E482" i="1"/>
  <c r="B482" i="1"/>
  <c r="E2587" i="1"/>
  <c r="B2587" i="1"/>
  <c r="E3641" i="1"/>
  <c r="B3641" i="1"/>
  <c r="E2978" i="1"/>
  <c r="B2978" i="1"/>
  <c r="E1549" i="1"/>
  <c r="B1549" i="1"/>
  <c r="E2300" i="1"/>
  <c r="B2300" i="1"/>
  <c r="E2569" i="1"/>
  <c r="B2569" i="1"/>
  <c r="E1453" i="1"/>
  <c r="B1453" i="1"/>
  <c r="E2768" i="1"/>
  <c r="B2768" i="1"/>
  <c r="E2471" i="1"/>
  <c r="B2471" i="1"/>
  <c r="E1066" i="1"/>
  <c r="B1066" i="1"/>
  <c r="E2709" i="1"/>
  <c r="B2709" i="1"/>
  <c r="E3496" i="1"/>
  <c r="B3496" i="1"/>
  <c r="E3338" i="1"/>
  <c r="B3338" i="1"/>
  <c r="E2425" i="1"/>
  <c r="B2425" i="1"/>
  <c r="E2384" i="1"/>
  <c r="B2384" i="1"/>
  <c r="E1555" i="1"/>
  <c r="B1555" i="1"/>
  <c r="E1017" i="1"/>
  <c r="B1017" i="1"/>
  <c r="E1623" i="1"/>
  <c r="B1623" i="1"/>
  <c r="E3434" i="1"/>
  <c r="B3434" i="1"/>
  <c r="E2510" i="1"/>
  <c r="B2510" i="1"/>
  <c r="E3446" i="1"/>
  <c r="B3446" i="1"/>
  <c r="E2610" i="1"/>
  <c r="B2610" i="1"/>
  <c r="E2563" i="1"/>
  <c r="B2563" i="1"/>
  <c r="E1849" i="1"/>
  <c r="B1849" i="1"/>
  <c r="E2123" i="1"/>
  <c r="B2123" i="1"/>
  <c r="E3624" i="1"/>
  <c r="B3624" i="1"/>
  <c r="E2897" i="1"/>
  <c r="B2897" i="1"/>
  <c r="E2523" i="1"/>
  <c r="B2523" i="1"/>
  <c r="E2302" i="1"/>
  <c r="B2302" i="1"/>
  <c r="E3443" i="1"/>
  <c r="B3443" i="1"/>
  <c r="E2673" i="1"/>
  <c r="B2673" i="1"/>
  <c r="E2607" i="1"/>
  <c r="B2607" i="1"/>
  <c r="E2528" i="1"/>
  <c r="B2528" i="1"/>
  <c r="E1937" i="1"/>
  <c r="B1937" i="1"/>
  <c r="E2911" i="1"/>
  <c r="B2911" i="1"/>
  <c r="E2828" i="1"/>
  <c r="B2828" i="1"/>
  <c r="E2089" i="1"/>
  <c r="B2089" i="1"/>
  <c r="E2734" i="1"/>
  <c r="B2734" i="1"/>
  <c r="E1578" i="1"/>
  <c r="B1578" i="1"/>
  <c r="E1695" i="1"/>
  <c r="B1695" i="1"/>
  <c r="E545" i="1"/>
  <c r="B545" i="1"/>
  <c r="E2748" i="1"/>
  <c r="B2748" i="1"/>
  <c r="E2553" i="1"/>
  <c r="B2553" i="1"/>
  <c r="E1882" i="1"/>
  <c r="B1882" i="1"/>
  <c r="E3433" i="1"/>
  <c r="B3433" i="1"/>
  <c r="E3198" i="1"/>
  <c r="B3198" i="1"/>
  <c r="E2348" i="1"/>
  <c r="B2348" i="1"/>
  <c r="E1737" i="1"/>
  <c r="B1737" i="1"/>
  <c r="E1402" i="1"/>
  <c r="B1402" i="1"/>
  <c r="E3511" i="1"/>
  <c r="B3511" i="1"/>
  <c r="E2680" i="1"/>
  <c r="B2680" i="1"/>
  <c r="E2565" i="1"/>
  <c r="B2565" i="1"/>
  <c r="E1688" i="1"/>
  <c r="B1688" i="1"/>
  <c r="E1841" i="1"/>
  <c r="B1841" i="1"/>
  <c r="E1522" i="1"/>
  <c r="B1522" i="1"/>
  <c r="E2983" i="1"/>
  <c r="B2983" i="1"/>
  <c r="E2566" i="1"/>
  <c r="B2566" i="1"/>
  <c r="E528" i="1"/>
  <c r="B528" i="1"/>
  <c r="E3376" i="1"/>
  <c r="B3376" i="1"/>
  <c r="E2678" i="1"/>
  <c r="B2678" i="1"/>
  <c r="E2615" i="1"/>
  <c r="B2615" i="1"/>
  <c r="E1227" i="1"/>
  <c r="B1227" i="1"/>
  <c r="E1041" i="1"/>
  <c r="B1041" i="1"/>
  <c r="E2762" i="1"/>
  <c r="B2762" i="1"/>
  <c r="E2698" i="1"/>
  <c r="B2698" i="1"/>
  <c r="E2103" i="1"/>
  <c r="B2103" i="1"/>
  <c r="E1955" i="1"/>
  <c r="B1955" i="1"/>
  <c r="E3075" i="1"/>
  <c r="B3075" i="1"/>
  <c r="E1837" i="1"/>
  <c r="B1837" i="1"/>
  <c r="E2191" i="1"/>
  <c r="B2191" i="1"/>
  <c r="E1231" i="1"/>
  <c r="B1231" i="1"/>
  <c r="E964" i="1"/>
  <c r="B964" i="1"/>
  <c r="E3574" i="1"/>
  <c r="B3574" i="1"/>
  <c r="E2859" i="1"/>
  <c r="B2859" i="1"/>
  <c r="E3714" i="1"/>
  <c r="B3714" i="1"/>
  <c r="E3315" i="1"/>
  <c r="B3315" i="1"/>
  <c r="E1869" i="1"/>
  <c r="B1869" i="1"/>
  <c r="E2876" i="1"/>
  <c r="B2876" i="1"/>
  <c r="E2413" i="1"/>
  <c r="B2413" i="1"/>
  <c r="E1939" i="1"/>
  <c r="B1939" i="1"/>
  <c r="E2618" i="1"/>
  <c r="B2618" i="1"/>
  <c r="E336" i="1"/>
  <c r="B336" i="1"/>
  <c r="E3652" i="1"/>
  <c r="B3652" i="1"/>
  <c r="E2704" i="1"/>
  <c r="B2704" i="1"/>
  <c r="E2133" i="1"/>
  <c r="B2133" i="1"/>
  <c r="E549" i="1"/>
  <c r="B549" i="1"/>
  <c r="E1455" i="1"/>
  <c r="B1455" i="1"/>
  <c r="E554" i="1"/>
  <c r="B554" i="1"/>
  <c r="E574" i="1"/>
  <c r="B574" i="1"/>
  <c r="E2791" i="1"/>
  <c r="B2791" i="1"/>
  <c r="E971" i="1"/>
  <c r="B971" i="1"/>
  <c r="E3542" i="1"/>
  <c r="B3542" i="1"/>
  <c r="E2857" i="1"/>
  <c r="B2857" i="1"/>
  <c r="E2681" i="1"/>
  <c r="B2681" i="1"/>
  <c r="E2626" i="1"/>
  <c r="B2626" i="1"/>
  <c r="E196" i="1"/>
  <c r="B196" i="1"/>
  <c r="E1890" i="1"/>
  <c r="B1890" i="1"/>
  <c r="E535" i="1"/>
  <c r="B535" i="1"/>
  <c r="E3517" i="1"/>
  <c r="B3517" i="1"/>
  <c r="E1788" i="1"/>
  <c r="B1788" i="1"/>
  <c r="E2579" i="1"/>
  <c r="B2579" i="1"/>
  <c r="E2466" i="1"/>
  <c r="B2466" i="1"/>
  <c r="E484" i="1"/>
  <c r="B484" i="1"/>
  <c r="E1767" i="1"/>
  <c r="B1767" i="1"/>
  <c r="E1541" i="1"/>
  <c r="B1541" i="1"/>
  <c r="E1491" i="1"/>
  <c r="B1491" i="1"/>
  <c r="E667" i="1"/>
  <c r="B667" i="1"/>
  <c r="E2311" i="1"/>
  <c r="B2311" i="1"/>
  <c r="E3406" i="1"/>
  <c r="B3406" i="1"/>
  <c r="E2082" i="1"/>
  <c r="B2082" i="1"/>
  <c r="E1798" i="1"/>
  <c r="B1798" i="1"/>
  <c r="E2657" i="1"/>
  <c r="B2657" i="1"/>
  <c r="E2275" i="1"/>
  <c r="B2275" i="1"/>
  <c r="E1419" i="1"/>
  <c r="B1419" i="1"/>
  <c r="E2953" i="1"/>
  <c r="B2953" i="1"/>
  <c r="E2452" i="1"/>
  <c r="B2452" i="1"/>
  <c r="E1486" i="1"/>
  <c r="B1486" i="1"/>
  <c r="E3004" i="1"/>
  <c r="B3004" i="1"/>
  <c r="E1475" i="1"/>
  <c r="B1475" i="1"/>
  <c r="E1361" i="1"/>
  <c r="B1361" i="1"/>
  <c r="E2816" i="1"/>
  <c r="B2816" i="1"/>
  <c r="E2497" i="1"/>
  <c r="B2497" i="1"/>
  <c r="E1820" i="1"/>
  <c r="B1820" i="1"/>
  <c r="E3048" i="1"/>
  <c r="B3048" i="1"/>
  <c r="E3532" i="1"/>
  <c r="B3532" i="1"/>
  <c r="E2441" i="1"/>
  <c r="B2441" i="1"/>
  <c r="E2159" i="1"/>
  <c r="B2159" i="1"/>
  <c r="E1007" i="1"/>
  <c r="B1007" i="1"/>
  <c r="E2792" i="1"/>
  <c r="B2792" i="1"/>
  <c r="E1239" i="1"/>
  <c r="B1239" i="1"/>
  <c r="E750" i="1"/>
  <c r="B750" i="1"/>
  <c r="E2542" i="1"/>
  <c r="B2542" i="1"/>
  <c r="E1448" i="1"/>
  <c r="B1448" i="1"/>
  <c r="E1065" i="1"/>
  <c r="B1065" i="1"/>
  <c r="E1271" i="1"/>
  <c r="B1271" i="1"/>
  <c r="E1176" i="1"/>
  <c r="B1176" i="1"/>
  <c r="E3373" i="1"/>
  <c r="B3373" i="1"/>
  <c r="E2157" i="1"/>
  <c r="B2157" i="1"/>
  <c r="E467" i="1"/>
  <c r="B467" i="1"/>
  <c r="E3380" i="1"/>
  <c r="B3380" i="1"/>
  <c r="E2773" i="1"/>
  <c r="B2773" i="1"/>
  <c r="E3364" i="1"/>
  <c r="B3364" i="1"/>
  <c r="E3322" i="1"/>
  <c r="B3322" i="1"/>
  <c r="E423" i="1"/>
  <c r="B423" i="1"/>
  <c r="E2450" i="1"/>
  <c r="B2450" i="1"/>
  <c r="E2498" i="1"/>
  <c r="B2498" i="1"/>
  <c r="E2476" i="1"/>
  <c r="B2476" i="1"/>
  <c r="E2235" i="1"/>
  <c r="B2235" i="1"/>
  <c r="E532" i="1"/>
  <c r="B532" i="1"/>
  <c r="E2976" i="1"/>
  <c r="B2976" i="1"/>
  <c r="E1186" i="1"/>
  <c r="B1186" i="1"/>
  <c r="E3651" i="1"/>
  <c r="B3651" i="1"/>
  <c r="E2508" i="1"/>
  <c r="B2508" i="1"/>
  <c r="E2319" i="1"/>
  <c r="B2319" i="1"/>
  <c r="E1586" i="1"/>
  <c r="B1586" i="1"/>
  <c r="E2058" i="1"/>
  <c r="B2058" i="1"/>
  <c r="E3025" i="1"/>
  <c r="B3025" i="1"/>
  <c r="E1145" i="1"/>
  <c r="B1145" i="1"/>
  <c r="E605" i="1"/>
  <c r="B605" i="1"/>
  <c r="E520" i="1"/>
  <c r="B520" i="1"/>
  <c r="E2590" i="1"/>
  <c r="B2590" i="1"/>
  <c r="E1038" i="1"/>
  <c r="B1038" i="1"/>
  <c r="E3638" i="1"/>
  <c r="B3638" i="1"/>
  <c r="E3273" i="1"/>
  <c r="B3273" i="1"/>
  <c r="E2448" i="1"/>
  <c r="B2448" i="1"/>
  <c r="E1488" i="1"/>
  <c r="B1488" i="1"/>
  <c r="E3441" i="1"/>
  <c r="B3441" i="1"/>
  <c r="E1891" i="1"/>
  <c r="B1891" i="1"/>
  <c r="E2285" i="1"/>
  <c r="B2285" i="1"/>
  <c r="E1863" i="1"/>
  <c r="B1863" i="1"/>
  <c r="E2745" i="1"/>
  <c r="B2745" i="1"/>
  <c r="E2548" i="1"/>
  <c r="B2548" i="1"/>
  <c r="E2751" i="1"/>
  <c r="B2751" i="1"/>
  <c r="E1112" i="1"/>
  <c r="B1112" i="1"/>
  <c r="E1656" i="1"/>
  <c r="B1656" i="1"/>
  <c r="E794" i="1"/>
  <c r="B794" i="1"/>
  <c r="E3488" i="1"/>
  <c r="B3488" i="1"/>
  <c r="E2515" i="1"/>
  <c r="B2515" i="1"/>
  <c r="E1873" i="1"/>
  <c r="B1873" i="1"/>
  <c r="E3027" i="1"/>
  <c r="B3027" i="1"/>
  <c r="E2867" i="1"/>
  <c r="B2867" i="1"/>
  <c r="E3720" i="1"/>
  <c r="B3720" i="1"/>
  <c r="E2771" i="1"/>
  <c r="B2771" i="1"/>
  <c r="E2539" i="1"/>
  <c r="B2539" i="1"/>
  <c r="E2241" i="1"/>
  <c r="B2241" i="1"/>
  <c r="E2545" i="1"/>
  <c r="B2545" i="1"/>
  <c r="E1054" i="1"/>
  <c r="B1054" i="1"/>
  <c r="E983" i="1"/>
  <c r="B983" i="1"/>
  <c r="E2628" i="1"/>
  <c r="B2628" i="1"/>
  <c r="E1273" i="1"/>
  <c r="B1273" i="1"/>
  <c r="E3509" i="1"/>
  <c r="B3509" i="1"/>
  <c r="E3350" i="1"/>
  <c r="B3350" i="1"/>
  <c r="E3137" i="1"/>
  <c r="B3137" i="1"/>
  <c r="E1151" i="1"/>
  <c r="B1151" i="1"/>
  <c r="E479" i="1"/>
  <c r="B479" i="1"/>
  <c r="E194" i="1"/>
  <c r="B194" i="1"/>
  <c r="E2129" i="1"/>
  <c r="B2129" i="1"/>
  <c r="E3026" i="1"/>
  <c r="B3026" i="1"/>
  <c r="E1312" i="1"/>
  <c r="B1312" i="1"/>
  <c r="E2901" i="1"/>
  <c r="B2901" i="1"/>
  <c r="E3409" i="1"/>
  <c r="B3409" i="1"/>
  <c r="E1254" i="1"/>
  <c r="B1254" i="1"/>
  <c r="E2375" i="1"/>
  <c r="B2375" i="1"/>
  <c r="E1741" i="1"/>
  <c r="B1741" i="1"/>
  <c r="E3508" i="1"/>
  <c r="B3508" i="1"/>
  <c r="E3404" i="1"/>
  <c r="B3404" i="1"/>
  <c r="E3351" i="1"/>
  <c r="B3351" i="1"/>
  <c r="E2004" i="1"/>
  <c r="B2004" i="1"/>
  <c r="E1622" i="1"/>
  <c r="B1622" i="1"/>
  <c r="E636" i="1"/>
  <c r="B636" i="1"/>
  <c r="E3196" i="1"/>
  <c r="B3196" i="1"/>
  <c r="E2519" i="1"/>
  <c r="B2519" i="1"/>
  <c r="E1593" i="1"/>
  <c r="B1593" i="1"/>
  <c r="E1507" i="1"/>
  <c r="B1507" i="1"/>
  <c r="E489" i="1"/>
  <c r="B489" i="1"/>
  <c r="E2429" i="1"/>
  <c r="B2429" i="1"/>
  <c r="E1596" i="1"/>
  <c r="B1596" i="1"/>
  <c r="E1331" i="1"/>
  <c r="B1331" i="1"/>
  <c r="E1091" i="1"/>
  <c r="B1091" i="1"/>
  <c r="E1258" i="1"/>
  <c r="B1258" i="1"/>
  <c r="E1089" i="1"/>
  <c r="B1089" i="1"/>
  <c r="E2383" i="1"/>
  <c r="B2383" i="1"/>
  <c r="E3001" i="1"/>
  <c r="B3001" i="1"/>
  <c r="E1506" i="1"/>
  <c r="B1506" i="1"/>
  <c r="E737" i="1"/>
  <c r="B737" i="1"/>
  <c r="E2790" i="1"/>
  <c r="B2790" i="1"/>
  <c r="E386" i="1"/>
  <c r="B386" i="1"/>
  <c r="E2225" i="1"/>
  <c r="B2225" i="1"/>
  <c r="E3478" i="1"/>
  <c r="B3478" i="1"/>
  <c r="E2473" i="1"/>
  <c r="B2473" i="1"/>
  <c r="E1677" i="1"/>
  <c r="B1677" i="1"/>
  <c r="E3334" i="1"/>
  <c r="B3334" i="1"/>
  <c r="E1508" i="1"/>
  <c r="B1508" i="1"/>
  <c r="E2593" i="1"/>
  <c r="B2593" i="1"/>
  <c r="E2573" i="1"/>
  <c r="B2573" i="1"/>
  <c r="E1155" i="1"/>
  <c r="B1155" i="1"/>
  <c r="E3495" i="1"/>
  <c r="B3495" i="1"/>
  <c r="E2811" i="1"/>
  <c r="B2811" i="1"/>
  <c r="E2586" i="1"/>
  <c r="B2586" i="1"/>
  <c r="E1097" i="1"/>
  <c r="B1097" i="1"/>
  <c r="E3191" i="1"/>
  <c r="B3191" i="1"/>
  <c r="E2158" i="1"/>
  <c r="B2158" i="1"/>
  <c r="E1995" i="1"/>
  <c r="B1995" i="1"/>
  <c r="E664" i="1"/>
  <c r="B664" i="1"/>
  <c r="E3447" i="1"/>
  <c r="B3447" i="1"/>
  <c r="E1998" i="1"/>
  <c r="B1998" i="1"/>
  <c r="E1924" i="1"/>
  <c r="B1924" i="1"/>
  <c r="E2031" i="1"/>
  <c r="B2031" i="1"/>
  <c r="E440" i="1"/>
  <c r="B440" i="1"/>
  <c r="E2213" i="1"/>
  <c r="B2213" i="1"/>
  <c r="E1410" i="1"/>
  <c r="B1410" i="1"/>
  <c r="E3011" i="1"/>
  <c r="B3011" i="1"/>
  <c r="E1808" i="1"/>
  <c r="B1808" i="1"/>
  <c r="E1173" i="1"/>
  <c r="B1173" i="1"/>
  <c r="E867" i="1"/>
  <c r="B867" i="1"/>
  <c r="E246" i="1"/>
  <c r="B246" i="1"/>
  <c r="E3022" i="1"/>
  <c r="B3022" i="1"/>
  <c r="E2770" i="1"/>
  <c r="B2770" i="1"/>
  <c r="E2647" i="1"/>
  <c r="B2647" i="1"/>
  <c r="E1901" i="1"/>
  <c r="B1901" i="1"/>
  <c r="E1994" i="1"/>
  <c r="B1994" i="1"/>
  <c r="E1557" i="1"/>
  <c r="B1557" i="1"/>
  <c r="E1470" i="1"/>
  <c r="B1470" i="1"/>
  <c r="E500" i="1"/>
  <c r="B500" i="1"/>
  <c r="E2431" i="1"/>
  <c r="B2431" i="1"/>
  <c r="E2026" i="1"/>
  <c r="B2026" i="1"/>
  <c r="E498" i="1"/>
  <c r="B498" i="1"/>
  <c r="E3290" i="1"/>
  <c r="B3290" i="1"/>
  <c r="E2608" i="1"/>
  <c r="B2608" i="1"/>
  <c r="E2400" i="1"/>
  <c r="B2400" i="1"/>
  <c r="E2310" i="1"/>
  <c r="B2310" i="1"/>
  <c r="E3308" i="1"/>
  <c r="B3308" i="1"/>
  <c r="E2597" i="1"/>
  <c r="B2597" i="1"/>
  <c r="E2514" i="1"/>
  <c r="B2514" i="1"/>
  <c r="E2288" i="1"/>
  <c r="B2288" i="1"/>
  <c r="E2210" i="1"/>
  <c r="B2210" i="1"/>
  <c r="E3579" i="1"/>
  <c r="B3579" i="1"/>
  <c r="E3331" i="1"/>
  <c r="B3331" i="1"/>
  <c r="E1917" i="1"/>
  <c r="B1917" i="1"/>
  <c r="E2827" i="1"/>
  <c r="B2827" i="1"/>
  <c r="E3608" i="1"/>
  <c r="B3608" i="1"/>
  <c r="E1826" i="1"/>
  <c r="B1826" i="1"/>
  <c r="E1620" i="1"/>
  <c r="B1620" i="1"/>
  <c r="E1375" i="1"/>
  <c r="B1375" i="1"/>
  <c r="E1308" i="1"/>
  <c r="B1308" i="1"/>
  <c r="E1703" i="1"/>
  <c r="B1703" i="1"/>
  <c r="E1079" i="1"/>
  <c r="B1079" i="1"/>
  <c r="E276" i="1"/>
  <c r="B276" i="1"/>
  <c r="E2812" i="1"/>
  <c r="B2812" i="1"/>
  <c r="E2623" i="1"/>
  <c r="B2623" i="1"/>
  <c r="E2333" i="1"/>
  <c r="B2333" i="1"/>
  <c r="E3229" i="1"/>
  <c r="B3229" i="1"/>
  <c r="E3101" i="1"/>
  <c r="B3101" i="1"/>
  <c r="E2208" i="1"/>
  <c r="B2208" i="1"/>
  <c r="E1999" i="1"/>
  <c r="B1999" i="1"/>
  <c r="E1398" i="1"/>
  <c r="B1398" i="1"/>
  <c r="E2147" i="1"/>
  <c r="B2147" i="1"/>
  <c r="E2787" i="1"/>
  <c r="B2787" i="1"/>
  <c r="E2152" i="1"/>
  <c r="B2152" i="1"/>
  <c r="E2447" i="1"/>
  <c r="B2447" i="1"/>
  <c r="E2477" i="1"/>
  <c r="B2477" i="1"/>
  <c r="E2028" i="1"/>
  <c r="B2028" i="1"/>
  <c r="E1978" i="1"/>
  <c r="B1978" i="1"/>
  <c r="E1275" i="1"/>
  <c r="B1275" i="1"/>
  <c r="E1848" i="1"/>
  <c r="B1848" i="1"/>
  <c r="E432" i="1"/>
  <c r="B432" i="1"/>
  <c r="E3342" i="1"/>
  <c r="B3342" i="1"/>
  <c r="E2156" i="1"/>
  <c r="B2156" i="1"/>
  <c r="E1739" i="1"/>
  <c r="B1739" i="1"/>
  <c r="E1183" i="1"/>
  <c r="B1183" i="1"/>
  <c r="E3014" i="1"/>
  <c r="B3014" i="1"/>
  <c r="E2732" i="1"/>
  <c r="B2732" i="1"/>
  <c r="E2268" i="1"/>
  <c r="B2268" i="1"/>
  <c r="E1928" i="1"/>
  <c r="B1928" i="1"/>
  <c r="E2522" i="1"/>
  <c r="B2522" i="1"/>
  <c r="E3265" i="1"/>
  <c r="B3265" i="1"/>
  <c r="E1166" i="1"/>
  <c r="B1166" i="1"/>
  <c r="E2320" i="1"/>
  <c r="B2320" i="1"/>
  <c r="E1588" i="1"/>
  <c r="B1588" i="1"/>
  <c r="E1238" i="1"/>
  <c r="B1238" i="1"/>
  <c r="E1189" i="1"/>
  <c r="B1189" i="1"/>
  <c r="E641" i="1"/>
  <c r="B641" i="1"/>
  <c r="E3715" i="1"/>
  <c r="B3715" i="1"/>
  <c r="E2554" i="1"/>
  <c r="B2554" i="1"/>
  <c r="E1629" i="1"/>
  <c r="B1629" i="1"/>
  <c r="E3584" i="1"/>
  <c r="B3584" i="1"/>
  <c r="E1956" i="1"/>
  <c r="B1956" i="1"/>
  <c r="E1913" i="1"/>
  <c r="B1913" i="1"/>
  <c r="E2809" i="1"/>
  <c r="B2809" i="1"/>
  <c r="E2458" i="1"/>
  <c r="B2458" i="1"/>
  <c r="E2173" i="1"/>
  <c r="B2173" i="1"/>
  <c r="E3228" i="1"/>
  <c r="B3228" i="1"/>
  <c r="E2381" i="1"/>
  <c r="B2381" i="1"/>
  <c r="E1944" i="1"/>
  <c r="B1944" i="1"/>
  <c r="E1302" i="1"/>
  <c r="B1302" i="1"/>
  <c r="E2851" i="1"/>
  <c r="B2851" i="1"/>
  <c r="E1850" i="1"/>
  <c r="B1850" i="1"/>
  <c r="E2415" i="1"/>
  <c r="B2415" i="1"/>
  <c r="E1907" i="1"/>
  <c r="B1907" i="1"/>
  <c r="E2049" i="1"/>
  <c r="B2049" i="1"/>
  <c r="E1804" i="1"/>
  <c r="B1804" i="1"/>
  <c r="E3355" i="1"/>
  <c r="B3355" i="1"/>
  <c r="E3000" i="1"/>
  <c r="B3000" i="1"/>
  <c r="E2836" i="1"/>
  <c r="B2836" i="1"/>
  <c r="E2251" i="1"/>
  <c r="B2251" i="1"/>
  <c r="E1962" i="1"/>
  <c r="B1962" i="1"/>
  <c r="E1117" i="1"/>
  <c r="B1117" i="1"/>
  <c r="E523" i="1"/>
  <c r="B523" i="1"/>
  <c r="E2604" i="1"/>
  <c r="B2604" i="1"/>
  <c r="E1838" i="1"/>
  <c r="B1838" i="1"/>
  <c r="E3319" i="1"/>
  <c r="B3319" i="1"/>
  <c r="E3398" i="1"/>
  <c r="B3398" i="1"/>
  <c r="E2589" i="1"/>
  <c r="B2589" i="1"/>
  <c r="E2279" i="1"/>
  <c r="B2279" i="1"/>
  <c r="E1870" i="1"/>
  <c r="B1870" i="1"/>
  <c r="E3397" i="1"/>
  <c r="B3397" i="1"/>
  <c r="E656" i="1"/>
  <c r="B656" i="1"/>
  <c r="E303" i="1"/>
  <c r="B303" i="1"/>
  <c r="E2930" i="1"/>
  <c r="B2930" i="1"/>
  <c r="E1153" i="1"/>
  <c r="B1153" i="1"/>
  <c r="E799" i="1"/>
  <c r="B799" i="1"/>
  <c r="E1644" i="1"/>
  <c r="B1644" i="1"/>
  <c r="E1225" i="1"/>
  <c r="B1225" i="1"/>
  <c r="E999" i="1"/>
  <c r="B999" i="1"/>
  <c r="E2121" i="1"/>
  <c r="B2121" i="1"/>
  <c r="E1772" i="1"/>
  <c r="B1772" i="1"/>
  <c r="E1328" i="1"/>
  <c r="B1328" i="1"/>
  <c r="E1251" i="1"/>
  <c r="B1251" i="1"/>
  <c r="E2720" i="1"/>
  <c r="B2720" i="1"/>
  <c r="E894" i="1"/>
  <c r="B894" i="1"/>
  <c r="E2660" i="1"/>
  <c r="B2660" i="1"/>
  <c r="E1618" i="1"/>
  <c r="B1618" i="1"/>
  <c r="E2087" i="1"/>
  <c r="B2087" i="1"/>
  <c r="E2069" i="1"/>
  <c r="B2069" i="1"/>
  <c r="E1657" i="1"/>
  <c r="B1657" i="1"/>
  <c r="E1018" i="1"/>
  <c r="B1018" i="1"/>
  <c r="E2902" i="1"/>
  <c r="B2902" i="1"/>
  <c r="E2638" i="1"/>
  <c r="B2638" i="1"/>
  <c r="E2427" i="1"/>
  <c r="B2427" i="1"/>
  <c r="E2313" i="1"/>
  <c r="B2313" i="1"/>
  <c r="E2243" i="1"/>
  <c r="B2243" i="1"/>
  <c r="E1215" i="1"/>
  <c r="B1215" i="1"/>
  <c r="E2002" i="1"/>
  <c r="B2002" i="1"/>
  <c r="E1118" i="1"/>
  <c r="B1118" i="1"/>
  <c r="E3152" i="1"/>
  <c r="B3152" i="1"/>
  <c r="E2713" i="1"/>
  <c r="B2713" i="1"/>
  <c r="E193" i="1"/>
  <c r="B193" i="1"/>
  <c r="E1537" i="1"/>
  <c r="B1537" i="1"/>
  <c r="E569" i="1"/>
  <c r="B569" i="1"/>
  <c r="E3148" i="1"/>
  <c r="B3148" i="1"/>
  <c r="E2345" i="1"/>
  <c r="B2345" i="1"/>
  <c r="E2667" i="1"/>
  <c r="B2667" i="1"/>
  <c r="E2576" i="1"/>
  <c r="B2576" i="1"/>
  <c r="E2507" i="1"/>
  <c r="B2507" i="1"/>
  <c r="E795" i="1"/>
  <c r="B795" i="1"/>
  <c r="E3171" i="1"/>
  <c r="B3171" i="1"/>
  <c r="E2742" i="1"/>
  <c r="B2742" i="1"/>
  <c r="E2294" i="1"/>
  <c r="B2294" i="1"/>
  <c r="E2653" i="1"/>
  <c r="B2653" i="1"/>
  <c r="E2646" i="1"/>
  <c r="B2646" i="1"/>
  <c r="E2244" i="1"/>
  <c r="B2244" i="1"/>
  <c r="E1960" i="1"/>
  <c r="B1960" i="1"/>
  <c r="E1797" i="1"/>
  <c r="B1797" i="1"/>
  <c r="E1286" i="1"/>
  <c r="B1286" i="1"/>
  <c r="E1243" i="1"/>
  <c r="B1243" i="1"/>
  <c r="E2644" i="1"/>
  <c r="B2644" i="1"/>
  <c r="E2127" i="1"/>
  <c r="B2127" i="1"/>
  <c r="E2925" i="1"/>
  <c r="B2925" i="1"/>
  <c r="E1433" i="1"/>
  <c r="B1433" i="1"/>
  <c r="E3480" i="1"/>
  <c r="B3480" i="1"/>
  <c r="E2577" i="1"/>
  <c r="B2577" i="1"/>
  <c r="E3444" i="1"/>
  <c r="B3444" i="1"/>
  <c r="E1266" i="1"/>
  <c r="B1266" i="1"/>
  <c r="E3635" i="1"/>
  <c r="B3635" i="1"/>
  <c r="E3043" i="1"/>
  <c r="B3043" i="1"/>
  <c r="E2799" i="1"/>
  <c r="B2799" i="1"/>
  <c r="E2189" i="1"/>
  <c r="B2189" i="1"/>
  <c r="E2556" i="1"/>
  <c r="B2556" i="1"/>
  <c r="E1577" i="1"/>
  <c r="B1577" i="1"/>
  <c r="E2919" i="1"/>
  <c r="B2919" i="1"/>
  <c r="E2256" i="1"/>
  <c r="B2256" i="1"/>
  <c r="E158" i="1"/>
  <c r="B158" i="1"/>
  <c r="E2187" i="1"/>
  <c r="B2187" i="1"/>
  <c r="E1430" i="1"/>
  <c r="B1430" i="1"/>
  <c r="E1199" i="1"/>
  <c r="B1199" i="1"/>
  <c r="E1101" i="1"/>
  <c r="B1101" i="1"/>
  <c r="E3347" i="1"/>
  <c r="B3347" i="1"/>
  <c r="E2364" i="1"/>
  <c r="B2364" i="1"/>
  <c r="E1979" i="1"/>
  <c r="B1979" i="1"/>
  <c r="E2567" i="1"/>
  <c r="B2567" i="1"/>
  <c r="E2532" i="1"/>
  <c r="B2532" i="1"/>
  <c r="E2387" i="1"/>
  <c r="B2387" i="1"/>
  <c r="E1881" i="1"/>
  <c r="B1881" i="1"/>
  <c r="E2485" i="1"/>
  <c r="B2485" i="1"/>
  <c r="E1896" i="1"/>
  <c r="B1896" i="1"/>
  <c r="E445" i="1"/>
  <c r="B445" i="1"/>
  <c r="E3543" i="1"/>
  <c r="B3543" i="1"/>
  <c r="E2620" i="1"/>
  <c r="B2620" i="1"/>
  <c r="E2454" i="1"/>
  <c r="B2454" i="1"/>
  <c r="E2396" i="1"/>
  <c r="B2396" i="1"/>
  <c r="E2335" i="1"/>
  <c r="B2335" i="1"/>
  <c r="E1628" i="1"/>
  <c r="B1628" i="1"/>
  <c r="E1170" i="1"/>
  <c r="B1170" i="1"/>
  <c r="E893" i="1"/>
  <c r="B893" i="1"/>
  <c r="E3336" i="1"/>
  <c r="B3336" i="1"/>
  <c r="E2167" i="1"/>
  <c r="B2167" i="1"/>
  <c r="E1755" i="1"/>
  <c r="B1755" i="1"/>
  <c r="E2782" i="1"/>
  <c r="B2782" i="1"/>
  <c r="E2171" i="1"/>
  <c r="B2171" i="1"/>
  <c r="E1666" i="1"/>
  <c r="B1666" i="1"/>
  <c r="E2572" i="1"/>
  <c r="B2572" i="1"/>
  <c r="E1214" i="1"/>
  <c r="B1214" i="1"/>
  <c r="E1949" i="1"/>
  <c r="B1949" i="1"/>
  <c r="E1418" i="1"/>
  <c r="B1418" i="1"/>
  <c r="E2366" i="1"/>
  <c r="B2366" i="1"/>
  <c r="E2355" i="1"/>
  <c r="B2355" i="1"/>
  <c r="E2998" i="1"/>
  <c r="B2998" i="1"/>
  <c r="E2277" i="1"/>
  <c r="B2277" i="1"/>
  <c r="E3395" i="1"/>
  <c r="B3395" i="1"/>
  <c r="E2609" i="1"/>
  <c r="B2609" i="1"/>
  <c r="E761" i="1"/>
  <c r="B761" i="1"/>
  <c r="E1865" i="1"/>
  <c r="B1865" i="1"/>
  <c r="E1726" i="1"/>
  <c r="B1726" i="1"/>
  <c r="E1611" i="1"/>
  <c r="B1611" i="1"/>
  <c r="E2377" i="1"/>
  <c r="B2377" i="1"/>
  <c r="E2714" i="1"/>
  <c r="B2714" i="1"/>
  <c r="E1836" i="1"/>
  <c r="B1836" i="1"/>
  <c r="E1892" i="1"/>
  <c r="B1892" i="1"/>
  <c r="E1364" i="1"/>
  <c r="B1364" i="1"/>
  <c r="E295" i="1"/>
  <c r="B295" i="1"/>
  <c r="E1694" i="1"/>
  <c r="B1694" i="1"/>
  <c r="E749" i="1"/>
  <c r="B749" i="1"/>
  <c r="E2044" i="1"/>
  <c r="B2044" i="1"/>
  <c r="E3067" i="1"/>
  <c r="B3067" i="1"/>
  <c r="E472" i="1"/>
  <c r="B472" i="1"/>
  <c r="E247" i="1"/>
  <c r="B247" i="1"/>
  <c r="E3235" i="1"/>
  <c r="B3235" i="1"/>
  <c r="E3164" i="1"/>
  <c r="B3164" i="1"/>
  <c r="E1983" i="1"/>
  <c r="B1983" i="1"/>
  <c r="E1953" i="1"/>
  <c r="B1953" i="1"/>
  <c r="E751" i="1"/>
  <c r="B751" i="1"/>
  <c r="E3244" i="1"/>
  <c r="B3244" i="1"/>
  <c r="E1404" i="1"/>
  <c r="B1404" i="1"/>
  <c r="E2944" i="1"/>
  <c r="B2944" i="1"/>
  <c r="E3440" i="1"/>
  <c r="B3440" i="1"/>
  <c r="E2557" i="1"/>
  <c r="B2557" i="1"/>
  <c r="E645" i="1"/>
  <c r="B645" i="1"/>
  <c r="E3202" i="1"/>
  <c r="B3202" i="1"/>
  <c r="E884" i="1"/>
  <c r="B884" i="1"/>
  <c r="E1167" i="1"/>
  <c r="B1167" i="1"/>
  <c r="E2318" i="1"/>
  <c r="B2318" i="1"/>
  <c r="E2321" i="1"/>
  <c r="B2321" i="1"/>
  <c r="E1523" i="1"/>
  <c r="B1523" i="1"/>
  <c r="E3305" i="1"/>
  <c r="B3305" i="1"/>
  <c r="E1559" i="1"/>
  <c r="B1559" i="1"/>
  <c r="E2844" i="1"/>
  <c r="B2844" i="1"/>
  <c r="E1002" i="1"/>
  <c r="B1002" i="1"/>
  <c r="E2195" i="1"/>
  <c r="B2195" i="1"/>
  <c r="E3203" i="1"/>
  <c r="B3203" i="1"/>
  <c r="E2772" i="1"/>
  <c r="B2772" i="1"/>
  <c r="E2203" i="1"/>
  <c r="B2203" i="1"/>
  <c r="E2297" i="1"/>
  <c r="B2297" i="1"/>
  <c r="E2489" i="1"/>
  <c r="B2489" i="1"/>
  <c r="E1743" i="1"/>
  <c r="B1743" i="1"/>
  <c r="E1933" i="1"/>
  <c r="B1933" i="1"/>
  <c r="E3106" i="1"/>
  <c r="B3106" i="1"/>
  <c r="E1228" i="1"/>
  <c r="B1228" i="1"/>
  <c r="E1969" i="1"/>
  <c r="B1969" i="1"/>
  <c r="E604" i="1"/>
  <c r="B604" i="1"/>
  <c r="E1158" i="1"/>
  <c r="B1158" i="1"/>
  <c r="E754" i="1"/>
  <c r="B754" i="1"/>
  <c r="E1088" i="1"/>
  <c r="B1088" i="1"/>
  <c r="E2674" i="1"/>
  <c r="B2674" i="1"/>
  <c r="E2218" i="1"/>
  <c r="B2218" i="1"/>
  <c r="E2077" i="1"/>
  <c r="B2077" i="1"/>
  <c r="E1806" i="1"/>
  <c r="B1806" i="1"/>
  <c r="E1164" i="1"/>
  <c r="B1164" i="1"/>
  <c r="E807" i="1"/>
  <c r="B807" i="1"/>
  <c r="E1477" i="1"/>
  <c r="B1477" i="1"/>
  <c r="E2895" i="1"/>
  <c r="B2895" i="1"/>
  <c r="E2351" i="1"/>
  <c r="B2351" i="1"/>
  <c r="E2385" i="1"/>
  <c r="B2385" i="1"/>
  <c r="E2334" i="1"/>
  <c r="B2334" i="1"/>
  <c r="E3454" i="1"/>
  <c r="B3454" i="1"/>
  <c r="E3255" i="1"/>
  <c r="B3255" i="1"/>
  <c r="E2209" i="1"/>
  <c r="B2209" i="1"/>
  <c r="E1607" i="1"/>
  <c r="B1607" i="1"/>
  <c r="E3192" i="1"/>
  <c r="B3192" i="1"/>
  <c r="E2521" i="1"/>
  <c r="B2521" i="1"/>
  <c r="E2421" i="1"/>
  <c r="B2421" i="1"/>
  <c r="E1894" i="1"/>
  <c r="B1894" i="1"/>
  <c r="E1196" i="1"/>
  <c r="B1196" i="1"/>
  <c r="E2612" i="1"/>
  <c r="B2612" i="1"/>
  <c r="E2284" i="1"/>
  <c r="B2284" i="1"/>
  <c r="E1132" i="1"/>
  <c r="B1132" i="1"/>
  <c r="E2428" i="1"/>
  <c r="B2428" i="1"/>
  <c r="E2060" i="1"/>
  <c r="B2060" i="1"/>
  <c r="E700" i="1"/>
  <c r="B700" i="1"/>
  <c r="E3382" i="1"/>
  <c r="B3382" i="1"/>
  <c r="E3086" i="1"/>
  <c r="B3086" i="1"/>
  <c r="E1563" i="1"/>
  <c r="B1563" i="1"/>
  <c r="E2915" i="1"/>
  <c r="B2915" i="1"/>
  <c r="E2296" i="1"/>
  <c r="B2296" i="1"/>
  <c r="E2316" i="1"/>
  <c r="B2316" i="1"/>
  <c r="E2166" i="1"/>
  <c r="B2166" i="1"/>
  <c r="E2013" i="1"/>
  <c r="B2013" i="1"/>
  <c r="E2439" i="1"/>
  <c r="B2439" i="1"/>
  <c r="E2145" i="1"/>
  <c r="B2145" i="1"/>
  <c r="E2943" i="1"/>
  <c r="B2943" i="1"/>
  <c r="E2874" i="1"/>
  <c r="B2874" i="1"/>
  <c r="E1626" i="1"/>
  <c r="B1626" i="1"/>
  <c r="E1567" i="1"/>
  <c r="B1567" i="1"/>
  <c r="E3363" i="1"/>
  <c r="B3363" i="1"/>
  <c r="E1650" i="1"/>
  <c r="B1650" i="1"/>
  <c r="E3175" i="1"/>
  <c r="B3175" i="1"/>
  <c r="E2232" i="1"/>
  <c r="B2232" i="1"/>
  <c r="E1592" i="1"/>
  <c r="B1592" i="1"/>
  <c r="E1954" i="1"/>
  <c r="B1954" i="1"/>
  <c r="E3204" i="1"/>
  <c r="B3204" i="1"/>
  <c r="E2043" i="1"/>
  <c r="B2043" i="1"/>
  <c r="E1564" i="1"/>
  <c r="B1564" i="1"/>
  <c r="E1518" i="1"/>
  <c r="B1518" i="1"/>
  <c r="E2663" i="1"/>
  <c r="B2663" i="1"/>
  <c r="E1645" i="1"/>
  <c r="B1645" i="1"/>
  <c r="E2168" i="1"/>
  <c r="B2168" i="1"/>
  <c r="E1996" i="1"/>
  <c r="B1996" i="1"/>
  <c r="E361" i="1"/>
  <c r="B361" i="1"/>
  <c r="E3012" i="1"/>
  <c r="B3012" i="1"/>
  <c r="E2151" i="1"/>
  <c r="B2151" i="1"/>
  <c r="E2501" i="1"/>
  <c r="B2501" i="1"/>
  <c r="E929" i="1"/>
  <c r="B929" i="1"/>
  <c r="E1148" i="1"/>
  <c r="B1148" i="1"/>
  <c r="E2622" i="1"/>
  <c r="B2622" i="1"/>
  <c r="E2181" i="1"/>
  <c r="B2181" i="1"/>
  <c r="E282" i="1"/>
  <c r="B282" i="1"/>
  <c r="E1037" i="1"/>
  <c r="B1037" i="1"/>
  <c r="E775" i="1"/>
  <c r="B775" i="1"/>
  <c r="E171" i="1"/>
  <c r="B171" i="1"/>
  <c r="E2149" i="1"/>
  <c r="B2149" i="1"/>
  <c r="E321" i="1"/>
  <c r="B321" i="1"/>
  <c r="E2359" i="1"/>
  <c r="B2359" i="1"/>
  <c r="E2831" i="1"/>
  <c r="B2831" i="1"/>
  <c r="E1908" i="1"/>
  <c r="B1908" i="1"/>
  <c r="E1880" i="1"/>
  <c r="B1880" i="1"/>
  <c r="E1734" i="1"/>
  <c r="B1734" i="1"/>
  <c r="E1450" i="1"/>
  <c r="B1450" i="1"/>
  <c r="E2066" i="1"/>
  <c r="B2066" i="1"/>
  <c r="E1731" i="1"/>
  <c r="B1731" i="1"/>
  <c r="E1241" i="1"/>
  <c r="B1241" i="1"/>
  <c r="E1472" i="1"/>
  <c r="B1472" i="1"/>
  <c r="E2136" i="1"/>
  <c r="B2136" i="1"/>
  <c r="E1207" i="1"/>
  <c r="B1207" i="1"/>
  <c r="E2982" i="1"/>
  <c r="B2982" i="1"/>
  <c r="E485" i="1"/>
  <c r="B485" i="1"/>
  <c r="E3224" i="1"/>
  <c r="B3224" i="1"/>
  <c r="E2112" i="1"/>
  <c r="B2112" i="1"/>
  <c r="E2357" i="1"/>
  <c r="B2357" i="1"/>
  <c r="E2270" i="1"/>
  <c r="B2270" i="1"/>
  <c r="E2178" i="1"/>
  <c r="B2178" i="1"/>
  <c r="E2546" i="1"/>
  <c r="B2546" i="1"/>
  <c r="E1063" i="1"/>
  <c r="B1063" i="1"/>
  <c r="E2719" i="1"/>
  <c r="B2719" i="1"/>
  <c r="E1775" i="1"/>
  <c r="B1775" i="1"/>
  <c r="E2262" i="1"/>
  <c r="B2262" i="1"/>
  <c r="E1926" i="1"/>
  <c r="B1926" i="1"/>
  <c r="E892" i="1"/>
  <c r="B892" i="1"/>
  <c r="E2700" i="1"/>
  <c r="B2700" i="1"/>
  <c r="E2342" i="1"/>
  <c r="B2342" i="1"/>
  <c r="E252" i="1"/>
  <c r="B252" i="1"/>
  <c r="E2654" i="1"/>
  <c r="B2654" i="1"/>
  <c r="E2443" i="1"/>
  <c r="B2443" i="1"/>
  <c r="E2081" i="1"/>
  <c r="B2081" i="1"/>
  <c r="E1408" i="1"/>
  <c r="B1408" i="1"/>
  <c r="E2040" i="1"/>
  <c r="B2040" i="1"/>
  <c r="E1730" i="1"/>
  <c r="B1730" i="1"/>
  <c r="E682" i="1"/>
  <c r="B682" i="1"/>
  <c r="E1704" i="1"/>
  <c r="B1704" i="1"/>
  <c r="E2088" i="1"/>
  <c r="B2088" i="1"/>
  <c r="E1988" i="1"/>
  <c r="B1988" i="1"/>
  <c r="E2470" i="1"/>
  <c r="B2470" i="1"/>
  <c r="E950" i="1"/>
  <c r="B950" i="1"/>
  <c r="E652" i="1"/>
  <c r="B652" i="1"/>
  <c r="E1675" i="1"/>
  <c r="B1675" i="1"/>
  <c r="E3187" i="1"/>
  <c r="B3187" i="1"/>
  <c r="E2455" i="1"/>
  <c r="B2455" i="1"/>
  <c r="E2024" i="1"/>
  <c r="B2024" i="1"/>
  <c r="E1159" i="1"/>
  <c r="B1159" i="1"/>
  <c r="E1081" i="1"/>
  <c r="B1081" i="1"/>
  <c r="E904" i="1"/>
  <c r="B904" i="1"/>
  <c r="E1171" i="1"/>
  <c r="B1171" i="1"/>
  <c r="E1116" i="1"/>
  <c r="B1116" i="1"/>
  <c r="E1867" i="1"/>
  <c r="B1867" i="1"/>
  <c r="E538" i="1"/>
  <c r="B538" i="1"/>
  <c r="E2832" i="1"/>
  <c r="B2832" i="1"/>
  <c r="E1968" i="1"/>
  <c r="B1968" i="1"/>
  <c r="E1071" i="1"/>
  <c r="B1071" i="1"/>
  <c r="E723" i="1"/>
  <c r="B723" i="1"/>
  <c r="E3098" i="1"/>
  <c r="B3098" i="1"/>
  <c r="E2624" i="1"/>
  <c r="B2624" i="1"/>
  <c r="E2491" i="1"/>
  <c r="B2491" i="1"/>
  <c r="E3209" i="1"/>
  <c r="B3209" i="1"/>
  <c r="E1060" i="1"/>
  <c r="B1060" i="1"/>
  <c r="E2336" i="1"/>
  <c r="B2336" i="1"/>
  <c r="E3161" i="1"/>
  <c r="B3161" i="1"/>
  <c r="E2627" i="1"/>
  <c r="B2627" i="1"/>
  <c r="E1714" i="1"/>
  <c r="B1714" i="1"/>
  <c r="E2818" i="1"/>
  <c r="B2818" i="1"/>
  <c r="E2750" i="1"/>
  <c r="B2750" i="1"/>
  <c r="E1574" i="1"/>
  <c r="B1574" i="1"/>
  <c r="E1140" i="1"/>
  <c r="B1140" i="1"/>
  <c r="E901" i="1"/>
  <c r="B901" i="1"/>
  <c r="E2369" i="1"/>
  <c r="B2369" i="1"/>
  <c r="E1299" i="1"/>
  <c r="B1299" i="1"/>
  <c r="E2819" i="1"/>
  <c r="B2819" i="1"/>
  <c r="E3017" i="1"/>
  <c r="B3017" i="1"/>
  <c r="E1051" i="1"/>
  <c r="B1051" i="1"/>
  <c r="E1617" i="1"/>
  <c r="B1617" i="1"/>
  <c r="E1975" i="1"/>
  <c r="B1975" i="1"/>
  <c r="E3170" i="1"/>
  <c r="B3170" i="1"/>
  <c r="E2204" i="1"/>
  <c r="B2204" i="1"/>
  <c r="E2655" i="1"/>
  <c r="B2655" i="1"/>
  <c r="E1434" i="1"/>
  <c r="B1434" i="1"/>
  <c r="E1647" i="1"/>
  <c r="B1647" i="1"/>
  <c r="E3109" i="1"/>
  <c r="B3109" i="1"/>
  <c r="E789" i="1"/>
  <c r="B789" i="1"/>
  <c r="E2679" i="1"/>
  <c r="B2679" i="1"/>
  <c r="E1452" i="1"/>
  <c r="B1452" i="1"/>
  <c r="E909" i="1"/>
  <c r="B909" i="1"/>
  <c r="E493" i="1"/>
  <c r="B493" i="1"/>
  <c r="E2234" i="1"/>
  <c r="B2234" i="1"/>
  <c r="E1966" i="1"/>
  <c r="B1966" i="1"/>
  <c r="E2424" i="1"/>
  <c r="B2424" i="1"/>
  <c r="E2120" i="1"/>
  <c r="B2120" i="1"/>
  <c r="E2139" i="1"/>
  <c r="B2139" i="1"/>
  <c r="E1630" i="1"/>
  <c r="B1630" i="1"/>
  <c r="E2240" i="1"/>
  <c r="B2240" i="1"/>
  <c r="E2165" i="1"/>
  <c r="B2165" i="1"/>
  <c r="E2599" i="1"/>
  <c r="B2599" i="1"/>
  <c r="E1735" i="1"/>
  <c r="B1735" i="1"/>
  <c r="E1400" i="1"/>
  <c r="B1400" i="1"/>
  <c r="E1000" i="1"/>
  <c r="B1000" i="1"/>
  <c r="E2684" i="1"/>
  <c r="B2684" i="1"/>
  <c r="E1742" i="1"/>
  <c r="B1742" i="1"/>
  <c r="E2249" i="1"/>
  <c r="B2249" i="1"/>
  <c r="E2201" i="1"/>
  <c r="B2201" i="1"/>
  <c r="E2536" i="1"/>
  <c r="B2536" i="1"/>
  <c r="E1851" i="1"/>
  <c r="B1851" i="1"/>
  <c r="E2635" i="1"/>
  <c r="B2635" i="1"/>
  <c r="E2130" i="1"/>
  <c r="B2130" i="1"/>
  <c r="E3134" i="1"/>
  <c r="B3134" i="1"/>
  <c r="E1185" i="1"/>
  <c r="B1185" i="1"/>
  <c r="E2323" i="1"/>
  <c r="B2323" i="1"/>
  <c r="E1031" i="1"/>
  <c r="B1031" i="1"/>
  <c r="E1671" i="1"/>
  <c r="B1671" i="1"/>
  <c r="E2033" i="1"/>
  <c r="B2033" i="1"/>
  <c r="E2781" i="1"/>
  <c r="B2781" i="1"/>
  <c r="E2397" i="1"/>
  <c r="B2397" i="1"/>
  <c r="E1245" i="1"/>
  <c r="B1245" i="1"/>
  <c r="E518" i="1"/>
  <c r="B518" i="1"/>
  <c r="E309" i="1"/>
  <c r="B309" i="1"/>
  <c r="E2015" i="1"/>
  <c r="B2015" i="1"/>
  <c r="E1325" i="1"/>
  <c r="B1325" i="1"/>
  <c r="E458" i="1"/>
  <c r="B458" i="1"/>
  <c r="E2630" i="1"/>
  <c r="B2630" i="1"/>
  <c r="E1590" i="1"/>
  <c r="B1590" i="1"/>
  <c r="E2179" i="1"/>
  <c r="B2179" i="1"/>
  <c r="E2875" i="1"/>
  <c r="B2875" i="1"/>
  <c r="E2825" i="1"/>
  <c r="B2825" i="1"/>
  <c r="E2555" i="1"/>
  <c r="B2555" i="1"/>
  <c r="E1669" i="1"/>
  <c r="B1669" i="1"/>
  <c r="E668" i="1"/>
  <c r="B668" i="1"/>
  <c r="E1087" i="1"/>
  <c r="B1087" i="1"/>
  <c r="E3044" i="1"/>
  <c r="B3044" i="1"/>
  <c r="E934" i="1"/>
  <c r="B934" i="1"/>
  <c r="E684" i="1"/>
  <c r="B684" i="1"/>
  <c r="E2571" i="1"/>
  <c r="B2571" i="1"/>
  <c r="E2616" i="1"/>
  <c r="B2616" i="1"/>
  <c r="E1948" i="1"/>
  <c r="B1948" i="1"/>
  <c r="E2196" i="1"/>
  <c r="B2196" i="1"/>
  <c r="E611" i="1"/>
  <c r="B611" i="1"/>
  <c r="E2865" i="1"/>
  <c r="B2865" i="1"/>
  <c r="E2217" i="1"/>
  <c r="B2217" i="1"/>
  <c r="E1790" i="1"/>
  <c r="B1790" i="1"/>
  <c r="E3111" i="1"/>
  <c r="B3111" i="1"/>
  <c r="E602" i="1"/>
  <c r="B602" i="1"/>
  <c r="E2972" i="1"/>
  <c r="B2972" i="1"/>
  <c r="E2322" i="1"/>
  <c r="B2322" i="1"/>
  <c r="E2272" i="1"/>
  <c r="B2272" i="1"/>
  <c r="E2850" i="1"/>
  <c r="B2850" i="1"/>
  <c r="E2401" i="1"/>
  <c r="B2401" i="1"/>
  <c r="E1378" i="1"/>
  <c r="B1378" i="1"/>
  <c r="E1371" i="1"/>
  <c r="B1371" i="1"/>
  <c r="E2941" i="1"/>
  <c r="B2941" i="1"/>
  <c r="E1035" i="1"/>
  <c r="B1035" i="1"/>
  <c r="E2198" i="1"/>
  <c r="B2198" i="1"/>
  <c r="E1217" i="1"/>
  <c r="B1217" i="1"/>
  <c r="E813" i="1"/>
  <c r="B813" i="1"/>
  <c r="E2788" i="1"/>
  <c r="B2788" i="1"/>
  <c r="E2580" i="1"/>
  <c r="B2580" i="1"/>
  <c r="E2339" i="1"/>
  <c r="B2339" i="1"/>
  <c r="E2125" i="1"/>
  <c r="B2125" i="1"/>
  <c r="E1180" i="1"/>
  <c r="B1180" i="1"/>
  <c r="E2559" i="1"/>
  <c r="B2559" i="1"/>
  <c r="E3356" i="1"/>
  <c r="B3356" i="1"/>
  <c r="E1085" i="1"/>
  <c r="B1085" i="1"/>
  <c r="E1013" i="1"/>
  <c r="B1013" i="1"/>
  <c r="E1840" i="1"/>
  <c r="B1840" i="1"/>
  <c r="E967" i="1"/>
  <c r="B967" i="1"/>
  <c r="E552" i="1"/>
  <c r="B552" i="1"/>
  <c r="E738" i="1"/>
  <c r="B738" i="1"/>
  <c r="E928" i="1"/>
  <c r="B928" i="1"/>
  <c r="E1121" i="1"/>
  <c r="B1121" i="1"/>
  <c r="E2603" i="1"/>
  <c r="B2603" i="1"/>
  <c r="E2710" i="1"/>
  <c r="B2710" i="1"/>
  <c r="E1318" i="1"/>
  <c r="B1318" i="1"/>
  <c r="E1528" i="1"/>
  <c r="B1528" i="1"/>
  <c r="E1818" i="1"/>
  <c r="B1818" i="1"/>
  <c r="E1799" i="1"/>
  <c r="B1799" i="1"/>
  <c r="E2499" i="1"/>
  <c r="B2499" i="1"/>
  <c r="E2529" i="1"/>
  <c r="B2529" i="1"/>
  <c r="E961" i="1"/>
  <c r="B961" i="1"/>
  <c r="E2075" i="1"/>
  <c r="B2075" i="1"/>
  <c r="E2259" i="1"/>
  <c r="B2259" i="1"/>
  <c r="E1732" i="1"/>
  <c r="B1732" i="1"/>
  <c r="E985" i="1"/>
  <c r="B985" i="1"/>
  <c r="E2643" i="1"/>
  <c r="B2643" i="1"/>
  <c r="E1178" i="1"/>
  <c r="B1178" i="1"/>
  <c r="E2826" i="1"/>
  <c r="B2826" i="1"/>
  <c r="E2939" i="1"/>
  <c r="B2939" i="1"/>
  <c r="E2531" i="1"/>
  <c r="B2531" i="1"/>
  <c r="E826" i="1"/>
  <c r="B826" i="1"/>
  <c r="E1780" i="1"/>
  <c r="B1780" i="1"/>
  <c r="E1392" i="1"/>
  <c r="B1392" i="1"/>
  <c r="E2537" i="1"/>
  <c r="B2537" i="1"/>
  <c r="E1706" i="1"/>
  <c r="B1706" i="1"/>
  <c r="E1521" i="1"/>
  <c r="B1521" i="1"/>
  <c r="E505" i="1"/>
  <c r="B505" i="1"/>
  <c r="E1264" i="1"/>
  <c r="B1264" i="1"/>
  <c r="E159" i="1"/>
  <c r="B159" i="1"/>
  <c r="E2666" i="1"/>
  <c r="B2666" i="1"/>
  <c r="E1391" i="1"/>
  <c r="B1391" i="1"/>
  <c r="E743" i="1"/>
  <c r="B743" i="1"/>
  <c r="E1154" i="1"/>
  <c r="B1154" i="1"/>
  <c r="E1543" i="1"/>
  <c r="B1543" i="1"/>
  <c r="E593" i="1"/>
  <c r="B593" i="1"/>
  <c r="E511" i="1"/>
  <c r="B511" i="1"/>
  <c r="E1845" i="1"/>
  <c r="B1845" i="1"/>
  <c r="E424" i="1"/>
  <c r="B424" i="1"/>
  <c r="E1687" i="1"/>
  <c r="B1687" i="1"/>
  <c r="E448" i="1"/>
  <c r="B448" i="1"/>
  <c r="E1350" i="1"/>
  <c r="B1350" i="1"/>
  <c r="E711" i="1"/>
  <c r="B711" i="1"/>
  <c r="E1723" i="1"/>
  <c r="B1723" i="1"/>
  <c r="E883" i="1"/>
  <c r="B883" i="1"/>
  <c r="E875" i="1"/>
  <c r="B875" i="1"/>
  <c r="E268" i="1"/>
  <c r="B268" i="1"/>
  <c r="E1813" i="1"/>
  <c r="B1813" i="1"/>
  <c r="E1246" i="1"/>
  <c r="B1246" i="1"/>
  <c r="E435" i="1"/>
  <c r="B435" i="1"/>
  <c r="E2399" i="1"/>
  <c r="B2399" i="1"/>
  <c r="E2086" i="1"/>
  <c r="B2086" i="1"/>
  <c r="E586" i="1"/>
  <c r="B586" i="1"/>
  <c r="E563" i="1"/>
  <c r="B563" i="1"/>
  <c r="E2064" i="1"/>
  <c r="B2064" i="1"/>
  <c r="E2636" i="1"/>
  <c r="B2636" i="1"/>
  <c r="E810" i="1"/>
  <c r="B810" i="1"/>
  <c r="E3153" i="1"/>
  <c r="B3153" i="1"/>
  <c r="E2170" i="1"/>
  <c r="B2170" i="1"/>
  <c r="E2705" i="1"/>
  <c r="B2705" i="1"/>
  <c r="E2411" i="1"/>
  <c r="B2411" i="1"/>
  <c r="E3069" i="1"/>
  <c r="B3069" i="1"/>
  <c r="E2426" i="1"/>
  <c r="B2426" i="1"/>
  <c r="E409" i="1"/>
  <c r="B409" i="1"/>
  <c r="E1900" i="1"/>
  <c r="B1900" i="1"/>
  <c r="E1394" i="1"/>
  <c r="B1394" i="1"/>
  <c r="E2184" i="1"/>
  <c r="B2184" i="1"/>
  <c r="E2524" i="1"/>
  <c r="B2524" i="1"/>
  <c r="E831" i="1"/>
  <c r="B831" i="1"/>
  <c r="E1633" i="1"/>
  <c r="B1633" i="1"/>
  <c r="E1451" i="1"/>
  <c r="B1451" i="1"/>
  <c r="E2562" i="1"/>
  <c r="B2562" i="1"/>
  <c r="E1932" i="1"/>
  <c r="B1932" i="1"/>
  <c r="E1139" i="1"/>
  <c r="B1139" i="1"/>
  <c r="E3076" i="1"/>
  <c r="B3076" i="1"/>
  <c r="E1595" i="1"/>
  <c r="B1595" i="1"/>
  <c r="E2594" i="1"/>
  <c r="B2594" i="1"/>
  <c r="E2172" i="1"/>
  <c r="B2172" i="1"/>
  <c r="E2602" i="1"/>
  <c r="B2602" i="1"/>
  <c r="E2267" i="1"/>
  <c r="B2267" i="1"/>
  <c r="E1641" i="1"/>
  <c r="B1641" i="1"/>
  <c r="E703" i="1"/>
  <c r="B703" i="1"/>
  <c r="E292" i="1"/>
  <c r="B292" i="1"/>
  <c r="E2260" i="1"/>
  <c r="B2260" i="1"/>
  <c r="E394" i="1"/>
  <c r="B394" i="1"/>
  <c r="E2873" i="1"/>
  <c r="B2873" i="1"/>
  <c r="E620" i="1"/>
  <c r="B620" i="1"/>
  <c r="E2685" i="1"/>
  <c r="B2685" i="1"/>
  <c r="E2659" i="1"/>
  <c r="B2659" i="1"/>
  <c r="E392" i="1"/>
  <c r="B392" i="1"/>
  <c r="E2408" i="1"/>
  <c r="B2408" i="1"/>
  <c r="E2122" i="1"/>
  <c r="B2122" i="1"/>
  <c r="E2192" i="1"/>
  <c r="B2192" i="1"/>
  <c r="E1438" i="1"/>
  <c r="B1438" i="1"/>
  <c r="E1230" i="1"/>
  <c r="B1230" i="1"/>
  <c r="E1929" i="1"/>
  <c r="B1929" i="1"/>
  <c r="E1435" i="1"/>
  <c r="B1435" i="1"/>
  <c r="E757" i="1"/>
  <c r="B757" i="1"/>
  <c r="E248" i="1"/>
  <c r="B248" i="1"/>
  <c r="E603" i="1"/>
  <c r="B603" i="1"/>
  <c r="E1777" i="1"/>
  <c r="B1777" i="1"/>
  <c r="E421" i="1"/>
  <c r="B421" i="1"/>
  <c r="E1746" i="1"/>
  <c r="B1746" i="1"/>
  <c r="E2464" i="1"/>
  <c r="B2464" i="1"/>
  <c r="E1776" i="1"/>
  <c r="B1776" i="1"/>
  <c r="E1067" i="1"/>
  <c r="B1067" i="1"/>
  <c r="E2350" i="1"/>
  <c r="B2350" i="1"/>
  <c r="E869" i="1"/>
  <c r="B869" i="1"/>
  <c r="E2846" i="1"/>
  <c r="B2846" i="1"/>
  <c r="E370" i="1"/>
  <c r="B370" i="1"/>
  <c r="E2949" i="1"/>
  <c r="B2949" i="1"/>
  <c r="E1796" i="1"/>
  <c r="B1796" i="1"/>
  <c r="E1376" i="1"/>
  <c r="B1376" i="1"/>
  <c r="E2305" i="1"/>
  <c r="B2305" i="1"/>
  <c r="E1342" i="1"/>
  <c r="B1342" i="1"/>
  <c r="E2080" i="1"/>
  <c r="B2080" i="1"/>
  <c r="E1387" i="1"/>
  <c r="B1387" i="1"/>
  <c r="E1024" i="1"/>
  <c r="B1024" i="1"/>
  <c r="E1638" i="1"/>
  <c r="B1638" i="1"/>
  <c r="E2494" i="1"/>
  <c r="B2494" i="1"/>
  <c r="E1754" i="1"/>
  <c r="B1754" i="1"/>
  <c r="E2966" i="1"/>
  <c r="B2966" i="1"/>
  <c r="E3307" i="1"/>
  <c r="B3307" i="1"/>
  <c r="E1936" i="1"/>
  <c r="B1936" i="1"/>
  <c r="E1224" i="1"/>
  <c r="B1224" i="1"/>
  <c r="E2101" i="1"/>
  <c r="B2101" i="1"/>
  <c r="E359" i="1"/>
  <c r="B359" i="1"/>
  <c r="E2107" i="1"/>
  <c r="B2107" i="1"/>
  <c r="E972" i="1"/>
  <c r="B972" i="1"/>
  <c r="E1058" i="1"/>
  <c r="B1058" i="1"/>
  <c r="E362" i="1"/>
  <c r="B362" i="1"/>
  <c r="E1756" i="1"/>
  <c r="B1756" i="1"/>
  <c r="E1223" i="1"/>
  <c r="B1223" i="1"/>
  <c r="E2014" i="1"/>
  <c r="B2014" i="1"/>
  <c r="E1285" i="1"/>
  <c r="B1285" i="1"/>
  <c r="E2502" i="1"/>
  <c r="B2502" i="1"/>
  <c r="E2697" i="1"/>
  <c r="B2697" i="1"/>
  <c r="E2180" i="1"/>
  <c r="B2180" i="1"/>
  <c r="E914" i="1"/>
  <c r="B914" i="1"/>
  <c r="E2003" i="1"/>
  <c r="B2003" i="1"/>
  <c r="E354" i="1"/>
  <c r="B354" i="1"/>
  <c r="E2079" i="1"/>
  <c r="B2079" i="1"/>
  <c r="E1386" i="1"/>
  <c r="B1386" i="1"/>
  <c r="E763" i="1"/>
  <c r="B763" i="1"/>
  <c r="E3357" i="1"/>
  <c r="B3357" i="1"/>
  <c r="E1076" i="1"/>
  <c r="B1076" i="1"/>
  <c r="E1104" i="1"/>
  <c r="B1104" i="1"/>
  <c r="E2104" i="1"/>
  <c r="B2104" i="1"/>
  <c r="E1883" i="1"/>
  <c r="B1883" i="1"/>
  <c r="E825" i="1"/>
  <c r="B825" i="1"/>
  <c r="E1554" i="1"/>
  <c r="B1554" i="1"/>
  <c r="E599" i="1"/>
  <c r="B599" i="1"/>
  <c r="E1942" i="1"/>
  <c r="B1942" i="1"/>
  <c r="E1232" i="1"/>
  <c r="B1232" i="1"/>
  <c r="E1866" i="1"/>
  <c r="B1866" i="1"/>
  <c r="E2177" i="1"/>
  <c r="B2177" i="1"/>
  <c r="E997" i="1"/>
  <c r="B997" i="1"/>
  <c r="E2092" i="1"/>
  <c r="B2092" i="1"/>
  <c r="E956" i="1"/>
  <c r="B956" i="1"/>
  <c r="E2146" i="1"/>
  <c r="B2146" i="1"/>
  <c r="E851" i="1"/>
  <c r="B851" i="1"/>
  <c r="E2412" i="1"/>
  <c r="B2412" i="1"/>
  <c r="E1691" i="1"/>
  <c r="B1691" i="1"/>
  <c r="E1321" i="1"/>
  <c r="B1321" i="1"/>
  <c r="E2414" i="1"/>
  <c r="B2414" i="1"/>
  <c r="E2194" i="1"/>
  <c r="B2194" i="1"/>
  <c r="E1899" i="1"/>
  <c r="B1899" i="1"/>
  <c r="E1415" i="1"/>
  <c r="B1415" i="1"/>
  <c r="E2274" i="1"/>
  <c r="B2274" i="1"/>
  <c r="E2518" i="1"/>
  <c r="B2518" i="1"/>
  <c r="E2223" i="1"/>
  <c r="B2223" i="1"/>
  <c r="E2442" i="1"/>
  <c r="B2442" i="1"/>
  <c r="E1982" i="1"/>
  <c r="B1982" i="1"/>
  <c r="E2155" i="1"/>
  <c r="B2155" i="1"/>
  <c r="E1814" i="1"/>
  <c r="B1814" i="1"/>
  <c r="E2707" i="1"/>
  <c r="B2707" i="1"/>
  <c r="E1142" i="1"/>
  <c r="B1142" i="1"/>
  <c r="E724" i="1"/>
  <c r="B724" i="1"/>
  <c r="E1538" i="1"/>
  <c r="B1538" i="1"/>
  <c r="E2140" i="1"/>
  <c r="B2140" i="1"/>
  <c r="E1530" i="1"/>
  <c r="B1530" i="1"/>
  <c r="E2584" i="1"/>
  <c r="B2584" i="1"/>
  <c r="E1668" i="1"/>
  <c r="B1668" i="1"/>
  <c r="E429" i="1"/>
  <c r="B429" i="1"/>
  <c r="E512" i="1"/>
  <c r="B512" i="1"/>
  <c r="E373" i="1"/>
  <c r="B373" i="1"/>
  <c r="E2111" i="1"/>
  <c r="B2111" i="1"/>
  <c r="E2098" i="1"/>
  <c r="B2098" i="1"/>
  <c r="E2492" i="1"/>
  <c r="B2492" i="1"/>
  <c r="E3006" i="1"/>
  <c r="B3006" i="1"/>
  <c r="E2134" i="1"/>
  <c r="B2134" i="1"/>
  <c r="E1157" i="1"/>
  <c r="B1157" i="1"/>
  <c r="E1004" i="1"/>
  <c r="B1004" i="1"/>
  <c r="E3218" i="1"/>
  <c r="B3218" i="1"/>
  <c r="E1205" i="1"/>
  <c r="B1205" i="1"/>
  <c r="E245" i="1"/>
  <c r="B245" i="1"/>
  <c r="E912" i="1"/>
  <c r="B912" i="1"/>
  <c r="E2261" i="1"/>
  <c r="B2261" i="1"/>
  <c r="E1212" i="1"/>
  <c r="B1212" i="1"/>
  <c r="E2430" i="1"/>
  <c r="B2430" i="1"/>
  <c r="E2072" i="1"/>
  <c r="B2072" i="1"/>
  <c r="E777" i="1"/>
  <c r="B777" i="1"/>
  <c r="E1819" i="1"/>
  <c r="B1819" i="1"/>
  <c r="E2583" i="1"/>
  <c r="B2583" i="1"/>
  <c r="E2504" i="1"/>
  <c r="B2504" i="1"/>
  <c r="E1019" i="1"/>
  <c r="B1019" i="1"/>
  <c r="E2212" i="1"/>
  <c r="B2212" i="1"/>
  <c r="E267" i="1"/>
  <c r="B267" i="1"/>
  <c r="E2662" i="1"/>
  <c r="B2662" i="1"/>
  <c r="E841" i="1"/>
  <c r="B841" i="1"/>
  <c r="E2034" i="1"/>
  <c r="B2034" i="1"/>
  <c r="E2063" i="1"/>
  <c r="B2063" i="1"/>
  <c r="E1102" i="1"/>
  <c r="B1102" i="1"/>
  <c r="E1547" i="1"/>
  <c r="B1547" i="1"/>
  <c r="E617" i="1"/>
  <c r="B617" i="1"/>
  <c r="E2405" i="1"/>
  <c r="B2405" i="1"/>
  <c r="E1129" i="1"/>
  <c r="B1129" i="1"/>
  <c r="E2110" i="1"/>
  <c r="B2110" i="1"/>
  <c r="E925" i="1"/>
  <c r="B925" i="1"/>
  <c r="E187" i="1"/>
  <c r="B187" i="1"/>
  <c r="E1046" i="1"/>
  <c r="B1046" i="1"/>
  <c r="E594" i="1"/>
  <c r="B594" i="1"/>
  <c r="E758" i="1"/>
  <c r="B758" i="1"/>
  <c r="E469" i="1"/>
  <c r="B469" i="1"/>
  <c r="E2186" i="1"/>
  <c r="B2186" i="1"/>
  <c r="E1420" i="1"/>
  <c r="B1420" i="1"/>
  <c r="E426" i="1"/>
  <c r="B426" i="1"/>
  <c r="E2029" i="1"/>
  <c r="B2029" i="1"/>
  <c r="E312" i="1"/>
  <c r="B312" i="1"/>
  <c r="E2326" i="1"/>
  <c r="B2326" i="1"/>
  <c r="E2800" i="1"/>
  <c r="B2800" i="1"/>
  <c r="E1712" i="1"/>
  <c r="B1712" i="1"/>
  <c r="E583" i="1"/>
  <c r="B583" i="1"/>
  <c r="E2461" i="1"/>
  <c r="B2461" i="1"/>
  <c r="E1724" i="1"/>
  <c r="B1724" i="1"/>
  <c r="E2578" i="1"/>
  <c r="B2578" i="1"/>
  <c r="E2276" i="1"/>
  <c r="B2276" i="1"/>
  <c r="E1389" i="1"/>
  <c r="B1389" i="1"/>
  <c r="E2164" i="1"/>
  <c r="B2164" i="1"/>
  <c r="E1847" i="1"/>
  <c r="B1847" i="1"/>
  <c r="E1495" i="1"/>
  <c r="B1495" i="1"/>
  <c r="E537" i="1"/>
  <c r="B537" i="1"/>
  <c r="E2808" i="1"/>
  <c r="B2808" i="1"/>
  <c r="E1852" i="1"/>
  <c r="B1852" i="1"/>
  <c r="E419" i="1"/>
  <c r="B419" i="1"/>
  <c r="E1322" i="1"/>
  <c r="B1322" i="1"/>
  <c r="E762" i="1"/>
  <c r="B762" i="1"/>
  <c r="E2312" i="1"/>
  <c r="B2312" i="1"/>
  <c r="E2211" i="1"/>
  <c r="B2211" i="1"/>
  <c r="E1649" i="1"/>
  <c r="B1649" i="1"/>
  <c r="E859" i="1"/>
  <c r="B859" i="1"/>
  <c r="E2435" i="1"/>
  <c r="B2435" i="1"/>
  <c r="E933" i="1"/>
  <c r="B933" i="1"/>
  <c r="E2658" i="1"/>
  <c r="B2658" i="1"/>
  <c r="E920" i="1"/>
  <c r="B920" i="1"/>
  <c r="E1719" i="1"/>
  <c r="B1719" i="1"/>
  <c r="E1898" i="1"/>
  <c r="B1898" i="1"/>
  <c r="E2967" i="1"/>
  <c r="B2967" i="1"/>
  <c r="E365" i="1"/>
  <c r="B365" i="1"/>
  <c r="E1479" i="1"/>
  <c r="B1479" i="1"/>
  <c r="E1100" i="1"/>
  <c r="B1100" i="1"/>
  <c r="E471" i="1"/>
  <c r="B471" i="1"/>
  <c r="E2560" i="1"/>
  <c r="B2560" i="1"/>
  <c r="E1136" i="1"/>
  <c r="B1136" i="1"/>
  <c r="E2295" i="1"/>
  <c r="B2295" i="1"/>
  <c r="E1958" i="1"/>
  <c r="B1958" i="1"/>
  <c r="E855" i="1"/>
  <c r="B855" i="1"/>
  <c r="E1874" i="1"/>
  <c r="B1874" i="1"/>
  <c r="E1634" i="1"/>
  <c r="B1634" i="1"/>
  <c r="E255" i="1"/>
  <c r="B255" i="1"/>
  <c r="E2959" i="1"/>
  <c r="B2959" i="1"/>
  <c r="E773" i="1"/>
  <c r="B773" i="1"/>
  <c r="E2699" i="1"/>
  <c r="B2699" i="1"/>
  <c r="E2352" i="1"/>
  <c r="B2352" i="1"/>
  <c r="E843" i="1"/>
  <c r="B843" i="1"/>
  <c r="E299" i="1"/>
  <c r="B299" i="1"/>
  <c r="E164" i="1"/>
  <c r="B164" i="1"/>
  <c r="E2050" i="1"/>
  <c r="B2050" i="1"/>
  <c r="E2041" i="1"/>
  <c r="B2041" i="1"/>
  <c r="E1987" i="1"/>
  <c r="B1987" i="1"/>
  <c r="E1341" i="1"/>
  <c r="B1341" i="1"/>
  <c r="E2487" i="1"/>
  <c r="B2487" i="1"/>
  <c r="E1787" i="1"/>
  <c r="B1787" i="1"/>
  <c r="E2752" i="1"/>
  <c r="B2752" i="1"/>
  <c r="E2417" i="1"/>
  <c r="B2417" i="1"/>
  <c r="E2207" i="1"/>
  <c r="B2207" i="1"/>
  <c r="E1829" i="1"/>
  <c r="B1829" i="1"/>
  <c r="E818" i="1"/>
  <c r="B818" i="1"/>
  <c r="E2271" i="1"/>
  <c r="B2271" i="1"/>
  <c r="E1946" i="1"/>
  <c r="B1946" i="1"/>
  <c r="E483" i="1"/>
  <c r="B483" i="1"/>
  <c r="E587" i="1"/>
  <c r="B587" i="1"/>
  <c r="E804" i="1"/>
  <c r="B804" i="1"/>
  <c r="E1639" i="1"/>
  <c r="B1639" i="1"/>
  <c r="E1535" i="1"/>
  <c r="B1535" i="1"/>
  <c r="E550" i="1"/>
  <c r="B550" i="1"/>
  <c r="E1301" i="1"/>
  <c r="B1301" i="1"/>
  <c r="E1612" i="1"/>
  <c r="B1612" i="1"/>
  <c r="E1169" i="1"/>
  <c r="B1169" i="1"/>
  <c r="E1279" i="1"/>
  <c r="B1279" i="1"/>
  <c r="E1895" i="1"/>
  <c r="B1895" i="1"/>
  <c r="E1442" i="1"/>
  <c r="B1442" i="1"/>
  <c r="E297" i="1"/>
  <c r="B297" i="1"/>
  <c r="E2263" i="1"/>
  <c r="B2263" i="1"/>
  <c r="E1137" i="1"/>
  <c r="B1137" i="1"/>
  <c r="E2642" i="1"/>
  <c r="B2642" i="1"/>
  <c r="E1817" i="1"/>
  <c r="B1817" i="1"/>
  <c r="E1175" i="1"/>
  <c r="B1175" i="1"/>
  <c r="E1514" i="1"/>
  <c r="B1514" i="1"/>
  <c r="E2541" i="1"/>
  <c r="B2541" i="1"/>
  <c r="E1298" i="1"/>
  <c r="B1298" i="1"/>
  <c r="E662" i="1"/>
  <c r="B662" i="1"/>
  <c r="E401" i="1"/>
  <c r="B401" i="1"/>
  <c r="E2575" i="1"/>
  <c r="B2575" i="1"/>
  <c r="E2483" i="1"/>
  <c r="B2483" i="1"/>
  <c r="E834" i="1"/>
  <c r="B834" i="1"/>
  <c r="E718" i="1"/>
  <c r="B718" i="1"/>
  <c r="E281" i="1"/>
  <c r="B281" i="1"/>
  <c r="E251" i="1"/>
  <c r="B251" i="1"/>
  <c r="E2472" i="1"/>
  <c r="B2472" i="1"/>
  <c r="E1429" i="1"/>
  <c r="B1429" i="1"/>
  <c r="E1542" i="1"/>
  <c r="B1542" i="1"/>
  <c r="E1830" i="1"/>
  <c r="B1830" i="1"/>
  <c r="E1692" i="1"/>
  <c r="B1692" i="1"/>
  <c r="E256" i="1"/>
  <c r="B256" i="1"/>
  <c r="E2071" i="1"/>
  <c r="B2071" i="1"/>
  <c r="E1856" i="1"/>
  <c r="B1856" i="1"/>
  <c r="E2282" i="1"/>
  <c r="B2282" i="1"/>
  <c r="E2183" i="1"/>
  <c r="B2183" i="1"/>
  <c r="E2780" i="1"/>
  <c r="B2780" i="1"/>
  <c r="E2686" i="1"/>
  <c r="B2686" i="1"/>
  <c r="E1702" i="1"/>
  <c r="B1702" i="1"/>
  <c r="E1888" i="1"/>
  <c r="B1888" i="1"/>
  <c r="E307" i="1"/>
  <c r="B307" i="1"/>
  <c r="E1152" i="1"/>
  <c r="B1152" i="1"/>
  <c r="E2035" i="1"/>
  <c r="B2035" i="1"/>
  <c r="E2817" i="1"/>
  <c r="B2817" i="1"/>
  <c r="E1825" i="1"/>
  <c r="B1825" i="1"/>
  <c r="E508" i="1"/>
  <c r="B508" i="1"/>
  <c r="E1235" i="1"/>
  <c r="B1235" i="1"/>
  <c r="E221" i="1"/>
  <c r="B221" i="1"/>
  <c r="E1801" i="1"/>
  <c r="B1801" i="1"/>
  <c r="E676" i="1"/>
  <c r="B676" i="1"/>
  <c r="E244" i="1"/>
  <c r="B244" i="1"/>
  <c r="E2258" i="1"/>
  <c r="B2258" i="1"/>
  <c r="E1440" i="1"/>
  <c r="B1440" i="1"/>
  <c r="E2023" i="1"/>
  <c r="B2023" i="1"/>
  <c r="E1980" i="1"/>
  <c r="B1980" i="1"/>
  <c r="E1889" i="1"/>
  <c r="B1889" i="1"/>
  <c r="E1569" i="1"/>
  <c r="B1569" i="1"/>
  <c r="E2598" i="1"/>
  <c r="B2598" i="1"/>
  <c r="E1179" i="1"/>
  <c r="B1179" i="1"/>
  <c r="E597" i="1"/>
  <c r="B597" i="1"/>
  <c r="E1571" i="1"/>
  <c r="B1571" i="1"/>
  <c r="E2054" i="1"/>
  <c r="B2054" i="1"/>
  <c r="E2380" i="1"/>
  <c r="B2380" i="1"/>
  <c r="E2358" i="1"/>
  <c r="B2358" i="1"/>
  <c r="E2420" i="1"/>
  <c r="B2420" i="1"/>
  <c r="E2327" i="1"/>
  <c r="B2327" i="1"/>
  <c r="E1910" i="1"/>
  <c r="B1910" i="1"/>
  <c r="E1828" i="1"/>
  <c r="B1828" i="1"/>
  <c r="E1202" i="1"/>
  <c r="B1202" i="1"/>
  <c r="E1751" i="1"/>
  <c r="B1751" i="1"/>
  <c r="E2046" i="1"/>
  <c r="B2046" i="1"/>
  <c r="E2374" i="1"/>
  <c r="B2374" i="1"/>
  <c r="E565" i="1"/>
  <c r="B565" i="1"/>
  <c r="E1763" i="1"/>
  <c r="B1763" i="1"/>
  <c r="E1560" i="1"/>
  <c r="B1560" i="1"/>
  <c r="E1456" i="1"/>
  <c r="B1456" i="1"/>
  <c r="E2977" i="1"/>
  <c r="B2977" i="1"/>
  <c r="E778" i="1"/>
  <c r="B778" i="1"/>
  <c r="E1253" i="1"/>
  <c r="B1253" i="1"/>
  <c r="E692" i="1"/>
  <c r="B692" i="1"/>
  <c r="E2148" i="1"/>
  <c r="B2148" i="1"/>
  <c r="E1056" i="1"/>
  <c r="B1056" i="1"/>
  <c r="E879" i="1"/>
  <c r="B879" i="1"/>
  <c r="E2595" i="1"/>
  <c r="B2595" i="1"/>
  <c r="E709" i="1"/>
  <c r="B709" i="1"/>
  <c r="E2436" i="1"/>
  <c r="B2436" i="1"/>
  <c r="E806" i="1"/>
  <c r="B806" i="1"/>
  <c r="E273" i="1"/>
  <c r="B273" i="1"/>
  <c r="E1314" i="1"/>
  <c r="B1314" i="1"/>
  <c r="E1073" i="1"/>
  <c r="B1073" i="1"/>
  <c r="E266" i="1"/>
  <c r="B266" i="1"/>
  <c r="E1055" i="1"/>
  <c r="B1055" i="1"/>
  <c r="E496" i="1"/>
  <c r="B496" i="1"/>
  <c r="E1168" i="1"/>
  <c r="B1168" i="1"/>
  <c r="E2056" i="1"/>
  <c r="B2056" i="1"/>
  <c r="E2286" i="1"/>
  <c r="B2286" i="1"/>
  <c r="E1103" i="1"/>
  <c r="B1103" i="1"/>
  <c r="E1986" i="1"/>
  <c r="B1986" i="1"/>
  <c r="E748" i="1"/>
  <c r="B748" i="1"/>
  <c r="E1727" i="1"/>
  <c r="B1727" i="1"/>
  <c r="E1165" i="1"/>
  <c r="B1165" i="1"/>
  <c r="E1345" i="1"/>
  <c r="B1345" i="1"/>
  <c r="E609" i="1"/>
  <c r="B609" i="1"/>
  <c r="E2368" i="1"/>
  <c r="B2368" i="1"/>
  <c r="E2265" i="1"/>
  <c r="B2265" i="1"/>
  <c r="E1194" i="1"/>
  <c r="B1194" i="1"/>
  <c r="E389" i="1"/>
  <c r="B389" i="1"/>
  <c r="E1287" i="1"/>
  <c r="B1287" i="1"/>
  <c r="E399" i="1"/>
  <c r="B399" i="1"/>
  <c r="E2059" i="1"/>
  <c r="B2059" i="1"/>
  <c r="E2468" i="1"/>
  <c r="B2468" i="1"/>
  <c r="E1665" i="1"/>
  <c r="B1665" i="1"/>
  <c r="E506" i="1"/>
  <c r="B506" i="1"/>
  <c r="E1146" i="1"/>
  <c r="B1146" i="1"/>
  <c r="E1708" i="1"/>
  <c r="B1708" i="1"/>
  <c r="E2045" i="1"/>
  <c r="B2045" i="1"/>
  <c r="E739" i="1"/>
  <c r="B739" i="1"/>
  <c r="E2343" i="1"/>
  <c r="B2343" i="1"/>
  <c r="E2290" i="1"/>
  <c r="B2290" i="1"/>
  <c r="E1551" i="1"/>
  <c r="B1551" i="1"/>
  <c r="E1625" i="1"/>
  <c r="B1625" i="1"/>
  <c r="E836" i="1"/>
  <c r="B836" i="1"/>
  <c r="E2009" i="1"/>
  <c r="B2009" i="1"/>
  <c r="E608" i="1"/>
  <c r="B608" i="1"/>
  <c r="E1500" i="1"/>
  <c r="B1500" i="1"/>
  <c r="E546" i="1"/>
  <c r="B546" i="1"/>
  <c r="E856" i="1"/>
  <c r="B856" i="1"/>
  <c r="E2786" i="1"/>
  <c r="B2786" i="1"/>
  <c r="E263" i="1"/>
  <c r="B263" i="1"/>
  <c r="E1405" i="1"/>
  <c r="B1405" i="1"/>
  <c r="E1912" i="1"/>
  <c r="B1912" i="1"/>
  <c r="E1262" i="1"/>
  <c r="B1262" i="1"/>
  <c r="E2486" i="1"/>
  <c r="B2486" i="1"/>
  <c r="E385" i="1"/>
  <c r="B385" i="1"/>
  <c r="E2038" i="1"/>
  <c r="B2038" i="1"/>
  <c r="E398" i="1"/>
  <c r="B398" i="1"/>
  <c r="E406" i="1"/>
  <c r="B406" i="1"/>
  <c r="E1993" i="1"/>
  <c r="B1993" i="1"/>
  <c r="E2871" i="1"/>
  <c r="B2871" i="1"/>
  <c r="E1069" i="1"/>
  <c r="B1069" i="1"/>
  <c r="E162" i="1"/>
  <c r="B162" i="1"/>
  <c r="E1985" i="1"/>
  <c r="B1985" i="1"/>
  <c r="E1943" i="1"/>
  <c r="B1943" i="1"/>
  <c r="E830" i="1"/>
  <c r="B830" i="1"/>
  <c r="E1681" i="1"/>
  <c r="B1681" i="1"/>
  <c r="E809" i="1"/>
  <c r="B809" i="1"/>
  <c r="E2407" i="1"/>
  <c r="B2407" i="1"/>
  <c r="E2338" i="1"/>
  <c r="B2338" i="1"/>
  <c r="E1421" i="1"/>
  <c r="B1421" i="1"/>
  <c r="E1248" i="1"/>
  <c r="B1248" i="1"/>
  <c r="E903" i="1"/>
  <c r="B903" i="1"/>
  <c r="E1684" i="1"/>
  <c r="B1684" i="1"/>
  <c r="E677" i="1"/>
  <c r="B677" i="1"/>
  <c r="E551" i="1"/>
  <c r="B551" i="1"/>
  <c r="E1846" i="1"/>
  <c r="B1846" i="1"/>
  <c r="E728" i="1"/>
  <c r="B728" i="1"/>
  <c r="E1602" i="1"/>
  <c r="B1602" i="1"/>
  <c r="E852" i="1"/>
  <c r="B852" i="1"/>
  <c r="E66" i="1"/>
  <c r="B66" i="1"/>
  <c r="E1409" i="1"/>
  <c r="B1409" i="1"/>
  <c r="E2743" i="1"/>
  <c r="B2743" i="1"/>
  <c r="E2328" i="1"/>
  <c r="B2328" i="1"/>
  <c r="E2763" i="1"/>
  <c r="B2763" i="1"/>
  <c r="E2001" i="1"/>
  <c r="B2001" i="1"/>
  <c r="E1759" i="1"/>
  <c r="B1759" i="1"/>
  <c r="E1552" i="1"/>
  <c r="B1552" i="1"/>
  <c r="E1764" i="1"/>
  <c r="B1764" i="1"/>
  <c r="E2434" i="1"/>
  <c r="B2434" i="1"/>
  <c r="E1487" i="1"/>
  <c r="B1487" i="1"/>
  <c r="E1192" i="1"/>
  <c r="B1192" i="1"/>
  <c r="E2393" i="1"/>
  <c r="B2393" i="1"/>
  <c r="E2161" i="1"/>
  <c r="B2161" i="1"/>
  <c r="E1713" i="1"/>
  <c r="B1713" i="1"/>
  <c r="E625" i="1"/>
  <c r="B625" i="1"/>
  <c r="E2017" i="1"/>
  <c r="B2017" i="1"/>
  <c r="E1388" i="1"/>
  <c r="B1388" i="1"/>
  <c r="E621" i="1"/>
  <c r="B621" i="1"/>
  <c r="E1594" i="1"/>
  <c r="B1594" i="1"/>
  <c r="E1583" i="1"/>
  <c r="B1583" i="1"/>
  <c r="E944" i="1"/>
  <c r="B944" i="1"/>
  <c r="E1546" i="1"/>
  <c r="B1546" i="1"/>
  <c r="E2517" i="1"/>
  <c r="B2517" i="1"/>
  <c r="E1461" i="1"/>
  <c r="B1461" i="1"/>
  <c r="E2371" i="1"/>
  <c r="B2371" i="1"/>
  <c r="E1125" i="1"/>
  <c r="B1125" i="1"/>
  <c r="E468" i="1"/>
  <c r="B468" i="1"/>
  <c r="E466" i="1"/>
  <c r="B466" i="1"/>
  <c r="E1416" i="1"/>
  <c r="B1416" i="1"/>
  <c r="E1651" i="1"/>
  <c r="B1651" i="1"/>
  <c r="E1293" i="1"/>
  <c r="B1293" i="1"/>
  <c r="E765" i="1"/>
  <c r="B765" i="1"/>
  <c r="E2222" i="1"/>
  <c r="B2222" i="1"/>
  <c r="E1855" i="1"/>
  <c r="B1855" i="1"/>
  <c r="E1885" i="1"/>
  <c r="B1885" i="1"/>
  <c r="E1599" i="1"/>
  <c r="B1599" i="1"/>
  <c r="E588" i="1"/>
  <c r="B588" i="1"/>
  <c r="E2095" i="1"/>
  <c r="B2095" i="1"/>
  <c r="E849" i="1"/>
  <c r="B849" i="1"/>
  <c r="E2332" i="1"/>
  <c r="B2332" i="1"/>
  <c r="E1766" i="1"/>
  <c r="B1766" i="1"/>
  <c r="E1105" i="1"/>
  <c r="B1105" i="1"/>
  <c r="E2459" i="1"/>
  <c r="B2459" i="1"/>
  <c r="E1935" i="1"/>
  <c r="B1935" i="1"/>
  <c r="E1857" i="1"/>
  <c r="B1857" i="1"/>
  <c r="E1497" i="1"/>
  <c r="B1497" i="1"/>
  <c r="E578" i="1"/>
  <c r="B578" i="1"/>
  <c r="E1992" i="1"/>
  <c r="B1992" i="1"/>
  <c r="E1782" i="1"/>
  <c r="B1782" i="1"/>
  <c r="E2538" i="1"/>
  <c r="B2538" i="1"/>
  <c r="E958" i="1"/>
  <c r="B958" i="1"/>
  <c r="E610" i="1"/>
  <c r="B610" i="1"/>
  <c r="E2237" i="1"/>
  <c r="B2237" i="1"/>
  <c r="E1655" i="1"/>
  <c r="B1655" i="1"/>
  <c r="E1198" i="1"/>
  <c r="B1198" i="1"/>
  <c r="E1367" i="1"/>
  <c r="B1367" i="1"/>
  <c r="E2530" i="1"/>
  <c r="B2530" i="1"/>
  <c r="E334" i="1"/>
  <c r="B334" i="1"/>
  <c r="E1043" i="1"/>
  <c r="B1043" i="1"/>
  <c r="E2257" i="1"/>
  <c r="B2257" i="1"/>
  <c r="E955" i="1"/>
  <c r="B955" i="1"/>
  <c r="E272" i="1"/>
  <c r="B272" i="1"/>
  <c r="E1393" i="1"/>
  <c r="B1393" i="1"/>
  <c r="E1504" i="1"/>
  <c r="B1504" i="1"/>
  <c r="E937" i="1"/>
  <c r="B937" i="1"/>
  <c r="E1922" i="1"/>
  <c r="B1922" i="1"/>
  <c r="E515" i="1"/>
  <c r="B515" i="1"/>
  <c r="E589" i="1"/>
  <c r="B589" i="1"/>
  <c r="E1914" i="1"/>
  <c r="B1914" i="1"/>
  <c r="E781" i="1"/>
  <c r="B781" i="1"/>
  <c r="E1887" i="1"/>
  <c r="B1887" i="1"/>
  <c r="E1760" i="1"/>
  <c r="B1760" i="1"/>
  <c r="E716" i="1"/>
  <c r="B716" i="1"/>
  <c r="E2221" i="1"/>
  <c r="B2221" i="1"/>
  <c r="E1653" i="1"/>
  <c r="B1653" i="1"/>
  <c r="E1115" i="1"/>
  <c r="B1115" i="1"/>
  <c r="E970" i="1"/>
  <c r="B970" i="1"/>
  <c r="E812" i="1"/>
  <c r="B812" i="1"/>
  <c r="E1270" i="1"/>
  <c r="B1270" i="1"/>
  <c r="E1509" i="1"/>
  <c r="B1509" i="1"/>
  <c r="E488" i="1"/>
  <c r="B488" i="1"/>
  <c r="E1310" i="1"/>
  <c r="B1310" i="1"/>
  <c r="E2303" i="1"/>
  <c r="B2303" i="1"/>
  <c r="E1976" i="1"/>
  <c r="B1976" i="1"/>
  <c r="E1395" i="1"/>
  <c r="B1395" i="1"/>
  <c r="E2621" i="1"/>
  <c r="B2621" i="1"/>
  <c r="E601" i="1"/>
  <c r="B601" i="1"/>
  <c r="E1536" i="1"/>
  <c r="B1536" i="1"/>
  <c r="E1276" i="1"/>
  <c r="B1276" i="1"/>
  <c r="E1862" i="1"/>
  <c r="B1862" i="1"/>
  <c r="E639" i="1"/>
  <c r="B639" i="1"/>
  <c r="E844" i="1"/>
  <c r="B844" i="1"/>
  <c r="E2392" i="1"/>
  <c r="B2392" i="1"/>
  <c r="E260" i="1"/>
  <c r="B260" i="1"/>
  <c r="E1016" i="1"/>
  <c r="B1016" i="1"/>
  <c r="E277" i="1"/>
  <c r="B277" i="1"/>
  <c r="E2039" i="1"/>
  <c r="B2039" i="1"/>
  <c r="E2668" i="1"/>
  <c r="B2668" i="1"/>
  <c r="E1511" i="1"/>
  <c r="B1511" i="1"/>
  <c r="E2109" i="1"/>
  <c r="B2109" i="1"/>
  <c r="E441" i="1"/>
  <c r="B441" i="1"/>
  <c r="E1412" i="1"/>
  <c r="B1412" i="1"/>
  <c r="E1234" i="1"/>
  <c r="B1234" i="1"/>
  <c r="E640" i="1"/>
  <c r="B640" i="1"/>
  <c r="E2376" i="1"/>
  <c r="B2376" i="1"/>
  <c r="E2197" i="1"/>
  <c r="B2197" i="1"/>
  <c r="E2291" i="1"/>
  <c r="B2291" i="1"/>
  <c r="E886" i="1"/>
  <c r="B886" i="1"/>
  <c r="E1781" i="1"/>
  <c r="B1781" i="1"/>
  <c r="E1721" i="1"/>
  <c r="B1721" i="1"/>
  <c r="E1417" i="1"/>
  <c r="B1417" i="1"/>
  <c r="E1414" i="1"/>
  <c r="B1414" i="1"/>
  <c r="E1679" i="1"/>
  <c r="B1679" i="1"/>
  <c r="E2137" i="1"/>
  <c r="B2137" i="1"/>
  <c r="E1576" i="1"/>
  <c r="B1576" i="1"/>
  <c r="E366" i="1"/>
  <c r="B366" i="1"/>
  <c r="E2128" i="1"/>
  <c r="B2128" i="1"/>
  <c r="E397" i="1"/>
  <c r="B397" i="1"/>
  <c r="E642" i="1"/>
  <c r="B642" i="1"/>
  <c r="E1877" i="1"/>
  <c r="B1877" i="1"/>
  <c r="E371" i="1"/>
  <c r="B371" i="1"/>
  <c r="E871" i="1"/>
  <c r="B871" i="1"/>
  <c r="E2611" i="1"/>
  <c r="B2611" i="1"/>
  <c r="E1749" i="1"/>
  <c r="B1749" i="1"/>
  <c r="E358" i="1"/>
  <c r="B358" i="1"/>
  <c r="E1006" i="1"/>
  <c r="B1006" i="1"/>
  <c r="E1485" i="1"/>
  <c r="B1485" i="1"/>
  <c r="E2561" i="1"/>
  <c r="B2561" i="1"/>
  <c r="E1791" i="1"/>
  <c r="B1791" i="1"/>
  <c r="E2963" i="1"/>
  <c r="B2963" i="1"/>
  <c r="E1800" i="1"/>
  <c r="B1800" i="1"/>
  <c r="E911" i="1"/>
  <c r="B911" i="1"/>
  <c r="E953" i="1"/>
  <c r="B953" i="1"/>
  <c r="E694" i="1"/>
  <c r="B694" i="1"/>
  <c r="E2051" i="1"/>
  <c r="B2051" i="1"/>
  <c r="E576" i="1"/>
  <c r="B576" i="1"/>
  <c r="E391" i="1"/>
  <c r="B391" i="1"/>
  <c r="E678" i="1"/>
  <c r="B678" i="1"/>
  <c r="E571" i="1"/>
  <c r="B571" i="1"/>
  <c r="E1061" i="1"/>
  <c r="B1061" i="1"/>
  <c r="E428" i="1"/>
  <c r="B428" i="1"/>
  <c r="E1333" i="1"/>
  <c r="B1333" i="1"/>
  <c r="E2100" i="1"/>
  <c r="B2100" i="1"/>
  <c r="E2193" i="1"/>
  <c r="B2193" i="1"/>
  <c r="E347" i="1"/>
  <c r="B347" i="1"/>
  <c r="E2416" i="1"/>
  <c r="B2416" i="1"/>
  <c r="E2382" i="1"/>
  <c r="B2382" i="1"/>
  <c r="E2162" i="1"/>
  <c r="B2162" i="1"/>
  <c r="E1478" i="1"/>
  <c r="B1478" i="1"/>
  <c r="E916" i="1"/>
  <c r="B916" i="1"/>
  <c r="E2280" i="1"/>
  <c r="B2280" i="1"/>
  <c r="E1052" i="1"/>
  <c r="B1052" i="1"/>
  <c r="E1288" i="1"/>
  <c r="B1288" i="1"/>
  <c r="E250" i="1"/>
  <c r="B250" i="1"/>
  <c r="E821" i="1"/>
  <c r="B821" i="1"/>
  <c r="E2365" i="1"/>
  <c r="B2365" i="1"/>
  <c r="E1014" i="1"/>
  <c r="B1014" i="1"/>
  <c r="E1401" i="1"/>
  <c r="B1401" i="1"/>
  <c r="E1261" i="1"/>
  <c r="B1261" i="1"/>
  <c r="E2007" i="1"/>
  <c r="B2007" i="1"/>
  <c r="E1872" i="1"/>
  <c r="B1872" i="1"/>
  <c r="E360" i="1"/>
  <c r="B360" i="1"/>
  <c r="E2018" i="1"/>
  <c r="B2018" i="1"/>
  <c r="E1380" i="1"/>
  <c r="B1380" i="1"/>
  <c r="E501" i="1"/>
  <c r="B501" i="1"/>
  <c r="E2252" i="1"/>
  <c r="B2252" i="1"/>
  <c r="E353" i="1"/>
  <c r="B353" i="1"/>
  <c r="E234" i="1"/>
  <c r="B234" i="1"/>
  <c r="E2227" i="1"/>
  <c r="B2227" i="1"/>
  <c r="E2065" i="1"/>
  <c r="B2065" i="1"/>
  <c r="E2813" i="1"/>
  <c r="B2813" i="1"/>
  <c r="E1344" i="1"/>
  <c r="B1344" i="1"/>
  <c r="E941" i="1"/>
  <c r="B941" i="1"/>
  <c r="E900" i="1"/>
  <c r="B900" i="1"/>
  <c r="E1916" i="1"/>
  <c r="B1916" i="1"/>
  <c r="E1717" i="1"/>
  <c r="B1717" i="1"/>
  <c r="E1447" i="1"/>
  <c r="B1447" i="1"/>
  <c r="E820" i="1"/>
  <c r="B820" i="1"/>
  <c r="E2337" i="1"/>
  <c r="B2337" i="1"/>
  <c r="E1256" i="1"/>
  <c r="B1256" i="1"/>
  <c r="E962" i="1"/>
  <c r="B962" i="1"/>
  <c r="E2055" i="1"/>
  <c r="B2055" i="1"/>
  <c r="E1570" i="1"/>
  <c r="B1570" i="1"/>
  <c r="E1110" i="1"/>
  <c r="B1110" i="1"/>
  <c r="E1025" i="1"/>
  <c r="B1025" i="1"/>
  <c r="E2419" i="1"/>
  <c r="B2419" i="1"/>
  <c r="E628" i="1"/>
  <c r="B628" i="1"/>
  <c r="E525" i="1"/>
  <c r="B525" i="1"/>
  <c r="E459" i="1"/>
  <c r="B459" i="1"/>
  <c r="E340" i="1"/>
  <c r="B340" i="1"/>
  <c r="E1190" i="1"/>
  <c r="B1190" i="1"/>
  <c r="E1689" i="1"/>
  <c r="B1689" i="1"/>
  <c r="E776" i="1"/>
  <c r="B776" i="1"/>
  <c r="E1033" i="1"/>
  <c r="B1033" i="1"/>
  <c r="E275" i="1"/>
  <c r="B275" i="1"/>
  <c r="E627" i="1"/>
  <c r="B627" i="1"/>
  <c r="E1610" i="1"/>
  <c r="B1610" i="1"/>
  <c r="E2074" i="1"/>
  <c r="B2074" i="1"/>
  <c r="E680" i="1"/>
  <c r="B680" i="1"/>
  <c r="E1965" i="1"/>
  <c r="B1965" i="1"/>
  <c r="E2115" i="1"/>
  <c r="B2115" i="1"/>
  <c r="E1631" i="1"/>
  <c r="B1631" i="1"/>
  <c r="E885" i="1"/>
  <c r="B885" i="1"/>
  <c r="E271" i="1"/>
  <c r="B271" i="1"/>
  <c r="E915" i="1"/>
  <c r="B915" i="1"/>
  <c r="E2493" i="1"/>
  <c r="B2493" i="1"/>
  <c r="E1445" i="1"/>
  <c r="B1445" i="1"/>
  <c r="E1204" i="1"/>
  <c r="B1204" i="1"/>
  <c r="E285" i="1"/>
  <c r="B285" i="1"/>
  <c r="E1268" i="1"/>
  <c r="B1268" i="1"/>
  <c r="E1209" i="1"/>
  <c r="B1209" i="1"/>
  <c r="E2273" i="1"/>
  <c r="B2273" i="1"/>
  <c r="E1718" i="1"/>
  <c r="B1718" i="1"/>
  <c r="E1664" i="1"/>
  <c r="B1664" i="1"/>
  <c r="E1107" i="1"/>
  <c r="B1107" i="1"/>
  <c r="E491" i="1"/>
  <c r="B491" i="1"/>
  <c r="E1493" i="1"/>
  <c r="B1493" i="1"/>
  <c r="E729" i="1"/>
  <c r="B729" i="1"/>
  <c r="E1793" i="1"/>
  <c r="B1793" i="1"/>
  <c r="E1252" i="1"/>
  <c r="B1252" i="1"/>
  <c r="E755" i="1"/>
  <c r="B755" i="1"/>
  <c r="E2093" i="1"/>
  <c r="B2093" i="1"/>
  <c r="E880" i="1"/>
  <c r="B880" i="1"/>
  <c r="E2090" i="1"/>
  <c r="B2090" i="1"/>
  <c r="E760" i="1"/>
  <c r="B760" i="1"/>
  <c r="E402" i="1"/>
  <c r="B402" i="1"/>
  <c r="E2354" i="1"/>
  <c r="B2354" i="1"/>
  <c r="E1963" i="1"/>
  <c r="B1963" i="1"/>
  <c r="E899" i="1"/>
  <c r="B899" i="1"/>
  <c r="E2307" i="1"/>
  <c r="B2307" i="1"/>
  <c r="E727" i="1"/>
  <c r="B727" i="1"/>
  <c r="E1562" i="1"/>
  <c r="B1562" i="1"/>
  <c r="E1792" i="1"/>
  <c r="B1792" i="1"/>
  <c r="E966" i="1"/>
  <c r="B966" i="1"/>
  <c r="E1728" i="1"/>
  <c r="B1728" i="1"/>
  <c r="E1297" i="1"/>
  <c r="B1297" i="1"/>
  <c r="E306" i="1"/>
  <c r="B306" i="1"/>
  <c r="E1750" i="1"/>
  <c r="B1750" i="1"/>
  <c r="E318" i="1"/>
  <c r="B318" i="1"/>
  <c r="E2010" i="1"/>
  <c r="B2010" i="1"/>
  <c r="E293" i="1"/>
  <c r="B293" i="1"/>
  <c r="E769" i="1"/>
  <c r="B769" i="1"/>
  <c r="E1490" i="1"/>
  <c r="B1490" i="1"/>
  <c r="E1794" i="1"/>
  <c r="B1794" i="1"/>
  <c r="E731" i="1"/>
  <c r="B731" i="1"/>
  <c r="E672" i="1"/>
  <c r="B672" i="1"/>
  <c r="E1379" i="1"/>
  <c r="B1379" i="1"/>
  <c r="E2564" i="1"/>
  <c r="B2564" i="1"/>
  <c r="E819" i="1"/>
  <c r="B819" i="1"/>
  <c r="E717" i="1"/>
  <c r="B717" i="1"/>
  <c r="E1187" i="1"/>
  <c r="B1187" i="1"/>
  <c r="E2012" i="1"/>
  <c r="B2012" i="1"/>
  <c r="E1443" i="1"/>
  <c r="B1443" i="1"/>
  <c r="E2117" i="1"/>
  <c r="B2117" i="1"/>
  <c r="E710" i="1"/>
  <c r="B710" i="1"/>
  <c r="E1774" i="1"/>
  <c r="B1774" i="1"/>
  <c r="E1815" i="1"/>
  <c r="B1815" i="1"/>
  <c r="E1744" i="1"/>
  <c r="B1744" i="1"/>
  <c r="E197" i="1"/>
  <c r="B197" i="1"/>
  <c r="E996" i="1"/>
  <c r="B996" i="1"/>
  <c r="E1604" i="1"/>
  <c r="B1604" i="1"/>
  <c r="E1640" i="1"/>
  <c r="B1640" i="1"/>
  <c r="E945" i="1"/>
  <c r="B945" i="1"/>
  <c r="E1525" i="1"/>
  <c r="B1525" i="1"/>
  <c r="E2370" i="1"/>
  <c r="B2370" i="1"/>
  <c r="E2463" i="1"/>
  <c r="B2463" i="1"/>
  <c r="E2135" i="1"/>
  <c r="B2135" i="1"/>
  <c r="E1484" i="1"/>
  <c r="B1484" i="1"/>
  <c r="E721" i="1"/>
  <c r="B721" i="1"/>
  <c r="E2402" i="1"/>
  <c r="B2402" i="1"/>
  <c r="E2367" i="1"/>
  <c r="B2367" i="1"/>
  <c r="E733" i="1"/>
  <c r="B733" i="1"/>
  <c r="E530" i="1"/>
  <c r="B530" i="1"/>
  <c r="E2091" i="1"/>
  <c r="B2091" i="1"/>
  <c r="E837" i="1"/>
  <c r="B837" i="1"/>
  <c r="E1311" i="1"/>
  <c r="B1311" i="1"/>
  <c r="E2360" i="1"/>
  <c r="B2360" i="1"/>
  <c r="E2236" i="1"/>
  <c r="B2236" i="1"/>
  <c r="E940" i="1"/>
  <c r="B940" i="1"/>
  <c r="E1698" i="1"/>
  <c r="B1698" i="1"/>
  <c r="E2329" i="1"/>
  <c r="B2329" i="1"/>
  <c r="E600" i="1"/>
  <c r="B600" i="1"/>
  <c r="E976" i="1"/>
  <c r="B976" i="1"/>
  <c r="E1355" i="1"/>
  <c r="B1355" i="1"/>
  <c r="E979" i="1"/>
  <c r="B979" i="1"/>
  <c r="E1463" i="1"/>
  <c r="B1463" i="1"/>
  <c r="E1526" i="1"/>
  <c r="B1526" i="1"/>
  <c r="E253" i="1"/>
  <c r="B253" i="1"/>
  <c r="E322" i="1"/>
  <c r="B322" i="1"/>
  <c r="E326" i="1"/>
  <c r="B326" i="1"/>
  <c r="E2390" i="1"/>
  <c r="B2390" i="1"/>
  <c r="E1474" i="1"/>
  <c r="B1474" i="1"/>
  <c r="E1527" i="1"/>
  <c r="B1527" i="1"/>
  <c r="E787" i="1"/>
  <c r="B787" i="1"/>
  <c r="E536" i="1"/>
  <c r="B536" i="1"/>
  <c r="E1319" i="1"/>
  <c r="B1319" i="1"/>
  <c r="E782" i="1"/>
  <c r="B782" i="1"/>
  <c r="E986" i="1"/>
  <c r="B986" i="1"/>
  <c r="E363" i="1"/>
  <c r="B363" i="1"/>
  <c r="E1489" i="1"/>
  <c r="B1489" i="1"/>
  <c r="E224" i="1"/>
  <c r="B224" i="1"/>
  <c r="E1459" i="1"/>
  <c r="B1459" i="1"/>
  <c r="E1353" i="1"/>
  <c r="B1353" i="1"/>
  <c r="E507" i="1"/>
  <c r="B507" i="1"/>
  <c r="E1945" i="1"/>
  <c r="B1945" i="1"/>
  <c r="E349" i="1"/>
  <c r="B349" i="1"/>
  <c r="E643" i="1"/>
  <c r="B643" i="1"/>
  <c r="E1674" i="1"/>
  <c r="B1674" i="1"/>
  <c r="E1423" i="1"/>
  <c r="B1423" i="1"/>
  <c r="E938" i="1"/>
  <c r="B938" i="1"/>
  <c r="E1686" i="1"/>
  <c r="B1686" i="1"/>
  <c r="E1606" i="1"/>
  <c r="B1606" i="1"/>
  <c r="E814" i="1"/>
  <c r="B814" i="1"/>
  <c r="E691" i="1"/>
  <c r="B691" i="1"/>
  <c r="E2467" i="1"/>
  <c r="B2467" i="1"/>
  <c r="E433" i="1"/>
  <c r="B433" i="1"/>
  <c r="E2126" i="1"/>
  <c r="B2126" i="1"/>
  <c r="E1149" i="1"/>
  <c r="B1149" i="1"/>
  <c r="E1426" i="1"/>
  <c r="B1426" i="1"/>
  <c r="E1362" i="1"/>
  <c r="B1362" i="1"/>
  <c r="E1161" i="1"/>
  <c r="B1161" i="1"/>
  <c r="E829" i="1"/>
  <c r="B829" i="1"/>
  <c r="E2317" i="1"/>
  <c r="B2317" i="1"/>
  <c r="E1670" i="1"/>
  <c r="B1670" i="1"/>
  <c r="E1834" i="1"/>
  <c r="B1834" i="1"/>
  <c r="E1519" i="1"/>
  <c r="B1519" i="1"/>
  <c r="E889" i="1"/>
  <c r="B889" i="1"/>
  <c r="E732" i="1"/>
  <c r="B732" i="1"/>
  <c r="E2226" i="1"/>
  <c r="B2226" i="1"/>
  <c r="E669" i="1"/>
  <c r="B669" i="1"/>
  <c r="E1126" i="1"/>
  <c r="B1126" i="1"/>
  <c r="E529" i="1"/>
  <c r="B529" i="1"/>
  <c r="E1685" i="1"/>
  <c r="B1685" i="1"/>
  <c r="E160" i="1"/>
  <c r="B160" i="1"/>
  <c r="E1492" i="1"/>
  <c r="B1492" i="1"/>
  <c r="E566" i="1"/>
  <c r="B566" i="1"/>
  <c r="E1672" i="1"/>
  <c r="B1672" i="1"/>
  <c r="E1390" i="1"/>
  <c r="B1390" i="1"/>
  <c r="E178" i="1"/>
  <c r="B178" i="1"/>
  <c r="E314" i="1"/>
  <c r="B314" i="1"/>
  <c r="E1029" i="1"/>
  <c r="B1029" i="1"/>
  <c r="E1823" i="1"/>
  <c r="B1823" i="1"/>
  <c r="E2462" i="1"/>
  <c r="B2462" i="1"/>
  <c r="E1425" i="1"/>
  <c r="B1425" i="1"/>
  <c r="E1407" i="1"/>
  <c r="B1407" i="1"/>
  <c r="E478" i="1"/>
  <c r="B478" i="1"/>
  <c r="E1503" i="1"/>
  <c r="B1503" i="1"/>
  <c r="E1437" i="1"/>
  <c r="B1437" i="1"/>
  <c r="E2478" i="1"/>
  <c r="B2478" i="1"/>
  <c r="E1289" i="1"/>
  <c r="B1289" i="1"/>
  <c r="E637" i="1"/>
  <c r="B637" i="1"/>
  <c r="E1040" i="1"/>
  <c r="B1040" i="1"/>
  <c r="E376" i="1"/>
  <c r="B376" i="1"/>
  <c r="E542" i="1"/>
  <c r="B542" i="1"/>
  <c r="E1705" i="1"/>
  <c r="B1705" i="1"/>
  <c r="E695" i="1"/>
  <c r="B695" i="1"/>
  <c r="E1609" i="1"/>
  <c r="B1609" i="1"/>
  <c r="E1381" i="1"/>
  <c r="B1381" i="1"/>
  <c r="E1482" i="1"/>
  <c r="B1482" i="1"/>
  <c r="E1045" i="1"/>
  <c r="B1045" i="1"/>
  <c r="E1188" i="1"/>
  <c r="B1188" i="1"/>
  <c r="E476" i="1"/>
  <c r="B476" i="1"/>
  <c r="E746" i="1"/>
  <c r="B746" i="1"/>
  <c r="E1109" i="1"/>
  <c r="B1109" i="1"/>
  <c r="E437" i="1"/>
  <c r="B437" i="1"/>
  <c r="E2266" i="1"/>
  <c r="B2266" i="1"/>
  <c r="E553" i="1"/>
  <c r="B553" i="1"/>
  <c r="E1382" i="1"/>
  <c r="B1382" i="1"/>
  <c r="E1878" i="1"/>
  <c r="B1878" i="1"/>
  <c r="E185" i="1"/>
  <c r="B185" i="1"/>
  <c r="E509" i="1"/>
  <c r="B509" i="1"/>
  <c r="E1520" i="1"/>
  <c r="B1520" i="1"/>
  <c r="E564" i="1"/>
  <c r="B564" i="1"/>
  <c r="E1290" i="1"/>
  <c r="B1290" i="1"/>
  <c r="E1971" i="1"/>
  <c r="B1971" i="1"/>
  <c r="E1332" i="1"/>
  <c r="B1332" i="1"/>
  <c r="E257" i="1"/>
  <c r="B257" i="1"/>
  <c r="E1860" i="1"/>
  <c r="B1860" i="1"/>
  <c r="E562" i="1"/>
  <c r="B562" i="1"/>
  <c r="E2488" i="1"/>
  <c r="B2488" i="1"/>
  <c r="E1923" i="1"/>
  <c r="B1923" i="1"/>
  <c r="E1662" i="1"/>
  <c r="B1662" i="1"/>
  <c r="E989" i="1"/>
  <c r="B989" i="1"/>
  <c r="E1263" i="1"/>
  <c r="B1263" i="1"/>
  <c r="E1026" i="1"/>
  <c r="B1026" i="1"/>
  <c r="E382" i="1"/>
  <c r="B382" i="1"/>
  <c r="E183" i="1"/>
  <c r="B183" i="1"/>
  <c r="E331" i="1"/>
  <c r="B331" i="1"/>
  <c r="E918" i="1"/>
  <c r="B918" i="1"/>
  <c r="E1329" i="1"/>
  <c r="B1329" i="1"/>
  <c r="E2142" i="1"/>
  <c r="B2142" i="1"/>
  <c r="E2219" i="1"/>
  <c r="B2219" i="1"/>
  <c r="E2422" i="1"/>
  <c r="B2422" i="1"/>
  <c r="E1616" i="1"/>
  <c r="B1616" i="1"/>
  <c r="E796" i="1"/>
  <c r="B796" i="1"/>
  <c r="E1871" i="1"/>
  <c r="B1871" i="1"/>
  <c r="E2484" i="1"/>
  <c r="B2484" i="1"/>
  <c r="E1575" i="1"/>
  <c r="B1575" i="1"/>
  <c r="E332" i="1"/>
  <c r="B332" i="1"/>
  <c r="E1218" i="1"/>
  <c r="B1218" i="1"/>
  <c r="E547" i="1"/>
  <c r="B547" i="1"/>
  <c r="E840" i="1"/>
  <c r="B840" i="1"/>
  <c r="E921" i="1"/>
  <c r="B921" i="1"/>
  <c r="E675" i="1"/>
  <c r="B675" i="1"/>
  <c r="E957" i="1"/>
  <c r="B957" i="1"/>
  <c r="E179" i="1"/>
  <c r="B179" i="1"/>
  <c r="E2403" i="1"/>
  <c r="B2403" i="1"/>
  <c r="E865" i="1"/>
  <c r="B865" i="1"/>
  <c r="E766" i="1"/>
  <c r="B766" i="1"/>
  <c r="E862" i="1"/>
  <c r="B862" i="1"/>
  <c r="E2353" i="1"/>
  <c r="B2353" i="1"/>
  <c r="E1305" i="1"/>
  <c r="B1305" i="1"/>
  <c r="E1568" i="1"/>
  <c r="B1568" i="1"/>
  <c r="E2182" i="1"/>
  <c r="B2182" i="1"/>
  <c r="E838" i="1"/>
  <c r="B838" i="1"/>
  <c r="E328" i="1"/>
  <c r="B328" i="1"/>
  <c r="E1531" i="1"/>
  <c r="B1531" i="1"/>
  <c r="E1315" i="1"/>
  <c r="B1315" i="1"/>
  <c r="E1690" i="1"/>
  <c r="B1690" i="1"/>
  <c r="E420" i="1"/>
  <c r="B420" i="1"/>
  <c r="E1532" i="1"/>
  <c r="B1532" i="1"/>
  <c r="E686" i="1"/>
  <c r="B686" i="1"/>
  <c r="E1347" i="1"/>
  <c r="B1347" i="1"/>
  <c r="E2449" i="1"/>
  <c r="B2449" i="1"/>
  <c r="E90" i="1"/>
  <c r="B90" i="1"/>
  <c r="E2247" i="1"/>
  <c r="B2247" i="1"/>
  <c r="E827" i="1"/>
  <c r="B827" i="1"/>
  <c r="E2361" i="1"/>
  <c r="B2361" i="1"/>
  <c r="E870" i="1"/>
  <c r="B870" i="1"/>
  <c r="E1752" i="1"/>
  <c r="B1752" i="1"/>
  <c r="E1510" i="1"/>
  <c r="B1510" i="1"/>
  <c r="E1904" i="1"/>
  <c r="B1904" i="1"/>
  <c r="E186" i="1"/>
  <c r="B186" i="1"/>
  <c r="E1372" i="1"/>
  <c r="B1372" i="1"/>
  <c r="E1981" i="1"/>
  <c r="B1981" i="1"/>
  <c r="E1964" i="1"/>
  <c r="B1964" i="1"/>
  <c r="E2008" i="1"/>
  <c r="B2008" i="1"/>
  <c r="E2440" i="1"/>
  <c r="B2440" i="1"/>
  <c r="E167" i="1"/>
  <c r="B167" i="1"/>
  <c r="E926" i="1"/>
  <c r="B926" i="1"/>
  <c r="E1369" i="1"/>
  <c r="B1369" i="1"/>
  <c r="E658" i="1"/>
  <c r="B658" i="1"/>
  <c r="E1771" i="1"/>
  <c r="B1771" i="1"/>
  <c r="E1654" i="1"/>
  <c r="B1654" i="1"/>
  <c r="E1357" i="1"/>
  <c r="B1357" i="1"/>
  <c r="E1010" i="1"/>
  <c r="B1010" i="1"/>
  <c r="E1911" i="1"/>
  <c r="B1911" i="1"/>
  <c r="E31" i="1"/>
  <c r="B31" i="1"/>
  <c r="E2216" i="1"/>
  <c r="B2216" i="1"/>
  <c r="E943" i="1"/>
  <c r="B943" i="1"/>
  <c r="E540" i="1"/>
  <c r="B540" i="1"/>
  <c r="E805" i="1"/>
  <c r="B805" i="1"/>
  <c r="E881" i="1"/>
  <c r="B881" i="1"/>
  <c r="E690" i="1"/>
  <c r="B690" i="1"/>
  <c r="E1465" i="1"/>
  <c r="B1465" i="1"/>
  <c r="E1927" i="1"/>
  <c r="B1927" i="1"/>
  <c r="E1858" i="1"/>
  <c r="B1858" i="1"/>
  <c r="E1498" i="1"/>
  <c r="B1498" i="1"/>
  <c r="E300" i="1"/>
  <c r="B300" i="1"/>
  <c r="E2708" i="1"/>
  <c r="B2708" i="1"/>
  <c r="E1001" i="1"/>
  <c r="B1001" i="1"/>
  <c r="E1906" i="1"/>
  <c r="B1906" i="1"/>
  <c r="E1466" i="1"/>
  <c r="B1466" i="1"/>
  <c r="E2552" i="1"/>
  <c r="B2552" i="1"/>
  <c r="E286" i="1"/>
  <c r="B286" i="1"/>
  <c r="E2116" i="1"/>
  <c r="B2116" i="1"/>
  <c r="E1124" i="1"/>
  <c r="B1124" i="1"/>
  <c r="E1032" i="1"/>
  <c r="B1032" i="1"/>
  <c r="E808" i="1"/>
  <c r="B808" i="1"/>
  <c r="E555" i="1"/>
  <c r="B555" i="1"/>
  <c r="E1902" i="1"/>
  <c r="B1902" i="1"/>
  <c r="E1505" i="1"/>
  <c r="B1505" i="1"/>
  <c r="E1106" i="1"/>
  <c r="B1106" i="1"/>
  <c r="E1580" i="1"/>
  <c r="B1580" i="1"/>
  <c r="E1864" i="1"/>
  <c r="B1864" i="1"/>
  <c r="E924" i="1"/>
  <c r="B924" i="1"/>
  <c r="E1462" i="1"/>
  <c r="B1462" i="1"/>
  <c r="E1053" i="1"/>
  <c r="B1053" i="1"/>
  <c r="E874" i="1"/>
  <c r="B874" i="1"/>
  <c r="E181" i="1"/>
  <c r="B181" i="1"/>
  <c r="E1233" i="1"/>
  <c r="B1233" i="1"/>
  <c r="E1701" i="1"/>
  <c r="B1701" i="1"/>
  <c r="E1803" i="1"/>
  <c r="B1803" i="1"/>
  <c r="E2306" i="1"/>
  <c r="B2306" i="1"/>
  <c r="E427" i="1"/>
  <c r="B427" i="1"/>
  <c r="E1267" i="1"/>
  <c r="B1267" i="1"/>
  <c r="E774" i="1"/>
  <c r="B774" i="1"/>
  <c r="E1082" i="1"/>
  <c r="B1082" i="1"/>
  <c r="E591" i="1"/>
  <c r="B591" i="1"/>
  <c r="E650" i="1"/>
  <c r="B650" i="1"/>
  <c r="E665" i="1"/>
  <c r="B665" i="1"/>
  <c r="E946" i="1"/>
  <c r="B946" i="1"/>
  <c r="E630" i="1"/>
  <c r="B630" i="1"/>
  <c r="E2349" i="1"/>
  <c r="B2349" i="1"/>
  <c r="E1406" i="1"/>
  <c r="B1406" i="1"/>
  <c r="E324" i="1"/>
  <c r="B324" i="1"/>
  <c r="E930" i="1"/>
  <c r="B930" i="1"/>
  <c r="E923" i="1"/>
  <c r="B923" i="1"/>
  <c r="E2406" i="1"/>
  <c r="B2406" i="1"/>
  <c r="E1615" i="1"/>
  <c r="B1615" i="1"/>
  <c r="E454" i="1"/>
  <c r="B454" i="1"/>
  <c r="E1348" i="1"/>
  <c r="B1348" i="1"/>
  <c r="E595" i="1"/>
  <c r="B595" i="1"/>
  <c r="E1282" i="1"/>
  <c r="B1282" i="1"/>
  <c r="E465" i="1"/>
  <c r="B465" i="1"/>
  <c r="E1316" i="1"/>
  <c r="B1316" i="1"/>
  <c r="E1090" i="1"/>
  <c r="B1090" i="1"/>
  <c r="E1761" i="1"/>
  <c r="B1761" i="1"/>
  <c r="E992" i="1"/>
  <c r="B992" i="1"/>
  <c r="E963" i="1"/>
  <c r="B963" i="1"/>
  <c r="E1300" i="1"/>
  <c r="B1300" i="1"/>
  <c r="E2245" i="1"/>
  <c r="B2245" i="1"/>
  <c r="E1591" i="1"/>
  <c r="B1591" i="1"/>
  <c r="E1931" i="1"/>
  <c r="B1931" i="1"/>
  <c r="E687" i="1"/>
  <c r="B687" i="1"/>
  <c r="E560" i="1"/>
  <c r="B560" i="1"/>
  <c r="E1062" i="1"/>
  <c r="B1062" i="1"/>
  <c r="E1201" i="1"/>
  <c r="B1201" i="1"/>
  <c r="E968" i="1"/>
  <c r="B968" i="1"/>
  <c r="E952" i="1"/>
  <c r="B952" i="1"/>
  <c r="E490" i="1"/>
  <c r="B490" i="1"/>
  <c r="E1326" i="1"/>
  <c r="B1326" i="1"/>
  <c r="E1476" i="1"/>
  <c r="B1476" i="1"/>
  <c r="E341" i="1"/>
  <c r="B341" i="1"/>
  <c r="E1222" i="1"/>
  <c r="B1222" i="1"/>
  <c r="E585" i="1"/>
  <c r="B585" i="1"/>
  <c r="E1292" i="1"/>
  <c r="B1292" i="1"/>
  <c r="E2617" i="1"/>
  <c r="B2617" i="1"/>
  <c r="E1296" i="1"/>
  <c r="B1296" i="1"/>
  <c r="E1529" i="1"/>
  <c r="B1529" i="1"/>
  <c r="E1191" i="1"/>
  <c r="B1191" i="1"/>
  <c r="E1281" i="1"/>
  <c r="B1281" i="1"/>
  <c r="E802" i="1"/>
  <c r="B802" i="1"/>
  <c r="E320" i="1"/>
  <c r="B320" i="1"/>
  <c r="E2141" i="1"/>
  <c r="B2141" i="1"/>
  <c r="E2132" i="1"/>
  <c r="B2132" i="1"/>
  <c r="E1374" i="1"/>
  <c r="B1374" i="1"/>
  <c r="E2105" i="1"/>
  <c r="B2105" i="1"/>
  <c r="E278" i="1"/>
  <c r="B278" i="1"/>
  <c r="E1833" i="1"/>
  <c r="B1833" i="1"/>
  <c r="E1368" i="1"/>
  <c r="B1368" i="1"/>
  <c r="E846" i="1"/>
  <c r="B846" i="1"/>
  <c r="E184" i="1"/>
  <c r="B184" i="1"/>
  <c r="E708" i="1"/>
  <c r="B708" i="1"/>
  <c r="E1627" i="1"/>
  <c r="B1627" i="1"/>
  <c r="E858" i="1"/>
  <c r="B858" i="1"/>
  <c r="E2188" i="1"/>
  <c r="B2188" i="1"/>
  <c r="E2025" i="1"/>
  <c r="B2025" i="1"/>
  <c r="E1676" i="1"/>
  <c r="B1676" i="1"/>
  <c r="E1360" i="1"/>
  <c r="B1360" i="1"/>
  <c r="E1997" i="1"/>
  <c r="B1997" i="1"/>
  <c r="E182" i="1"/>
  <c r="B182" i="1"/>
  <c r="E649" i="1"/>
  <c r="B649" i="1"/>
  <c r="E1770" i="1"/>
  <c r="B1770" i="1"/>
  <c r="E1524" i="1"/>
  <c r="B1524" i="1"/>
  <c r="E387" i="1"/>
  <c r="B387" i="1"/>
  <c r="E942" i="1"/>
  <c r="B942" i="1"/>
  <c r="E1080" i="1"/>
  <c r="B1080" i="1"/>
  <c r="E2543" i="1"/>
  <c r="B2543" i="1"/>
  <c r="E1663" i="1"/>
  <c r="B1663" i="1"/>
  <c r="E1283" i="1"/>
  <c r="B1283" i="1"/>
  <c r="E166" i="1"/>
  <c r="B166" i="1"/>
  <c r="E1553" i="1"/>
  <c r="B1553" i="1"/>
  <c r="E1707" i="1"/>
  <c r="B1707" i="1"/>
  <c r="E1306" i="1"/>
  <c r="B1306" i="1"/>
  <c r="E2301" i="1"/>
  <c r="B2301" i="1"/>
  <c r="E936" i="1"/>
  <c r="B936" i="1"/>
  <c r="E1384" i="1"/>
  <c r="B1384" i="1"/>
  <c r="E2391" i="1"/>
  <c r="B2391" i="1"/>
  <c r="E477" i="1"/>
  <c r="B477" i="1"/>
  <c r="E383" i="1"/>
  <c r="B383" i="1"/>
  <c r="E2386" i="1"/>
  <c r="B2386" i="1"/>
  <c r="E1545" i="1"/>
  <c r="B1545" i="1"/>
  <c r="E1733" i="1"/>
  <c r="B1733" i="1"/>
  <c r="E325" i="1"/>
  <c r="B325" i="1"/>
  <c r="E2097" i="1"/>
  <c r="B2097" i="1"/>
  <c r="E1938" i="1"/>
  <c r="B1938" i="1"/>
  <c r="E866" i="1"/>
  <c r="B866" i="1"/>
  <c r="E698" i="1"/>
  <c r="B698" i="1"/>
  <c r="E590" i="1"/>
  <c r="B590" i="1"/>
  <c r="E897" i="1"/>
  <c r="B897" i="1"/>
  <c r="E1015" i="1"/>
  <c r="B1015" i="1"/>
  <c r="E1008" i="1"/>
  <c r="B1008" i="1"/>
  <c r="E434" i="1"/>
  <c r="B434" i="1"/>
  <c r="E1221" i="1"/>
  <c r="B1221" i="1"/>
  <c r="E367" i="1"/>
  <c r="B367" i="1"/>
  <c r="E1324" i="1"/>
  <c r="B1324" i="1"/>
  <c r="E683" i="1"/>
  <c r="B683" i="1"/>
  <c r="E1758" i="1"/>
  <c r="B1758" i="1"/>
  <c r="E822" i="1"/>
  <c r="B822" i="1"/>
  <c r="E287" i="1"/>
  <c r="B287" i="1"/>
  <c r="E596" i="1"/>
  <c r="B596" i="1"/>
  <c r="E850" i="1"/>
  <c r="B850" i="1"/>
  <c r="E413" i="1"/>
  <c r="B413" i="1"/>
  <c r="E1458" i="1"/>
  <c r="B1458" i="1"/>
  <c r="E1123" i="1"/>
  <c r="B1123" i="1"/>
  <c r="E860" i="1"/>
  <c r="B860" i="1"/>
  <c r="E1339" i="1"/>
  <c r="B1339" i="1"/>
  <c r="E1050" i="1"/>
  <c r="B1050" i="1"/>
  <c r="E2102" i="1"/>
  <c r="B2102" i="1"/>
  <c r="E824" i="1"/>
  <c r="B824" i="1"/>
  <c r="E1219" i="1"/>
  <c r="B1219" i="1"/>
  <c r="E890" i="1"/>
  <c r="B890" i="1"/>
  <c r="E861" i="1"/>
  <c r="B861" i="1"/>
  <c r="E148" i="1"/>
  <c r="B148" i="1"/>
  <c r="E1696" i="1"/>
  <c r="B1696" i="1"/>
  <c r="E977" i="1"/>
  <c r="B977" i="1"/>
  <c r="E527" i="1"/>
  <c r="B527" i="1"/>
  <c r="E1582" i="1"/>
  <c r="B1582" i="1"/>
  <c r="E1220" i="1"/>
  <c r="B1220" i="1"/>
  <c r="E1141" i="1"/>
  <c r="B1141" i="1"/>
  <c r="E634" i="1"/>
  <c r="B634" i="1"/>
  <c r="E1396" i="1"/>
  <c r="B1396" i="1"/>
  <c r="E262" i="1"/>
  <c r="B262" i="1"/>
  <c r="E949" i="1"/>
  <c r="B949" i="1"/>
  <c r="E315" i="1"/>
  <c r="B315" i="1"/>
  <c r="E1835" i="1"/>
  <c r="B1835" i="1"/>
  <c r="E1023" i="1"/>
  <c r="B1023" i="1"/>
  <c r="E447" i="1"/>
  <c r="B447" i="1"/>
  <c r="E1172" i="1"/>
  <c r="B1172" i="1"/>
  <c r="E415" i="1"/>
  <c r="B415" i="1"/>
  <c r="E1403" i="1"/>
  <c r="B1403" i="1"/>
  <c r="E173" i="1"/>
  <c r="B173" i="1"/>
  <c r="E463" i="1"/>
  <c r="B463" i="1"/>
  <c r="E878" i="1"/>
  <c r="B878" i="1"/>
  <c r="E1020" i="1"/>
  <c r="B1020" i="1"/>
  <c r="E1680" i="1"/>
  <c r="B1680" i="1"/>
  <c r="E917" i="1"/>
  <c r="B917" i="1"/>
  <c r="E165" i="1"/>
  <c r="B165" i="1"/>
  <c r="E1697" i="1"/>
  <c r="B1697" i="1"/>
  <c r="E1284" i="1"/>
  <c r="B1284" i="1"/>
  <c r="E481" i="1"/>
  <c r="B481" i="1"/>
  <c r="E1330" i="1"/>
  <c r="B1330" i="1"/>
  <c r="E364" i="1"/>
  <c r="B364" i="1"/>
  <c r="E1340" i="1"/>
  <c r="B1340" i="1"/>
  <c r="E1096" i="1"/>
  <c r="B1096" i="1"/>
  <c r="E521" i="1"/>
  <c r="B521" i="1"/>
  <c r="E1397" i="1"/>
  <c r="B1397" i="1"/>
  <c r="E1336" i="1"/>
  <c r="B1336" i="1"/>
  <c r="E450" i="1"/>
  <c r="B450" i="1"/>
  <c r="E1335" i="1"/>
  <c r="B1335" i="1"/>
  <c r="E188" i="1"/>
  <c r="B188" i="1"/>
  <c r="E88" i="1"/>
  <c r="B88" i="1"/>
  <c r="E1327" i="1"/>
  <c r="B1327" i="1"/>
  <c r="E319" i="1"/>
  <c r="B319" i="1"/>
  <c r="E910" i="1"/>
  <c r="B910" i="1"/>
  <c r="E770" i="1"/>
  <c r="B770" i="1"/>
  <c r="E624" i="1"/>
  <c r="B624" i="1"/>
  <c r="E990" i="1"/>
  <c r="B990" i="1"/>
  <c r="E784" i="1"/>
  <c r="B784" i="1"/>
  <c r="E951" i="1"/>
  <c r="B951" i="1"/>
  <c r="E847" i="1"/>
  <c r="B847" i="1"/>
  <c r="E327" i="1"/>
  <c r="B327" i="1"/>
  <c r="E567" i="1"/>
  <c r="B567" i="1"/>
  <c r="E1637" i="1"/>
  <c r="B1637" i="1"/>
  <c r="E833" i="1"/>
  <c r="B833" i="1"/>
  <c r="E1130" i="1"/>
  <c r="B1130" i="1"/>
  <c r="E1022" i="1"/>
  <c r="B1022" i="1"/>
  <c r="E767" i="1"/>
  <c r="B767" i="1"/>
  <c r="E2036" i="1"/>
  <c r="B2036" i="1"/>
  <c r="E1373" i="1"/>
  <c r="B1373" i="1"/>
  <c r="E430" i="1"/>
  <c r="B430" i="1"/>
  <c r="E283" i="1"/>
  <c r="B283" i="1"/>
  <c r="E2445" i="1"/>
  <c r="B2445" i="1"/>
  <c r="E1573" i="1"/>
  <c r="B1573" i="1"/>
  <c r="E304" i="1"/>
  <c r="B304" i="1"/>
  <c r="E492" i="1"/>
  <c r="B492" i="1"/>
  <c r="E264" i="1"/>
  <c r="B264" i="1"/>
  <c r="E888" i="1"/>
  <c r="B888" i="1"/>
  <c r="E792" i="1"/>
  <c r="B792" i="1"/>
  <c r="E623" i="1"/>
  <c r="B623" i="1"/>
  <c r="E274" i="1"/>
  <c r="B274" i="1"/>
  <c r="E1977" i="1"/>
  <c r="B1977" i="1"/>
  <c r="E1444" i="1"/>
  <c r="B1444" i="1"/>
  <c r="E1042" i="1"/>
  <c r="B1042" i="1"/>
  <c r="E1558" i="1"/>
  <c r="B1558" i="1"/>
  <c r="E1346" i="1"/>
  <c r="B1346" i="1"/>
  <c r="E1515" i="1"/>
  <c r="B1515" i="1"/>
  <c r="E1589" i="1"/>
  <c r="B1589" i="1"/>
  <c r="E1075" i="1"/>
  <c r="B1075" i="1"/>
  <c r="E1203" i="1"/>
  <c r="B1203" i="1"/>
  <c r="E2131" i="1"/>
  <c r="B2131" i="1"/>
  <c r="E1457" i="1"/>
  <c r="B1457" i="1"/>
  <c r="E1147" i="1"/>
  <c r="B1147" i="1"/>
  <c r="E720" i="1"/>
  <c r="B720" i="1"/>
  <c r="E557" i="1"/>
  <c r="B557" i="1"/>
  <c r="E1642" i="1"/>
  <c r="B1642" i="1"/>
  <c r="E839" i="1"/>
  <c r="B839" i="1"/>
  <c r="E1036" i="1"/>
  <c r="B1036" i="1"/>
  <c r="E1354" i="1"/>
  <c r="B1354" i="1"/>
  <c r="E960" i="1"/>
  <c r="B960" i="1"/>
  <c r="E577" i="1"/>
  <c r="B577" i="1"/>
  <c r="E514" i="1"/>
  <c r="B514" i="1"/>
  <c r="E631" i="1"/>
  <c r="B631" i="1"/>
  <c r="E991" i="1"/>
  <c r="B991" i="1"/>
  <c r="E1921" i="1"/>
  <c r="B1921" i="1"/>
  <c r="E689" i="1"/>
  <c r="B689" i="1"/>
  <c r="E474" i="1"/>
  <c r="B474" i="1"/>
  <c r="E1711" i="1"/>
  <c r="B1711" i="1"/>
  <c r="E706" i="1"/>
  <c r="B706" i="1"/>
  <c r="E891" i="1"/>
  <c r="B891" i="1"/>
  <c r="E462" i="1"/>
  <c r="B462" i="1"/>
  <c r="E473" i="1"/>
  <c r="B473" i="1"/>
  <c r="E1824" i="1"/>
  <c r="B1824" i="1"/>
  <c r="E1930" i="1"/>
  <c r="B1930" i="1"/>
  <c r="E502" i="1"/>
  <c r="B502" i="1"/>
  <c r="E1658" i="1"/>
  <c r="B1658" i="1"/>
  <c r="E1162" i="1"/>
  <c r="B1162" i="1"/>
  <c r="E1473" i="1"/>
  <c r="B1473" i="1"/>
  <c r="E780" i="1"/>
  <c r="B780" i="1"/>
  <c r="E2150" i="1"/>
  <c r="B2150" i="1"/>
  <c r="E516" i="1"/>
  <c r="B516" i="1"/>
  <c r="E800" i="1"/>
  <c r="B800" i="1"/>
  <c r="E791" i="1"/>
  <c r="B791" i="1"/>
  <c r="E533" i="1"/>
  <c r="B533" i="1"/>
  <c r="E503" i="1"/>
  <c r="B503" i="1"/>
  <c r="E1383" i="1"/>
  <c r="B1383" i="1"/>
  <c r="E868" i="1"/>
  <c r="B868" i="1"/>
  <c r="E198" i="1"/>
  <c r="B198" i="1"/>
  <c r="E177" i="1"/>
  <c r="B177" i="1"/>
  <c r="E375" i="1"/>
  <c r="B375" i="1"/>
  <c r="E1377" i="1"/>
  <c r="B1377" i="1"/>
  <c r="E1343" i="1"/>
  <c r="B1343" i="1"/>
  <c r="E854" i="1"/>
  <c r="B854" i="1"/>
  <c r="E53" i="1"/>
  <c r="B53" i="1"/>
  <c r="E202" i="1"/>
  <c r="B202" i="1"/>
  <c r="E1163" i="1"/>
  <c r="B1163" i="1"/>
  <c r="E176" i="1"/>
  <c r="B176" i="1"/>
  <c r="E671" i="1"/>
  <c r="B671" i="1"/>
  <c r="E1972" i="1"/>
  <c r="B1972" i="1"/>
  <c r="E499" i="1"/>
  <c r="B499" i="1"/>
  <c r="E994" i="1"/>
  <c r="B994" i="1"/>
  <c r="E442" i="1"/>
  <c r="B442" i="1"/>
  <c r="E644" i="1"/>
  <c r="B644" i="1"/>
  <c r="E1011" i="1"/>
  <c r="B1011" i="1"/>
  <c r="E1307" i="1"/>
  <c r="B1307" i="1"/>
  <c r="E1579" i="1"/>
  <c r="B1579" i="1"/>
  <c r="E1338" i="1"/>
  <c r="B1338" i="1"/>
  <c r="E873" i="1"/>
  <c r="B873" i="1"/>
  <c r="E633" i="1"/>
  <c r="B633" i="1"/>
  <c r="E1359" i="1"/>
  <c r="B1359" i="1"/>
  <c r="E651" i="1"/>
  <c r="B651" i="1"/>
  <c r="E612" i="1"/>
  <c r="B612" i="1"/>
  <c r="E1131" i="1"/>
  <c r="B1131" i="1"/>
  <c r="E688" i="1"/>
  <c r="B688" i="1"/>
  <c r="E1464" i="1"/>
  <c r="B1464" i="1"/>
  <c r="E343" i="1"/>
  <c r="B343" i="1"/>
  <c r="E898" i="1"/>
  <c r="B898" i="1"/>
  <c r="E1439" i="1"/>
  <c r="B1439" i="1"/>
  <c r="E150" i="1"/>
  <c r="B150" i="1"/>
  <c r="E1003" i="1"/>
  <c r="B1003" i="1"/>
  <c r="E229" i="1"/>
  <c r="B229" i="1"/>
  <c r="E69" i="1"/>
  <c r="B69" i="1"/>
  <c r="E629" i="1"/>
  <c r="B629" i="1"/>
  <c r="E959" i="1"/>
  <c r="B959" i="1"/>
  <c r="E713" i="1"/>
  <c r="B713" i="1"/>
  <c r="E215" i="1"/>
  <c r="B215" i="1"/>
  <c r="E1039" i="1"/>
  <c r="B1039" i="1"/>
  <c r="E779" i="1"/>
  <c r="B779" i="1"/>
  <c r="E1240" i="1"/>
  <c r="B1240" i="1"/>
  <c r="E660" i="1"/>
  <c r="B660" i="1"/>
  <c r="E927" i="1"/>
  <c r="B927" i="1"/>
  <c r="E1021" i="1"/>
  <c r="B1021" i="1"/>
  <c r="E848" i="1"/>
  <c r="B848" i="1"/>
  <c r="E1467" i="1"/>
  <c r="B1467" i="1"/>
  <c r="E337" i="1"/>
  <c r="B337" i="1"/>
  <c r="E697" i="1"/>
  <c r="B697" i="1"/>
  <c r="E368" i="1"/>
  <c r="B368" i="1"/>
  <c r="E356" i="1"/>
  <c r="B356" i="1"/>
  <c r="E742" i="1"/>
  <c r="B742" i="1"/>
  <c r="E1499" i="1"/>
  <c r="B1499" i="1"/>
  <c r="E372" i="1"/>
  <c r="B372" i="1"/>
  <c r="E816" i="1"/>
  <c r="B816" i="1"/>
  <c r="E815" i="1"/>
  <c r="B815" i="1"/>
  <c r="E1291" i="1"/>
  <c r="B1291" i="1"/>
  <c r="E270" i="1"/>
  <c r="B270" i="1"/>
  <c r="E726" i="1"/>
  <c r="B726" i="1"/>
  <c r="E531" i="1"/>
  <c r="B531" i="1"/>
  <c r="E1255" i="1"/>
  <c r="B1255" i="1"/>
  <c r="E1494" i="1"/>
  <c r="B1494" i="1"/>
  <c r="E931" i="1"/>
  <c r="B931" i="1"/>
  <c r="E1111" i="1"/>
  <c r="B1111" i="1"/>
  <c r="E797" i="1"/>
  <c r="B797" i="1"/>
  <c r="E1138" i="1"/>
  <c r="B1138" i="1"/>
  <c r="E1548" i="1"/>
  <c r="B1548" i="1"/>
  <c r="E730" i="1"/>
  <c r="B730" i="1"/>
  <c r="E1095" i="1"/>
  <c r="B1095" i="1"/>
  <c r="E1294" i="1"/>
  <c r="B1294" i="1"/>
  <c r="E1303" i="1"/>
  <c r="B1303" i="1"/>
  <c r="E785" i="1"/>
  <c r="B785" i="1"/>
  <c r="E1673" i="1"/>
  <c r="B1673" i="1"/>
  <c r="E1753" i="1"/>
  <c r="B1753" i="1"/>
  <c r="E872" i="1"/>
  <c r="B872" i="1"/>
  <c r="E1030" i="1"/>
  <c r="B1030" i="1"/>
  <c r="E1769" i="1"/>
  <c r="B1769" i="1"/>
  <c r="E647" i="1"/>
  <c r="B647" i="1"/>
  <c r="E2096" i="1"/>
  <c r="B2096" i="1"/>
  <c r="E887" i="1"/>
  <c r="B887" i="1"/>
  <c r="E1028" i="1"/>
  <c r="B1028" i="1"/>
  <c r="E922" i="1"/>
  <c r="B922" i="1"/>
  <c r="E896" i="1"/>
  <c r="B896" i="1"/>
  <c r="E456" i="1"/>
  <c r="B456" i="1"/>
  <c r="E1432" i="1"/>
  <c r="B1432" i="1"/>
  <c r="E28" i="1"/>
  <c r="B28" i="1"/>
  <c r="E408" i="1"/>
  <c r="B408" i="1"/>
  <c r="E828" i="1"/>
  <c r="B828" i="1"/>
  <c r="E1044" i="1"/>
  <c r="B1044" i="1"/>
  <c r="E1648" i="1"/>
  <c r="B1648" i="1"/>
  <c r="E155" i="1"/>
  <c r="B155" i="1"/>
  <c r="E342" i="1"/>
  <c r="B342" i="1"/>
  <c r="E39" i="1"/>
  <c r="B39" i="1"/>
  <c r="E455" i="1"/>
  <c r="B455" i="1"/>
  <c r="E954" i="1"/>
  <c r="B954" i="1"/>
  <c r="E172" i="1"/>
  <c r="B172" i="1"/>
  <c r="E1027" i="1"/>
  <c r="B1027" i="1"/>
  <c r="E753" i="1"/>
  <c r="B753" i="1"/>
  <c r="E1269" i="1"/>
  <c r="B1269" i="1"/>
  <c r="E308" i="1"/>
  <c r="B308" i="1"/>
  <c r="E745" i="1"/>
  <c r="B745" i="1"/>
  <c r="E108" i="1"/>
  <c r="B108" i="1"/>
  <c r="E863" i="1"/>
  <c r="B863" i="1"/>
  <c r="E895" i="1"/>
  <c r="B895" i="1"/>
  <c r="E982" i="1"/>
  <c r="B982" i="1"/>
  <c r="E120" i="1"/>
  <c r="B120" i="1"/>
  <c r="E377" i="1"/>
  <c r="B377" i="1"/>
  <c r="E346" i="1"/>
  <c r="B346" i="1"/>
  <c r="E1156" i="1"/>
  <c r="B1156" i="1"/>
  <c r="E344" i="1"/>
  <c r="B344" i="1"/>
  <c r="E305" i="1"/>
  <c r="B305" i="1"/>
  <c r="E1249" i="1"/>
  <c r="B1249" i="1"/>
  <c r="E646" i="1"/>
  <c r="B646" i="1"/>
  <c r="E539" i="1"/>
  <c r="B539" i="1"/>
  <c r="E707" i="1"/>
  <c r="B707" i="1"/>
  <c r="E655" i="1"/>
  <c r="B655" i="1"/>
  <c r="E416" i="1"/>
  <c r="B416" i="1"/>
  <c r="E431" i="1"/>
  <c r="B431" i="1"/>
  <c r="E772" i="1"/>
  <c r="B772" i="1"/>
  <c r="E390" i="1"/>
  <c r="B390" i="1"/>
  <c r="E259" i="1"/>
  <c r="B259" i="1"/>
  <c r="E981" i="1"/>
  <c r="B981" i="1"/>
  <c r="E1352" i="1"/>
  <c r="B1352" i="1"/>
  <c r="E1208" i="1"/>
  <c r="B1208" i="1"/>
  <c r="E638" i="1"/>
  <c r="B638" i="1"/>
  <c r="E1313" i="1"/>
  <c r="B1313" i="1"/>
  <c r="E1320" i="1"/>
  <c r="B1320" i="1"/>
  <c r="E1585" i="1"/>
  <c r="B1585" i="1"/>
  <c r="E857" i="1"/>
  <c r="B857" i="1"/>
  <c r="E414" i="1"/>
  <c r="B414" i="1"/>
  <c r="E94" i="1"/>
  <c r="B94" i="1"/>
  <c r="E384" i="1"/>
  <c r="B384" i="1"/>
  <c r="E969" i="1"/>
  <c r="B969" i="1"/>
  <c r="E1483" i="1"/>
  <c r="B1483" i="1"/>
  <c r="E906" i="1"/>
  <c r="B906" i="1"/>
  <c r="E1839" i="1"/>
  <c r="B1839" i="1"/>
  <c r="E1722" i="1"/>
  <c r="B1722" i="1"/>
  <c r="E1659" i="1"/>
  <c r="B1659" i="1"/>
  <c r="E935" i="1"/>
  <c r="B935" i="1"/>
  <c r="E405" i="1"/>
  <c r="B405" i="1"/>
  <c r="E793" i="1"/>
  <c r="B793" i="1"/>
  <c r="E1513" i="1"/>
  <c r="B1513" i="1"/>
  <c r="E666" i="1"/>
  <c r="B666" i="1"/>
  <c r="E191" i="1"/>
  <c r="B191" i="1"/>
  <c r="E987" i="1"/>
  <c r="B987" i="1"/>
  <c r="E1093" i="1"/>
  <c r="B1093" i="1"/>
  <c r="E133" i="1"/>
  <c r="B133" i="1"/>
  <c r="E422" i="1"/>
  <c r="B422" i="1"/>
  <c r="E1278" i="1"/>
  <c r="B1278" i="1"/>
  <c r="E835" i="1"/>
  <c r="B835" i="1"/>
  <c r="E404" i="1"/>
  <c r="B404" i="1"/>
  <c r="E1366" i="1"/>
  <c r="B1366" i="1"/>
  <c r="E1072" i="1"/>
  <c r="B1072" i="1"/>
  <c r="E169" i="1"/>
  <c r="B169" i="1"/>
  <c r="E30" i="1"/>
  <c r="B30" i="1"/>
  <c r="E302" i="1"/>
  <c r="B302" i="1"/>
  <c r="E475" i="1"/>
  <c r="B475" i="1"/>
  <c r="E1210" i="1"/>
  <c r="B1210" i="1"/>
  <c r="E980" i="1"/>
  <c r="B980" i="1"/>
  <c r="E670" i="1"/>
  <c r="B670" i="1"/>
  <c r="E9" i="1"/>
  <c r="B9" i="1"/>
  <c r="E947" i="1"/>
  <c r="B947" i="1"/>
  <c r="E653" i="1"/>
  <c r="B653" i="1"/>
  <c r="E905" i="1"/>
  <c r="B905" i="1"/>
  <c r="E444" i="1"/>
  <c r="B444" i="1"/>
  <c r="E584" i="1"/>
  <c r="B584" i="1"/>
  <c r="E487" i="1"/>
  <c r="B487" i="1"/>
  <c r="E446" i="1"/>
  <c r="B446" i="1"/>
  <c r="E118" i="1"/>
  <c r="B118" i="1"/>
  <c r="E558" i="1"/>
  <c r="B558" i="1"/>
  <c r="E1643" i="1"/>
  <c r="B1643" i="1"/>
  <c r="E219" i="1"/>
  <c r="B219" i="1"/>
  <c r="E175" i="1"/>
  <c r="B175" i="1"/>
  <c r="E238" i="1"/>
  <c r="B238" i="1"/>
  <c r="E461" i="1"/>
  <c r="B461" i="1"/>
  <c r="E333" i="1"/>
  <c r="B333" i="1"/>
  <c r="E242" i="1"/>
  <c r="B242" i="1"/>
  <c r="E1449" i="1"/>
  <c r="B1449" i="1"/>
  <c r="E410" i="1"/>
  <c r="B410" i="1"/>
  <c r="E59" i="1"/>
  <c r="B59" i="1"/>
  <c r="E1471" i="1"/>
  <c r="B1471" i="1"/>
  <c r="E704" i="1"/>
  <c r="B704" i="1"/>
  <c r="E702" i="1"/>
  <c r="B702" i="1"/>
  <c r="E948" i="1"/>
  <c r="B948" i="1"/>
  <c r="E355" i="1"/>
  <c r="B355" i="1"/>
  <c r="E72" i="1"/>
  <c r="B72" i="1"/>
  <c r="E127" i="1"/>
  <c r="B127" i="1"/>
  <c r="E701" i="1"/>
  <c r="B701" i="1"/>
  <c r="E228" i="1"/>
  <c r="B228" i="1"/>
  <c r="E217" i="1"/>
  <c r="B217" i="1"/>
  <c r="E1047" i="1"/>
  <c r="B1047" i="1"/>
  <c r="E842" i="1"/>
  <c r="B842" i="1"/>
  <c r="E1193" i="1"/>
  <c r="B1193" i="1"/>
  <c r="E396" i="1"/>
  <c r="B396" i="1"/>
  <c r="E1009" i="1"/>
  <c r="B1009" i="1"/>
  <c r="E1632" i="1"/>
  <c r="B1632" i="1"/>
  <c r="E261" i="1"/>
  <c r="B261" i="1"/>
  <c r="E486" i="1"/>
  <c r="B486" i="1"/>
  <c r="E290" i="1"/>
  <c r="B290" i="1"/>
  <c r="E460" i="1"/>
  <c r="B460" i="1"/>
  <c r="E369" i="1"/>
  <c r="B369" i="1"/>
  <c r="E265" i="1"/>
  <c r="B265" i="1"/>
  <c r="E350" i="1"/>
  <c r="B350" i="1"/>
  <c r="E60" i="1"/>
  <c r="B60" i="1"/>
  <c r="E226" i="1"/>
  <c r="B226" i="1"/>
  <c r="E993" i="1"/>
  <c r="B993" i="1"/>
  <c r="E882" i="1"/>
  <c r="B882" i="1"/>
  <c r="E374" i="1"/>
  <c r="B374" i="1"/>
  <c r="E524" i="1"/>
  <c r="B524" i="1"/>
  <c r="E225" i="1"/>
  <c r="B225" i="1"/>
  <c r="E998" i="1"/>
  <c r="B998" i="1"/>
  <c r="E679" i="1"/>
  <c r="B679" i="1"/>
  <c r="E494" i="1"/>
  <c r="B494" i="1"/>
  <c r="E932" i="1"/>
  <c r="B932" i="1"/>
  <c r="E803" i="1"/>
  <c r="B803" i="1"/>
  <c r="E1424" i="1"/>
  <c r="B1424" i="1"/>
  <c r="E1048" i="1"/>
  <c r="B1048" i="1"/>
  <c r="E719" i="1"/>
  <c r="B719" i="1"/>
  <c r="E685" i="1"/>
  <c r="B685" i="1"/>
  <c r="E192" i="1"/>
  <c r="B192" i="1"/>
  <c r="E913" i="1"/>
  <c r="B913" i="1"/>
  <c r="E902" i="1"/>
  <c r="B902" i="1"/>
  <c r="E258" i="1"/>
  <c r="B258" i="1"/>
  <c r="E61" i="1"/>
  <c r="B61" i="1"/>
  <c r="E939" i="1"/>
  <c r="B939" i="1"/>
  <c r="E254" i="1"/>
  <c r="B254" i="1"/>
  <c r="E407" i="1"/>
  <c r="B407" i="1"/>
  <c r="E654" i="1"/>
  <c r="B654" i="1"/>
  <c r="E1236" i="1"/>
  <c r="B1236" i="1"/>
  <c r="E464" i="1"/>
  <c r="B464" i="1"/>
  <c r="E919" i="1"/>
  <c r="B919" i="1"/>
  <c r="E674" i="1"/>
  <c r="B674" i="1"/>
  <c r="E606" i="1"/>
  <c r="B606" i="1"/>
  <c r="E116" i="1"/>
  <c r="B116" i="1"/>
  <c r="E1250" i="1"/>
  <c r="B1250" i="1"/>
  <c r="E1092" i="1"/>
  <c r="B1092" i="1"/>
  <c r="E220" i="1"/>
  <c r="B220" i="1"/>
  <c r="E714" i="1"/>
  <c r="B714" i="1"/>
  <c r="E29" i="1"/>
  <c r="B29" i="1"/>
  <c r="E699" i="1"/>
  <c r="B699" i="1"/>
  <c r="E141" i="1"/>
  <c r="B141" i="1"/>
  <c r="E457" i="1"/>
  <c r="B457" i="1"/>
  <c r="E715" i="1"/>
  <c r="B715" i="1"/>
  <c r="E798" i="1"/>
  <c r="B798" i="1"/>
  <c r="E722" i="1"/>
  <c r="B722" i="1"/>
  <c r="E44" i="1"/>
  <c r="B44" i="1"/>
  <c r="E146" i="1"/>
  <c r="B146" i="1"/>
  <c r="E378" i="1"/>
  <c r="B378" i="1"/>
  <c r="E1049" i="1"/>
  <c r="B1049" i="1"/>
  <c r="E112" i="1"/>
  <c r="B112" i="1"/>
  <c r="E975" i="1"/>
  <c r="B975" i="1"/>
  <c r="E110" i="1"/>
  <c r="B110" i="1"/>
  <c r="E845" i="1"/>
  <c r="B845" i="1"/>
  <c r="E1540" i="1"/>
  <c r="B1540" i="1"/>
  <c r="E741" i="1"/>
  <c r="B741" i="1"/>
  <c r="E96" i="1"/>
  <c r="B96" i="1"/>
  <c r="E291" i="1"/>
  <c r="B291" i="1"/>
  <c r="E189" i="1"/>
  <c r="B189" i="1"/>
  <c r="E232" i="1"/>
  <c r="B232" i="1"/>
  <c r="E87" i="1"/>
  <c r="B87" i="1"/>
  <c r="E693" i="1"/>
  <c r="B693" i="1"/>
  <c r="E582" i="1"/>
  <c r="B582" i="1"/>
  <c r="E453" i="1"/>
  <c r="B453" i="1"/>
  <c r="E212" i="1"/>
  <c r="B212" i="1"/>
  <c r="E351" i="1"/>
  <c r="B351" i="1"/>
  <c r="E81" i="1"/>
  <c r="B81" i="1"/>
  <c r="E744" i="1"/>
  <c r="B744" i="1"/>
  <c r="E853" i="1"/>
  <c r="B853" i="1"/>
  <c r="E13" i="1"/>
  <c r="B13" i="1"/>
  <c r="E100" i="1"/>
  <c r="B100" i="1"/>
  <c r="E233" i="1"/>
  <c r="B233" i="1"/>
  <c r="E114" i="1"/>
  <c r="B114" i="1"/>
  <c r="E988" i="1"/>
  <c r="B988" i="1"/>
  <c r="E130" i="1"/>
  <c r="B130" i="1"/>
  <c r="E138" i="1"/>
  <c r="B138" i="1"/>
  <c r="E151" i="1"/>
  <c r="B151" i="1"/>
  <c r="E418" i="1"/>
  <c r="B418" i="1"/>
  <c r="E107" i="1"/>
  <c r="B107" i="1"/>
  <c r="E1481" i="1"/>
  <c r="B1481" i="1"/>
  <c r="E526" i="1"/>
  <c r="B526" i="1"/>
  <c r="E205" i="1"/>
  <c r="B205" i="1"/>
  <c r="E984" i="1"/>
  <c r="B984" i="1"/>
  <c r="E98" i="1"/>
  <c r="B98" i="1"/>
  <c r="E145" i="1"/>
  <c r="B145" i="1"/>
  <c r="E335" i="1"/>
  <c r="B335" i="1"/>
  <c r="E573" i="1"/>
  <c r="B573" i="1"/>
  <c r="E311" i="1"/>
  <c r="B311" i="1"/>
  <c r="E78" i="1"/>
  <c r="B78" i="1"/>
  <c r="E681" i="1"/>
  <c r="B681" i="1"/>
  <c r="E279" i="1"/>
  <c r="B279" i="1"/>
  <c r="E204" i="1"/>
  <c r="B204" i="1"/>
  <c r="E659" i="1"/>
  <c r="B659" i="1"/>
  <c r="E974" i="1"/>
  <c r="B974" i="1"/>
  <c r="E618" i="1"/>
  <c r="B618" i="1"/>
  <c r="E436" i="1"/>
  <c r="B436" i="1"/>
  <c r="E338" i="1"/>
  <c r="B338" i="1"/>
  <c r="E45" i="1"/>
  <c r="B45" i="1"/>
  <c r="E504" i="1"/>
  <c r="B504" i="1"/>
  <c r="E48" i="1"/>
  <c r="B48" i="1"/>
  <c r="E908" i="1"/>
  <c r="B908" i="1"/>
  <c r="E452" i="1"/>
  <c r="B452" i="1"/>
  <c r="E786" i="1"/>
  <c r="B786" i="1"/>
  <c r="E174" i="1"/>
  <c r="B174" i="1"/>
  <c r="E768" i="1"/>
  <c r="B768" i="1"/>
  <c r="E725" i="1"/>
  <c r="B725" i="1"/>
  <c r="E316" i="1"/>
  <c r="B316" i="1"/>
  <c r="E7" i="1"/>
  <c r="B7" i="1"/>
  <c r="E136" i="1"/>
  <c r="B136" i="1"/>
  <c r="E736" i="1"/>
  <c r="B736" i="1"/>
  <c r="E317" i="1"/>
  <c r="B317" i="1"/>
  <c r="E510" i="1"/>
  <c r="B510" i="1"/>
  <c r="E734" i="1"/>
  <c r="B734" i="1"/>
  <c r="E180" i="1"/>
  <c r="B180" i="1"/>
  <c r="E223" i="1"/>
  <c r="B223" i="1"/>
  <c r="E330" i="1"/>
  <c r="B330" i="1"/>
  <c r="E345" i="1"/>
  <c r="B345" i="1"/>
  <c r="E82" i="1"/>
  <c r="B82" i="1"/>
  <c r="E70" i="1"/>
  <c r="B70" i="1"/>
  <c r="E83" i="1"/>
  <c r="B83" i="1"/>
  <c r="E64" i="1"/>
  <c r="B64" i="1"/>
  <c r="E663" i="1"/>
  <c r="B663" i="1"/>
  <c r="E497" i="1"/>
  <c r="B497" i="1"/>
  <c r="E313" i="1"/>
  <c r="B313" i="1"/>
  <c r="E388" i="1"/>
  <c r="B388" i="1"/>
  <c r="E84" i="1"/>
  <c r="B84" i="1"/>
  <c r="E131" i="1"/>
  <c r="B131" i="1"/>
  <c r="E381" i="1"/>
  <c r="B381" i="1"/>
  <c r="E310" i="1"/>
  <c r="B310" i="1"/>
  <c r="E213" i="1"/>
  <c r="B213" i="1"/>
  <c r="E978" i="1"/>
  <c r="B978" i="1"/>
  <c r="E400" i="1"/>
  <c r="B400" i="1"/>
  <c r="E519" i="1"/>
  <c r="B519" i="1"/>
  <c r="E449" i="1"/>
  <c r="B449" i="1"/>
  <c r="E517" i="1"/>
  <c r="B517" i="1"/>
  <c r="E1005" i="1"/>
  <c r="B1005" i="1"/>
  <c r="E451" i="1"/>
  <c r="B451" i="1"/>
  <c r="E117" i="1"/>
  <c r="B117" i="1"/>
  <c r="E152" i="1"/>
  <c r="B152" i="1"/>
  <c r="E206" i="1"/>
  <c r="B206" i="1"/>
  <c r="E379" i="1"/>
  <c r="B379" i="1"/>
  <c r="E403" i="1"/>
  <c r="B403" i="1"/>
  <c r="E134" i="1"/>
  <c r="B134" i="1"/>
  <c r="E124" i="1"/>
  <c r="B124" i="1"/>
  <c r="E696" i="1"/>
  <c r="B696" i="1"/>
  <c r="E113" i="1"/>
  <c r="B113" i="1"/>
  <c r="E543" i="1"/>
  <c r="B543" i="1"/>
  <c r="E68" i="1"/>
  <c r="B68" i="1"/>
  <c r="E393" i="1"/>
  <c r="B393" i="1"/>
  <c r="E121" i="1"/>
  <c r="B121" i="1"/>
  <c r="E91" i="1"/>
  <c r="B91" i="1"/>
  <c r="E1012" i="1"/>
  <c r="B1012" i="1"/>
  <c r="E230" i="1"/>
  <c r="B230" i="1"/>
  <c r="E97" i="1"/>
  <c r="B97" i="1"/>
  <c r="E222" i="1"/>
  <c r="B222" i="1"/>
  <c r="E214" i="1"/>
  <c r="B214" i="1"/>
  <c r="E38" i="1"/>
  <c r="B38" i="1"/>
  <c r="E548" i="1"/>
  <c r="B548" i="1"/>
  <c r="E298" i="1"/>
  <c r="B298" i="1"/>
  <c r="E443" i="1"/>
  <c r="B443" i="1"/>
  <c r="E788" i="1"/>
  <c r="B788" i="1"/>
  <c r="E62" i="1"/>
  <c r="B62" i="1"/>
  <c r="E764" i="1"/>
  <c r="B764" i="1"/>
  <c r="E411" i="1"/>
  <c r="B411" i="1"/>
  <c r="E329" i="1"/>
  <c r="B329" i="1"/>
  <c r="E126" i="1"/>
  <c r="B126" i="1"/>
  <c r="E648" i="1"/>
  <c r="B648" i="1"/>
  <c r="E17" i="1"/>
  <c r="B17" i="1"/>
  <c r="E51" i="1"/>
  <c r="B51" i="1"/>
  <c r="E67" i="1"/>
  <c r="B67" i="1"/>
  <c r="E622" i="1"/>
  <c r="B622" i="1"/>
  <c r="E58" i="1"/>
  <c r="B58" i="1"/>
  <c r="E280" i="1"/>
  <c r="B280" i="1"/>
  <c r="E203" i="1"/>
  <c r="B203" i="1"/>
  <c r="E109" i="1"/>
  <c r="B109" i="1"/>
  <c r="E438" i="1"/>
  <c r="B438" i="1"/>
  <c r="E211" i="1"/>
  <c r="B211" i="1"/>
  <c r="E339" i="1"/>
  <c r="B339" i="1"/>
  <c r="E104" i="1"/>
  <c r="B104" i="1"/>
  <c r="E86" i="1"/>
  <c r="B86" i="1"/>
  <c r="E864" i="1"/>
  <c r="B864" i="1"/>
  <c r="E111" i="1"/>
  <c r="B111" i="1"/>
  <c r="E41" i="1"/>
  <c r="B41" i="1"/>
  <c r="E236" i="1"/>
  <c r="B236" i="1"/>
  <c r="E747" i="1"/>
  <c r="B747" i="1"/>
  <c r="E495" i="1"/>
  <c r="B495" i="1"/>
  <c r="E37" i="1"/>
  <c r="B37" i="1"/>
  <c r="E209" i="1"/>
  <c r="B209" i="1"/>
  <c r="E144" i="1"/>
  <c r="B144" i="1"/>
  <c r="E231" i="1"/>
  <c r="B231" i="1"/>
  <c r="E19" i="1"/>
  <c r="B19" i="1"/>
  <c r="E101" i="1"/>
  <c r="B101" i="1"/>
  <c r="E92" i="1"/>
  <c r="B92" i="1"/>
  <c r="E93" i="1"/>
  <c r="B93" i="1"/>
  <c r="E425" i="1"/>
  <c r="B425" i="1"/>
  <c r="E541" i="1"/>
  <c r="B541" i="1"/>
  <c r="E568" i="1"/>
  <c r="B568" i="1"/>
  <c r="E149" i="1"/>
  <c r="B149" i="1"/>
  <c r="E241" i="1"/>
  <c r="B241" i="1"/>
  <c r="E25" i="1"/>
  <c r="B25" i="1"/>
  <c r="E296" i="1"/>
  <c r="B296" i="1"/>
  <c r="E877" i="1"/>
  <c r="B877" i="1"/>
  <c r="E439" i="1"/>
  <c r="B439" i="1"/>
  <c r="E11" i="1"/>
  <c r="B11" i="1"/>
  <c r="E33" i="1"/>
  <c r="B33" i="1"/>
  <c r="E200" i="1"/>
  <c r="B200" i="1"/>
  <c r="E168" i="1"/>
  <c r="B168" i="1"/>
  <c r="E705" i="1"/>
  <c r="B705" i="1"/>
  <c r="E135" i="1"/>
  <c r="B135" i="1"/>
  <c r="E128" i="1"/>
  <c r="B128" i="1"/>
  <c r="E876" i="1"/>
  <c r="B876" i="1"/>
  <c r="E65" i="1"/>
  <c r="B65" i="1"/>
  <c r="E115" i="1"/>
  <c r="B115" i="1"/>
  <c r="E417" i="1"/>
  <c r="B417" i="1"/>
  <c r="E218" i="1"/>
  <c r="B218" i="1"/>
  <c r="E395" i="1"/>
  <c r="B395" i="1"/>
  <c r="E243" i="1"/>
  <c r="B243" i="1"/>
  <c r="E269" i="1"/>
  <c r="B269" i="1"/>
  <c r="E52" i="1"/>
  <c r="B52" i="1"/>
  <c r="E132" i="1"/>
  <c r="B132" i="1"/>
  <c r="E105" i="1"/>
  <c r="B105" i="1"/>
  <c r="E210" i="1"/>
  <c r="B210" i="1"/>
  <c r="E163" i="1"/>
  <c r="B163" i="1"/>
  <c r="E740" i="1"/>
  <c r="B740" i="1"/>
  <c r="E95" i="1"/>
  <c r="B95" i="1"/>
  <c r="E119" i="1"/>
  <c r="B119" i="1"/>
  <c r="E995" i="1"/>
  <c r="B995" i="1"/>
  <c r="E1144" i="1"/>
  <c r="B1144" i="1"/>
  <c r="E143" i="1"/>
  <c r="B143" i="1"/>
  <c r="E154" i="1"/>
  <c r="B154" i="1"/>
  <c r="E227" i="1"/>
  <c r="B227" i="1"/>
  <c r="E123" i="1"/>
  <c r="B123" i="1"/>
  <c r="E8" i="1"/>
  <c r="B8" i="1"/>
  <c r="E139" i="1"/>
  <c r="B139" i="1"/>
  <c r="E544" i="1"/>
  <c r="B544" i="1"/>
  <c r="E26" i="1"/>
  <c r="B26" i="1"/>
  <c r="E10" i="1"/>
  <c r="B10" i="1"/>
  <c r="E156" i="1"/>
  <c r="B156" i="1"/>
  <c r="E73" i="1"/>
  <c r="B73" i="1"/>
  <c r="E46" i="1"/>
  <c r="B46" i="1"/>
  <c r="E161" i="1"/>
  <c r="B161" i="1"/>
  <c r="E106" i="1"/>
  <c r="B106" i="1"/>
  <c r="E102" i="1"/>
  <c r="B102" i="1"/>
  <c r="E103" i="1"/>
  <c r="B103" i="1"/>
  <c r="E74" i="1"/>
  <c r="B74" i="1"/>
  <c r="E55" i="1"/>
  <c r="B55" i="1"/>
  <c r="E142" i="1"/>
  <c r="B142" i="1"/>
  <c r="E14" i="1"/>
  <c r="B14" i="1"/>
  <c r="E80" i="1"/>
  <c r="B80" i="1"/>
  <c r="E75" i="1"/>
  <c r="B75" i="1"/>
  <c r="E208" i="1"/>
  <c r="B208" i="1"/>
  <c r="E235" i="1"/>
  <c r="B235" i="1"/>
  <c r="E63" i="1"/>
  <c r="B63" i="1"/>
  <c r="E99" i="1"/>
  <c r="B99" i="1"/>
  <c r="E42" i="1"/>
  <c r="B42" i="1"/>
  <c r="E125" i="1"/>
  <c r="B125" i="1"/>
  <c r="E237" i="1"/>
  <c r="B237" i="1"/>
  <c r="E140" i="1"/>
  <c r="B140" i="1"/>
  <c r="E36" i="1"/>
  <c r="B36" i="1"/>
  <c r="E137" i="1"/>
  <c r="B137" i="1"/>
  <c r="E216" i="1"/>
  <c r="B216" i="1"/>
  <c r="E89" i="1"/>
  <c r="B89" i="1"/>
  <c r="E27" i="1"/>
  <c r="B27" i="1"/>
  <c r="E79" i="1"/>
  <c r="B79" i="1"/>
  <c r="E284" i="1"/>
  <c r="B284" i="1"/>
  <c r="E348" i="1"/>
  <c r="B348" i="1"/>
  <c r="E85" i="1"/>
  <c r="B85" i="1"/>
  <c r="E49" i="1"/>
  <c r="B49" i="1"/>
  <c r="E77" i="1"/>
  <c r="B77" i="1"/>
  <c r="E240" i="1"/>
  <c r="B240" i="1"/>
  <c r="E153" i="1"/>
  <c r="B153" i="1"/>
  <c r="E47" i="1"/>
  <c r="B47" i="1"/>
  <c r="E18" i="1"/>
  <c r="B18" i="1"/>
  <c r="E323" i="1"/>
  <c r="B323" i="1"/>
  <c r="E40" i="1"/>
  <c r="B40" i="1"/>
  <c r="E190" i="1"/>
  <c r="B190" i="1"/>
  <c r="E15" i="1"/>
  <c r="B15" i="1"/>
  <c r="E20" i="1"/>
  <c r="B20" i="1"/>
  <c r="E24" i="1"/>
  <c r="B24" i="1"/>
  <c r="E32" i="1"/>
  <c r="B32" i="1"/>
  <c r="E76" i="1"/>
  <c r="B76" i="1"/>
  <c r="E56" i="1"/>
  <c r="B56" i="1"/>
  <c r="E50" i="1"/>
  <c r="B50" i="1"/>
  <c r="E170" i="1"/>
  <c r="B170" i="1"/>
  <c r="E301" i="1"/>
  <c r="B301" i="1"/>
  <c r="E129" i="1"/>
  <c r="B129" i="1"/>
  <c r="E147" i="1"/>
  <c r="B147" i="1"/>
  <c r="E35" i="1"/>
  <c r="B35" i="1"/>
  <c r="E23" i="1"/>
  <c r="B23" i="1"/>
  <c r="E199" i="1"/>
  <c r="B199" i="1"/>
  <c r="E207" i="1"/>
  <c r="B207" i="1"/>
  <c r="E71" i="1"/>
  <c r="B71" i="1"/>
  <c r="E57" i="1"/>
  <c r="B57" i="1"/>
  <c r="E22" i="1"/>
  <c r="B22" i="1"/>
  <c r="E201" i="1"/>
  <c r="B201" i="1"/>
  <c r="E561" i="1"/>
  <c r="B561" i="1"/>
  <c r="E288" i="1"/>
  <c r="B288" i="1"/>
  <c r="E239" i="1"/>
  <c r="B239" i="1"/>
  <c r="E21" i="1"/>
  <c r="B21" i="1"/>
  <c r="E34" i="1"/>
  <c r="B34" i="1"/>
  <c r="E5" i="1"/>
  <c r="B5" i="1"/>
  <c r="E6" i="1"/>
  <c r="B6" i="1"/>
  <c r="E12" i="1"/>
  <c r="B12" i="1"/>
  <c r="E16" i="1"/>
  <c r="B16" i="1"/>
  <c r="E122" i="1"/>
  <c r="B122" i="1"/>
  <c r="E43" i="1"/>
  <c r="B43" i="1"/>
  <c r="E3" i="1"/>
  <c r="B3" i="1"/>
  <c r="E54" i="1"/>
  <c r="B54" i="1"/>
  <c r="E4" i="1"/>
  <c r="B4" i="1"/>
  <c r="E2" i="1"/>
  <c r="B2" i="1"/>
  <c r="O3815" i="2"/>
  <c r="O3811" i="2"/>
  <c r="O3807" i="2"/>
  <c r="O3803" i="2"/>
  <c r="O3799" i="2"/>
  <c r="O3795" i="2"/>
  <c r="O3791" i="2"/>
  <c r="O3787" i="2"/>
  <c r="O3783" i="2"/>
  <c r="O3779" i="2"/>
  <c r="O3775" i="2"/>
  <c r="O3771" i="2"/>
  <c r="O3767" i="2"/>
  <c r="O3763" i="2"/>
  <c r="O3759" i="2"/>
  <c r="O3755" i="2"/>
  <c r="O3751" i="2"/>
  <c r="O3747" i="2"/>
  <c r="O3743" i="2"/>
  <c r="O3739" i="2"/>
  <c r="O3735" i="2"/>
  <c r="O3731" i="2"/>
  <c r="O3727" i="2"/>
  <c r="O3723" i="2"/>
  <c r="O3719" i="2"/>
  <c r="O3715" i="2"/>
  <c r="O3711" i="2"/>
  <c r="O3707" i="2"/>
  <c r="O3703" i="2"/>
  <c r="O3699" i="2"/>
  <c r="O3695" i="2"/>
  <c r="O3691" i="2"/>
  <c r="O3687" i="2"/>
  <c r="O3683" i="2"/>
  <c r="O3679" i="2"/>
  <c r="O3675" i="2"/>
  <c r="O3671" i="2"/>
  <c r="O3667" i="2"/>
  <c r="O3663" i="2"/>
  <c r="O3659" i="2"/>
  <c r="O3655" i="2"/>
  <c r="O3651" i="2"/>
  <c r="O3647" i="2"/>
  <c r="O3643" i="2"/>
  <c r="O3639" i="2"/>
  <c r="O3635" i="2"/>
  <c r="O3631" i="2"/>
  <c r="O3627" i="2"/>
  <c r="O3623" i="2"/>
  <c r="O3619" i="2"/>
  <c r="O3615" i="2"/>
  <c r="O3611" i="2"/>
  <c r="O3607" i="2"/>
  <c r="O3603" i="2"/>
  <c r="O3599" i="2"/>
  <c r="O3595" i="2"/>
  <c r="O3591" i="2"/>
  <c r="O3587" i="2"/>
  <c r="O3583" i="2"/>
  <c r="O3579" i="2"/>
  <c r="O3575" i="2"/>
  <c r="O3571" i="2"/>
  <c r="O3567" i="2"/>
  <c r="O3563" i="2"/>
  <c r="O3559" i="2"/>
  <c r="O3555" i="2"/>
  <c r="O3551" i="2"/>
  <c r="O3547" i="2"/>
  <c r="O3543" i="2"/>
  <c r="O3539" i="2"/>
  <c r="O3535" i="2"/>
  <c r="O3531" i="2"/>
  <c r="O3527" i="2"/>
  <c r="O3523" i="2"/>
  <c r="O3519" i="2"/>
  <c r="O3515" i="2"/>
  <c r="O3511" i="2"/>
  <c r="O3507" i="2"/>
  <c r="O3503" i="2"/>
  <c r="O3499" i="2"/>
  <c r="O3495" i="2"/>
  <c r="O3491" i="2"/>
  <c r="O3487" i="2"/>
  <c r="O3483" i="2"/>
  <c r="O3479" i="2"/>
  <c r="O3475" i="2"/>
  <c r="O3471" i="2"/>
  <c r="O3467" i="2"/>
  <c r="O3463" i="2"/>
  <c r="O3459" i="2"/>
  <c r="O3455" i="2"/>
  <c r="O3451" i="2"/>
  <c r="O3447" i="2"/>
  <c r="O3443" i="2"/>
  <c r="O3439" i="2"/>
  <c r="O3435" i="2"/>
  <c r="O3431" i="2"/>
  <c r="O3427" i="2"/>
  <c r="O3423" i="2"/>
  <c r="O3419" i="2"/>
  <c r="O3415" i="2"/>
  <c r="O3411" i="2"/>
  <c r="O3407" i="2"/>
  <c r="O3403" i="2"/>
  <c r="O3399" i="2"/>
  <c r="O3395" i="2"/>
  <c r="O3391" i="2"/>
  <c r="O3387" i="2"/>
  <c r="O3383" i="2"/>
  <c r="O3379" i="2"/>
  <c r="O3375" i="2"/>
  <c r="O3371" i="2"/>
  <c r="O3367" i="2"/>
  <c r="O3363" i="2"/>
  <c r="O3359" i="2"/>
  <c r="O3355" i="2"/>
  <c r="O3351" i="2"/>
  <c r="O3347" i="2"/>
  <c r="O3343" i="2"/>
  <c r="O3339" i="2"/>
  <c r="O3335" i="2"/>
  <c r="O3331" i="2"/>
  <c r="O3327" i="2"/>
  <c r="O3323" i="2"/>
  <c r="O3814" i="2"/>
  <c r="O3810" i="2"/>
  <c r="O3806" i="2"/>
  <c r="O3802" i="2"/>
  <c r="O3798" i="2"/>
  <c r="O3794" i="2"/>
  <c r="O3790" i="2"/>
  <c r="O3786" i="2"/>
  <c r="O3782" i="2"/>
  <c r="O3778" i="2"/>
  <c r="O3774" i="2"/>
  <c r="O3770" i="2"/>
  <c r="O3766" i="2"/>
  <c r="O3762" i="2"/>
  <c r="O3758" i="2"/>
  <c r="O3754" i="2"/>
  <c r="O3750" i="2"/>
  <c r="O3746" i="2"/>
  <c r="O3742" i="2"/>
  <c r="O3738" i="2"/>
  <c r="O3734" i="2"/>
  <c r="O3730" i="2"/>
  <c r="O3726" i="2"/>
  <c r="O3722" i="2"/>
  <c r="O3718" i="2"/>
  <c r="O3714" i="2"/>
  <c r="O3710" i="2"/>
  <c r="O3706" i="2"/>
  <c r="O3702" i="2"/>
  <c r="O3698" i="2"/>
  <c r="O3694" i="2"/>
  <c r="O3690" i="2"/>
  <c r="O3686" i="2"/>
  <c r="O3682" i="2"/>
  <c r="O3678" i="2"/>
  <c r="O3674" i="2"/>
  <c r="O3670" i="2"/>
  <c r="O3666" i="2"/>
  <c r="O3662" i="2"/>
  <c r="O3658" i="2"/>
  <c r="O3654" i="2"/>
  <c r="O3650" i="2"/>
  <c r="O3646" i="2"/>
  <c r="O3642" i="2"/>
  <c r="O3638" i="2"/>
  <c r="O3634" i="2"/>
  <c r="O3630" i="2"/>
  <c r="O3626" i="2"/>
  <c r="O3622" i="2"/>
  <c r="O3618" i="2"/>
  <c r="O3614" i="2"/>
  <c r="O3610" i="2"/>
  <c r="O3606" i="2"/>
  <c r="O3602" i="2"/>
  <c r="O3598" i="2"/>
  <c r="O3594" i="2"/>
  <c r="O3590" i="2"/>
  <c r="O3586" i="2"/>
  <c r="O3582" i="2"/>
  <c r="O3578" i="2"/>
  <c r="O3574" i="2"/>
  <c r="O3570" i="2"/>
  <c r="O3566" i="2"/>
  <c r="O3562" i="2"/>
  <c r="O3558" i="2"/>
  <c r="O3554" i="2"/>
  <c r="O3550" i="2"/>
  <c r="O3546" i="2"/>
  <c r="O3542" i="2"/>
  <c r="O3538" i="2"/>
  <c r="O3534" i="2"/>
  <c r="O3530" i="2"/>
  <c r="O3526" i="2"/>
  <c r="O3522" i="2"/>
  <c r="O3518" i="2"/>
  <c r="O3514" i="2"/>
  <c r="O3510" i="2"/>
  <c r="O3506" i="2"/>
  <c r="O3502" i="2"/>
  <c r="O3498" i="2"/>
  <c r="O3494" i="2"/>
  <c r="O3490" i="2"/>
  <c r="O3486" i="2"/>
  <c r="O3482" i="2"/>
  <c r="O3478" i="2"/>
  <c r="O3474" i="2"/>
  <c r="O3470" i="2"/>
  <c r="O3466" i="2"/>
  <c r="O3462" i="2"/>
  <c r="O3458" i="2"/>
  <c r="O3454" i="2"/>
  <c r="O3450" i="2"/>
  <c r="O3446" i="2"/>
  <c r="O3442" i="2"/>
  <c r="O3438" i="2"/>
  <c r="O3434" i="2"/>
  <c r="O3430" i="2"/>
  <c r="O3426" i="2"/>
  <c r="O3422" i="2"/>
  <c r="O3418" i="2"/>
  <c r="O3414" i="2"/>
  <c r="O3410" i="2"/>
  <c r="O3406" i="2"/>
  <c r="O3402" i="2"/>
  <c r="O3398" i="2"/>
  <c r="O3394" i="2"/>
  <c r="O3390" i="2"/>
  <c r="O3386" i="2"/>
  <c r="O3382" i="2"/>
  <c r="O3378" i="2"/>
  <c r="O3374" i="2"/>
  <c r="O3370" i="2"/>
  <c r="O3366" i="2"/>
  <c r="O3362" i="2"/>
  <c r="O3358" i="2"/>
  <c r="O3354" i="2"/>
  <c r="O3350" i="2"/>
  <c r="O3346" i="2"/>
  <c r="O3342" i="2"/>
  <c r="O3338" i="2"/>
  <c r="O3334" i="2"/>
  <c r="O3330" i="2"/>
  <c r="O3326" i="2"/>
  <c r="O3322" i="2"/>
  <c r="O3318" i="2"/>
  <c r="O3314" i="2"/>
  <c r="O3310" i="2"/>
  <c r="O3813" i="2"/>
  <c r="O3809" i="2"/>
  <c r="O3805" i="2"/>
  <c r="O3801" i="2"/>
  <c r="O3797" i="2"/>
  <c r="O3793" i="2"/>
  <c r="O3789" i="2"/>
  <c r="O3785" i="2"/>
  <c r="O3781" i="2"/>
  <c r="O3777" i="2"/>
  <c r="O3773" i="2"/>
  <c r="O3769" i="2"/>
  <c r="O3765" i="2"/>
  <c r="O3761" i="2"/>
  <c r="O3757" i="2"/>
  <c r="O3753" i="2"/>
  <c r="O3749" i="2"/>
  <c r="O3745" i="2"/>
  <c r="O3741" i="2"/>
  <c r="O3737" i="2"/>
  <c r="O3733" i="2"/>
  <c r="O3729" i="2"/>
  <c r="O3725" i="2"/>
  <c r="O3721" i="2"/>
  <c r="O3717" i="2"/>
  <c r="O3713" i="2"/>
  <c r="O3709" i="2"/>
  <c r="O3705" i="2"/>
  <c r="O3701" i="2"/>
  <c r="O3697" i="2"/>
  <c r="O3693" i="2"/>
  <c r="O3689" i="2"/>
  <c r="O3685" i="2"/>
  <c r="O3681" i="2"/>
  <c r="O3677" i="2"/>
  <c r="O3673" i="2"/>
  <c r="O3669" i="2"/>
  <c r="O3665" i="2"/>
  <c r="O3661" i="2"/>
  <c r="O3657" i="2"/>
  <c r="O3653" i="2"/>
  <c r="O3649" i="2"/>
  <c r="O3645" i="2"/>
  <c r="O3641" i="2"/>
  <c r="O3637" i="2"/>
  <c r="O3633" i="2"/>
  <c r="O3629" i="2"/>
  <c r="O3625" i="2"/>
  <c r="O3621" i="2"/>
  <c r="O3617" i="2"/>
  <c r="O3613" i="2"/>
  <c r="O3609" i="2"/>
  <c r="O3605" i="2"/>
  <c r="O3601" i="2"/>
  <c r="O3597" i="2"/>
  <c r="O3593" i="2"/>
  <c r="O3589" i="2"/>
  <c r="O3585" i="2"/>
  <c r="O3581" i="2"/>
  <c r="O3577" i="2"/>
  <c r="O3573" i="2"/>
  <c r="O3569" i="2"/>
  <c r="O3565" i="2"/>
  <c r="O3561" i="2"/>
  <c r="O3557" i="2"/>
  <c r="O3553" i="2"/>
  <c r="O3549" i="2"/>
  <c r="O3545" i="2"/>
  <c r="O3541" i="2"/>
  <c r="O3537" i="2"/>
  <c r="O3533" i="2"/>
  <c r="O3529" i="2"/>
  <c r="O3525" i="2"/>
  <c r="O3521" i="2"/>
  <c r="O3517" i="2"/>
  <c r="O3513" i="2"/>
  <c r="O3509" i="2"/>
  <c r="O3505" i="2"/>
  <c r="O3501" i="2"/>
  <c r="O3497" i="2"/>
  <c r="O3493" i="2"/>
  <c r="O3489" i="2"/>
  <c r="O3485" i="2"/>
  <c r="O3481" i="2"/>
  <c r="O3477" i="2"/>
  <c r="O3473" i="2"/>
  <c r="O3469" i="2"/>
  <c r="O3465" i="2"/>
  <c r="O3461" i="2"/>
  <c r="O3457" i="2"/>
  <c r="O3453" i="2"/>
  <c r="O3449" i="2"/>
  <c r="O3445" i="2"/>
  <c r="O3441" i="2"/>
  <c r="O3437" i="2"/>
  <c r="O3433" i="2"/>
  <c r="O3429" i="2"/>
  <c r="O3425" i="2"/>
  <c r="O3421" i="2"/>
  <c r="O3417" i="2"/>
  <c r="O3413" i="2"/>
  <c r="O3409" i="2"/>
  <c r="O3405" i="2"/>
  <c r="O3401" i="2"/>
  <c r="O3397" i="2"/>
  <c r="O3393" i="2"/>
  <c r="O3812" i="2"/>
  <c r="O3808" i="2"/>
  <c r="O3804" i="2"/>
  <c r="O3800" i="2"/>
  <c r="O3796" i="2"/>
  <c r="O3792" i="2"/>
  <c r="O3788" i="2"/>
  <c r="O3784" i="2"/>
  <c r="O3780" i="2"/>
  <c r="O3776" i="2"/>
  <c r="O3772" i="2"/>
  <c r="O3768" i="2"/>
  <c r="O3764" i="2"/>
  <c r="O3760" i="2"/>
  <c r="O3756" i="2"/>
  <c r="O3752" i="2"/>
  <c r="O3748" i="2"/>
  <c r="O3744" i="2"/>
  <c r="O3740" i="2"/>
  <c r="O3736" i="2"/>
  <c r="O3732" i="2"/>
  <c r="O3728" i="2"/>
  <c r="O3724" i="2"/>
  <c r="O3720" i="2"/>
  <c r="O3716" i="2"/>
  <c r="O3712" i="2"/>
  <c r="O3708" i="2"/>
  <c r="O3704" i="2"/>
  <c r="O3700" i="2"/>
  <c r="O3696" i="2"/>
  <c r="O3692" i="2"/>
  <c r="O3688" i="2"/>
  <c r="O3684" i="2"/>
  <c r="O3680" i="2"/>
  <c r="O3676" i="2"/>
  <c r="O3672" i="2"/>
  <c r="O3668" i="2"/>
  <c r="O3664" i="2"/>
  <c r="O3660" i="2"/>
  <c r="O3656" i="2"/>
  <c r="O3652" i="2"/>
  <c r="O3648" i="2"/>
  <c r="O3644" i="2"/>
  <c r="O3640" i="2"/>
  <c r="O3636" i="2"/>
  <c r="O3632" i="2"/>
  <c r="O3628" i="2"/>
  <c r="O3624" i="2"/>
  <c r="O3620" i="2"/>
  <c r="O3616" i="2"/>
  <c r="O3612" i="2"/>
  <c r="O3608" i="2"/>
  <c r="O3604" i="2"/>
  <c r="O3600" i="2"/>
  <c r="O3596" i="2"/>
  <c r="O3592" i="2"/>
  <c r="O3588" i="2"/>
  <c r="O3584" i="2"/>
  <c r="O3580" i="2"/>
  <c r="O3576" i="2"/>
  <c r="O3572" i="2"/>
  <c r="O3568" i="2"/>
  <c r="O3564" i="2"/>
  <c r="O3560" i="2"/>
  <c r="O3556" i="2"/>
  <c r="O3552" i="2"/>
  <c r="O3548" i="2"/>
  <c r="O3544" i="2"/>
  <c r="O3540" i="2"/>
  <c r="O3536" i="2"/>
  <c r="O3532" i="2"/>
  <c r="O3528" i="2"/>
  <c r="O3524" i="2"/>
  <c r="O3520" i="2"/>
  <c r="O3516" i="2"/>
  <c r="O3512" i="2"/>
  <c r="O3508" i="2"/>
  <c r="O3504" i="2"/>
  <c r="O3500" i="2"/>
  <c r="O3496" i="2"/>
  <c r="O3492" i="2"/>
  <c r="O3488" i="2"/>
  <c r="O3484" i="2"/>
  <c r="O3480" i="2"/>
  <c r="O3476" i="2"/>
  <c r="O3472" i="2"/>
  <c r="O3468" i="2"/>
  <c r="O3464" i="2"/>
  <c r="O3460" i="2"/>
  <c r="O3456" i="2"/>
  <c r="O3452" i="2"/>
  <c r="O3448" i="2"/>
  <c r="O3444" i="2"/>
  <c r="O3440" i="2"/>
  <c r="O3436" i="2"/>
  <c r="O3432" i="2"/>
  <c r="O3428" i="2"/>
  <c r="O3424" i="2"/>
  <c r="O3420" i="2"/>
  <c r="O3416" i="2"/>
  <c r="O3412" i="2"/>
  <c r="O3408" i="2"/>
  <c r="O3404" i="2"/>
  <c r="O3400" i="2"/>
  <c r="O3372" i="2"/>
  <c r="O3348" i="2"/>
  <c r="O3324" i="2"/>
  <c r="O3315" i="2"/>
  <c r="O3376" i="2"/>
  <c r="O3352" i="2"/>
  <c r="O3328" i="2"/>
  <c r="O3380" i="2"/>
  <c r="O3356" i="2"/>
  <c r="O3332" i="2"/>
  <c r="O3309" i="2"/>
  <c r="O3305" i="2"/>
  <c r="O3301" i="2"/>
  <c r="O3297" i="2"/>
  <c r="O3293" i="2"/>
  <c r="O3289" i="2"/>
  <c r="O3285" i="2"/>
  <c r="O3281" i="2"/>
  <c r="O3277" i="2"/>
  <c r="O3273" i="2"/>
  <c r="O3269" i="2"/>
  <c r="O3265" i="2"/>
  <c r="O3261" i="2"/>
  <c r="O3257" i="2"/>
  <c r="O3253" i="2"/>
  <c r="O3249" i="2"/>
  <c r="O3245" i="2"/>
  <c r="O3241" i="2"/>
  <c r="O3237" i="2"/>
  <c r="O3233" i="2"/>
  <c r="O3229" i="2"/>
  <c r="O3225" i="2"/>
  <c r="O3221" i="2"/>
  <c r="O3217" i="2"/>
  <c r="O3213" i="2"/>
  <c r="O3209" i="2"/>
  <c r="O3205" i="2"/>
  <c r="O3201" i="2"/>
  <c r="O3197" i="2"/>
  <c r="O3193" i="2"/>
  <c r="O3189" i="2"/>
  <c r="O3185" i="2"/>
  <c r="O3181" i="2"/>
  <c r="O3177" i="2"/>
  <c r="O3173" i="2"/>
  <c r="O3169" i="2"/>
  <c r="O3165" i="2"/>
  <c r="O3161" i="2"/>
  <c r="O3157" i="2"/>
  <c r="O3153" i="2"/>
  <c r="O3149" i="2"/>
  <c r="O3145" i="2"/>
  <c r="O3141" i="2"/>
  <c r="O3137" i="2"/>
  <c r="O3133" i="2"/>
  <c r="O3129" i="2"/>
  <c r="O3125" i="2"/>
  <c r="O3121" i="2"/>
  <c r="O3117" i="2"/>
  <c r="O3113" i="2"/>
  <c r="O3109" i="2"/>
  <c r="O3105" i="2"/>
  <c r="O3101" i="2"/>
  <c r="O3097" i="2"/>
  <c r="O3093" i="2"/>
  <c r="O3089" i="2"/>
  <c r="O3085" i="2"/>
  <c r="O3081" i="2"/>
  <c r="O3077" i="2"/>
  <c r="O3073" i="2"/>
  <c r="O3069" i="2"/>
  <c r="O3065" i="2"/>
  <c r="O3061" i="2"/>
  <c r="O3057" i="2"/>
  <c r="O3053" i="2"/>
  <c r="O3049" i="2"/>
  <c r="O3045" i="2"/>
  <c r="O3041" i="2"/>
  <c r="O3037" i="2"/>
  <c r="O3033" i="2"/>
  <c r="O3029" i="2"/>
  <c r="O3025" i="2"/>
  <c r="O3021" i="2"/>
  <c r="O3017" i="2"/>
  <c r="O3013" i="2"/>
  <c r="O3009" i="2"/>
  <c r="O3005" i="2"/>
  <c r="O3001" i="2"/>
  <c r="O2997" i="2"/>
  <c r="O2993" i="2"/>
  <c r="O2989" i="2"/>
  <c r="O2985" i="2"/>
  <c r="O2981" i="2"/>
  <c r="O2977" i="2"/>
  <c r="O2973" i="2"/>
  <c r="O2969" i="2"/>
  <c r="O2965" i="2"/>
  <c r="O2961" i="2"/>
  <c r="O2957" i="2"/>
  <c r="O2953" i="2"/>
  <c r="O2949" i="2"/>
  <c r="O2945" i="2"/>
  <c r="O2941" i="2"/>
  <c r="O2937" i="2"/>
  <c r="O2933" i="2"/>
  <c r="O2929" i="2"/>
  <c r="O2925" i="2"/>
  <c r="O2921" i="2"/>
  <c r="O2917" i="2"/>
  <c r="O2913" i="2"/>
  <c r="O2909" i="2"/>
  <c r="O2905" i="2"/>
  <c r="O2901" i="2"/>
  <c r="O2897" i="2"/>
  <c r="O2893" i="2"/>
  <c r="O2889" i="2"/>
  <c r="O2885" i="2"/>
  <c r="O2881" i="2"/>
  <c r="O2877" i="2"/>
  <c r="O2873" i="2"/>
  <c r="O2869" i="2"/>
  <c r="O2865" i="2"/>
  <c r="O2861" i="2"/>
  <c r="O2857" i="2"/>
  <c r="O2853" i="2"/>
  <c r="O2849" i="2"/>
  <c r="O2845" i="2"/>
  <c r="O2841" i="2"/>
  <c r="O2837" i="2"/>
  <c r="O2833" i="2"/>
  <c r="O2829" i="2"/>
  <c r="O2825" i="2"/>
  <c r="O2821" i="2"/>
  <c r="O2817" i="2"/>
  <c r="O3388" i="2"/>
  <c r="O3364" i="2"/>
  <c r="O3340" i="2"/>
  <c r="O3312" i="2"/>
  <c r="O3373" i="2"/>
  <c r="O3368" i="2"/>
  <c r="O3337" i="2"/>
  <c r="O3317" i="2"/>
  <c r="O3303" i="2"/>
  <c r="O3290" i="2"/>
  <c r="O3268" i="2"/>
  <c r="O3255" i="2"/>
  <c r="O3242" i="2"/>
  <c r="O3220" i="2"/>
  <c r="O3207" i="2"/>
  <c r="O3194" i="2"/>
  <c r="O3172" i="2"/>
  <c r="O3159" i="2"/>
  <c r="O3146" i="2"/>
  <c r="O3124" i="2"/>
  <c r="O3111" i="2"/>
  <c r="O3098" i="2"/>
  <c r="O3076" i="2"/>
  <c r="O3063" i="2"/>
  <c r="O3050" i="2"/>
  <c r="O3028" i="2"/>
  <c r="O3015" i="2"/>
  <c r="O3002" i="2"/>
  <c r="O2980" i="2"/>
  <c r="O2967" i="2"/>
  <c r="O2954" i="2"/>
  <c r="O2932" i="2"/>
  <c r="O2919" i="2"/>
  <c r="O2906" i="2"/>
  <c r="O2884" i="2"/>
  <c r="O2871" i="2"/>
  <c r="O2858" i="2"/>
  <c r="O2836" i="2"/>
  <c r="O2823" i="2"/>
  <c r="O3321" i="2"/>
  <c r="O3307" i="2"/>
  <c r="O3294" i="2"/>
  <c r="O3272" i="2"/>
  <c r="O3259" i="2"/>
  <c r="O3357" i="2"/>
  <c r="O3298" i="2"/>
  <c r="O3276" i="2"/>
  <c r="O3263" i="2"/>
  <c r="O3250" i="2"/>
  <c r="O3228" i="2"/>
  <c r="O3215" i="2"/>
  <c r="O3202" i="2"/>
  <c r="O3180" i="2"/>
  <c r="O3167" i="2"/>
  <c r="O3154" i="2"/>
  <c r="O3132" i="2"/>
  <c r="O3119" i="2"/>
  <c r="O3106" i="2"/>
  <c r="O3084" i="2"/>
  <c r="O3071" i="2"/>
  <c r="O3058" i="2"/>
  <c r="O3036" i="2"/>
  <c r="O3023" i="2"/>
  <c r="O3010" i="2"/>
  <c r="O2988" i="2"/>
  <c r="O2975" i="2"/>
  <c r="O2962" i="2"/>
  <c r="O2940" i="2"/>
  <c r="O2927" i="2"/>
  <c r="O2914" i="2"/>
  <c r="O2892" i="2"/>
  <c r="O2879" i="2"/>
  <c r="O2866" i="2"/>
  <c r="O2844" i="2"/>
  <c r="O2831" i="2"/>
  <c r="O2818" i="2"/>
  <c r="O3377" i="2"/>
  <c r="O3341" i="2"/>
  <c r="O3336" i="2"/>
  <c r="O3316" i="2"/>
  <c r="O3311" i="2"/>
  <c r="O3302" i="2"/>
  <c r="O3280" i="2"/>
  <c r="O3267" i="2"/>
  <c r="O3254" i="2"/>
  <c r="O3232" i="2"/>
  <c r="O3219" i="2"/>
  <c r="O3206" i="2"/>
  <c r="O3184" i="2"/>
  <c r="O3171" i="2"/>
  <c r="O3158" i="2"/>
  <c r="O3136" i="2"/>
  <c r="O3123" i="2"/>
  <c r="O3110" i="2"/>
  <c r="O3088" i="2"/>
  <c r="O3075" i="2"/>
  <c r="O3062" i="2"/>
  <c r="O3040" i="2"/>
  <c r="O3027" i="2"/>
  <c r="O3014" i="2"/>
  <c r="O2992" i="2"/>
  <c r="O2979" i="2"/>
  <c r="O2966" i="2"/>
  <c r="O2944" i="2"/>
  <c r="O2931" i="2"/>
  <c r="O2918" i="2"/>
  <c r="O2896" i="2"/>
  <c r="O2883" i="2"/>
  <c r="O2870" i="2"/>
  <c r="O2848" i="2"/>
  <c r="O2835" i="2"/>
  <c r="O2822" i="2"/>
  <c r="O3392" i="2"/>
  <c r="O3361" i="2"/>
  <c r="O3325" i="2"/>
  <c r="O3320" i="2"/>
  <c r="O3306" i="2"/>
  <c r="O3284" i="2"/>
  <c r="O3271" i="2"/>
  <c r="O3258" i="2"/>
  <c r="O3236" i="2"/>
  <c r="O3223" i="2"/>
  <c r="O3210" i="2"/>
  <c r="O3188" i="2"/>
  <c r="O3175" i="2"/>
  <c r="O3162" i="2"/>
  <c r="O3140" i="2"/>
  <c r="O3127" i="2"/>
  <c r="O3114" i="2"/>
  <c r="O3092" i="2"/>
  <c r="O3079" i="2"/>
  <c r="O3066" i="2"/>
  <c r="O3044" i="2"/>
  <c r="O3031" i="2"/>
  <c r="O3018" i="2"/>
  <c r="O2996" i="2"/>
  <c r="O2983" i="2"/>
  <c r="O2970" i="2"/>
  <c r="O2948" i="2"/>
  <c r="O2935" i="2"/>
  <c r="O2922" i="2"/>
  <c r="O2900" i="2"/>
  <c r="O2887" i="2"/>
  <c r="O2874" i="2"/>
  <c r="O2852" i="2"/>
  <c r="O2839" i="2"/>
  <c r="O2826" i="2"/>
  <c r="O2813" i="2"/>
  <c r="O2809" i="2"/>
  <c r="O2805" i="2"/>
  <c r="O2801" i="2"/>
  <c r="O2797" i="2"/>
  <c r="O2793" i="2"/>
  <c r="O2789" i="2"/>
  <c r="O2785" i="2"/>
  <c r="O2781" i="2"/>
  <c r="O2777" i="2"/>
  <c r="O2773" i="2"/>
  <c r="O2769" i="2"/>
  <c r="O2765" i="2"/>
  <c r="O2761" i="2"/>
  <c r="O2757" i="2"/>
  <c r="O2753" i="2"/>
  <c r="O2749" i="2"/>
  <c r="O2745" i="2"/>
  <c r="O2741" i="2"/>
  <c r="O2737" i="2"/>
  <c r="O2733" i="2"/>
  <c r="O2729" i="2"/>
  <c r="O2725" i="2"/>
  <c r="O2721" i="2"/>
  <c r="O2717" i="2"/>
  <c r="O2713" i="2"/>
  <c r="O2709" i="2"/>
  <c r="O2705" i="2"/>
  <c r="O2701" i="2"/>
  <c r="O2697" i="2"/>
  <c r="O2693" i="2"/>
  <c r="O2689" i="2"/>
  <c r="O2685" i="2"/>
  <c r="O2681" i="2"/>
  <c r="O2677" i="2"/>
  <c r="O2673" i="2"/>
  <c r="O2669" i="2"/>
  <c r="O2665" i="2"/>
  <c r="O2661" i="2"/>
  <c r="O2657" i="2"/>
  <c r="O2653" i="2"/>
  <c r="O2649" i="2"/>
  <c r="O2645" i="2"/>
  <c r="O2641" i="2"/>
  <c r="O2637" i="2"/>
  <c r="O2633" i="2"/>
  <c r="O2629" i="2"/>
  <c r="O2625" i="2"/>
  <c r="O2621" i="2"/>
  <c r="O2617" i="2"/>
  <c r="O2613" i="2"/>
  <c r="O2609" i="2"/>
  <c r="O2605" i="2"/>
  <c r="O2601" i="2"/>
  <c r="O2597" i="2"/>
  <c r="O2593" i="2"/>
  <c r="O2589" i="2"/>
  <c r="O2585" i="2"/>
  <c r="O2581" i="2"/>
  <c r="O2577" i="2"/>
  <c r="O2573" i="2"/>
  <c r="O2569" i="2"/>
  <c r="O2565" i="2"/>
  <c r="O2561" i="2"/>
  <c r="O2557" i="2"/>
  <c r="O2553" i="2"/>
  <c r="O2549" i="2"/>
  <c r="O2545" i="2"/>
  <c r="O2541" i="2"/>
  <c r="O2537" i="2"/>
  <c r="O2533" i="2"/>
  <c r="O2529" i="2"/>
  <c r="O2525" i="2"/>
  <c r="O2521" i="2"/>
  <c r="O2517" i="2"/>
  <c r="O2513" i="2"/>
  <c r="O2509" i="2"/>
  <c r="O2505" i="2"/>
  <c r="O2501" i="2"/>
  <c r="O2497" i="2"/>
  <c r="O2493" i="2"/>
  <c r="O2489" i="2"/>
  <c r="O2485" i="2"/>
  <c r="O2481" i="2"/>
  <c r="O2477" i="2"/>
  <c r="O2473" i="2"/>
  <c r="O2469" i="2"/>
  <c r="O2465" i="2"/>
  <c r="O2461" i="2"/>
  <c r="O2457" i="2"/>
  <c r="O2453" i="2"/>
  <c r="O2449" i="2"/>
  <c r="O3345" i="2"/>
  <c r="O3288" i="2"/>
  <c r="O3275" i="2"/>
  <c r="O3262" i="2"/>
  <c r="O3240" i="2"/>
  <c r="O3227" i="2"/>
  <c r="O3214" i="2"/>
  <c r="O3192" i="2"/>
  <c r="O3179" i="2"/>
  <c r="O3166" i="2"/>
  <c r="O3144" i="2"/>
  <c r="O3131" i="2"/>
  <c r="O3118" i="2"/>
  <c r="O3096" i="2"/>
  <c r="O3083" i="2"/>
  <c r="O3070" i="2"/>
  <c r="O3048" i="2"/>
  <c r="O3035" i="2"/>
  <c r="O3022" i="2"/>
  <c r="O3000" i="2"/>
  <c r="O2987" i="2"/>
  <c r="O2974" i="2"/>
  <c r="O2952" i="2"/>
  <c r="O2939" i="2"/>
  <c r="O2926" i="2"/>
  <c r="O2904" i="2"/>
  <c r="O2891" i="2"/>
  <c r="O2878" i="2"/>
  <c r="O2856" i="2"/>
  <c r="O2843" i="2"/>
  <c r="O2830" i="2"/>
  <c r="O3381" i="2"/>
  <c r="O3292" i="2"/>
  <c r="O3279" i="2"/>
  <c r="O3266" i="2"/>
  <c r="O3244" i="2"/>
  <c r="O3231" i="2"/>
  <c r="O3218" i="2"/>
  <c r="O3196" i="2"/>
  <c r="O3183" i="2"/>
  <c r="O3170" i="2"/>
  <c r="O3148" i="2"/>
  <c r="O3135" i="2"/>
  <c r="O3122" i="2"/>
  <c r="O3100" i="2"/>
  <c r="O3087" i="2"/>
  <c r="O3074" i="2"/>
  <c r="O3052" i="2"/>
  <c r="O3039" i="2"/>
  <c r="O3026" i="2"/>
  <c r="O3004" i="2"/>
  <c r="O2991" i="2"/>
  <c r="O2978" i="2"/>
  <c r="O2956" i="2"/>
  <c r="O2943" i="2"/>
  <c r="O2930" i="2"/>
  <c r="O2908" i="2"/>
  <c r="O2895" i="2"/>
  <c r="O2882" i="2"/>
  <c r="O2860" i="2"/>
  <c r="O2847" i="2"/>
  <c r="O2834" i="2"/>
  <c r="O3396" i="2"/>
  <c r="O3365" i="2"/>
  <c r="O3360" i="2"/>
  <c r="O3329" i="2"/>
  <c r="O3319" i="2"/>
  <c r="O3296" i="2"/>
  <c r="O3283" i="2"/>
  <c r="O3270" i="2"/>
  <c r="O3248" i="2"/>
  <c r="O3235" i="2"/>
  <c r="O3222" i="2"/>
  <c r="O3200" i="2"/>
  <c r="O3187" i="2"/>
  <c r="O3174" i="2"/>
  <c r="O3152" i="2"/>
  <c r="O3139" i="2"/>
  <c r="O3126" i="2"/>
  <c r="O3104" i="2"/>
  <c r="O3091" i="2"/>
  <c r="O3078" i="2"/>
  <c r="O3056" i="2"/>
  <c r="O3043" i="2"/>
  <c r="O3030" i="2"/>
  <c r="O3008" i="2"/>
  <c r="O2995" i="2"/>
  <c r="O2982" i="2"/>
  <c r="O2960" i="2"/>
  <c r="O2947" i="2"/>
  <c r="O2934" i="2"/>
  <c r="O2912" i="2"/>
  <c r="O2899" i="2"/>
  <c r="O2886" i="2"/>
  <c r="O2864" i="2"/>
  <c r="O2851" i="2"/>
  <c r="O2838" i="2"/>
  <c r="O2816" i="2"/>
  <c r="O2812" i="2"/>
  <c r="O2808" i="2"/>
  <c r="O2804" i="2"/>
  <c r="O2800" i="2"/>
  <c r="O2796" i="2"/>
  <c r="O2792" i="2"/>
  <c r="O2788" i="2"/>
  <c r="O2784" i="2"/>
  <c r="O2780" i="2"/>
  <c r="O2776" i="2"/>
  <c r="O2772" i="2"/>
  <c r="O2768" i="2"/>
  <c r="O2764" i="2"/>
  <c r="O2760" i="2"/>
  <c r="O2756" i="2"/>
  <c r="O2752" i="2"/>
  <c r="O2748" i="2"/>
  <c r="O2744" i="2"/>
  <c r="O2740" i="2"/>
  <c r="O2736" i="2"/>
  <c r="O2732" i="2"/>
  <c r="O2728" i="2"/>
  <c r="O2724" i="2"/>
  <c r="O2720" i="2"/>
  <c r="O2716" i="2"/>
  <c r="O2712" i="2"/>
  <c r="O2708" i="2"/>
  <c r="O2704" i="2"/>
  <c r="O2700" i="2"/>
  <c r="O2696" i="2"/>
  <c r="O2692" i="2"/>
  <c r="O2688" i="2"/>
  <c r="O2684" i="2"/>
  <c r="O2680" i="2"/>
  <c r="O2676" i="2"/>
  <c r="O2672" i="2"/>
  <c r="O2668" i="2"/>
  <c r="O2664" i="2"/>
  <c r="O3369" i="2"/>
  <c r="O3304" i="2"/>
  <c r="O3291" i="2"/>
  <c r="O3278" i="2"/>
  <c r="O3256" i="2"/>
  <c r="O3243" i="2"/>
  <c r="O3230" i="2"/>
  <c r="O3208" i="2"/>
  <c r="O3195" i="2"/>
  <c r="O3182" i="2"/>
  <c r="O3160" i="2"/>
  <c r="O3147" i="2"/>
  <c r="O3134" i="2"/>
  <c r="O3112" i="2"/>
  <c r="O3099" i="2"/>
  <c r="O3086" i="2"/>
  <c r="O3344" i="2"/>
  <c r="O3260" i="2"/>
  <c r="O3032" i="2"/>
  <c r="O3016" i="2"/>
  <c r="O3011" i="2"/>
  <c r="O3006" i="2"/>
  <c r="O2964" i="2"/>
  <c r="O2959" i="2"/>
  <c r="O2840" i="2"/>
  <c r="O2824" i="2"/>
  <c r="O2819" i="2"/>
  <c r="O2814" i="2"/>
  <c r="O2790" i="2"/>
  <c r="O2766" i="2"/>
  <c r="O2742" i="2"/>
  <c r="O2718" i="2"/>
  <c r="O2694" i="2"/>
  <c r="O2670" i="2"/>
  <c r="O2656" i="2"/>
  <c r="O2643" i="2"/>
  <c r="O2630" i="2"/>
  <c r="O2608" i="2"/>
  <c r="O2595" i="2"/>
  <c r="O2582" i="2"/>
  <c r="O2560" i="2"/>
  <c r="O2547" i="2"/>
  <c r="O2534" i="2"/>
  <c r="O2512" i="2"/>
  <c r="O2499" i="2"/>
  <c r="O2486" i="2"/>
  <c r="O2464" i="2"/>
  <c r="O2451" i="2"/>
  <c r="O3389" i="2"/>
  <c r="O3384" i="2"/>
  <c r="O3349" i="2"/>
  <c r="O3287" i="2"/>
  <c r="O3282" i="2"/>
  <c r="O3047" i="2"/>
  <c r="O3042" i="2"/>
  <c r="O2990" i="2"/>
  <c r="O2938" i="2"/>
  <c r="O2907" i="2"/>
  <c r="O2902" i="2"/>
  <c r="O2855" i="2"/>
  <c r="O2850" i="2"/>
  <c r="O2799" i="2"/>
  <c r="O2775" i="2"/>
  <c r="O2751" i="2"/>
  <c r="O2727" i="2"/>
  <c r="O2703" i="2"/>
  <c r="O2679" i="2"/>
  <c r="O2660" i="2"/>
  <c r="O2647" i="2"/>
  <c r="O2634" i="2"/>
  <c r="O2612" i="2"/>
  <c r="O2599" i="2"/>
  <c r="O2586" i="2"/>
  <c r="O2564" i="2"/>
  <c r="O2551" i="2"/>
  <c r="O2538" i="2"/>
  <c r="O2516" i="2"/>
  <c r="O2503" i="2"/>
  <c r="O2490" i="2"/>
  <c r="O2468" i="2"/>
  <c r="O2455" i="2"/>
  <c r="O3238" i="2"/>
  <c r="O3216" i="2"/>
  <c r="O3211" i="2"/>
  <c r="O3190" i="2"/>
  <c r="O3168" i="2"/>
  <c r="O3163" i="2"/>
  <c r="O3142" i="2"/>
  <c r="O3120" i="2"/>
  <c r="O3115" i="2"/>
  <c r="O3094" i="2"/>
  <c r="O3072" i="2"/>
  <c r="O3067" i="2"/>
  <c r="O3020" i="2"/>
  <c r="O2880" i="2"/>
  <c r="O2875" i="2"/>
  <c r="O2828" i="2"/>
  <c r="O2794" i="2"/>
  <c r="O2770" i="2"/>
  <c r="O2746" i="2"/>
  <c r="O2722" i="2"/>
  <c r="O2698" i="2"/>
  <c r="O2674" i="2"/>
  <c r="O2651" i="2"/>
  <c r="O2638" i="2"/>
  <c r="O2616" i="2"/>
  <c r="O2603" i="2"/>
  <c r="O2590" i="2"/>
  <c r="O2568" i="2"/>
  <c r="O2555" i="2"/>
  <c r="O2542" i="2"/>
  <c r="O2520" i="2"/>
  <c r="O2507" i="2"/>
  <c r="O2494" i="2"/>
  <c r="O2472" i="2"/>
  <c r="O2459" i="2"/>
  <c r="O2446" i="2"/>
  <c r="O2442" i="2"/>
  <c r="O2438" i="2"/>
  <c r="O2434" i="2"/>
  <c r="O2430" i="2"/>
  <c r="O2426" i="2"/>
  <c r="O2422" i="2"/>
  <c r="O2418" i="2"/>
  <c r="O2414" i="2"/>
  <c r="O2410" i="2"/>
  <c r="O2406" i="2"/>
  <c r="O2402" i="2"/>
  <c r="O2398" i="2"/>
  <c r="O2394" i="2"/>
  <c r="O2390" i="2"/>
  <c r="O2386" i="2"/>
  <c r="O2382" i="2"/>
  <c r="O2378" i="2"/>
  <c r="O2374" i="2"/>
  <c r="O2370" i="2"/>
  <c r="O2366" i="2"/>
  <c r="O2362" i="2"/>
  <c r="O2358" i="2"/>
  <c r="O2354" i="2"/>
  <c r="O2350" i="2"/>
  <c r="O2346" i="2"/>
  <c r="O2342" i="2"/>
  <c r="O2338" i="2"/>
  <c r="O2334" i="2"/>
  <c r="O2330" i="2"/>
  <c r="O2326" i="2"/>
  <c r="O2322" i="2"/>
  <c r="O2318" i="2"/>
  <c r="O2314" i="2"/>
  <c r="O2310" i="2"/>
  <c r="O2306" i="2"/>
  <c r="O2302" i="2"/>
  <c r="O2298" i="2"/>
  <c r="O2294" i="2"/>
  <c r="O2290" i="2"/>
  <c r="O2286" i="2"/>
  <c r="O2282" i="2"/>
  <c r="O2278" i="2"/>
  <c r="O2274" i="2"/>
  <c r="O2270" i="2"/>
  <c r="O2266" i="2"/>
  <c r="O2262" i="2"/>
  <c r="O2258" i="2"/>
  <c r="O2254" i="2"/>
  <c r="O2250" i="2"/>
  <c r="O2246" i="2"/>
  <c r="O2242" i="2"/>
  <c r="O2238" i="2"/>
  <c r="O2234" i="2"/>
  <c r="O2230" i="2"/>
  <c r="O2226" i="2"/>
  <c r="O2222" i="2"/>
  <c r="O2218" i="2"/>
  <c r="O2214" i="2"/>
  <c r="O2210" i="2"/>
  <c r="O2206" i="2"/>
  <c r="O2202" i="2"/>
  <c r="O2198" i="2"/>
  <c r="O2194" i="2"/>
  <c r="O2190" i="2"/>
  <c r="O2186" i="2"/>
  <c r="O2182" i="2"/>
  <c r="O2178" i="2"/>
  <c r="O2174" i="2"/>
  <c r="O2170" i="2"/>
  <c r="O2166" i="2"/>
  <c r="O2162" i="2"/>
  <c r="O2158" i="2"/>
  <c r="O2154" i="2"/>
  <c r="O2150" i="2"/>
  <c r="O2146" i="2"/>
  <c r="O2142" i="2"/>
  <c r="O2138" i="2"/>
  <c r="O2134" i="2"/>
  <c r="O2130" i="2"/>
  <c r="O2126" i="2"/>
  <c r="O2122" i="2"/>
  <c r="O2118" i="2"/>
  <c r="O2114" i="2"/>
  <c r="O2110" i="2"/>
  <c r="O2106" i="2"/>
  <c r="O2102" i="2"/>
  <c r="O2098" i="2"/>
  <c r="O2094" i="2"/>
  <c r="O2090" i="2"/>
  <c r="O2086" i="2"/>
  <c r="O2082" i="2"/>
  <c r="O3308" i="2"/>
  <c r="O3264" i="2"/>
  <c r="O2984" i="2"/>
  <c r="O2968" i="2"/>
  <c r="O2963" i="2"/>
  <c r="O2958" i="2"/>
  <c r="O2916" i="2"/>
  <c r="O2911" i="2"/>
  <c r="O2803" i="2"/>
  <c r="O2779" i="2"/>
  <c r="O2755" i="2"/>
  <c r="O2731" i="2"/>
  <c r="O2707" i="2"/>
  <c r="O2683" i="2"/>
  <c r="O2655" i="2"/>
  <c r="O2642" i="2"/>
  <c r="O2620" i="2"/>
  <c r="O2607" i="2"/>
  <c r="O2594" i="2"/>
  <c r="O2572" i="2"/>
  <c r="O2559" i="2"/>
  <c r="O2546" i="2"/>
  <c r="O2524" i="2"/>
  <c r="O2511" i="2"/>
  <c r="O2498" i="2"/>
  <c r="O2476" i="2"/>
  <c r="O2463" i="2"/>
  <c r="O2450" i="2"/>
  <c r="O3353" i="2"/>
  <c r="O3313" i="2"/>
  <c r="O3286" i="2"/>
  <c r="O3226" i="2"/>
  <c r="O3178" i="2"/>
  <c r="O3130" i="2"/>
  <c r="O3082" i="2"/>
  <c r="O3051" i="2"/>
  <c r="O3046" i="2"/>
  <c r="O2999" i="2"/>
  <c r="O2994" i="2"/>
  <c r="O2942" i="2"/>
  <c r="O2890" i="2"/>
  <c r="O2859" i="2"/>
  <c r="O2854" i="2"/>
  <c r="O2798" i="2"/>
  <c r="O2774" i="2"/>
  <c r="O2750" i="2"/>
  <c r="O2726" i="2"/>
  <c r="O2702" i="2"/>
  <c r="O2678" i="2"/>
  <c r="O2659" i="2"/>
  <c r="O2646" i="2"/>
  <c r="O2624" i="2"/>
  <c r="O2611" i="2"/>
  <c r="O2598" i="2"/>
  <c r="O2576" i="2"/>
  <c r="O2563" i="2"/>
  <c r="O2550" i="2"/>
  <c r="O2528" i="2"/>
  <c r="O2515" i="2"/>
  <c r="O2502" i="2"/>
  <c r="O2480" i="2"/>
  <c r="O2467" i="2"/>
  <c r="O2454" i="2"/>
  <c r="O3252" i="2"/>
  <c r="O3247" i="2"/>
  <c r="O3204" i="2"/>
  <c r="O3199" i="2"/>
  <c r="O3156" i="2"/>
  <c r="O3151" i="2"/>
  <c r="O3108" i="2"/>
  <c r="O3103" i="2"/>
  <c r="O3024" i="2"/>
  <c r="O3019" i="2"/>
  <c r="O2972" i="2"/>
  <c r="O2832" i="2"/>
  <c r="O2827" i="2"/>
  <c r="O2807" i="2"/>
  <c r="O2783" i="2"/>
  <c r="O2759" i="2"/>
  <c r="O2735" i="2"/>
  <c r="O2711" i="2"/>
  <c r="O2687" i="2"/>
  <c r="O2663" i="2"/>
  <c r="O2650" i="2"/>
  <c r="O2628" i="2"/>
  <c r="O2615" i="2"/>
  <c r="O2602" i="2"/>
  <c r="O2580" i="2"/>
  <c r="O2567" i="2"/>
  <c r="O2554" i="2"/>
  <c r="O2532" i="2"/>
  <c r="O2519" i="2"/>
  <c r="O2506" i="2"/>
  <c r="O2484" i="2"/>
  <c r="O2471" i="2"/>
  <c r="O2458" i="2"/>
  <c r="O2445" i="2"/>
  <c r="O2441" i="2"/>
  <c r="O2437" i="2"/>
  <c r="O2433" i="2"/>
  <c r="O2429" i="2"/>
  <c r="O2425" i="2"/>
  <c r="O2421" i="2"/>
  <c r="O2417" i="2"/>
  <c r="O2413" i="2"/>
  <c r="O2409" i="2"/>
  <c r="O2405" i="2"/>
  <c r="O2401" i="2"/>
  <c r="O2397" i="2"/>
  <c r="O2393" i="2"/>
  <c r="O2389" i="2"/>
  <c r="O2385" i="2"/>
  <c r="O2381" i="2"/>
  <c r="O2377" i="2"/>
  <c r="O2373" i="2"/>
  <c r="O2369" i="2"/>
  <c r="O2365" i="2"/>
  <c r="O2361" i="2"/>
  <c r="O2357" i="2"/>
  <c r="O2353" i="2"/>
  <c r="O2349" i="2"/>
  <c r="O2345" i="2"/>
  <c r="O2341" i="2"/>
  <c r="O2337" i="2"/>
  <c r="O2333" i="2"/>
  <c r="O3274" i="2"/>
  <c r="O3060" i="2"/>
  <c r="O3055" i="2"/>
  <c r="O2936" i="2"/>
  <c r="O2920" i="2"/>
  <c r="O2915" i="2"/>
  <c r="O2910" i="2"/>
  <c r="O2868" i="2"/>
  <c r="O2863" i="2"/>
  <c r="O2802" i="2"/>
  <c r="O2778" i="2"/>
  <c r="O2754" i="2"/>
  <c r="O2730" i="2"/>
  <c r="O2706" i="2"/>
  <c r="O2682" i="2"/>
  <c r="O2654" i="2"/>
  <c r="O2632" i="2"/>
  <c r="O2619" i="2"/>
  <c r="O2606" i="2"/>
  <c r="O2584" i="2"/>
  <c r="O2571" i="2"/>
  <c r="O2558" i="2"/>
  <c r="O2536" i="2"/>
  <c r="O2523" i="2"/>
  <c r="O2510" i="2"/>
  <c r="O2488" i="2"/>
  <c r="O2475" i="2"/>
  <c r="O2462" i="2"/>
  <c r="O3224" i="2"/>
  <c r="O3176" i="2"/>
  <c r="O3128" i="2"/>
  <c r="O3080" i="2"/>
  <c r="O3064" i="2"/>
  <c r="O3059" i="2"/>
  <c r="O3054" i="2"/>
  <c r="O3012" i="2"/>
  <c r="O3007" i="2"/>
  <c r="O2888" i="2"/>
  <c r="O2872" i="2"/>
  <c r="O2867" i="2"/>
  <c r="O2862" i="2"/>
  <c r="O2820" i="2"/>
  <c r="O2815" i="2"/>
  <c r="O2791" i="2"/>
  <c r="O2767" i="2"/>
  <c r="O2743" i="2"/>
  <c r="O2719" i="2"/>
  <c r="O2695" i="2"/>
  <c r="O2671" i="2"/>
  <c r="O2644" i="2"/>
  <c r="O2631" i="2"/>
  <c r="O2618" i="2"/>
  <c r="O2596" i="2"/>
  <c r="O2583" i="2"/>
  <c r="O2570" i="2"/>
  <c r="O2548" i="2"/>
  <c r="O2535" i="2"/>
  <c r="O2522" i="2"/>
  <c r="O2500" i="2"/>
  <c r="O2487" i="2"/>
  <c r="O2474" i="2"/>
  <c r="O2452" i="2"/>
  <c r="O3234" i="2"/>
  <c r="O3068" i="2"/>
  <c r="O2998" i="2"/>
  <c r="O2427" i="2"/>
  <c r="O2403" i="2"/>
  <c r="O2379" i="2"/>
  <c r="O2355" i="2"/>
  <c r="O2331" i="2"/>
  <c r="O2309" i="2"/>
  <c r="O2296" i="2"/>
  <c r="O2283" i="2"/>
  <c r="O2261" i="2"/>
  <c r="O2248" i="2"/>
  <c r="O2235" i="2"/>
  <c r="O2213" i="2"/>
  <c r="O2200" i="2"/>
  <c r="O2187" i="2"/>
  <c r="O2165" i="2"/>
  <c r="O2152" i="2"/>
  <c r="O2139" i="2"/>
  <c r="O2117" i="2"/>
  <c r="O2104" i="2"/>
  <c r="O2091" i="2"/>
  <c r="O2078" i="2"/>
  <c r="O2074" i="2"/>
  <c r="O2070" i="2"/>
  <c r="O2066" i="2"/>
  <c r="O2062" i="2"/>
  <c r="O2058" i="2"/>
  <c r="O2054" i="2"/>
  <c r="O2050" i="2"/>
  <c r="O2046" i="2"/>
  <c r="O2042" i="2"/>
  <c r="O2038" i="2"/>
  <c r="O2034" i="2"/>
  <c r="O2030" i="2"/>
  <c r="O2026" i="2"/>
  <c r="O2022" i="2"/>
  <c r="O2018" i="2"/>
  <c r="O2014" i="2"/>
  <c r="O2010" i="2"/>
  <c r="O2006" i="2"/>
  <c r="O2002" i="2"/>
  <c r="O1998" i="2"/>
  <c r="O1994" i="2"/>
  <c r="O1990" i="2"/>
  <c r="O1986" i="2"/>
  <c r="O1982" i="2"/>
  <c r="O1978" i="2"/>
  <c r="O1974" i="2"/>
  <c r="O1970" i="2"/>
  <c r="O1966" i="2"/>
  <c r="O1962" i="2"/>
  <c r="O1958" i="2"/>
  <c r="O1954" i="2"/>
  <c r="O1950" i="2"/>
  <c r="O1946" i="2"/>
  <c r="O1942" i="2"/>
  <c r="O1938" i="2"/>
  <c r="O1934" i="2"/>
  <c r="O1930" i="2"/>
  <c r="O1926" i="2"/>
  <c r="O1922" i="2"/>
  <c r="O1918" i="2"/>
  <c r="O1914" i="2"/>
  <c r="O1910" i="2"/>
  <c r="O1906" i="2"/>
  <c r="O1902" i="2"/>
  <c r="O1898" i="2"/>
  <c r="O1894" i="2"/>
  <c r="O1890" i="2"/>
  <c r="O1886" i="2"/>
  <c r="O1882" i="2"/>
  <c r="O1878" i="2"/>
  <c r="O1874" i="2"/>
  <c r="O1870" i="2"/>
  <c r="O1866" i="2"/>
  <c r="O1862" i="2"/>
  <c r="O1858" i="2"/>
  <c r="O1854" i="2"/>
  <c r="O1850" i="2"/>
  <c r="O1846" i="2"/>
  <c r="O1842" i="2"/>
  <c r="O1838" i="2"/>
  <c r="O1834" i="2"/>
  <c r="O1830" i="2"/>
  <c r="O1826" i="2"/>
  <c r="O1822" i="2"/>
  <c r="O1818" i="2"/>
  <c r="O1814" i="2"/>
  <c r="O1810" i="2"/>
  <c r="O1806" i="2"/>
  <c r="O1802" i="2"/>
  <c r="O1798" i="2"/>
  <c r="O1794" i="2"/>
  <c r="O1790" i="2"/>
  <c r="O1786" i="2"/>
  <c r="O1782" i="2"/>
  <c r="O1778" i="2"/>
  <c r="O1774" i="2"/>
  <c r="O1770" i="2"/>
  <c r="O1766" i="2"/>
  <c r="O1762" i="2"/>
  <c r="O1758" i="2"/>
  <c r="O1754" i="2"/>
  <c r="O1750" i="2"/>
  <c r="O1746" i="2"/>
  <c r="O1742" i="2"/>
  <c r="O1738" i="2"/>
  <c r="O1734" i="2"/>
  <c r="O1730" i="2"/>
  <c r="O1726" i="2"/>
  <c r="O1722" i="2"/>
  <c r="O1718" i="2"/>
  <c r="O1714" i="2"/>
  <c r="O1710" i="2"/>
  <c r="O1706" i="2"/>
  <c r="O1702" i="2"/>
  <c r="O1698" i="2"/>
  <c r="O1694" i="2"/>
  <c r="O1690" i="2"/>
  <c r="O1686" i="2"/>
  <c r="O1682" i="2"/>
  <c r="O1678" i="2"/>
  <c r="O1674" i="2"/>
  <c r="O1670" i="2"/>
  <c r="O1666" i="2"/>
  <c r="O3239" i="2"/>
  <c r="O3102" i="2"/>
  <c r="O3038" i="2"/>
  <c r="O3003" i="2"/>
  <c r="O2986" i="2"/>
  <c r="O2924" i="2"/>
  <c r="O2627" i="2"/>
  <c r="O2579" i="2"/>
  <c r="O2531" i="2"/>
  <c r="O2483" i="2"/>
  <c r="O2436" i="2"/>
  <c r="O2412" i="2"/>
  <c r="O2388" i="2"/>
  <c r="O2364" i="2"/>
  <c r="O2340" i="2"/>
  <c r="O2313" i="2"/>
  <c r="O2300" i="2"/>
  <c r="O2287" i="2"/>
  <c r="O2265" i="2"/>
  <c r="O2252" i="2"/>
  <c r="O2239" i="2"/>
  <c r="O2217" i="2"/>
  <c r="O2204" i="2"/>
  <c r="O2191" i="2"/>
  <c r="O2169" i="2"/>
  <c r="O2156" i="2"/>
  <c r="O2143" i="2"/>
  <c r="O2121" i="2"/>
  <c r="O2108" i="2"/>
  <c r="O2095" i="2"/>
  <c r="O3385" i="2"/>
  <c r="O3164" i="2"/>
  <c r="O3107" i="2"/>
  <c r="O2786" i="2"/>
  <c r="O2747" i="2"/>
  <c r="O2714" i="2"/>
  <c r="O2675" i="2"/>
  <c r="O2648" i="2"/>
  <c r="O2622" i="2"/>
  <c r="O2600" i="2"/>
  <c r="O2574" i="2"/>
  <c r="O2552" i="2"/>
  <c r="O2526" i="2"/>
  <c r="O2504" i="2"/>
  <c r="O2478" i="2"/>
  <c r="O2456" i="2"/>
  <c r="O2431" i="2"/>
  <c r="O2407" i="2"/>
  <c r="O2383" i="2"/>
  <c r="O2359" i="2"/>
  <c r="O2335" i="2"/>
  <c r="O2317" i="2"/>
  <c r="O2304" i="2"/>
  <c r="O2291" i="2"/>
  <c r="O2269" i="2"/>
  <c r="O2256" i="2"/>
  <c r="O2243" i="2"/>
  <c r="O2221" i="2"/>
  <c r="O2208" i="2"/>
  <c r="O2195" i="2"/>
  <c r="O2173" i="2"/>
  <c r="O2160" i="2"/>
  <c r="O2147" i="2"/>
  <c r="O2125" i="2"/>
  <c r="O2112" i="2"/>
  <c r="O2099" i="2"/>
  <c r="O3198" i="2"/>
  <c r="O3090" i="2"/>
  <c r="O2951" i="2"/>
  <c r="O2946" i="2"/>
  <c r="O2763" i="2"/>
  <c r="O2758" i="2"/>
  <c r="O2691" i="2"/>
  <c r="O2686" i="2"/>
  <c r="O2440" i="2"/>
  <c r="O2416" i="2"/>
  <c r="O2392" i="2"/>
  <c r="O2368" i="2"/>
  <c r="O2344" i="2"/>
  <c r="O2321" i="2"/>
  <c r="O2308" i="2"/>
  <c r="O2295" i="2"/>
  <c r="O2273" i="2"/>
  <c r="O2260" i="2"/>
  <c r="O2247" i="2"/>
  <c r="O2225" i="2"/>
  <c r="O2212" i="2"/>
  <c r="O2199" i="2"/>
  <c r="O2177" i="2"/>
  <c r="O2164" i="2"/>
  <c r="O2151" i="2"/>
  <c r="O2129" i="2"/>
  <c r="O2116" i="2"/>
  <c r="O2103" i="2"/>
  <c r="O2081" i="2"/>
  <c r="O2077" i="2"/>
  <c r="O2073" i="2"/>
  <c r="O2069" i="2"/>
  <c r="O2065" i="2"/>
  <c r="O2061" i="2"/>
  <c r="O2057" i="2"/>
  <c r="O2053" i="2"/>
  <c r="O2049" i="2"/>
  <c r="O2045" i="2"/>
  <c r="O2041" i="2"/>
  <c r="O2037" i="2"/>
  <c r="O2033" i="2"/>
  <c r="O2029" i="2"/>
  <c r="O2025" i="2"/>
  <c r="O2021" i="2"/>
  <c r="O2017" i="2"/>
  <c r="O2013" i="2"/>
  <c r="O2009" i="2"/>
  <c r="O2005" i="2"/>
  <c r="O2001" i="2"/>
  <c r="O1997" i="2"/>
  <c r="O3203" i="2"/>
  <c r="O3095" i="2"/>
  <c r="O2928" i="2"/>
  <c r="O2923" i="2"/>
  <c r="O2842" i="2"/>
  <c r="O2658" i="2"/>
  <c r="O2626" i="2"/>
  <c r="O2610" i="2"/>
  <c r="O2578" i="2"/>
  <c r="O2562" i="2"/>
  <c r="O2530" i="2"/>
  <c r="O2514" i="2"/>
  <c r="O2482" i="2"/>
  <c r="O2466" i="2"/>
  <c r="O2435" i="2"/>
  <c r="O2411" i="2"/>
  <c r="O2387" i="2"/>
  <c r="O2363" i="2"/>
  <c r="O2339" i="2"/>
  <c r="O2325" i="2"/>
  <c r="O2312" i="2"/>
  <c r="O2299" i="2"/>
  <c r="O2277" i="2"/>
  <c r="O2264" i="2"/>
  <c r="O2251" i="2"/>
  <c r="O2229" i="2"/>
  <c r="O2216" i="2"/>
  <c r="O2203" i="2"/>
  <c r="O2181" i="2"/>
  <c r="O2168" i="2"/>
  <c r="O2155" i="2"/>
  <c r="O2133" i="2"/>
  <c r="O2120" i="2"/>
  <c r="O2107" i="2"/>
  <c r="O2085" i="2"/>
  <c r="O3186" i="2"/>
  <c r="O2894" i="2"/>
  <c r="O2652" i="2"/>
  <c r="O2636" i="2"/>
  <c r="O2604" i="2"/>
  <c r="O2588" i="2"/>
  <c r="O2556" i="2"/>
  <c r="O2540" i="2"/>
  <c r="O2508" i="2"/>
  <c r="O2492" i="2"/>
  <c r="O2460" i="2"/>
  <c r="O2444" i="2"/>
  <c r="O2420" i="2"/>
  <c r="O2396" i="2"/>
  <c r="O2372" i="2"/>
  <c r="O2348" i="2"/>
  <c r="O2329" i="2"/>
  <c r="O2316" i="2"/>
  <c r="O2303" i="2"/>
  <c r="O2281" i="2"/>
  <c r="O2268" i="2"/>
  <c r="O2255" i="2"/>
  <c r="O2233" i="2"/>
  <c r="O2220" i="2"/>
  <c r="O2207" i="2"/>
  <c r="O2185" i="2"/>
  <c r="O2172" i="2"/>
  <c r="O2159" i="2"/>
  <c r="O2137" i="2"/>
  <c r="O2124" i="2"/>
  <c r="O2111" i="2"/>
  <c r="O2089" i="2"/>
  <c r="O3300" i="2"/>
  <c r="O3295" i="2"/>
  <c r="O3191" i="2"/>
  <c r="O2955" i="2"/>
  <c r="O2950" i="2"/>
  <c r="O2876" i="2"/>
  <c r="O2795" i="2"/>
  <c r="O2762" i="2"/>
  <c r="O2723" i="2"/>
  <c r="O2690" i="2"/>
  <c r="O2439" i="2"/>
  <c r="O2415" i="2"/>
  <c r="O2391" i="2"/>
  <c r="O2367" i="2"/>
  <c r="O2343" i="2"/>
  <c r="O2320" i="2"/>
  <c r="O2307" i="2"/>
  <c r="O2285" i="2"/>
  <c r="O2272" i="2"/>
  <c r="O2259" i="2"/>
  <c r="O2237" i="2"/>
  <c r="O2224" i="2"/>
  <c r="O2211" i="2"/>
  <c r="O2189" i="2"/>
  <c r="O2176" i="2"/>
  <c r="O2163" i="2"/>
  <c r="O2141" i="2"/>
  <c r="O2128" i="2"/>
  <c r="O2115" i="2"/>
  <c r="O2093" i="2"/>
  <c r="O2080" i="2"/>
  <c r="O2076" i="2"/>
  <c r="O2072" i="2"/>
  <c r="O2068" i="2"/>
  <c r="O2064" i="2"/>
  <c r="O2060" i="2"/>
  <c r="O2056" i="2"/>
  <c r="O2052" i="2"/>
  <c r="O2048" i="2"/>
  <c r="O2044" i="2"/>
  <c r="O2040" i="2"/>
  <c r="O2036" i="2"/>
  <c r="O2032" i="2"/>
  <c r="O2028" i="2"/>
  <c r="O2024" i="2"/>
  <c r="O2020" i="2"/>
  <c r="O2016" i="2"/>
  <c r="O2012" i="2"/>
  <c r="O2008" i="2"/>
  <c r="O2004" i="2"/>
  <c r="O2000" i="2"/>
  <c r="O1996" i="2"/>
  <c r="O1992" i="2"/>
  <c r="O1988" i="2"/>
  <c r="O1984" i="2"/>
  <c r="O1980" i="2"/>
  <c r="O1976" i="2"/>
  <c r="O1972" i="2"/>
  <c r="O1968" i="2"/>
  <c r="O1964" i="2"/>
  <c r="O1960" i="2"/>
  <c r="O1956" i="2"/>
  <c r="O1952" i="2"/>
  <c r="O1948" i="2"/>
  <c r="O1944" i="2"/>
  <c r="O1940" i="2"/>
  <c r="O1936" i="2"/>
  <c r="O1932" i="2"/>
  <c r="O1928" i="2"/>
  <c r="O1924" i="2"/>
  <c r="O1920" i="2"/>
  <c r="O1916" i="2"/>
  <c r="O1912" i="2"/>
  <c r="O1908" i="2"/>
  <c r="O1904" i="2"/>
  <c r="O1900" i="2"/>
  <c r="O1896" i="2"/>
  <c r="O1892" i="2"/>
  <c r="O1888" i="2"/>
  <c r="O1884" i="2"/>
  <c r="O3299" i="2"/>
  <c r="O3212" i="2"/>
  <c r="O3155" i="2"/>
  <c r="O2971" i="2"/>
  <c r="O2903" i="2"/>
  <c r="O2428" i="2"/>
  <c r="O2404" i="2"/>
  <c r="O2380" i="2"/>
  <c r="O2356" i="2"/>
  <c r="O2332" i="2"/>
  <c r="O2319" i="2"/>
  <c r="O2297" i="2"/>
  <c r="O2284" i="2"/>
  <c r="O2271" i="2"/>
  <c r="O2249" i="2"/>
  <c r="O2236" i="2"/>
  <c r="O2223" i="2"/>
  <c r="O2201" i="2"/>
  <c r="O2188" i="2"/>
  <c r="O2175" i="2"/>
  <c r="O2153" i="2"/>
  <c r="O2140" i="2"/>
  <c r="O2127" i="2"/>
  <c r="O2105" i="2"/>
  <c r="O2092" i="2"/>
  <c r="O2079" i="2"/>
  <c r="O2075" i="2"/>
  <c r="O2071" i="2"/>
  <c r="O2067" i="2"/>
  <c r="O2063" i="2"/>
  <c r="O2059" i="2"/>
  <c r="O3251" i="2"/>
  <c r="O3150" i="2"/>
  <c r="O2623" i="2"/>
  <c r="O2566" i="2"/>
  <c r="O2543" i="2"/>
  <c r="O2292" i="2"/>
  <c r="O2244" i="2"/>
  <c r="O2196" i="2"/>
  <c r="O2148" i="2"/>
  <c r="O2100" i="2"/>
  <c r="O1987" i="2"/>
  <c r="O1963" i="2"/>
  <c r="O1939" i="2"/>
  <c r="O1915" i="2"/>
  <c r="O1891" i="2"/>
  <c r="O1877" i="2"/>
  <c r="O1864" i="2"/>
  <c r="O1851" i="2"/>
  <c r="O1829" i="2"/>
  <c r="O1816" i="2"/>
  <c r="O1803" i="2"/>
  <c r="O1781" i="2"/>
  <c r="O1768" i="2"/>
  <c r="O1755" i="2"/>
  <c r="O1733" i="2"/>
  <c r="O1720" i="2"/>
  <c r="O1707" i="2"/>
  <c r="O1685" i="2"/>
  <c r="O1672" i="2"/>
  <c r="O2324" i="2"/>
  <c r="O2276" i="2"/>
  <c r="O2228" i="2"/>
  <c r="O2180" i="2"/>
  <c r="O2132" i="2"/>
  <c r="O2084" i="2"/>
  <c r="O2055" i="2"/>
  <c r="O2039" i="2"/>
  <c r="O2023" i="2"/>
  <c r="O2007" i="2"/>
  <c r="O1977" i="2"/>
  <c r="O1953" i="2"/>
  <c r="O1929" i="2"/>
  <c r="O1905" i="2"/>
  <c r="O1881" i="2"/>
  <c r="O1868" i="2"/>
  <c r="O1855" i="2"/>
  <c r="O1833" i="2"/>
  <c r="O1820" i="2"/>
  <c r="O1807" i="2"/>
  <c r="O1785" i="2"/>
  <c r="O1772" i="2"/>
  <c r="O1759" i="2"/>
  <c r="O1737" i="2"/>
  <c r="O1724" i="2"/>
  <c r="O1711" i="2"/>
  <c r="O1689" i="2"/>
  <c r="O1676" i="2"/>
  <c r="O1663" i="2"/>
  <c r="O1659" i="2"/>
  <c r="O1655" i="2"/>
  <c r="O1651" i="2"/>
  <c r="O1647" i="2"/>
  <c r="O1643" i="2"/>
  <c r="O1639" i="2"/>
  <c r="O1635" i="2"/>
  <c r="O1631" i="2"/>
  <c r="O1627" i="2"/>
  <c r="O1623" i="2"/>
  <c r="O1619" i="2"/>
  <c r="O1615" i="2"/>
  <c r="O1611" i="2"/>
  <c r="O1607" i="2"/>
  <c r="O1603" i="2"/>
  <c r="O1599" i="2"/>
  <c r="O1595" i="2"/>
  <c r="O1591" i="2"/>
  <c r="O1587" i="2"/>
  <c r="O1583" i="2"/>
  <c r="O1579" i="2"/>
  <c r="O1575" i="2"/>
  <c r="O1571" i="2"/>
  <c r="O1567" i="2"/>
  <c r="O1563" i="2"/>
  <c r="O1559" i="2"/>
  <c r="O1555" i="2"/>
  <c r="O1551" i="2"/>
  <c r="O1547" i="2"/>
  <c r="O1543" i="2"/>
  <c r="O1539" i="2"/>
  <c r="O1535" i="2"/>
  <c r="O1531" i="2"/>
  <c r="O1527" i="2"/>
  <c r="O1523" i="2"/>
  <c r="O1519" i="2"/>
  <c r="O1515" i="2"/>
  <c r="O1511" i="2"/>
  <c r="O1507" i="2"/>
  <c r="O1503" i="2"/>
  <c r="O1499" i="2"/>
  <c r="O1495" i="2"/>
  <c r="O1491" i="2"/>
  <c r="O1487" i="2"/>
  <c r="O1483" i="2"/>
  <c r="O1479" i="2"/>
  <c r="O1475" i="2"/>
  <c r="O1471" i="2"/>
  <c r="O1467" i="2"/>
  <c r="O1463" i="2"/>
  <c r="O1459" i="2"/>
  <c r="O1455" i="2"/>
  <c r="O1451" i="2"/>
  <c r="O1447" i="2"/>
  <c r="O1443" i="2"/>
  <c r="O1439" i="2"/>
  <c r="O1435" i="2"/>
  <c r="O1431" i="2"/>
  <c r="O1427" i="2"/>
  <c r="O1423" i="2"/>
  <c r="O1419" i="2"/>
  <c r="O1415" i="2"/>
  <c r="O1411" i="2"/>
  <c r="O1407" i="2"/>
  <c r="O1403" i="2"/>
  <c r="O1399" i="2"/>
  <c r="O1395" i="2"/>
  <c r="O1391" i="2"/>
  <c r="O1387" i="2"/>
  <c r="O1383" i="2"/>
  <c r="O1379" i="2"/>
  <c r="O1375" i="2"/>
  <c r="O1371" i="2"/>
  <c r="O1367" i="2"/>
  <c r="O1363" i="2"/>
  <c r="O1359" i="2"/>
  <c r="O1355" i="2"/>
  <c r="O1351" i="2"/>
  <c r="O1347" i="2"/>
  <c r="O1343" i="2"/>
  <c r="O1339" i="2"/>
  <c r="O1335" i="2"/>
  <c r="O1331" i="2"/>
  <c r="O1327" i="2"/>
  <c r="O1323" i="2"/>
  <c r="O1319" i="2"/>
  <c r="O1315" i="2"/>
  <c r="O1311" i="2"/>
  <c r="O1307" i="2"/>
  <c r="O1303" i="2"/>
  <c r="O1299" i="2"/>
  <c r="O1295" i="2"/>
  <c r="O1291" i="2"/>
  <c r="O1287" i="2"/>
  <c r="O1283" i="2"/>
  <c r="O1279" i="2"/>
  <c r="O1275" i="2"/>
  <c r="O1271" i="2"/>
  <c r="O3138" i="2"/>
  <c r="O2811" i="2"/>
  <c r="O2806" i="2"/>
  <c r="O2667" i="2"/>
  <c r="O2662" i="2"/>
  <c r="O2639" i="2"/>
  <c r="O2496" i="2"/>
  <c r="O2491" i="2"/>
  <c r="O2423" i="2"/>
  <c r="O2384" i="2"/>
  <c r="O2351" i="2"/>
  <c r="O1991" i="2"/>
  <c r="O1967" i="2"/>
  <c r="O1943" i="2"/>
  <c r="O1919" i="2"/>
  <c r="O1895" i="2"/>
  <c r="O1872" i="2"/>
  <c r="O1859" i="2"/>
  <c r="O1837" i="2"/>
  <c r="O1824" i="2"/>
  <c r="O1811" i="2"/>
  <c r="O1789" i="2"/>
  <c r="O1776" i="2"/>
  <c r="O1763" i="2"/>
  <c r="O1741" i="2"/>
  <c r="O1728" i="2"/>
  <c r="O1715" i="2"/>
  <c r="O1693" i="2"/>
  <c r="O1680" i="2"/>
  <c r="O1667" i="2"/>
  <c r="O3333" i="2"/>
  <c r="O3143" i="2"/>
  <c r="O2846" i="2"/>
  <c r="O2771" i="2"/>
  <c r="O2479" i="2"/>
  <c r="O2400" i="2"/>
  <c r="O2395" i="2"/>
  <c r="O2328" i="2"/>
  <c r="O2280" i="2"/>
  <c r="O2232" i="2"/>
  <c r="O2184" i="2"/>
  <c r="O2136" i="2"/>
  <c r="O2088" i="2"/>
  <c r="O1981" i="2"/>
  <c r="O1957" i="2"/>
  <c r="O1933" i="2"/>
  <c r="O1909" i="2"/>
  <c r="O1885" i="2"/>
  <c r="O1876" i="2"/>
  <c r="O1863" i="2"/>
  <c r="O1841" i="2"/>
  <c r="O1828" i="2"/>
  <c r="O1815" i="2"/>
  <c r="O1793" i="2"/>
  <c r="O1780" i="2"/>
  <c r="O1767" i="2"/>
  <c r="O1745" i="2"/>
  <c r="O1732" i="2"/>
  <c r="O1719" i="2"/>
  <c r="O1697" i="2"/>
  <c r="O1684" i="2"/>
  <c r="O1671" i="2"/>
  <c r="O2782" i="2"/>
  <c r="O2592" i="2"/>
  <c r="O2587" i="2"/>
  <c r="O2323" i="2"/>
  <c r="O2301" i="2"/>
  <c r="O2275" i="2"/>
  <c r="O2253" i="2"/>
  <c r="O2227" i="2"/>
  <c r="O2205" i="2"/>
  <c r="O2179" i="2"/>
  <c r="O2157" i="2"/>
  <c r="O2131" i="2"/>
  <c r="O2109" i="2"/>
  <c r="O2083" i="2"/>
  <c r="O2043" i="2"/>
  <c r="O2027" i="2"/>
  <c r="O2011" i="2"/>
  <c r="O1995" i="2"/>
  <c r="O1971" i="2"/>
  <c r="O1947" i="2"/>
  <c r="O1923" i="2"/>
  <c r="O1899" i="2"/>
  <c r="O1880" i="2"/>
  <c r="O1867" i="2"/>
  <c r="O1845" i="2"/>
  <c r="O1832" i="2"/>
  <c r="O1819" i="2"/>
  <c r="O1797" i="2"/>
  <c r="O1784" i="2"/>
  <c r="O1771" i="2"/>
  <c r="O1749" i="2"/>
  <c r="O1736" i="2"/>
  <c r="O1723" i="2"/>
  <c r="O1701" i="2"/>
  <c r="O1688" i="2"/>
  <c r="O1675" i="2"/>
  <c r="O1662" i="2"/>
  <c r="O1658" i="2"/>
  <c r="O1654" i="2"/>
  <c r="O1650" i="2"/>
  <c r="O1646" i="2"/>
  <c r="O1642" i="2"/>
  <c r="O1638" i="2"/>
  <c r="O1634" i="2"/>
  <c r="O1630" i="2"/>
  <c r="O1626" i="2"/>
  <c r="O1622" i="2"/>
  <c r="O1618" i="2"/>
  <c r="O1614" i="2"/>
  <c r="O1610" i="2"/>
  <c r="O1606" i="2"/>
  <c r="O1602" i="2"/>
  <c r="O1598" i="2"/>
  <c r="O1594" i="2"/>
  <c r="O1590" i="2"/>
  <c r="O1586" i="2"/>
  <c r="O1582" i="2"/>
  <c r="O1578" i="2"/>
  <c r="O1574" i="2"/>
  <c r="O1570" i="2"/>
  <c r="O1566" i="2"/>
  <c r="O1562" i="2"/>
  <c r="O1558" i="2"/>
  <c r="O1554" i="2"/>
  <c r="O1550" i="2"/>
  <c r="O1546" i="2"/>
  <c r="O1542" i="2"/>
  <c r="O1538" i="2"/>
  <c r="O1534" i="2"/>
  <c r="O1530" i="2"/>
  <c r="O1526" i="2"/>
  <c r="O1522" i="2"/>
  <c r="O1518" i="2"/>
  <c r="O1514" i="2"/>
  <c r="O1510" i="2"/>
  <c r="O1506" i="2"/>
  <c r="O1502" i="2"/>
  <c r="O1498" i="2"/>
  <c r="O1494" i="2"/>
  <c r="O1490" i="2"/>
  <c r="O1486" i="2"/>
  <c r="O1482" i="2"/>
  <c r="O1478" i="2"/>
  <c r="O1474" i="2"/>
  <c r="O1470" i="2"/>
  <c r="O1466" i="2"/>
  <c r="O1462" i="2"/>
  <c r="O1458" i="2"/>
  <c r="O1454" i="2"/>
  <c r="O1450" i="2"/>
  <c r="O1446" i="2"/>
  <c r="O1442" i="2"/>
  <c r="O1438" i="2"/>
  <c r="O1434" i="2"/>
  <c r="O1430" i="2"/>
  <c r="O1426" i="2"/>
  <c r="O1422" i="2"/>
  <c r="O1418" i="2"/>
  <c r="O1414" i="2"/>
  <c r="O1410" i="2"/>
  <c r="O1406" i="2"/>
  <c r="O1402" i="2"/>
  <c r="O1398" i="2"/>
  <c r="O1394" i="2"/>
  <c r="O1390" i="2"/>
  <c r="O1386" i="2"/>
  <c r="O1382" i="2"/>
  <c r="O1378" i="2"/>
  <c r="O1374" i="2"/>
  <c r="O1370" i="2"/>
  <c r="O1366" i="2"/>
  <c r="O1362" i="2"/>
  <c r="O1358" i="2"/>
  <c r="O1354" i="2"/>
  <c r="O1350" i="2"/>
  <c r="O1346" i="2"/>
  <c r="O1342" i="2"/>
  <c r="O1338" i="2"/>
  <c r="O1334" i="2"/>
  <c r="O1330" i="2"/>
  <c r="O1326" i="2"/>
  <c r="O1322" i="2"/>
  <c r="O1318" i="2"/>
  <c r="O1314" i="2"/>
  <c r="O1310" i="2"/>
  <c r="O1306" i="2"/>
  <c r="O1302" i="2"/>
  <c r="O1298" i="2"/>
  <c r="O1294" i="2"/>
  <c r="O1290" i="2"/>
  <c r="O1286" i="2"/>
  <c r="O1282" i="2"/>
  <c r="O1278" i="2"/>
  <c r="O1274" i="2"/>
  <c r="O1270" i="2"/>
  <c r="O2976" i="2"/>
  <c r="O2810" i="2"/>
  <c r="O2787" i="2"/>
  <c r="O2666" i="2"/>
  <c r="O2575" i="2"/>
  <c r="O2518" i="2"/>
  <c r="O2495" i="2"/>
  <c r="O1985" i="2"/>
  <c r="O1961" i="2"/>
  <c r="O1937" i="2"/>
  <c r="O1913" i="2"/>
  <c r="O1889" i="2"/>
  <c r="O1871" i="2"/>
  <c r="O1849" i="2"/>
  <c r="O1836" i="2"/>
  <c r="O1823" i="2"/>
  <c r="O1801" i="2"/>
  <c r="O1788" i="2"/>
  <c r="O1775" i="2"/>
  <c r="O1753" i="2"/>
  <c r="O1740" i="2"/>
  <c r="O1727" i="2"/>
  <c r="O1705" i="2"/>
  <c r="O1692" i="2"/>
  <c r="O1679" i="2"/>
  <c r="O2898" i="2"/>
  <c r="O2432" i="2"/>
  <c r="O2399" i="2"/>
  <c r="O2360" i="2"/>
  <c r="O2327" i="2"/>
  <c r="O2311" i="2"/>
  <c r="O2279" i="2"/>
  <c r="O2263" i="2"/>
  <c r="O2231" i="2"/>
  <c r="O2215" i="2"/>
  <c r="O2183" i="2"/>
  <c r="O2167" i="2"/>
  <c r="O2135" i="2"/>
  <c r="O2119" i="2"/>
  <c r="O2087" i="2"/>
  <c r="O1975" i="2"/>
  <c r="O1951" i="2"/>
  <c r="O1927" i="2"/>
  <c r="O1903" i="2"/>
  <c r="O1875" i="2"/>
  <c r="O1853" i="2"/>
  <c r="O1840" i="2"/>
  <c r="O1827" i="2"/>
  <c r="O1805" i="2"/>
  <c r="O1792" i="2"/>
  <c r="O1779" i="2"/>
  <c r="O1757" i="2"/>
  <c r="O1744" i="2"/>
  <c r="O1731" i="2"/>
  <c r="O1709" i="2"/>
  <c r="O1696" i="2"/>
  <c r="O1683" i="2"/>
  <c r="O2699" i="2"/>
  <c r="O2544" i="2"/>
  <c r="O2539" i="2"/>
  <c r="O2315" i="2"/>
  <c r="O2293" i="2"/>
  <c r="O2267" i="2"/>
  <c r="O2245" i="2"/>
  <c r="O2219" i="2"/>
  <c r="O2197" i="2"/>
  <c r="O2171" i="2"/>
  <c r="O2149" i="2"/>
  <c r="O2123" i="2"/>
  <c r="O2101" i="2"/>
  <c r="O1993" i="2"/>
  <c r="O1969" i="2"/>
  <c r="O1945" i="2"/>
  <c r="O1921" i="2"/>
  <c r="O1897" i="2"/>
  <c r="O1865" i="2"/>
  <c r="O1852" i="2"/>
  <c r="O1839" i="2"/>
  <c r="O1817" i="2"/>
  <c r="O1804" i="2"/>
  <c r="O1791" i="2"/>
  <c r="O1769" i="2"/>
  <c r="O1756" i="2"/>
  <c r="O1743" i="2"/>
  <c r="O1721" i="2"/>
  <c r="O1708" i="2"/>
  <c r="O1695" i="2"/>
  <c r="O1673" i="2"/>
  <c r="O2527" i="2"/>
  <c r="O2347" i="2"/>
  <c r="O1999" i="2"/>
  <c r="O1949" i="2"/>
  <c r="O1856" i="2"/>
  <c r="O1808" i="2"/>
  <c r="O1760" i="2"/>
  <c r="O1712" i="2"/>
  <c r="O1664" i="2"/>
  <c r="O1640" i="2"/>
  <c r="O1616" i="2"/>
  <c r="O1592" i="2"/>
  <c r="O1568" i="2"/>
  <c r="O1544" i="2"/>
  <c r="O1520" i="2"/>
  <c r="O1496" i="2"/>
  <c r="O1472" i="2"/>
  <c r="O1448" i="2"/>
  <c r="O1424" i="2"/>
  <c r="O1400" i="2"/>
  <c r="O1376" i="2"/>
  <c r="O1352" i="2"/>
  <c r="O1328" i="2"/>
  <c r="O1304" i="2"/>
  <c r="O1280" i="2"/>
  <c r="O1266" i="2"/>
  <c r="O1262" i="2"/>
  <c r="O1258" i="2"/>
  <c r="O1254" i="2"/>
  <c r="O1250" i="2"/>
  <c r="O1246" i="2"/>
  <c r="O1242" i="2"/>
  <c r="O1238" i="2"/>
  <c r="O1234" i="2"/>
  <c r="O1230" i="2"/>
  <c r="O1226" i="2"/>
  <c r="O1222" i="2"/>
  <c r="O1218" i="2"/>
  <c r="O1214" i="2"/>
  <c r="O1210" i="2"/>
  <c r="O1206" i="2"/>
  <c r="O1202" i="2"/>
  <c r="O1198" i="2"/>
  <c r="O1194" i="2"/>
  <c r="O1190" i="2"/>
  <c r="O1186" i="2"/>
  <c r="O1182" i="2"/>
  <c r="O1178" i="2"/>
  <c r="O1174" i="2"/>
  <c r="O1170" i="2"/>
  <c r="O1166" i="2"/>
  <c r="O1162" i="2"/>
  <c r="O1158" i="2"/>
  <c r="O1154" i="2"/>
  <c r="O1150" i="2"/>
  <c r="O1146" i="2"/>
  <c r="O1142" i="2"/>
  <c r="O1138" i="2"/>
  <c r="O1134" i="2"/>
  <c r="O1130" i="2"/>
  <c r="O1126" i="2"/>
  <c r="O1122" i="2"/>
  <c r="O1118" i="2"/>
  <c r="O1114" i="2"/>
  <c r="O1110" i="2"/>
  <c r="O1106" i="2"/>
  <c r="O1102" i="2"/>
  <c r="O1098" i="2"/>
  <c r="O1094" i="2"/>
  <c r="O1090" i="2"/>
  <c r="O1086" i="2"/>
  <c r="O1082" i="2"/>
  <c r="O1078" i="2"/>
  <c r="O1074" i="2"/>
  <c r="O1070" i="2"/>
  <c r="O1066" i="2"/>
  <c r="O1062" i="2"/>
  <c r="O1058" i="2"/>
  <c r="O1054" i="2"/>
  <c r="O1050" i="2"/>
  <c r="O1046" i="2"/>
  <c r="O1042" i="2"/>
  <c r="O1038" i="2"/>
  <c r="O1034" i="2"/>
  <c r="O1030" i="2"/>
  <c r="O1026" i="2"/>
  <c r="O1022" i="2"/>
  <c r="O1018" i="2"/>
  <c r="O1014" i="2"/>
  <c r="O1010" i="2"/>
  <c r="O1006" i="2"/>
  <c r="O1002" i="2"/>
  <c r="O998" i="2"/>
  <c r="O994" i="2"/>
  <c r="O990" i="2"/>
  <c r="O986" i="2"/>
  <c r="O982" i="2"/>
  <c r="O978" i="2"/>
  <c r="O974" i="2"/>
  <c r="O970" i="2"/>
  <c r="O966" i="2"/>
  <c r="O962" i="2"/>
  <c r="O958" i="2"/>
  <c r="O954" i="2"/>
  <c r="O950" i="2"/>
  <c r="O946" i="2"/>
  <c r="O942" i="2"/>
  <c r="O938" i="2"/>
  <c r="O934" i="2"/>
  <c r="O930" i="2"/>
  <c r="O926" i="2"/>
  <c r="O922" i="2"/>
  <c r="O918" i="2"/>
  <c r="O914" i="2"/>
  <c r="O910" i="2"/>
  <c r="O906" i="2"/>
  <c r="O902" i="2"/>
  <c r="O898" i="2"/>
  <c r="O894" i="2"/>
  <c r="O890" i="2"/>
  <c r="O886" i="2"/>
  <c r="O882" i="2"/>
  <c r="O878" i="2"/>
  <c r="O874" i="2"/>
  <c r="O870" i="2"/>
  <c r="O866" i="2"/>
  <c r="O862" i="2"/>
  <c r="O858" i="2"/>
  <c r="O854" i="2"/>
  <c r="O850" i="2"/>
  <c r="O846" i="2"/>
  <c r="O842" i="2"/>
  <c r="O838" i="2"/>
  <c r="O834" i="2"/>
  <c r="O830" i="2"/>
  <c r="O826" i="2"/>
  <c r="O822" i="2"/>
  <c r="O2710" i="2"/>
  <c r="O2375" i="2"/>
  <c r="O2352" i="2"/>
  <c r="O1965" i="2"/>
  <c r="O1893" i="2"/>
  <c r="O1649" i="2"/>
  <c r="O1625" i="2"/>
  <c r="O1601" i="2"/>
  <c r="O1577" i="2"/>
  <c r="O1553" i="2"/>
  <c r="O1529" i="2"/>
  <c r="O1505" i="2"/>
  <c r="O1481" i="2"/>
  <c r="O1457" i="2"/>
  <c r="O1433" i="2"/>
  <c r="O1409" i="2"/>
  <c r="O1385" i="2"/>
  <c r="O3246" i="2"/>
  <c r="O2738" i="2"/>
  <c r="O2715" i="2"/>
  <c r="O2305" i="2"/>
  <c r="O2288" i="2"/>
  <c r="O2241" i="2"/>
  <c r="O2113" i="2"/>
  <c r="O2096" i="2"/>
  <c r="O2015" i="2"/>
  <c r="O2591" i="2"/>
  <c r="O2003" i="2"/>
  <c r="O1931" i="2"/>
  <c r="O1844" i="2"/>
  <c r="O1796" i="2"/>
  <c r="O1748" i="2"/>
  <c r="O1700" i="2"/>
  <c r="O1653" i="2"/>
  <c r="O1629" i="2"/>
  <c r="O1605" i="2"/>
  <c r="O1581" i="2"/>
  <c r="O1557" i="2"/>
  <c r="O1533" i="2"/>
  <c r="O1509" i="2"/>
  <c r="O1485" i="2"/>
  <c r="O1461" i="2"/>
  <c r="O1437" i="2"/>
  <c r="O2614" i="2"/>
  <c r="O2448" i="2"/>
  <c r="O2443" i="2"/>
  <c r="O2031" i="2"/>
  <c r="O1925" i="2"/>
  <c r="O1648" i="2"/>
  <c r="O1624" i="2"/>
  <c r="O1600" i="2"/>
  <c r="O1576" i="2"/>
  <c r="O1552" i="2"/>
  <c r="O1528" i="2"/>
  <c r="O1504" i="2"/>
  <c r="O1480" i="2"/>
  <c r="O1456" i="2"/>
  <c r="O1432" i="2"/>
  <c r="O1408" i="2"/>
  <c r="O1384" i="2"/>
  <c r="O1360" i="2"/>
  <c r="O1336" i="2"/>
  <c r="O1312" i="2"/>
  <c r="O1288" i="2"/>
  <c r="O2408" i="2"/>
  <c r="O2257" i="2"/>
  <c r="O2240" i="2"/>
  <c r="O2193" i="2"/>
  <c r="O2019" i="2"/>
  <c r="O1941" i="2"/>
  <c r="O1848" i="2"/>
  <c r="O1800" i="2"/>
  <c r="O1752" i="2"/>
  <c r="O1704" i="2"/>
  <c r="O1657" i="2"/>
  <c r="O1633" i="2"/>
  <c r="O1609" i="2"/>
  <c r="O1585" i="2"/>
  <c r="O1561" i="2"/>
  <c r="O1537" i="2"/>
  <c r="O1513" i="2"/>
  <c r="O1489" i="2"/>
  <c r="O2419" i="2"/>
  <c r="O2047" i="2"/>
  <c r="O1935" i="2"/>
  <c r="O1869" i="2"/>
  <c r="O1843" i="2"/>
  <c r="O1821" i="2"/>
  <c r="O1795" i="2"/>
  <c r="O1773" i="2"/>
  <c r="O1747" i="2"/>
  <c r="O1725" i="2"/>
  <c r="O1699" i="2"/>
  <c r="O1677" i="2"/>
  <c r="O1652" i="2"/>
  <c r="O1628" i="2"/>
  <c r="O1604" i="2"/>
  <c r="O1580" i="2"/>
  <c r="O1556" i="2"/>
  <c r="O1532" i="2"/>
  <c r="O1508" i="2"/>
  <c r="O1484" i="2"/>
  <c r="O1460" i="2"/>
  <c r="O1436" i="2"/>
  <c r="O1412" i="2"/>
  <c r="O1388" i="2"/>
  <c r="O1364" i="2"/>
  <c r="O1340" i="2"/>
  <c r="O1316" i="2"/>
  <c r="O1292" i="2"/>
  <c r="O1268" i="2"/>
  <c r="O1264" i="2"/>
  <c r="O1260" i="2"/>
  <c r="O1256" i="2"/>
  <c r="O1252" i="2"/>
  <c r="O1248" i="2"/>
  <c r="O1244" i="2"/>
  <c r="O1240" i="2"/>
  <c r="O1236" i="2"/>
  <c r="O1232" i="2"/>
  <c r="O1228" i="2"/>
  <c r="O1224" i="2"/>
  <c r="O1220" i="2"/>
  <c r="O1216" i="2"/>
  <c r="O1212" i="2"/>
  <c r="O1208" i="2"/>
  <c r="O1204" i="2"/>
  <c r="O1200" i="2"/>
  <c r="O1196" i="2"/>
  <c r="O1192" i="2"/>
  <c r="O1188" i="2"/>
  <c r="O1184" i="2"/>
  <c r="O1180" i="2"/>
  <c r="O1176" i="2"/>
  <c r="O1172" i="2"/>
  <c r="O1168" i="2"/>
  <c r="O1164" i="2"/>
  <c r="O1160" i="2"/>
  <c r="O1156" i="2"/>
  <c r="O1152" i="2"/>
  <c r="O1148" i="2"/>
  <c r="O1144" i="2"/>
  <c r="O1140" i="2"/>
  <c r="O1136" i="2"/>
  <c r="O1132" i="2"/>
  <c r="O1128" i="2"/>
  <c r="O1124" i="2"/>
  <c r="O1120" i="2"/>
  <c r="O1116" i="2"/>
  <c r="O1112" i="2"/>
  <c r="O1108" i="2"/>
  <c r="O1104" i="2"/>
  <c r="O1100" i="2"/>
  <c r="O1096" i="2"/>
  <c r="O1092" i="2"/>
  <c r="O1088" i="2"/>
  <c r="O1084" i="2"/>
  <c r="O1080" i="2"/>
  <c r="O1076" i="2"/>
  <c r="O1072" i="2"/>
  <c r="O1068" i="2"/>
  <c r="O1064" i="2"/>
  <c r="O1060" i="2"/>
  <c r="O1056" i="2"/>
  <c r="O1052" i="2"/>
  <c r="O1048" i="2"/>
  <c r="O1044" i="2"/>
  <c r="O1040" i="2"/>
  <c r="O1036" i="2"/>
  <c r="O1032" i="2"/>
  <c r="O1028" i="2"/>
  <c r="O1024" i="2"/>
  <c r="O1020" i="2"/>
  <c r="O1016" i="2"/>
  <c r="O1012" i="2"/>
  <c r="O1008" i="2"/>
  <c r="O1004" i="2"/>
  <c r="O1000" i="2"/>
  <c r="O996" i="2"/>
  <c r="O992" i="2"/>
  <c r="O988" i="2"/>
  <c r="O984" i="2"/>
  <c r="O980" i="2"/>
  <c r="O976" i="2"/>
  <c r="O972" i="2"/>
  <c r="O968" i="2"/>
  <c r="O964" i="2"/>
  <c r="O960" i="2"/>
  <c r="O956" i="2"/>
  <c r="O952" i="2"/>
  <c r="O948" i="2"/>
  <c r="O944" i="2"/>
  <c r="O940" i="2"/>
  <c r="O936" i="2"/>
  <c r="O932" i="2"/>
  <c r="O928" i="2"/>
  <c r="O924" i="2"/>
  <c r="O920" i="2"/>
  <c r="O916" i="2"/>
  <c r="O912" i="2"/>
  <c r="O908" i="2"/>
  <c r="O904" i="2"/>
  <c r="O900" i="2"/>
  <c r="O896" i="2"/>
  <c r="O892" i="2"/>
  <c r="O888" i="2"/>
  <c r="O884" i="2"/>
  <c r="O880" i="2"/>
  <c r="O876" i="2"/>
  <c r="O2635" i="2"/>
  <c r="O2051" i="2"/>
  <c r="O1989" i="2"/>
  <c r="O1917" i="2"/>
  <c r="O1873" i="2"/>
  <c r="O1857" i="2"/>
  <c r="O1825" i="2"/>
  <c r="O1809" i="2"/>
  <c r="O1777" i="2"/>
  <c r="O1761" i="2"/>
  <c r="O1729" i="2"/>
  <c r="O1713" i="2"/>
  <c r="O1681" i="2"/>
  <c r="O1665" i="2"/>
  <c r="O1641" i="2"/>
  <c r="O1617" i="2"/>
  <c r="O1593" i="2"/>
  <c r="O1569" i="2"/>
  <c r="O1545" i="2"/>
  <c r="O1521" i="2"/>
  <c r="O1497" i="2"/>
  <c r="O1473" i="2"/>
  <c r="O1449" i="2"/>
  <c r="O1425" i="2"/>
  <c r="O1401" i="2"/>
  <c r="O1377" i="2"/>
  <c r="O3034" i="2"/>
  <c r="O2289" i="2"/>
  <c r="O1764" i="2"/>
  <c r="O1645" i="2"/>
  <c r="O1564" i="2"/>
  <c r="O1493" i="2"/>
  <c r="O1488" i="2"/>
  <c r="O1440" i="2"/>
  <c r="O1397" i="2"/>
  <c r="O1361" i="2"/>
  <c r="O1356" i="2"/>
  <c r="O1341" i="2"/>
  <c r="O1285" i="2"/>
  <c r="O1251" i="2"/>
  <c r="O1227" i="2"/>
  <c r="O1203" i="2"/>
  <c r="O1179" i="2"/>
  <c r="O1155" i="2"/>
  <c r="O1131" i="2"/>
  <c r="O1107" i="2"/>
  <c r="O1083" i="2"/>
  <c r="O1059" i="2"/>
  <c r="O1035" i="2"/>
  <c r="O1011" i="2"/>
  <c r="O987" i="2"/>
  <c r="O963" i="2"/>
  <c r="O939" i="2"/>
  <c r="O915" i="2"/>
  <c r="O891" i="2"/>
  <c r="O872" i="2"/>
  <c r="O859" i="2"/>
  <c r="O837" i="2"/>
  <c r="O824" i="2"/>
  <c r="O2336" i="2"/>
  <c r="O1911" i="2"/>
  <c r="O1883" i="2"/>
  <c r="O1735" i="2"/>
  <c r="O1661" i="2"/>
  <c r="O1656" i="2"/>
  <c r="O1596" i="2"/>
  <c r="O1525" i="2"/>
  <c r="O1413" i="2"/>
  <c r="O1392" i="2"/>
  <c r="O1381" i="2"/>
  <c r="O1325" i="2"/>
  <c r="O1305" i="2"/>
  <c r="O1300" i="2"/>
  <c r="O1265" i="2"/>
  <c r="O1241" i="2"/>
  <c r="O1217" i="2"/>
  <c r="O1193" i="2"/>
  <c r="O1169" i="2"/>
  <c r="O1145" i="2"/>
  <c r="O1121" i="2"/>
  <c r="O1097" i="2"/>
  <c r="O1073" i="2"/>
  <c r="O1049" i="2"/>
  <c r="O1025" i="2"/>
  <c r="O1001" i="2"/>
  <c r="O977" i="2"/>
  <c r="O953" i="2"/>
  <c r="O929" i="2"/>
  <c r="O905" i="2"/>
  <c r="O881" i="2"/>
  <c r="O863" i="2"/>
  <c r="O841" i="2"/>
  <c r="O828" i="2"/>
  <c r="O2734" i="2"/>
  <c r="O2424" i="2"/>
  <c r="O2371" i="2"/>
  <c r="O1860" i="2"/>
  <c r="O1717" i="2"/>
  <c r="O1612" i="2"/>
  <c r="O1541" i="2"/>
  <c r="O1536" i="2"/>
  <c r="O1476" i="2"/>
  <c r="O1444" i="2"/>
  <c r="O1428" i="2"/>
  <c r="O1345" i="2"/>
  <c r="O1320" i="2"/>
  <c r="O1255" i="2"/>
  <c r="O1231" i="2"/>
  <c r="O1207" i="2"/>
  <c r="O1183" i="2"/>
  <c r="O1159" i="2"/>
  <c r="O1135" i="2"/>
  <c r="O1111" i="2"/>
  <c r="O1087" i="2"/>
  <c r="O1063" i="2"/>
  <c r="O1039" i="2"/>
  <c r="O1015" i="2"/>
  <c r="O991" i="2"/>
  <c r="O967" i="2"/>
  <c r="O943" i="2"/>
  <c r="O919" i="2"/>
  <c r="O895" i="2"/>
  <c r="O867" i="2"/>
  <c r="O845" i="2"/>
  <c r="O832" i="2"/>
  <c r="O819" i="2"/>
  <c r="O815" i="2"/>
  <c r="O811" i="2"/>
  <c r="O807" i="2"/>
  <c r="O803" i="2"/>
  <c r="O799" i="2"/>
  <c r="O795" i="2"/>
  <c r="O791" i="2"/>
  <c r="O787" i="2"/>
  <c r="O783" i="2"/>
  <c r="O779" i="2"/>
  <c r="O775" i="2"/>
  <c r="O771" i="2"/>
  <c r="O767" i="2"/>
  <c r="O763" i="2"/>
  <c r="O759" i="2"/>
  <c r="O755" i="2"/>
  <c r="O751" i="2"/>
  <c r="O747" i="2"/>
  <c r="O743" i="2"/>
  <c r="O739" i="2"/>
  <c r="O735" i="2"/>
  <c r="O731" i="2"/>
  <c r="O727" i="2"/>
  <c r="O723" i="2"/>
  <c r="O719" i="2"/>
  <c r="O715" i="2"/>
  <c r="O711" i="2"/>
  <c r="O707" i="2"/>
  <c r="O703" i="2"/>
  <c r="O699" i="2"/>
  <c r="O695" i="2"/>
  <c r="O691" i="2"/>
  <c r="O687" i="2"/>
  <c r="O683" i="2"/>
  <c r="O679" i="2"/>
  <c r="O675" i="2"/>
  <c r="O671" i="2"/>
  <c r="O667" i="2"/>
  <c r="O663" i="2"/>
  <c r="O659" i="2"/>
  <c r="O655" i="2"/>
  <c r="O651" i="2"/>
  <c r="O647" i="2"/>
  <c r="O643" i="2"/>
  <c r="O639" i="2"/>
  <c r="O635" i="2"/>
  <c r="O631" i="2"/>
  <c r="O627" i="2"/>
  <c r="O623" i="2"/>
  <c r="O619" i="2"/>
  <c r="O615" i="2"/>
  <c r="O611" i="2"/>
  <c r="O607" i="2"/>
  <c r="O603" i="2"/>
  <c r="O599" i="2"/>
  <c r="O595" i="2"/>
  <c r="O591" i="2"/>
  <c r="O587" i="2"/>
  <c r="O583" i="2"/>
  <c r="O579" i="2"/>
  <c r="O575" i="2"/>
  <c r="O571" i="2"/>
  <c r="O567" i="2"/>
  <c r="O563" i="2"/>
  <c r="O559" i="2"/>
  <c r="O555" i="2"/>
  <c r="O551" i="2"/>
  <c r="O547" i="2"/>
  <c r="O543" i="2"/>
  <c r="O539" i="2"/>
  <c r="O535" i="2"/>
  <c r="O531" i="2"/>
  <c r="O527" i="2"/>
  <c r="O523" i="2"/>
  <c r="O519" i="2"/>
  <c r="O515" i="2"/>
  <c r="O511" i="2"/>
  <c r="O507" i="2"/>
  <c r="O503" i="2"/>
  <c r="O499" i="2"/>
  <c r="O495" i="2"/>
  <c r="O491" i="2"/>
  <c r="O487" i="2"/>
  <c r="O483" i="2"/>
  <c r="O479" i="2"/>
  <c r="O475" i="2"/>
  <c r="O471" i="2"/>
  <c r="O467" i="2"/>
  <c r="O463" i="2"/>
  <c r="O459" i="2"/>
  <c r="O455" i="2"/>
  <c r="O451" i="2"/>
  <c r="O447" i="2"/>
  <c r="O443" i="2"/>
  <c r="O439" i="2"/>
  <c r="O435" i="2"/>
  <c r="O431" i="2"/>
  <c r="O427" i="2"/>
  <c r="O423" i="2"/>
  <c r="O419" i="2"/>
  <c r="O415" i="2"/>
  <c r="O411" i="2"/>
  <c r="O407" i="2"/>
  <c r="O403" i="2"/>
  <c r="O399" i="2"/>
  <c r="O395" i="2"/>
  <c r="O391" i="2"/>
  <c r="O387" i="2"/>
  <c r="O383" i="2"/>
  <c r="O379" i="2"/>
  <c r="O375" i="2"/>
  <c r="O371" i="2"/>
  <c r="O367" i="2"/>
  <c r="O363" i="2"/>
  <c r="O359" i="2"/>
  <c r="O355" i="2"/>
  <c r="O351" i="2"/>
  <c r="O347" i="2"/>
  <c r="O343" i="2"/>
  <c r="O339" i="2"/>
  <c r="O335" i="2"/>
  <c r="O331" i="2"/>
  <c r="O327" i="2"/>
  <c r="O323" i="2"/>
  <c r="O319" i="2"/>
  <c r="O315" i="2"/>
  <c r="O311" i="2"/>
  <c r="O307" i="2"/>
  <c r="O303" i="2"/>
  <c r="O299" i="2"/>
  <c r="O295" i="2"/>
  <c r="O291" i="2"/>
  <c r="O287" i="2"/>
  <c r="O283" i="2"/>
  <c r="O279" i="2"/>
  <c r="O275" i="2"/>
  <c r="O271" i="2"/>
  <c r="O267" i="2"/>
  <c r="O263" i="2"/>
  <c r="O259" i="2"/>
  <c r="O255" i="2"/>
  <c r="O251" i="2"/>
  <c r="O247" i="2"/>
  <c r="O243" i="2"/>
  <c r="O239" i="2"/>
  <c r="O235" i="2"/>
  <c r="O231" i="2"/>
  <c r="O227" i="2"/>
  <c r="O223" i="2"/>
  <c r="O219" i="2"/>
  <c r="O215" i="2"/>
  <c r="O211" i="2"/>
  <c r="O207" i="2"/>
  <c r="O203" i="2"/>
  <c r="O199" i="2"/>
  <c r="O195" i="2"/>
  <c r="O191" i="2"/>
  <c r="O187" i="2"/>
  <c r="O183" i="2"/>
  <c r="O179" i="2"/>
  <c r="O175" i="2"/>
  <c r="O171" i="2"/>
  <c r="O167" i="2"/>
  <c r="O163" i="2"/>
  <c r="O159" i="2"/>
  <c r="O155" i="2"/>
  <c r="O151" i="2"/>
  <c r="O147" i="2"/>
  <c r="O143" i="2"/>
  <c r="O139" i="2"/>
  <c r="O135" i="2"/>
  <c r="O131" i="2"/>
  <c r="O127" i="2"/>
  <c r="O123" i="2"/>
  <c r="O119" i="2"/>
  <c r="O115" i="2"/>
  <c r="O111" i="2"/>
  <c r="O107" i="2"/>
  <c r="O103" i="2"/>
  <c r="O99" i="2"/>
  <c r="O95" i="2"/>
  <c r="O91" i="2"/>
  <c r="O87" i="2"/>
  <c r="O83" i="2"/>
  <c r="O79" i="2"/>
  <c r="O75" i="2"/>
  <c r="O71" i="2"/>
  <c r="O67" i="2"/>
  <c r="O63" i="2"/>
  <c r="O59" i="2"/>
  <c r="O55" i="2"/>
  <c r="O51" i="2"/>
  <c r="O47" i="2"/>
  <c r="O43" i="2"/>
  <c r="O39" i="2"/>
  <c r="O35" i="2"/>
  <c r="O31" i="2"/>
  <c r="O27" i="2"/>
  <c r="O23" i="2"/>
  <c r="O19" i="2"/>
  <c r="O15" i="2"/>
  <c r="O11" i="2"/>
  <c r="O7" i="2"/>
  <c r="O3116" i="2"/>
  <c r="O2739" i="2"/>
  <c r="O2447" i="2"/>
  <c r="O2376" i="2"/>
  <c r="O1831" i="2"/>
  <c r="O1751" i="2"/>
  <c r="O1644" i="2"/>
  <c r="O1573" i="2"/>
  <c r="O1492" i="2"/>
  <c r="O1465" i="2"/>
  <c r="O1417" i="2"/>
  <c r="O1396" i="2"/>
  <c r="O1365" i="2"/>
  <c r="O1309" i="2"/>
  <c r="O1289" i="2"/>
  <c r="O1284" i="2"/>
  <c r="O1269" i="2"/>
  <c r="O1245" i="2"/>
  <c r="O1221" i="2"/>
  <c r="O1197" i="2"/>
  <c r="O1173" i="2"/>
  <c r="O1149" i="2"/>
  <c r="O1125" i="2"/>
  <c r="O1101" i="2"/>
  <c r="O1077" i="2"/>
  <c r="O1053" i="2"/>
  <c r="O1029" i="2"/>
  <c r="O1005" i="2"/>
  <c r="O981" i="2"/>
  <c r="O957" i="2"/>
  <c r="O933" i="2"/>
  <c r="O909" i="2"/>
  <c r="O885" i="2"/>
  <c r="O871" i="2"/>
  <c r="O849" i="2"/>
  <c r="O836" i="2"/>
  <c r="O823" i="2"/>
  <c r="O2470" i="2"/>
  <c r="O2192" i="2"/>
  <c r="O2145" i="2"/>
  <c r="O1887" i="2"/>
  <c r="O1813" i="2"/>
  <c r="O1739" i="2"/>
  <c r="O1660" i="2"/>
  <c r="O1589" i="2"/>
  <c r="O1584" i="2"/>
  <c r="O1524" i="2"/>
  <c r="O1380" i="2"/>
  <c r="O1349" i="2"/>
  <c r="O1329" i="2"/>
  <c r="O1324" i="2"/>
  <c r="O1259" i="2"/>
  <c r="O1235" i="2"/>
  <c r="O1211" i="2"/>
  <c r="O1187" i="2"/>
  <c r="O1163" i="2"/>
  <c r="O1139" i="2"/>
  <c r="O1115" i="2"/>
  <c r="O1091" i="2"/>
  <c r="O1067" i="2"/>
  <c r="O1043" i="2"/>
  <c r="O1019" i="2"/>
  <c r="O995" i="2"/>
  <c r="O971" i="2"/>
  <c r="O947" i="2"/>
  <c r="O923" i="2"/>
  <c r="O899" i="2"/>
  <c r="O875" i="2"/>
  <c r="O853" i="2"/>
  <c r="O840" i="2"/>
  <c r="O827" i="2"/>
  <c r="O2209" i="2"/>
  <c r="O1979" i="2"/>
  <c r="O1847" i="2"/>
  <c r="O1716" i="2"/>
  <c r="O1621" i="2"/>
  <c r="O1540" i="2"/>
  <c r="O1469" i="2"/>
  <c r="O1453" i="2"/>
  <c r="O1421" i="2"/>
  <c r="O1369" i="2"/>
  <c r="O1344" i="2"/>
  <c r="O1273" i="2"/>
  <c r="O1249" i="2"/>
  <c r="O1225" i="2"/>
  <c r="O1201" i="2"/>
  <c r="O1177" i="2"/>
  <c r="O1153" i="2"/>
  <c r="O1129" i="2"/>
  <c r="O1105" i="2"/>
  <c r="O1081" i="2"/>
  <c r="O1057" i="2"/>
  <c r="O1033" i="2"/>
  <c r="O1009" i="2"/>
  <c r="O985" i="2"/>
  <c r="O961" i="2"/>
  <c r="O937" i="2"/>
  <c r="O913" i="2"/>
  <c r="O889" i="2"/>
  <c r="O857" i="2"/>
  <c r="O844" i="2"/>
  <c r="O831" i="2"/>
  <c r="O818" i="2"/>
  <c r="O814" i="2"/>
  <c r="O810" i="2"/>
  <c r="O806" i="2"/>
  <c r="O802" i="2"/>
  <c r="O798" i="2"/>
  <c r="O794" i="2"/>
  <c r="O790" i="2"/>
  <c r="O786" i="2"/>
  <c r="O782" i="2"/>
  <c r="O778" i="2"/>
  <c r="O774" i="2"/>
  <c r="O770" i="2"/>
  <c r="O766" i="2"/>
  <c r="O762" i="2"/>
  <c r="O758" i="2"/>
  <c r="O754" i="2"/>
  <c r="O750" i="2"/>
  <c r="O746" i="2"/>
  <c r="O742" i="2"/>
  <c r="O738" i="2"/>
  <c r="O734" i="2"/>
  <c r="O730" i="2"/>
  <c r="O726" i="2"/>
  <c r="O722" i="2"/>
  <c r="O718" i="2"/>
  <c r="O714" i="2"/>
  <c r="O710" i="2"/>
  <c r="O706" i="2"/>
  <c r="O702" i="2"/>
  <c r="O698" i="2"/>
  <c r="O694" i="2"/>
  <c r="O690" i="2"/>
  <c r="O686" i="2"/>
  <c r="O682" i="2"/>
  <c r="O678" i="2"/>
  <c r="O674" i="2"/>
  <c r="O670" i="2"/>
  <c r="O666" i="2"/>
  <c r="O662" i="2"/>
  <c r="O658" i="2"/>
  <c r="O654" i="2"/>
  <c r="O650" i="2"/>
  <c r="O646" i="2"/>
  <c r="O642" i="2"/>
  <c r="O638" i="2"/>
  <c r="O634" i="2"/>
  <c r="O630" i="2"/>
  <c r="O626" i="2"/>
  <c r="O622" i="2"/>
  <c r="O618" i="2"/>
  <c r="O614" i="2"/>
  <c r="O610" i="2"/>
  <c r="O606" i="2"/>
  <c r="O602" i="2"/>
  <c r="O598" i="2"/>
  <c r="O594" i="2"/>
  <c r="O590" i="2"/>
  <c r="O586" i="2"/>
  <c r="O582" i="2"/>
  <c r="O578" i="2"/>
  <c r="O574" i="2"/>
  <c r="O570" i="2"/>
  <c r="O566" i="2"/>
  <c r="O562" i="2"/>
  <c r="O558" i="2"/>
  <c r="O554" i="2"/>
  <c r="O550" i="2"/>
  <c r="O546" i="2"/>
  <c r="O542" i="2"/>
  <c r="O538" i="2"/>
  <c r="O534" i="2"/>
  <c r="O530" i="2"/>
  <c r="O526" i="2"/>
  <c r="O522" i="2"/>
  <c r="O518" i="2"/>
  <c r="O514" i="2"/>
  <c r="O510" i="2"/>
  <c r="O506" i="2"/>
  <c r="O502" i="2"/>
  <c r="O498" i="2"/>
  <c r="O494" i="2"/>
  <c r="O490" i="2"/>
  <c r="O486" i="2"/>
  <c r="O482" i="2"/>
  <c r="O478" i="2"/>
  <c r="O474" i="2"/>
  <c r="O470" i="2"/>
  <c r="O466" i="2"/>
  <c r="O462" i="2"/>
  <c r="O458" i="2"/>
  <c r="O454" i="2"/>
  <c r="O450" i="2"/>
  <c r="O446" i="2"/>
  <c r="O442" i="2"/>
  <c r="O438" i="2"/>
  <c r="O434" i="2"/>
  <c r="O430" i="2"/>
  <c r="O426" i="2"/>
  <c r="O422" i="2"/>
  <c r="O418" i="2"/>
  <c r="O414" i="2"/>
  <c r="O410" i="2"/>
  <c r="O406" i="2"/>
  <c r="O402" i="2"/>
  <c r="O398" i="2"/>
  <c r="O394" i="2"/>
  <c r="O390" i="2"/>
  <c r="O386" i="2"/>
  <c r="O382" i="2"/>
  <c r="O378" i="2"/>
  <c r="O374" i="2"/>
  <c r="O370" i="2"/>
  <c r="O366" i="2"/>
  <c r="O362" i="2"/>
  <c r="O358" i="2"/>
  <c r="O354" i="2"/>
  <c r="O350" i="2"/>
  <c r="O346" i="2"/>
  <c r="O342" i="2"/>
  <c r="O338" i="2"/>
  <c r="O334" i="2"/>
  <c r="O330" i="2"/>
  <c r="O326" i="2"/>
  <c r="O322" i="2"/>
  <c r="O318" i="2"/>
  <c r="O314" i="2"/>
  <c r="O310" i="2"/>
  <c r="O306" i="2"/>
  <c r="O302" i="2"/>
  <c r="O298" i="2"/>
  <c r="O294" i="2"/>
  <c r="O290" i="2"/>
  <c r="O286" i="2"/>
  <c r="O282" i="2"/>
  <c r="O278" i="2"/>
  <c r="O274" i="2"/>
  <c r="O270" i="2"/>
  <c r="O266" i="2"/>
  <c r="O262" i="2"/>
  <c r="O258" i="2"/>
  <c r="O254" i="2"/>
  <c r="O250" i="2"/>
  <c r="O246" i="2"/>
  <c r="O242" i="2"/>
  <c r="O238" i="2"/>
  <c r="O234" i="2"/>
  <c r="O230" i="2"/>
  <c r="O226" i="2"/>
  <c r="O222" i="2"/>
  <c r="O218" i="2"/>
  <c r="O214" i="2"/>
  <c r="O210" i="2"/>
  <c r="O206" i="2"/>
  <c r="O202" i="2"/>
  <c r="O198" i="2"/>
  <c r="O194" i="2"/>
  <c r="O190" i="2"/>
  <c r="O186" i="2"/>
  <c r="O182" i="2"/>
  <c r="O178" i="2"/>
  <c r="O174" i="2"/>
  <c r="O170" i="2"/>
  <c r="O166" i="2"/>
  <c r="O162" i="2"/>
  <c r="O158" i="2"/>
  <c r="O154" i="2"/>
  <c r="O150" i="2"/>
  <c r="O146" i="2"/>
  <c r="O142" i="2"/>
  <c r="O138" i="2"/>
  <c r="O134" i="2"/>
  <c r="O130" i="2"/>
  <c r="O126" i="2"/>
  <c r="O122" i="2"/>
  <c r="O118" i="2"/>
  <c r="O114" i="2"/>
  <c r="O110" i="2"/>
  <c r="O106" i="2"/>
  <c r="O102" i="2"/>
  <c r="O98" i="2"/>
  <c r="O94" i="2"/>
  <c r="O90" i="2"/>
  <c r="O86" i="2"/>
  <c r="O82" i="2"/>
  <c r="O78" i="2"/>
  <c r="O74" i="2"/>
  <c r="O70" i="2"/>
  <c r="O66" i="2"/>
  <c r="O62" i="2"/>
  <c r="O58" i="2"/>
  <c r="O54" i="2"/>
  <c r="O50" i="2"/>
  <c r="O46" i="2"/>
  <c r="O42" i="2"/>
  <c r="O38" i="2"/>
  <c r="O34" i="2"/>
  <c r="O30" i="2"/>
  <c r="O26" i="2"/>
  <c r="O22" i="2"/>
  <c r="O18" i="2"/>
  <c r="O14" i="2"/>
  <c r="O10" i="2"/>
  <c r="O6" i="2"/>
  <c r="O1765" i="2"/>
  <c r="O1691" i="2"/>
  <c r="O1636" i="2"/>
  <c r="O1565" i="2"/>
  <c r="O1560" i="2"/>
  <c r="O1500" i="2"/>
  <c r="O1441" i="2"/>
  <c r="O1404" i="2"/>
  <c r="O1357" i="2"/>
  <c r="O1337" i="2"/>
  <c r="O1332" i="2"/>
  <c r="O1317" i="2"/>
  <c r="O1257" i="2"/>
  <c r="O1233" i="2"/>
  <c r="O1209" i="2"/>
  <c r="O1185" i="2"/>
  <c r="O1161" i="2"/>
  <c r="O1137" i="2"/>
  <c r="O1113" i="2"/>
  <c r="O1089" i="2"/>
  <c r="O1065" i="2"/>
  <c r="O1041" i="2"/>
  <c r="O1017" i="2"/>
  <c r="O993" i="2"/>
  <c r="O969" i="2"/>
  <c r="O945" i="2"/>
  <c r="O921" i="2"/>
  <c r="O897" i="2"/>
  <c r="O873" i="2"/>
  <c r="O860" i="2"/>
  <c r="O847" i="2"/>
  <c r="O825" i="2"/>
  <c r="O1907" i="2"/>
  <c r="O1879" i="2"/>
  <c r="O1799" i="2"/>
  <c r="O1668" i="2"/>
  <c r="O1597" i="2"/>
  <c r="O1516" i="2"/>
  <c r="O1393" i="2"/>
  <c r="O1372" i="2"/>
  <c r="O1301" i="2"/>
  <c r="O1281" i="2"/>
  <c r="O1276" i="2"/>
  <c r="O1247" i="2"/>
  <c r="O1223" i="2"/>
  <c r="O1199" i="2"/>
  <c r="O1175" i="2"/>
  <c r="O1151" i="2"/>
  <c r="O1127" i="2"/>
  <c r="O1103" i="2"/>
  <c r="O1079" i="2"/>
  <c r="O1055" i="2"/>
  <c r="O1031" i="2"/>
  <c r="O1007" i="2"/>
  <c r="O983" i="2"/>
  <c r="O959" i="2"/>
  <c r="O935" i="2"/>
  <c r="O911" i="2"/>
  <c r="O887" i="2"/>
  <c r="O864" i="2"/>
  <c r="O851" i="2"/>
  <c r="O829" i="2"/>
  <c r="O2640" i="2"/>
  <c r="O2035" i="2"/>
  <c r="O1959" i="2"/>
  <c r="O1901" i="2"/>
  <c r="O1861" i="2"/>
  <c r="O1787" i="2"/>
  <c r="O1613" i="2"/>
  <c r="O1608" i="2"/>
  <c r="O1548" i="2"/>
  <c r="O1477" i="2"/>
  <c r="O1445" i="2"/>
  <c r="O1429" i="2"/>
  <c r="O1321" i="2"/>
  <c r="O1296" i="2"/>
  <c r="O1261" i="2"/>
  <c r="O1237" i="2"/>
  <c r="O1213" i="2"/>
  <c r="O1189" i="2"/>
  <c r="O1165" i="2"/>
  <c r="O1141" i="2"/>
  <c r="O1117" i="2"/>
  <c r="O1093" i="2"/>
  <c r="O1069" i="2"/>
  <c r="O1045" i="2"/>
  <c r="O1021" i="2"/>
  <c r="O997" i="2"/>
  <c r="O973" i="2"/>
  <c r="O949" i="2"/>
  <c r="O925" i="2"/>
  <c r="O901" i="2"/>
  <c r="O877" i="2"/>
  <c r="O868" i="2"/>
  <c r="O855" i="2"/>
  <c r="O833" i="2"/>
  <c r="O820" i="2"/>
  <c r="O816" i="2"/>
  <c r="O812" i="2"/>
  <c r="O808" i="2"/>
  <c r="O804" i="2"/>
  <c r="O800" i="2"/>
  <c r="O796" i="2"/>
  <c r="O792" i="2"/>
  <c r="O788" i="2"/>
  <c r="O784" i="2"/>
  <c r="O780" i="2"/>
  <c r="O776" i="2"/>
  <c r="O772" i="2"/>
  <c r="O768" i="2"/>
  <c r="O764" i="2"/>
  <c r="O760" i="2"/>
  <c r="O756" i="2"/>
  <c r="O752" i="2"/>
  <c r="O748" i="2"/>
  <c r="O744" i="2"/>
  <c r="O740" i="2"/>
  <c r="O736" i="2"/>
  <c r="O732" i="2"/>
  <c r="O728" i="2"/>
  <c r="O724" i="2"/>
  <c r="O720" i="2"/>
  <c r="O716" i="2"/>
  <c r="O712" i="2"/>
  <c r="O708" i="2"/>
  <c r="O704" i="2"/>
  <c r="O700" i="2"/>
  <c r="O696" i="2"/>
  <c r="O692" i="2"/>
  <c r="O688" i="2"/>
  <c r="O684" i="2"/>
  <c r="O680" i="2"/>
  <c r="O676" i="2"/>
  <c r="O672" i="2"/>
  <c r="O668" i="2"/>
  <c r="O664" i="2"/>
  <c r="O660" i="2"/>
  <c r="O656" i="2"/>
  <c r="O652" i="2"/>
  <c r="O648" i="2"/>
  <c r="O644" i="2"/>
  <c r="O640" i="2"/>
  <c r="O636" i="2"/>
  <c r="O632" i="2"/>
  <c r="O628" i="2"/>
  <c r="O624" i="2"/>
  <c r="O620" i="2"/>
  <c r="O616" i="2"/>
  <c r="O612" i="2"/>
  <c r="O608" i="2"/>
  <c r="O604" i="2"/>
  <c r="O600" i="2"/>
  <c r="O596" i="2"/>
  <c r="O592" i="2"/>
  <c r="O588" i="2"/>
  <c r="O584" i="2"/>
  <c r="O580" i="2"/>
  <c r="O576" i="2"/>
  <c r="O572" i="2"/>
  <c r="O568" i="2"/>
  <c r="O564" i="2"/>
  <c r="O560" i="2"/>
  <c r="O556" i="2"/>
  <c r="O552" i="2"/>
  <c r="O548" i="2"/>
  <c r="O544" i="2"/>
  <c r="O540" i="2"/>
  <c r="O536" i="2"/>
  <c r="O532" i="2"/>
  <c r="O528" i="2"/>
  <c r="O524" i="2"/>
  <c r="O520" i="2"/>
  <c r="O516" i="2"/>
  <c r="O512" i="2"/>
  <c r="O508" i="2"/>
  <c r="O504" i="2"/>
  <c r="O500" i="2"/>
  <c r="O496" i="2"/>
  <c r="O492" i="2"/>
  <c r="O488" i="2"/>
  <c r="O484" i="2"/>
  <c r="O480" i="2"/>
  <c r="O476" i="2"/>
  <c r="O472" i="2"/>
  <c r="O468" i="2"/>
  <c r="O464" i="2"/>
  <c r="O460" i="2"/>
  <c r="O456" i="2"/>
  <c r="O452" i="2"/>
  <c r="O1703" i="2"/>
  <c r="O1452" i="2"/>
  <c r="O1348" i="2"/>
  <c r="O1313" i="2"/>
  <c r="O835" i="2"/>
  <c r="O445" i="2"/>
  <c r="O421" i="2"/>
  <c r="O397" i="2"/>
  <c r="O373" i="2"/>
  <c r="O349" i="2"/>
  <c r="O325" i="2"/>
  <c r="O301" i="2"/>
  <c r="O277" i="2"/>
  <c r="O253" i="2"/>
  <c r="O229" i="2"/>
  <c r="O205" i="2"/>
  <c r="O181" i="2"/>
  <c r="O157" i="2"/>
  <c r="O133" i="2"/>
  <c r="O109" i="2"/>
  <c r="O85" i="2"/>
  <c r="O61" i="2"/>
  <c r="O37" i="2"/>
  <c r="O13" i="2"/>
  <c r="O1405" i="2"/>
  <c r="O1353" i="2"/>
  <c r="O856" i="2"/>
  <c r="O440" i="2"/>
  <c r="O416" i="2"/>
  <c r="O392" i="2"/>
  <c r="O368" i="2"/>
  <c r="O344" i="2"/>
  <c r="O320" i="2"/>
  <c r="O296" i="2"/>
  <c r="O272" i="2"/>
  <c r="O248" i="2"/>
  <c r="O224" i="2"/>
  <c r="O200" i="2"/>
  <c r="O176" i="2"/>
  <c r="O152" i="2"/>
  <c r="O128" i="2"/>
  <c r="O104" i="2"/>
  <c r="O80" i="2"/>
  <c r="O56" i="2"/>
  <c r="O32" i="2"/>
  <c r="O8" i="2"/>
  <c r="O1632" i="2"/>
  <c r="O1468" i="2"/>
  <c r="O1416" i="2"/>
  <c r="O1267" i="2"/>
  <c r="O1239" i="2"/>
  <c r="O1205" i="2"/>
  <c r="O1171" i="2"/>
  <c r="O1143" i="2"/>
  <c r="O1109" i="2"/>
  <c r="O1075" i="2"/>
  <c r="O1047" i="2"/>
  <c r="O1013" i="2"/>
  <c r="O979" i="2"/>
  <c r="O951" i="2"/>
  <c r="O917" i="2"/>
  <c r="O883" i="2"/>
  <c r="O861" i="2"/>
  <c r="O817" i="2"/>
  <c r="O801" i="2"/>
  <c r="O785" i="2"/>
  <c r="O769" i="2"/>
  <c r="O753" i="2"/>
  <c r="O737" i="2"/>
  <c r="O721" i="2"/>
  <c r="O705" i="2"/>
  <c r="O689" i="2"/>
  <c r="O673" i="2"/>
  <c r="O657" i="2"/>
  <c r="O641" i="2"/>
  <c r="O625" i="2"/>
  <c r="O609" i="2"/>
  <c r="O593" i="2"/>
  <c r="O577" i="2"/>
  <c r="O561" i="2"/>
  <c r="O545" i="2"/>
  <c r="O529" i="2"/>
  <c r="O513" i="2"/>
  <c r="O497" i="2"/>
  <c r="O481" i="2"/>
  <c r="O465" i="2"/>
  <c r="O449" i="2"/>
  <c r="O425" i="2"/>
  <c r="O401" i="2"/>
  <c r="O377" i="2"/>
  <c r="O353" i="2"/>
  <c r="O329" i="2"/>
  <c r="O305" i="2"/>
  <c r="O281" i="2"/>
  <c r="O257" i="2"/>
  <c r="O233" i="2"/>
  <c r="O209" i="2"/>
  <c r="O185" i="2"/>
  <c r="O161" i="2"/>
  <c r="O137" i="2"/>
  <c r="O113" i="2"/>
  <c r="O89" i="2"/>
  <c r="O1637" i="2"/>
  <c r="O1620" i="2"/>
  <c r="O1272" i="2"/>
  <c r="O839" i="2"/>
  <c r="O444" i="2"/>
  <c r="O420" i="2"/>
  <c r="O396" i="2"/>
  <c r="O372" i="2"/>
  <c r="O348" i="2"/>
  <c r="O324" i="2"/>
  <c r="O300" i="2"/>
  <c r="O276" i="2"/>
  <c r="O252" i="2"/>
  <c r="O228" i="2"/>
  <c r="O204" i="2"/>
  <c r="O180" i="2"/>
  <c r="O156" i="2"/>
  <c r="O132" i="2"/>
  <c r="O108" i="2"/>
  <c r="O84" i="2"/>
  <c r="O60" i="2"/>
  <c r="O36" i="2"/>
  <c r="O12" i="2"/>
  <c r="O1549" i="2"/>
  <c r="O1277" i="2"/>
  <c r="O429" i="2"/>
  <c r="O405" i="2"/>
  <c r="O381" i="2"/>
  <c r="O357" i="2"/>
  <c r="O333" i="2"/>
  <c r="O309" i="2"/>
  <c r="O285" i="2"/>
  <c r="O261" i="2"/>
  <c r="O237" i="2"/>
  <c r="O213" i="2"/>
  <c r="O189" i="2"/>
  <c r="O165" i="2"/>
  <c r="O141" i="2"/>
  <c r="O117" i="2"/>
  <c r="O93" i="2"/>
  <c r="O69" i="2"/>
  <c r="O45" i="2"/>
  <c r="O21" i="2"/>
  <c r="O1572" i="2"/>
  <c r="O1420" i="2"/>
  <c r="O1243" i="2"/>
  <c r="O1215" i="2"/>
  <c r="O1181" i="2"/>
  <c r="O1147" i="2"/>
  <c r="O1119" i="2"/>
  <c r="O1085" i="2"/>
  <c r="O1051" i="2"/>
  <c r="O1023" i="2"/>
  <c r="O989" i="2"/>
  <c r="O955" i="2"/>
  <c r="O927" i="2"/>
  <c r="O893" i="2"/>
  <c r="O865" i="2"/>
  <c r="O821" i="2"/>
  <c r="O805" i="2"/>
  <c r="O789" i="2"/>
  <c r="O773" i="2"/>
  <c r="O757" i="2"/>
  <c r="O741" i="2"/>
  <c r="O725" i="2"/>
  <c r="O709" i="2"/>
  <c r="O693" i="2"/>
  <c r="O677" i="2"/>
  <c r="O661" i="2"/>
  <c r="O645" i="2"/>
  <c r="O629" i="2"/>
  <c r="O613" i="2"/>
  <c r="O597" i="2"/>
  <c r="O581" i="2"/>
  <c r="O565" i="2"/>
  <c r="O549" i="2"/>
  <c r="O533" i="2"/>
  <c r="O517" i="2"/>
  <c r="O501" i="2"/>
  <c r="O485" i="2"/>
  <c r="O469" i="2"/>
  <c r="O453" i="2"/>
  <c r="O448" i="2"/>
  <c r="O424" i="2"/>
  <c r="O400" i="2"/>
  <c r="O376" i="2"/>
  <c r="O352" i="2"/>
  <c r="O328" i="2"/>
  <c r="O304" i="2"/>
  <c r="O280" i="2"/>
  <c r="O256" i="2"/>
  <c r="O232" i="2"/>
  <c r="O208" i="2"/>
  <c r="O184" i="2"/>
  <c r="O160" i="2"/>
  <c r="O136" i="2"/>
  <c r="O112" i="2"/>
  <c r="O88" i="2"/>
  <c r="O64" i="2"/>
  <c r="O40" i="2"/>
  <c r="O16" i="2"/>
  <c r="O1368" i="2"/>
  <c r="O843" i="2"/>
  <c r="O433" i="2"/>
  <c r="O409" i="2"/>
  <c r="O385" i="2"/>
  <c r="O361" i="2"/>
  <c r="O337" i="2"/>
  <c r="O313" i="2"/>
  <c r="O289" i="2"/>
  <c r="O265" i="2"/>
  <c r="O241" i="2"/>
  <c r="O217" i="2"/>
  <c r="O193" i="2"/>
  <c r="O169" i="2"/>
  <c r="O145" i="2"/>
  <c r="O121" i="2"/>
  <c r="O97" i="2"/>
  <c r="O73" i="2"/>
  <c r="O49" i="2"/>
  <c r="O25" i="2"/>
  <c r="O2097" i="2"/>
  <c r="O1835" i="2"/>
  <c r="O1687" i="2"/>
  <c r="O1517" i="2"/>
  <c r="O432" i="2"/>
  <c r="O408" i="2"/>
  <c r="O384" i="2"/>
  <c r="O360" i="2"/>
  <c r="O336" i="2"/>
  <c r="O312" i="2"/>
  <c r="O288" i="2"/>
  <c r="O264" i="2"/>
  <c r="O240" i="2"/>
  <c r="O216" i="2"/>
  <c r="O192" i="2"/>
  <c r="O168" i="2"/>
  <c r="O144" i="2"/>
  <c r="O120" i="2"/>
  <c r="O96" i="2"/>
  <c r="O72" i="2"/>
  <c r="O48" i="2"/>
  <c r="O24" i="2"/>
  <c r="O2144" i="2"/>
  <c r="O1983" i="2"/>
  <c r="O1669" i="2"/>
  <c r="O1389" i="2"/>
  <c r="O1297" i="2"/>
  <c r="O852" i="2"/>
  <c r="O441" i="2"/>
  <c r="O417" i="2"/>
  <c r="O393" i="2"/>
  <c r="O369" i="2"/>
  <c r="O345" i="2"/>
  <c r="O321" i="2"/>
  <c r="O297" i="2"/>
  <c r="O273" i="2"/>
  <c r="O249" i="2"/>
  <c r="O225" i="2"/>
  <c r="O201" i="2"/>
  <c r="O177" i="2"/>
  <c r="O153" i="2"/>
  <c r="O129" i="2"/>
  <c r="O105" i="2"/>
  <c r="O81" i="2"/>
  <c r="O57" i="2"/>
  <c r="O33" i="2"/>
  <c r="O9" i="2"/>
  <c r="O1512" i="2"/>
  <c r="O1293" i="2"/>
  <c r="O1095" i="2"/>
  <c r="O903" i="2"/>
  <c r="O781" i="2"/>
  <c r="O685" i="2"/>
  <c r="O589" i="2"/>
  <c r="O493" i="2"/>
  <c r="O380" i="2"/>
  <c r="O284" i="2"/>
  <c r="O188" i="2"/>
  <c r="O92" i="2"/>
  <c r="O1263" i="2"/>
  <c r="O1071" i="2"/>
  <c r="O879" i="2"/>
  <c r="O809" i="2"/>
  <c r="O713" i="2"/>
  <c r="O617" i="2"/>
  <c r="O521" i="2"/>
  <c r="O436" i="2"/>
  <c r="O413" i="2"/>
  <c r="O340" i="2"/>
  <c r="O317" i="2"/>
  <c r="O244" i="2"/>
  <c r="O221" i="2"/>
  <c r="O148" i="2"/>
  <c r="O125" i="2"/>
  <c r="O1464" i="2"/>
  <c r="O1333" i="2"/>
  <c r="O1123" i="2"/>
  <c r="O931" i="2"/>
  <c r="O797" i="2"/>
  <c r="O701" i="2"/>
  <c r="O605" i="2"/>
  <c r="O509" i="2"/>
  <c r="O52" i="2"/>
  <c r="O41" i="2"/>
  <c r="O1588" i="2"/>
  <c r="O1099" i="2"/>
  <c r="O907" i="2"/>
  <c r="O729" i="2"/>
  <c r="O633" i="2"/>
  <c r="O537" i="2"/>
  <c r="O356" i="2"/>
  <c r="O260" i="2"/>
  <c r="O164" i="2"/>
  <c r="O68" i="2"/>
  <c r="O29" i="2"/>
  <c r="O2161" i="2"/>
  <c r="O1157" i="2"/>
  <c r="O965" i="2"/>
  <c r="O813" i="2"/>
  <c r="O717" i="2"/>
  <c r="O621" i="2"/>
  <c r="O525" i="2"/>
  <c r="O412" i="2"/>
  <c r="O389" i="2"/>
  <c r="O316" i="2"/>
  <c r="O293" i="2"/>
  <c r="O220" i="2"/>
  <c r="O197" i="2"/>
  <c r="O124" i="2"/>
  <c r="O101" i="2"/>
  <c r="O1373" i="2"/>
  <c r="O1308" i="2"/>
  <c r="O1133" i="2"/>
  <c r="O941" i="2"/>
  <c r="O848" i="2"/>
  <c r="O745" i="2"/>
  <c r="O649" i="2"/>
  <c r="O553" i="2"/>
  <c r="O457" i="2"/>
  <c r="O1191" i="2"/>
  <c r="O999" i="2"/>
  <c r="O733" i="2"/>
  <c r="O637" i="2"/>
  <c r="O541" i="2"/>
  <c r="O428" i="2"/>
  <c r="O332" i="2"/>
  <c r="O236" i="2"/>
  <c r="O140" i="2"/>
  <c r="O28" i="2"/>
  <c r="O17" i="2"/>
  <c r="O1167" i="2"/>
  <c r="O975" i="2"/>
  <c r="O761" i="2"/>
  <c r="O665" i="2"/>
  <c r="O569" i="2"/>
  <c r="O473" i="2"/>
  <c r="O388" i="2"/>
  <c r="O365" i="2"/>
  <c r="O292" i="2"/>
  <c r="O269" i="2"/>
  <c r="O196" i="2"/>
  <c r="O173" i="2"/>
  <c r="O100" i="2"/>
  <c r="O77" i="2"/>
  <c r="O44" i="2"/>
  <c r="O5" i="2"/>
  <c r="O1783" i="2"/>
  <c r="O1219" i="2"/>
  <c r="O1027" i="2"/>
  <c r="O749" i="2"/>
  <c r="O653" i="2"/>
  <c r="O557" i="2"/>
  <c r="O461" i="2"/>
  <c r="O1973" i="2"/>
  <c r="O1812" i="2"/>
  <c r="O1195" i="2"/>
  <c r="O1003" i="2"/>
  <c r="O777" i="2"/>
  <c r="O681" i="2"/>
  <c r="O585" i="2"/>
  <c r="O489" i="2"/>
  <c r="O404" i="2"/>
  <c r="O308" i="2"/>
  <c r="O212" i="2"/>
  <c r="O116" i="2"/>
  <c r="O1253" i="2"/>
  <c r="O669" i="2"/>
  <c r="O1229" i="2"/>
  <c r="O793" i="2"/>
  <c r="O437" i="2"/>
  <c r="O1061" i="2"/>
  <c r="O573" i="2"/>
  <c r="O4" i="2"/>
  <c r="O1037" i="2"/>
  <c r="O697" i="2"/>
  <c r="O341" i="2"/>
  <c r="O869" i="2"/>
  <c r="O477" i="2"/>
  <c r="O364" i="2"/>
  <c r="O601" i="2"/>
  <c r="O245" i="2"/>
  <c r="O20" i="2"/>
  <c r="O268" i="2"/>
  <c r="O65" i="2"/>
  <c r="O1955" i="2"/>
  <c r="O765" i="2"/>
  <c r="O76" i="2"/>
  <c r="O53" i="2"/>
  <c r="O505" i="2"/>
  <c r="O149" i="2"/>
  <c r="O1501" i="2"/>
  <c r="O172" i="2"/>
</calcChain>
</file>

<file path=xl/sharedStrings.xml><?xml version="1.0" encoding="utf-8"?>
<sst xmlns="http://schemas.openxmlformats.org/spreadsheetml/2006/main" count="45793" uniqueCount="1407">
  <si>
    <t>Choose the Programming Language for the Prompt</t>
  </si>
  <si>
    <t>Python</t>
  </si>
  <si>
    <t>Choose the Language for the Answer</t>
  </si>
  <si>
    <t>English</t>
  </si>
  <si>
    <t>ID</t>
  </si>
  <si>
    <t>Problem Name</t>
  </si>
  <si>
    <t>Likes</t>
  </si>
  <si>
    <t>Dislikes</t>
  </si>
  <si>
    <t>Like
Ratio</t>
  </si>
  <si>
    <t>Topics</t>
  </si>
  <si>
    <t>Difficulty</t>
  </si>
  <si>
    <t>Accepted</t>
  </si>
  <si>
    <t>Submissions</t>
  </si>
  <si>
    <t>Accept
Rate</t>
  </si>
  <si>
    <t>Free?</t>
  </si>
  <si>
    <t>Solution?</t>
  </si>
  <si>
    <t>Video
Solution?</t>
  </si>
  <si>
    <t>Category</t>
  </si>
  <si>
    <t>LLM Prompt</t>
  </si>
  <si>
    <t>Array, Hash Table</t>
  </si>
  <si>
    <t>Easy</t>
  </si>
  <si>
    <t>Yes</t>
  </si>
  <si>
    <t>Algorithms</t>
  </si>
  <si>
    <t>Hash Table, String, Sliding Window</t>
  </si>
  <si>
    <t>Medium</t>
  </si>
  <si>
    <t>Array, Divide and Conquer, Dynamic Programming</t>
  </si>
  <si>
    <t>Linked List, Math, Recursion</t>
  </si>
  <si>
    <t>Array, Two Pointers, Dynamic Programming, Stack, Monotonic Stack</t>
  </si>
  <si>
    <t>Hard</t>
  </si>
  <si>
    <t>No</t>
  </si>
  <si>
    <t>Array, Dynamic Programming</t>
  </si>
  <si>
    <t>Array, Two Pointers, Sorting</t>
  </si>
  <si>
    <t>Array, Two Pointers, Greedy</t>
  </si>
  <si>
    <t>Two Pointers, String, Dynamic Programming</t>
  </si>
  <si>
    <t>Array, Binary Search, Divide and Conquer</t>
  </si>
  <si>
    <t>Array, Binary Search</t>
  </si>
  <si>
    <t>String, Stack</t>
  </si>
  <si>
    <t>Array, Prefix Sum</t>
  </si>
  <si>
    <t>Array, Two Pointers, Binary Search, Bit Manipulation</t>
  </si>
  <si>
    <t>Array, Hash Table, Prefix Sum</t>
  </si>
  <si>
    <t>Array, Depth-First Search, Breadth-First Search, Union-Find, Matrix</t>
  </si>
  <si>
    <t>Linked List, Recursion</t>
  </si>
  <si>
    <t>Array, Sorting</t>
  </si>
  <si>
    <t>Math, Dynamic Programming, Memoization</t>
  </si>
  <si>
    <t>String, Dynamic Programming, Backtracking</t>
  </si>
  <si>
    <t>Hash Table, Linked List, Design, Doubly-Linked List</t>
  </si>
  <si>
    <t>Array, Hash Table, Union-Find</t>
  </si>
  <si>
    <t>Array, Binary Search, Dynamic Programming</t>
  </si>
  <si>
    <t>Array, Hash Table, Divide and Conquer, Sorting, Counting</t>
  </si>
  <si>
    <t>Array, Hash Table, String, Sorting</t>
  </si>
  <si>
    <t>Array, Dynamic Programming, Greedy</t>
  </si>
  <si>
    <t>Array, Two Pointers</t>
  </si>
  <si>
    <t>Linked List, Divide and Conquer, Heap (Priority Queue), Merge Sort</t>
  </si>
  <si>
    <t>Linked List, Two Pointers</t>
  </si>
  <si>
    <t>Array, String, Trie</t>
  </si>
  <si>
    <t>Array, Math, Two Pointers</t>
  </si>
  <si>
    <t>Array, Backtracking</t>
  </si>
  <si>
    <t>Array, Dynamic Programming, Breadth-First Search</t>
  </si>
  <si>
    <t>Hash Table, String, Backtracking</t>
  </si>
  <si>
    <t>Array, Queue, Sliding Window, Heap (Priority Queue), Monotonic Queue</t>
  </si>
  <si>
    <t>Array, Math, Matrix</t>
  </si>
  <si>
    <t>Array, Stack, Monotonic Stack</t>
  </si>
  <si>
    <t>Array, Hash Table, Divide and Conquer, Sorting, Heap (Priority Queue), Bucket Sort, Counting, Quickselect</t>
  </si>
  <si>
    <t>Array, Backtracking, Bit Manipulation</t>
  </si>
  <si>
    <t>Array, Divide and Conquer, Sorting, Heap (Priority Queue), Quickselect</t>
  </si>
  <si>
    <t>Array, Bit Manipulation</t>
  </si>
  <si>
    <t>Array, Hash Table, String, Dynamic Programming, Trie, Memoization</t>
  </si>
  <si>
    <t>Tree, Depth-First Search, Binary Tree</t>
  </si>
  <si>
    <t>Dynamic Programming, Tree, Depth-First Search, Binary Tree</t>
  </si>
  <si>
    <t>Tree, Depth-First Search, Binary Search Tree, Binary Tree</t>
  </si>
  <si>
    <t>Math, Dynamic Programming, Combinatorics</t>
  </si>
  <si>
    <t>Linked List, Two Pointers, Stack, Recursion</t>
  </si>
  <si>
    <t>Depth-First Search, Breadth-First Search, Graph Theory, Topological Sort</t>
  </si>
  <si>
    <t>Array, Binary Search, Matrix</t>
  </si>
  <si>
    <t>Array, String, Backtracking, Depth-First Search, Matrix</t>
  </si>
  <si>
    <t>Hash Table, Math, String</t>
  </si>
  <si>
    <t>Hash Table, Linked List, Two Pointers</t>
  </si>
  <si>
    <t>Array, Matrix, Simulation</t>
  </si>
  <si>
    <t>Array, Hash Table, Matrix</t>
  </si>
  <si>
    <t>Tree, Breadth-First Search, Binary Tree</t>
  </si>
  <si>
    <t>Tree, Depth-First Search, Breadth-First Search, Binary Tree</t>
  </si>
  <si>
    <t>Array, Hash Table, Divide and Conquer, Tree, Binary Tree</t>
  </si>
  <si>
    <t>String, Dynamic Programming</t>
  </si>
  <si>
    <t>Stack, Design</t>
  </si>
  <si>
    <t>Math</t>
  </si>
  <si>
    <t>Hash Table, Linked List</t>
  </si>
  <si>
    <t>Array, Breadth-First Search, Matrix</t>
  </si>
  <si>
    <t>Stack, Tree, Depth-First Search, Binary Tree</t>
  </si>
  <si>
    <t>Array, Binary Search, Sliding Window, Prefix Sum</t>
  </si>
  <si>
    <t>Array, Hash Table, Math, Binary Search, Bit Manipulation, Sorting</t>
  </si>
  <si>
    <t>Hash Table, String, Sorting</t>
  </si>
  <si>
    <t>String, Stack, Recursion</t>
  </si>
  <si>
    <t>Array, Hash Table, Sorting</t>
  </si>
  <si>
    <t>Linked List, Stack, Tree, Depth-First Search, Binary Tree</t>
  </si>
  <si>
    <t>Array, Dynamic Programming, Matrix</t>
  </si>
  <si>
    <t>Hash Table, String, Breadth-First Search</t>
  </si>
  <si>
    <t>Array, Greedy</t>
  </si>
  <si>
    <t>Array, Two Pointers, Binary Search</t>
  </si>
  <si>
    <t>String, Dynamic Programming, Stack</t>
  </si>
  <si>
    <t>String, Dynamic Programming, Recursion</t>
  </si>
  <si>
    <t>Two Pointers, Design, Sorting, Heap (Priority Queue), Data Stream</t>
  </si>
  <si>
    <t>Array, Binary Search, Divide and Conquer, Matrix</t>
  </si>
  <si>
    <t>Linked List, Two Pointers, Divide and Conquer, Sorting, Merge Sort</t>
  </si>
  <si>
    <t>Hash Table, Two Pointers, String, Sliding Window</t>
  </si>
  <si>
    <t>Linked List</t>
  </si>
  <si>
    <t>Hash Table, String, Design, Trie</t>
  </si>
  <si>
    <t>Array, Dynamic Programming, Backtracking</t>
  </si>
  <si>
    <t>Hash Table, Tree, Depth-First Search, Breadth-First Search, Binary Tree</t>
  </si>
  <si>
    <t>Array, Dynamic Programming, Stack, Matrix, Monotonic Stack</t>
  </si>
  <si>
    <t>Dynamic Programming, Bit Manipulation</t>
  </si>
  <si>
    <t>Array, Divide and Conquer, Tree, Binary Search Tree, Binary Tree</t>
  </si>
  <si>
    <t>Hash Table, Math, Two Pointers</t>
  </si>
  <si>
    <t>Math, Dynamic Programming, Breadth-First Search</t>
  </si>
  <si>
    <t>Array</t>
  </si>
  <si>
    <t>Array, Hash Table, Greedy, Sorting, Heap (Priority Queue), Counting</t>
  </si>
  <si>
    <t>Array, Math</t>
  </si>
  <si>
    <t>Math, Recursion</t>
  </si>
  <si>
    <t>Two Pointers, String</t>
  </si>
  <si>
    <t>Array, Binary Search, Dynamic Programming, Greedy, Prefix Sum</t>
  </si>
  <si>
    <t>Hash Table, Two Pointers, String, Greedy</t>
  </si>
  <si>
    <t>Dynamic Programming, Depth-First Search, Breadth-First Search, Graph Theory, Heap (Priority Queue), Shortest Path</t>
  </si>
  <si>
    <t>String, Tree, Depth-First Search, Breadth-First Search, Design, Binary Tree</t>
  </si>
  <si>
    <t>Depth-First Search, Breadth-First Search, Union-Find, Graph Theory</t>
  </si>
  <si>
    <t>Array, Hash Table, Backtracking, Matrix</t>
  </si>
  <si>
    <t>Math, Dynamic Programming, Tree, Binary Search Tree, Binary Tree</t>
  </si>
  <si>
    <t>Array, Hash Table, Sorting, Counting</t>
  </si>
  <si>
    <t>Math, String, Bit Manipulation, Simulation</t>
  </si>
  <si>
    <t>Array, Dynamic Programming, Breadth-First Search, Matrix</t>
  </si>
  <si>
    <t>Hash Table, Depth-First Search, Breadth-First Search, Graph Theory</t>
  </si>
  <si>
    <t>String, Stack, Greedy, Monotonic Stack</t>
  </si>
  <si>
    <t>Array, Binary Search, Sorting, Heap (Priority Queue), Matrix</t>
  </si>
  <si>
    <t>Hash Table, String</t>
  </si>
  <si>
    <t>Linked List, Tree, Depth-First Search, Breadth-First Search, Binary Tree</t>
  </si>
  <si>
    <t>Tree, Binary Search Tree, Binary Tree</t>
  </si>
  <si>
    <t>Array, String, Depth-First Search, Breadth-First Search, Union-Find, Graph Theory, Shortest Path</t>
  </si>
  <si>
    <t>Array, String, Backtracking, Trie, Matrix</t>
  </si>
  <si>
    <t>Array, Hash Table, Math, Design, Randomized</t>
  </si>
  <si>
    <t>Hash Table, String, Queue, Counting</t>
  </si>
  <si>
    <t>Array, Hash Table, Stack, Monotonic Stack</t>
  </si>
  <si>
    <t>Math, Binary Search</t>
  </si>
  <si>
    <t>Array, Dynamic Programming, Depth-First Search, Breadth-First Search, Graph Theory, Topological Sort, Memoization, Matrix</t>
  </si>
  <si>
    <t>Binary Search, Bit Manipulation, Tree, Binary Tree</t>
  </si>
  <si>
    <t>Array, String, Greedy, Sorting</t>
  </si>
  <si>
    <t>Array, Depth-First Search, Breadth-First Search, Matrix</t>
  </si>
  <si>
    <t>Math, Dynamic Programming, Recursion, Memoization</t>
  </si>
  <si>
    <t>Array, Stack, Simulation</t>
  </si>
  <si>
    <t>String</t>
  </si>
  <si>
    <t>Array, Binary Search, Divide and Conquer, Binary Indexed Tree, Segment Tree, Merge Sort, Ordered Set</t>
  </si>
  <si>
    <t>Hash Table, String, Greedy, Sorting, Heap (Priority Queue), Counting</t>
  </si>
  <si>
    <t>Stack, Tree, Design, Binary Search Tree, Binary Tree, Iterator</t>
  </si>
  <si>
    <t>Hash Table, String, Sorting, Heap (Priority Queue), Bucket Sort, Counting</t>
  </si>
  <si>
    <t>Array, Dynamic Programming, Stack, Monotonic Stack</t>
  </si>
  <si>
    <t>Array, Backtracking, Sorting</t>
  </si>
  <si>
    <t>String, Dynamic Programming, Greedy, Recursion</t>
  </si>
  <si>
    <t>Array, Dynamic Programming, Greedy, Sorting</t>
  </si>
  <si>
    <t>Array, Math, Divide and Conquer, Geometry, Sorting, Heap (Priority Queue), Quickselect</t>
  </si>
  <si>
    <t>Array, Two Pointers, Binary Search, Sliding Window, Sorting, Heap (Priority Queue)</t>
  </si>
  <si>
    <t>Binary Search, Interactive</t>
  </si>
  <si>
    <t>Two Pointers, String, Greedy</t>
  </si>
  <si>
    <t>Backtracking</t>
  </si>
  <si>
    <t>Tree, Depth-First Search, String Matching, Binary Tree, Hash Function</t>
  </si>
  <si>
    <t>Array, Math, Enumeration, Number Theory</t>
  </si>
  <si>
    <t>Array, Math, Stack</t>
  </si>
  <si>
    <t>Hash Table, Tree, Depth-First Search, Breadth-First Search, Sorting, Binary Tree</t>
  </si>
  <si>
    <t>Backtracking, Tree, Depth-First Search, Binary Tree</t>
  </si>
  <si>
    <t>Stack, Design, Queue</t>
  </si>
  <si>
    <t>Depth-First Search, Breadth-First Search, Graph Theory, Heap (Priority Queue), Shortest Path</t>
  </si>
  <si>
    <t>Array, Hash Table, Two Pointers, Binary Search, Sorting</t>
  </si>
  <si>
    <t>String, Depth-First Search, Design, Trie</t>
  </si>
  <si>
    <t>Array, Greedy, Sorting</t>
  </si>
  <si>
    <t>Array, Two Pointers, Stack, Greedy, Sorting, Monotonic Stack</t>
  </si>
  <si>
    <t>Array, Hash Table, String, Trie, Sorting, Heap (Priority Queue), Bucket Sort, Counting</t>
  </si>
  <si>
    <t>Math, Bit Manipulation, Recursion</t>
  </si>
  <si>
    <t>Dynamic Programming, Backtracking, Tree, Binary Search Tree, Binary Tree</t>
  </si>
  <si>
    <t>Array, Hash Table, Dynamic Programming</t>
  </si>
  <si>
    <t>Two Pointers, String, Stack, Simulation</t>
  </si>
  <si>
    <t>Linked List, Divide and Conquer, Tree, Binary Search Tree, Binary Tree</t>
  </si>
  <si>
    <t>Array, Hash Table, Two Pointers, String, Dynamic Programming, Sorting</t>
  </si>
  <si>
    <t>Math, String, Simulation</t>
  </si>
  <si>
    <t>Array, Hash Table, String, Depth-First Search, Breadth-First Search, Union-Find, Sorting</t>
  </si>
  <si>
    <t>Backtracking, Depth-First Search, Breadth-First Search, Graph Theory</t>
  </si>
  <si>
    <t>Array, Binary Search, Stack, Monotonic Stack, Ordered Set</t>
  </si>
  <si>
    <t>Array, Hash Table, String, Dynamic Programming, Backtracking, Trie, Memoization</t>
  </si>
  <si>
    <t>Array, Dynamic Programming, Backtracking, Bit Manipulation, Memoization, Bitmask</t>
  </si>
  <si>
    <t>Two Pointers, String, String Matching</t>
  </si>
  <si>
    <t>Array, Hash Table, Sliding Window</t>
  </si>
  <si>
    <t>Array, Dynamic Programming, Binary Indexed Tree, Segment Tree</t>
  </si>
  <si>
    <t>Array, Divide and Conquer, Dynamic Programming, Queue, Monotonic Queue</t>
  </si>
  <si>
    <t>Array, Binary Search, Dynamic Programming, Sorting</t>
  </si>
  <si>
    <t>Hash Table, Two Pointers, Tree, Depth-First Search, Breadth-First Search, Binary Search Tree, Binary Tree</t>
  </si>
  <si>
    <t>Array, Binary Indexed Tree, Segment Tree, Sorting</t>
  </si>
  <si>
    <t>Array, Two Pointers, Greedy, Sorting, Heap (Priority Queue), Prefix Sum</t>
  </si>
  <si>
    <t>String, Backtracking, Tree, Depth-First Search, Binary Tree</t>
  </si>
  <si>
    <t>Stack, Design, Monotonic Stack, Data Stream</t>
  </si>
  <si>
    <t>Array, Divide and Conquer, Sorting, Heap (Priority Queue), Merge Sort, Bucket Sort, Radix Sort, Counting Sort</t>
  </si>
  <si>
    <t>Divide and Conquer, Bit Manipulation</t>
  </si>
  <si>
    <t>Array, Binary Search, Dynamic Programming, Sliding Window, Rolling Hash, Hash Function</t>
  </si>
  <si>
    <t>Array, Sliding Window, Prefix Sum</t>
  </si>
  <si>
    <t>String, Dynamic Programming, Stack, Greedy</t>
  </si>
  <si>
    <t>Array, Hash Table, Graph Theory</t>
  </si>
  <si>
    <t>Math, String, Stack, Recursion</t>
  </si>
  <si>
    <t>Array, Hash Table, Math, Prefix Sum</t>
  </si>
  <si>
    <t>Array, Heap (Priority Queue)</t>
  </si>
  <si>
    <t>Array, Two Pointers, Greedy, Sorting</t>
  </si>
  <si>
    <t>Array, Hash Table, Sliding Window, Counting</t>
  </si>
  <si>
    <t>Hash Table, Math, Dynamic Programming, Heap (Priority Queue)</t>
  </si>
  <si>
    <t>Array, Math, Dynamic Programming, Sorting</t>
  </si>
  <si>
    <t>String, String Matching</t>
  </si>
  <si>
    <t>Array, Binary Search, Depth-First Search, Breadth-First Search, Union-Find, Heap (Priority Queue), Matrix</t>
  </si>
  <si>
    <t>Array, Stack, Tree, Binary Search Tree, Monotonic Stack, Binary Tree</t>
  </si>
  <si>
    <t>Hash Table, String, Divide and Conquer, Sliding Window</t>
  </si>
  <si>
    <t>Depth-First Search, Graph Theory, Biconnected Component</t>
  </si>
  <si>
    <t>Depth-First Search, Breadth-First Search, Graph Theory</t>
  </si>
  <si>
    <t>Math, String, Stack</t>
  </si>
  <si>
    <t>Hash Table, String, Backtracking, Breadth-First Search</t>
  </si>
  <si>
    <t>Hash Table, Depth-First Search, Union-Find, Graph Theory</t>
  </si>
  <si>
    <t>Tree, Design, Binary Search Tree, Heap (Priority Queue), Binary Tree, Data Stream</t>
  </si>
  <si>
    <t>Hash Table, String, Greedy</t>
  </si>
  <si>
    <t>Math, String, Dynamic Programming, Recursion, Memoization</t>
  </si>
  <si>
    <t>Array, String, Depth-First Search, Graph Theory, Sorting, Heap (Priority Queue), Eulerian Circuit</t>
  </si>
  <si>
    <t>Array, Divide and Conquer, Binary Indexed Tree, Segment Tree, Sweep Line, Sorting, Heap (Priority Queue), Ordered Set</t>
  </si>
  <si>
    <t>Array, Greedy, Heap (Priority Queue)</t>
  </si>
  <si>
    <t>Linked List, Math, Stack</t>
  </si>
  <si>
    <t>Array, Math, Dynamic Programming, Recursion, Game Theory</t>
  </si>
  <si>
    <t>Hash Table, Tree, Depth-First Search, Binary Tree</t>
  </si>
  <si>
    <t>Array, String, Dynamic Programming</t>
  </si>
  <si>
    <t>String, Backtracking, Breadth-First Search</t>
  </si>
  <si>
    <t>Math, Bit Manipulation</t>
  </si>
  <si>
    <t>Math, String</t>
  </si>
  <si>
    <t>Array, Hash Table, Sorting, Counting Sort</t>
  </si>
  <si>
    <t>Dynamic Programming, Tree, Depth-First Search, Graph Theory</t>
  </si>
  <si>
    <t>Array, Hash Table, Bit Manipulation, Trie</t>
  </si>
  <si>
    <t>Array, Two Pointers, Sweep Line</t>
  </si>
  <si>
    <t>Array, Hash Table, Math, Counting</t>
  </si>
  <si>
    <t>Array, Hash Table, String, Binary Search, Dynamic Programming, Trie, Sorting</t>
  </si>
  <si>
    <t>Array, Hash Table, Binary Search, Sliding Window, Prefix Sum</t>
  </si>
  <si>
    <t>Array, Binary Search, Greedy, Sliding Window, Sorting, Prefix Sum</t>
  </si>
  <si>
    <t>Hash Table, String, Counting</t>
  </si>
  <si>
    <t>String, Backtracking</t>
  </si>
  <si>
    <t>Array, Dynamic Programming, Sliding Window</t>
  </si>
  <si>
    <t>Array, Union-Find, Graph Theory, Minimum Spanning Tree</t>
  </si>
  <si>
    <t>Array, Backtracking, Bit Manipulation, Matrix</t>
  </si>
  <si>
    <t>Math, Simulation, Number Theory</t>
  </si>
  <si>
    <t>Hash Table, String, Bit Manipulation, Sorting</t>
  </si>
  <si>
    <t>Linked List, Depth-First Search, Doubly-Linked List</t>
  </si>
  <si>
    <t>Array, Divide and Conquer, Stack, Tree, Monotonic Stack, Binary Tree</t>
  </si>
  <si>
    <t>Array, Hash Table, Linked List, Design, Hash Function</t>
  </si>
  <si>
    <t>Array, Hash Table, Bit Manipulation, Sorting</t>
  </si>
  <si>
    <t>Array, Hash Table, Math, Sliding Window, Prefix Sum</t>
  </si>
  <si>
    <t>Array, Design, Matrix, Prefix Sum</t>
  </si>
  <si>
    <t>Math, Dynamic Programming</t>
  </si>
  <si>
    <t>Dynamic Programming</t>
  </si>
  <si>
    <t>Hash Table, String, Binary Search, Design</t>
  </si>
  <si>
    <t>Dynamic Programming, Tree, Recursion, Memoization, Binary Tree</t>
  </si>
  <si>
    <t>Array, Binary Search, Queue, Sliding Window, Heap (Priority Queue), Prefix Sum, Monotonic Queue</t>
  </si>
  <si>
    <t>Array, Divide and Conquer, Design, Binary Indexed Tree, Segment Tree</t>
  </si>
  <si>
    <t>Array, String, Binary Search, Trie, Sorting, Heap (Priority Queue)</t>
  </si>
  <si>
    <t>Array, Hash Table, String, Breadth-First Search</t>
  </si>
  <si>
    <t>Array, Hash Table, String</t>
  </si>
  <si>
    <t>Stack, Tree, Depth-First Search, Design, Queue, Iterator</t>
  </si>
  <si>
    <t>Hash Table, String, Greedy, Sorting</t>
  </si>
  <si>
    <t>Array, Breadth-First Search, Heap (Priority Queue), Matrix</t>
  </si>
  <si>
    <t>Hash Table, Stack, Design, Ordered Set</t>
  </si>
  <si>
    <t>String, Stack, Greedy</t>
  </si>
  <si>
    <t>Array, Hash Table, Binary Search, Dynamic Programming</t>
  </si>
  <si>
    <t>Array, Dynamic Programming, Greedy, Heap (Priority Queue)</t>
  </si>
  <si>
    <t>Array, Matrix</t>
  </si>
  <si>
    <t>String, Backtracking, Bit Manipulation</t>
  </si>
  <si>
    <t>Array, Sorting, Heap (Priority Queue), Simulation, Prefix Sum</t>
  </si>
  <si>
    <t>Array, Binary Search, Design, Segment Tree, Ordered Set</t>
  </si>
  <si>
    <t>Array, Dynamic Programming, Sorting</t>
  </si>
  <si>
    <t>Array, Hash Table, Tree, Depth-First Search, Binary Tree</t>
  </si>
  <si>
    <t>Array, Hash Table, Sliding Window, Prefix Sum</t>
  </si>
  <si>
    <t>Tree, Depth-First Search, Breadth-First Search, Binary Search Tree, Binary Tree</t>
  </si>
  <si>
    <t>Array, String, Depth-First Search, Breadth-First Search, Graph Theory, Topological Sort</t>
  </si>
  <si>
    <t>Linked List, Math</t>
  </si>
  <si>
    <t>Array, Hash Table, Breadth-First Search</t>
  </si>
  <si>
    <t>Array, Two Pointers, Binary Search, Sorting</t>
  </si>
  <si>
    <t>Hash Table, Linked List, Design, Heap (Priority Queue)</t>
  </si>
  <si>
    <t>Array, Hash Table, String, Trie</t>
  </si>
  <si>
    <t>Dynamic Programming, Bit Manipulation, Breadth-First Search, Graph Theory, Bitmask</t>
  </si>
  <si>
    <t>Array, Hash Table, Greedy, Heap (Priority Queue)</t>
  </si>
  <si>
    <t>Array, String, Backtracking, Bit Manipulation</t>
  </si>
  <si>
    <t>String, Rolling Hash, String Matching, Hash Function</t>
  </si>
  <si>
    <t>Array, Math, Sorting</t>
  </si>
  <si>
    <t>Array, String, Simulation</t>
  </si>
  <si>
    <t>Array, Hash Table, Math, Geometry</t>
  </si>
  <si>
    <t>Array, Queue, Sliding Window, Heap (Priority Queue), Ordered Set, Monotonic Queue</t>
  </si>
  <si>
    <t>Stack, Tree, Depth-First Search, Binary Search Tree, Binary Tree</t>
  </si>
  <si>
    <t>Array, Dynamic Programming, Stack, Greedy, Monotonic Stack</t>
  </si>
  <si>
    <t>Array, Two Pointers, Binary Search, Greedy, Sorting</t>
  </si>
  <si>
    <t>Array, Hash Table, Greedy, Sliding Window, Sorting, Heap (Priority Queue)</t>
  </si>
  <si>
    <t>Array, String, Dynamic Programming, Greedy</t>
  </si>
  <si>
    <t>Array, Depth-First Search, Breadth-First Search</t>
  </si>
  <si>
    <t>Array, Hash Table, Counting</t>
  </si>
  <si>
    <t>Array, Sliding Window</t>
  </si>
  <si>
    <t>Math, Greedy</t>
  </si>
  <si>
    <t>Database</t>
  </si>
  <si>
    <t>Bit Manipulation</t>
  </si>
  <si>
    <t>Array, Stack, Sorting, Monotonic Stack</t>
  </si>
  <si>
    <t>Tree, Depth-First Search, Breadth-First Search</t>
  </si>
  <si>
    <t>Divide and Conquer, Greedy, Tree, Depth-First Search, Binary Search Tree, Binary Tree</t>
  </si>
  <si>
    <t>Array, Greedy, Sorting, Heap (Priority Queue)</t>
  </si>
  <si>
    <t>Array, Two Pointers, Simulation</t>
  </si>
  <si>
    <t>Array, Linked List, Stack, Design, Doubly-Linked List, Data Stream</t>
  </si>
  <si>
    <t>Hash Table, String, Sorting, Counting</t>
  </si>
  <si>
    <t>Array, Simulation</t>
  </si>
  <si>
    <t>Array, Math, Recursion, Queue, Simulation</t>
  </si>
  <si>
    <t>Array, String, Dynamic Programming, Depth-First Search, Trie, Sorting</t>
  </si>
  <si>
    <t>Array, Dynamic Programming, Backtracking, Bit Manipulation, Bitmask</t>
  </si>
  <si>
    <t>Array, String, Union-Find, Graph Theory</t>
  </si>
  <si>
    <t>Array, Hash Table, Depth-First Search, Breadth-First Search, Union-Find, Matrix</t>
  </si>
  <si>
    <t>Math, Two Pointers, String</t>
  </si>
  <si>
    <t>Array, Hash Table, Binary Search, Design</t>
  </si>
  <si>
    <t>String, Sliding Window</t>
  </si>
  <si>
    <t>Linked List, Two Pointers, Stack</t>
  </si>
  <si>
    <t>Array, Hash Table, Matrix, Prefix Sum</t>
  </si>
  <si>
    <t>Array, Math, Prefix Sum</t>
  </si>
  <si>
    <t>Array, Graph Theory, Heap (Priority Queue), Shortest Path</t>
  </si>
  <si>
    <t>Graph Theory</t>
  </si>
  <si>
    <t>Hash Table, Tree, Depth-First Search, Breadth-First Search</t>
  </si>
  <si>
    <t>Dynamic Programming, Graph Theory, Topological Sort, Shortest Path</t>
  </si>
  <si>
    <t>Math, String, Recursion</t>
  </si>
  <si>
    <t>Array, Linked List, Design, Queue</t>
  </si>
  <si>
    <t>Math, Binary Search, Dynamic Programming</t>
  </si>
  <si>
    <t>Array, Hash Table, Backtracking, Bit Manipulation</t>
  </si>
  <si>
    <t>Array, Design, Prefix Sum</t>
  </si>
  <si>
    <t>Array, Queue, Sliding Window, Monotonic Queue</t>
  </si>
  <si>
    <t>Math, String, Backtracking</t>
  </si>
  <si>
    <t>Tree, Breadth-First Search</t>
  </si>
  <si>
    <t>Array, Two Pointers, Binary Search, Dynamic Programming, Bit Manipulation, Sorting, Ordered Set, Bitmask</t>
  </si>
  <si>
    <t>Breadth-First Search, Graph Theory</t>
  </si>
  <si>
    <t>Array, Two Pointers, Bit Manipulation, Matrix, Simulation</t>
  </si>
  <si>
    <t>Array, Hash Table, Greedy, Sorting</t>
  </si>
  <si>
    <t>Array, Queue, Sorting, Simulation</t>
  </si>
  <si>
    <t>Array, Stack, Greedy, Sorting, Monotonic Stack</t>
  </si>
  <si>
    <t>Array, String, Bit Manipulation</t>
  </si>
  <si>
    <t>Hash Table, String, Bit Manipulation, Sliding Window, Rolling Hash, Hash Function</t>
  </si>
  <si>
    <t>Dynamic Programming, Graph Theory, Shortest Path</t>
  </si>
  <si>
    <t>String, Tree, Depth-First Search, Breadth-First Search, Design, Binary Search Tree, Binary Tree</t>
  </si>
  <si>
    <t>Hash Table, String, Design</t>
  </si>
  <si>
    <t>Array, Binary Search, Interactive</t>
  </si>
  <si>
    <t>Array, Binary Search, Matrix, Prefix Sum, Ordered Set</t>
  </si>
  <si>
    <t>Array, Sorting, Matrix</t>
  </si>
  <si>
    <t>Array, Hash Table, Sliding Window, Heap (Priority Queue)</t>
  </si>
  <si>
    <t>Array, Dynamic Programming, Queue, Heap (Priority Queue), Monotonic Queue</t>
  </si>
  <si>
    <t>Array, Sorting, Bucket Sort, Radix Sort</t>
  </si>
  <si>
    <t>Array, Hash Table, Two Pointers, Sorting</t>
  </si>
  <si>
    <t>Array, Linked List, Stack, Monotonic Stack</t>
  </si>
  <si>
    <t>Array, Math, Dynamic Programming, Game Theory</t>
  </si>
  <si>
    <t>Array, Sorting, Heap (Priority Queue)</t>
  </si>
  <si>
    <t>Math, Two Pointers, Binary Search</t>
  </si>
  <si>
    <t>Array, Math, Dynamic Programming, Prefix Sum, Game Theory</t>
  </si>
  <si>
    <t>Array, Backtracking, Matrix</t>
  </si>
  <si>
    <t>Array, Math, Greedy, Sorting</t>
  </si>
  <si>
    <t>Linked List, Sorting</t>
  </si>
  <si>
    <t>Array, Hash Table, Dynamic Programming, Sorting</t>
  </si>
  <si>
    <t>Array, Math, Depth-First Search, Breadth-First Search, Graph Theory, Geometry</t>
  </si>
  <si>
    <t>Array, Hash Table, Greedy, Sorting, Heap (Priority Queue)</t>
  </si>
  <si>
    <t>Bit Manipulation, Tree, Depth-First Search, Breadth-First Search, Binary Tree</t>
  </si>
  <si>
    <t>Array, Two Pointers, String</t>
  </si>
  <si>
    <t>Stack, Tree, Depth-First Search</t>
  </si>
  <si>
    <t>String, Tree, Depth-First Search, Binary Tree</t>
  </si>
  <si>
    <t>Array, Divide and Conquer, Greedy, Sorting, Quickselect</t>
  </si>
  <si>
    <t>Linked List, Math, Reservoir Sampling, Randomized</t>
  </si>
  <si>
    <t>String, Stack, Simulation</t>
  </si>
  <si>
    <t>Tree, Depth-First Search, Binary Search Tree, Sorting, Binary Tree</t>
  </si>
  <si>
    <t>Array, Binary Search, Sorting</t>
  </si>
  <si>
    <t>Array, Hash Table, Greedy</t>
  </si>
  <si>
    <t>Array, String</t>
  </si>
  <si>
    <t>Hash Table, String, Backtracking, Counting</t>
  </si>
  <si>
    <t>Depth-First Search, Trie</t>
  </si>
  <si>
    <t>Array, String, Prefix Sum</t>
  </si>
  <si>
    <t>Array, Greedy, Heap (Priority Queue), Ordered Set</t>
  </si>
  <si>
    <t>String, Binary Search, Sliding Window, Prefix Sum</t>
  </si>
  <si>
    <t>Linked List, Design</t>
  </si>
  <si>
    <t>Array, Two Pointers, Dynamic Programming, Enumeration</t>
  </si>
  <si>
    <t>Linked List, Tree, Depth-First Search, Binary Tree</t>
  </si>
  <si>
    <t>Two Pointers, Graph Theory, Interactive</t>
  </si>
  <si>
    <t>Dynamic Programming, Tree, Depth-First Search, Binary Search Tree, Binary Tree</t>
  </si>
  <si>
    <t>Array, Hash Table, String, Greedy, Counting</t>
  </si>
  <si>
    <t>Math, Brainteaser</t>
  </si>
  <si>
    <t>Array, Binary Search, Dynamic Programming, Greedy, Sorting</t>
  </si>
  <si>
    <t>Enumeration</t>
  </si>
  <si>
    <t>String, Greedy, Counting</t>
  </si>
  <si>
    <t>Backtracking, Interactive</t>
  </si>
  <si>
    <t>Backtracking, Breadth-First Search</t>
  </si>
  <si>
    <t>String, Union-Find</t>
  </si>
  <si>
    <t>Hash Table, String, Bit Manipulation, Prefix Sum</t>
  </si>
  <si>
    <t>Array, Hash Table, Greedy, Counting</t>
  </si>
  <si>
    <t>Array, Two Pointers, Stack, Monotonic Stack</t>
  </si>
  <si>
    <t>Math, Dynamic Programming, Bit Manipulation, Memoization, Game Theory, Bitmask</t>
  </si>
  <si>
    <t>Array, Hash Table, Sliding Window, Sorting, Counting</t>
  </si>
  <si>
    <t>String, Greedy, Heap (Priority Queue)</t>
  </si>
  <si>
    <t>Array, Greedy, Sorting, Counting</t>
  </si>
  <si>
    <t>String, Greedy, Queue</t>
  </si>
  <si>
    <t>Array, Dynamic Programming, Backtracking, Breadth-First Search, Memoization, Matrix</t>
  </si>
  <si>
    <t>Array, Math, Geometry</t>
  </si>
  <si>
    <t>Linked List, Stack, Tree, Depth-First Search, Binary Search Tree, Binary Tree, Doubly-Linked List</t>
  </si>
  <si>
    <t>Math, Binary Search, Greedy</t>
  </si>
  <si>
    <t>Array, Stack, Queue, Simulation</t>
  </si>
  <si>
    <t>Hash Table, String, Bit Manipulation, Rolling Hash, Hash Function</t>
  </si>
  <si>
    <t>Array, Hash Table, Two Pointers, Sorting, Counting</t>
  </si>
  <si>
    <t>Array, Math, Backtracking, Bit Manipulation, Combinatorics, Enumeration</t>
  </si>
  <si>
    <t>Union-Find, Graph Theory</t>
  </si>
  <si>
    <t>Array, Greedy, Matrix</t>
  </si>
  <si>
    <t>Array, Hash Table, String, Graph Theory, Topological Sort</t>
  </si>
  <si>
    <t>Array, Dynamic Programming, Prefix Sum</t>
  </si>
  <si>
    <t>Array, Hash Table, String, Dynamic Programming, Trie</t>
  </si>
  <si>
    <t>Hash Table, String, Dynamic Programming, Graph Theory, Topological Sort, Memoization, Counting</t>
  </si>
  <si>
    <t>Array, Dynamic Programming, Sliding Window, Prefix Sum</t>
  </si>
  <si>
    <t>Array, Math, String, Sorting</t>
  </si>
  <si>
    <t>Array, Two Pointers, String, Greedy</t>
  </si>
  <si>
    <t>Array, Bit Manipulation, Sorting, Counting</t>
  </si>
  <si>
    <t>String, Simulation</t>
  </si>
  <si>
    <t>Array, Breadth-First Search, Graph Theory, Heap (Priority Queue), Matrix, Shortest Path</t>
  </si>
  <si>
    <t>Two Pointers, String, Stack, Greedy</t>
  </si>
  <si>
    <t>Array, Hash Table, String, Backtracking</t>
  </si>
  <si>
    <t>Math, String, Greedy</t>
  </si>
  <si>
    <t>Hash Table, Math, Sorting, Counting, Enumeration</t>
  </si>
  <si>
    <t>Array, String, Tree, Depth-First Search, Graph Theory, Topological Sort</t>
  </si>
  <si>
    <t>Math, Backtracking, Bit Manipulation</t>
  </si>
  <si>
    <t>Array, Binary Search, Greedy, Sorting, Prefix Sum</t>
  </si>
  <si>
    <t>Array, Depth-First Search, Matrix</t>
  </si>
  <si>
    <t>String, Greedy</t>
  </si>
  <si>
    <t>Array, Matrix, Prefix Sum</t>
  </si>
  <si>
    <t>Math, Dynamic Programming, Sliding Window, Probability and Statistics</t>
  </si>
  <si>
    <t>Linked List, Simulation</t>
  </si>
  <si>
    <t>Array, Hash Table, Matrix, Simulation</t>
  </si>
  <si>
    <t>Array, Greedy, Bit Manipulation, Matrix</t>
  </si>
  <si>
    <t>Greedy, Depth-First Search, Breadth-First Search, Union-Find, Graph Theory</t>
  </si>
  <si>
    <t>Array, Bit Manipulation, Breadth-First Search, Matrix</t>
  </si>
  <si>
    <t>Array, Hash Table, Sorting, Heap (Priority Queue), Simulation</t>
  </si>
  <si>
    <t>Array, Hash Table, String, Depth-First Search, Breadth-First Search, Union-Find</t>
  </si>
  <si>
    <t>Array, Dynamic Programming, Memoization</t>
  </si>
  <si>
    <t>Array, Math, Greedy</t>
  </si>
  <si>
    <t>String, Stack, Tree, Binary Tree</t>
  </si>
  <si>
    <t>Array, Two Pointers, Binary Search, Stack, Monotonic Stack</t>
  </si>
  <si>
    <t>String, Prefix Sum</t>
  </si>
  <si>
    <t>Array, Hash Table, Tree, Union-Find, Graph Theory, Sorting</t>
  </si>
  <si>
    <t>Array, Binary Search, Greedy, Sorting</t>
  </si>
  <si>
    <t>Math, Dynamic Programming, Brainteaser, Game Theory</t>
  </si>
  <si>
    <t>Linked List, Stack, Recursion, Monotonic Stack</t>
  </si>
  <si>
    <t>Array, Greedy, Sorting, Counting Sort</t>
  </si>
  <si>
    <t>String, Sorting</t>
  </si>
  <si>
    <t>Array, Binary Search, Depth-First Search, Breadth-First Search, Union-Find, Matrix</t>
  </si>
  <si>
    <t>Hash Table, Tree, Depth-First Search, Breadth-First Search, Counting</t>
  </si>
  <si>
    <t>Array, Stack, Design</t>
  </si>
  <si>
    <t>Array, Hash Table, String, Design, Trie</t>
  </si>
  <si>
    <t>String, Binary Search, Sliding Window, Rolling Hash, Suffix Array, Hash Function</t>
  </si>
  <si>
    <t>Array, Hash Table, Greedy, Sorting, Counting</t>
  </si>
  <si>
    <t>Array, Hash Table, Depth-First Search, Breadth-First Search, Union-Find, Sorting, Matrix, Hash Function</t>
  </si>
  <si>
    <t>String, Counting</t>
  </si>
  <si>
    <t>Math, Dynamic Programming, Game Theory</t>
  </si>
  <si>
    <t>Array, Stack</t>
  </si>
  <si>
    <t>Tree, Depth-First Search, Breadth-First Search, Graph Theory</t>
  </si>
  <si>
    <t>Array, Math, Bit Manipulation</t>
  </si>
  <si>
    <t>Array, Math, Dynamic Programming</t>
  </si>
  <si>
    <t>Array, Binary Search, Dynamic Programming, Greedy</t>
  </si>
  <si>
    <t>Array, Depth-First Search</t>
  </si>
  <si>
    <t>Array, Hash Table, String, Bit Manipulation, Counting</t>
  </si>
  <si>
    <t>Array, Math, Binary Search, Prefix Sum, Randomized</t>
  </si>
  <si>
    <t>Array, Dynamic Programming, Bit Manipulation, Bitmask</t>
  </si>
  <si>
    <t>Array, Binary Search, Design, Segment Tree, Prefix Sum, Ordered Set</t>
  </si>
  <si>
    <t>Array, Hash Table, Binary Search, Sorting</t>
  </si>
  <si>
    <t>Math, Simulation</t>
  </si>
  <si>
    <t>Hash Table, String, Dynamic Programming</t>
  </si>
  <si>
    <t>Array, Hash Table, String, Counting</t>
  </si>
  <si>
    <t>Tree, Depth-First Search, Breadth-First Search, Union-Find, Graph Theory, Binary Tree</t>
  </si>
  <si>
    <t>Array, Dynamic Programming, Queue, Sliding Window, Heap (Priority Queue), Monotonic Queue</t>
  </si>
  <si>
    <t>Array, Math, String, Matrix</t>
  </si>
  <si>
    <t>Array, Hash Table, Tree, Depth-First Search, Breadth-First Search</t>
  </si>
  <si>
    <t>Array, String, Sorting</t>
  </si>
  <si>
    <t>Array, Stack, Greedy, Monotonic Stack</t>
  </si>
  <si>
    <t>String, Depth-First Search, Design, Trie, Sorting, Heap (Priority Queue), Data Stream</t>
  </si>
  <si>
    <t>Array, Hash Table, Design, Matrix, Simulation</t>
  </si>
  <si>
    <t>Array, Math, Design, Data Stream, Prefix Sum</t>
  </si>
  <si>
    <t>Math, Geometry</t>
  </si>
  <si>
    <t>Array, Hash Table, Binary Search, Greedy, Heap (Priority Queue)</t>
  </si>
  <si>
    <t>Array, Binary Search, Design, Queue, Data Stream</t>
  </si>
  <si>
    <t>Array, Hash Table, Math, Greedy</t>
  </si>
  <si>
    <t>Hash Table, String, Design, Hash Function</t>
  </si>
  <si>
    <t>Array, Two Pointers, Binary Search, Sorting, Heap (Priority Queue)</t>
  </si>
  <si>
    <t>Array, Two Pointers, Stack, Greedy, Monotonic Stack</t>
  </si>
  <si>
    <t>Hash Table, String, Dynamic Programming, Bit Manipulation</t>
  </si>
  <si>
    <t>Array, Dynamic Programming, Stack, Sorting, Monotonic Stack, Ordered Set</t>
  </si>
  <si>
    <t>Array, Two Pointers, Union-Find, Graph Theory, Sorting</t>
  </si>
  <si>
    <t>Array, Hash Table, Math, Geometry, Sorting</t>
  </si>
  <si>
    <t>Depth-First Search, Graph Theory</t>
  </si>
  <si>
    <t>Array, Bit Manipulation, Prefix Sum</t>
  </si>
  <si>
    <t>Binary Search, Design, Segment Tree, Prefix Sum, Ordered Set</t>
  </si>
  <si>
    <t>Array, Bit Manipulation, Sliding Window</t>
  </si>
  <si>
    <t>Array, Hash Table, String, Trie, Sorting</t>
  </si>
  <si>
    <t>Binary Search, Dynamic Programming, Bit Manipulation, Tree, Depth-First Search, Breadth-First Search, Design</t>
  </si>
  <si>
    <t>Array, Two Pointers, Heap (Priority Queue), Simulation</t>
  </si>
  <si>
    <t>Array, Math, Dynamic Programming, Prefix Sum</t>
  </si>
  <si>
    <t>Design, Simulation, Counting</t>
  </si>
  <si>
    <t>Array, Bit Manipulation, Queue, Sliding Window, Prefix Sum</t>
  </si>
  <si>
    <t>Array, Hash Table, Depth-First Search</t>
  </si>
  <si>
    <t>Array, Hash Table, Math, Bit Manipulation, Prefix Sum</t>
  </si>
  <si>
    <t>Linked List, Stack, Design, Doubly-Linked List, Ordered Set</t>
  </si>
  <si>
    <t>Union-Find, Graph Theory, Sorting, Minimum Spanning Tree, Strongly Connected Component</t>
  </si>
  <si>
    <t>Math, Brainteaser, Game Theory</t>
  </si>
  <si>
    <t>Array, Hash Table, Binary Search, Sliding Window</t>
  </si>
  <si>
    <t>Array, Greedy, Sorting, Matrix</t>
  </si>
  <si>
    <t>Array, Math, Greedy, Sorting, Game Theory</t>
  </si>
  <si>
    <t>Hash Table, String, Stack, Sorting</t>
  </si>
  <si>
    <t>Array, Hash Table, String, Bit Manipulation, Enumeration</t>
  </si>
  <si>
    <t>Array, Dynamic Programming, Bit Manipulation</t>
  </si>
  <si>
    <t>Array, Hash Table, String, Design, Heap (Priority Queue), Ordered Set</t>
  </si>
  <si>
    <t>Backtracking, Bit Manipulation</t>
  </si>
  <si>
    <t>Array, Sweep Line, Sorting, Heap (Priority Queue)</t>
  </si>
  <si>
    <t>Depth-First Search, Breadth-First Search, Union-Find, Graph Theory, Sorting</t>
  </si>
  <si>
    <t>Math, Number Theory</t>
  </si>
  <si>
    <t>Hash Table, String, Dynamic Programming, Enumeration</t>
  </si>
  <si>
    <t>Array, Depth-First Search, Breadth-First Search, Union-Find, Matrix, Counting</t>
  </si>
  <si>
    <t>Array, Design, Iterator</t>
  </si>
  <si>
    <t>Array, Dynamic Programming, Memoization, Matrix, Prefix Sum</t>
  </si>
  <si>
    <t>Array, Hash Table, Math, Counting, Number Theory</t>
  </si>
  <si>
    <t>Binary Search, Tree, Depth-First Search, Binary Search Tree, Binary Tree</t>
  </si>
  <si>
    <t>Array, Binary Search, Binary Indexed Tree</t>
  </si>
  <si>
    <t>Array, Math, Backtracking</t>
  </si>
  <si>
    <t>Array, Queue, Simulation</t>
  </si>
  <si>
    <t>Array, Sorting, Counting Sort</t>
  </si>
  <si>
    <t>Array, String, Design, Trie, Data Stream</t>
  </si>
  <si>
    <t>Depth-First Search, Breadth-First Search</t>
  </si>
  <si>
    <t>Array, Two Pointers, String, Sorting</t>
  </si>
  <si>
    <t>Array, Math, Divide and Conquer, Dynamic Programming, Tree, Union-Find, Binary Search Tree, Memoization, Combinatorics, Binary Tree</t>
  </si>
  <si>
    <t>Array, Binary Search, Dynamic Programming, Sorting, Heap (Priority Queue)</t>
  </si>
  <si>
    <t>Array, Hash Table, String, Dynamic Programming, Backtracking, Bit Manipulation, Counting, Bitmask</t>
  </si>
  <si>
    <t>Hash Table, Design, Heap (Priority Queue), Ordered Set</t>
  </si>
  <si>
    <t>Math, String, Sorting</t>
  </si>
  <si>
    <t>Array, Binary Search, Breadth-First Search, Union-Find, Heap (Priority Queue), Matrix</t>
  </si>
  <si>
    <t>Array, Binary Search, Greedy</t>
  </si>
  <si>
    <t>Math, Dynamic Programming, Recursion</t>
  </si>
  <si>
    <t>Hash Table, Binary Search, Union-Find, Design, Data Stream, Ordered Set</t>
  </si>
  <si>
    <t>Array, Hash Table, Binary Search, Sorting, Prefix Sum, Ordered Set</t>
  </si>
  <si>
    <t>Hash Table, Design, Data Stream</t>
  </si>
  <si>
    <t>String, Dynamic Programming, Sliding Window, Prefix Sum</t>
  </si>
  <si>
    <t>Hash Table, String, Greedy, Counting</t>
  </si>
  <si>
    <t>Array, Hash Table, Binary Search, Dynamic Programming, Sliding Window</t>
  </si>
  <si>
    <t>Array, Design, Queue, Data Stream</t>
  </si>
  <si>
    <t>Array, Hash Table, Sorting, Heap (Priority Queue)</t>
  </si>
  <si>
    <t>Array, Divide and Conquer, Tree, Matrix</t>
  </si>
  <si>
    <t>Array, Dynamic Programming, Graph Theory, Topological Sort</t>
  </si>
  <si>
    <t>Array, Hash Table, Math, Union-Find, Number Theory</t>
  </si>
  <si>
    <t>Array, Math, Dynamic Programming, Backtracking, Bit Manipulation, Number Theory, Bitmask</t>
  </si>
  <si>
    <t>Math, Dynamic Programming, Backtracking</t>
  </si>
  <si>
    <t>Hash Table, String, Sliding Window, Counting</t>
  </si>
  <si>
    <t>Depth-First Search, Graph Theory, Topological Sort</t>
  </si>
  <si>
    <t>Math, Depth-First Search, Breadth-First Search</t>
  </si>
  <si>
    <t>Array, Hash Table, Tree, Binary Tree</t>
  </si>
  <si>
    <t>String, Backtracking, Stack, Greedy</t>
  </si>
  <si>
    <t>Array, String, Depth-First Search, Trie</t>
  </si>
  <si>
    <t>Trie</t>
  </si>
  <si>
    <t>JavaScript</t>
  </si>
  <si>
    <t>Math, String, Greedy, Game Theory</t>
  </si>
  <si>
    <t>Hash Table, Math</t>
  </si>
  <si>
    <t>Array, Math, String, Interactive, Game Theory</t>
  </si>
  <si>
    <t>Array, Two Pointers, Matrix</t>
  </si>
  <si>
    <t>Array, Two Pointers, Binary Search, Sorting, Prefix Sum</t>
  </si>
  <si>
    <t>Concurrency</t>
  </si>
  <si>
    <t>Design, Segment Tree, Ordered Set</t>
  </si>
  <si>
    <t>Hash Table, String, Design, Trie, Sorting</t>
  </si>
  <si>
    <t>String, Dynamic Programming, Depth-First Search, Breadth-First Search</t>
  </si>
  <si>
    <t>String, Stack, Greedy, Queue</t>
  </si>
  <si>
    <t>Array, Brainteaser, Simulation</t>
  </si>
  <si>
    <t>Array, String, Design</t>
  </si>
  <si>
    <t>Array, Binary Search, Counting</t>
  </si>
  <si>
    <t>Array, Hash Table, String, Sorting, Counting</t>
  </si>
  <si>
    <t>Breadth-First Search</t>
  </si>
  <si>
    <t>Tree, Binary Tree</t>
  </si>
  <si>
    <t>Array, Hash Table, Math, Bit Manipulation</t>
  </si>
  <si>
    <t>Array, Stack, Monotonic Stack, Prefix Sum</t>
  </si>
  <si>
    <t>Array, Tree, Depth-First Search, Breadth-First Search, Binary Tree</t>
  </si>
  <si>
    <t>Math, Tree, Binary Tree</t>
  </si>
  <si>
    <t>Array, Hash Table, Recursion, Sorting, Enumeration</t>
  </si>
  <si>
    <t>Array, String, Stack</t>
  </si>
  <si>
    <t>Array, Counting, Prefix Sum</t>
  </si>
  <si>
    <t>Array, Math, Simulation, Combinatorics, Number Theory</t>
  </si>
  <si>
    <t>Array, Binary Search, Matrix, Prefix Sum</t>
  </si>
  <si>
    <t>Hash Table, Two Pointers, Tree, Binary Tree</t>
  </si>
  <si>
    <t>Array, Hash Table, Stack, Monotonic Stack, Prefix Sum</t>
  </si>
  <si>
    <t>String, Recursion, Simulation</t>
  </si>
  <si>
    <t>Array, String, Dynamic Programming, Bit Manipulation, Bitmask</t>
  </si>
  <si>
    <t>Dynamic Programming, Memoization, Sorting</t>
  </si>
  <si>
    <t>Array, Two Pointers, Binary Search, Prefix Sum</t>
  </si>
  <si>
    <t>Math, Greedy, Sorting</t>
  </si>
  <si>
    <t>Array, Graph Theory, Topological Sort, Matrix</t>
  </si>
  <si>
    <t>Hash Table, String, Divide and Conquer, Bit Manipulation, Sliding Window</t>
  </si>
  <si>
    <t>Two Pointers, String, Stack</t>
  </si>
  <si>
    <t>Dynamic Programming, Queue, Simulation</t>
  </si>
  <si>
    <t>Array, String, String Matching</t>
  </si>
  <si>
    <t>Array, Depth-First Search, Graph Theory, Topological Sort</t>
  </si>
  <si>
    <t>Array, Backtracking, Bit Manipulation, Enumeration</t>
  </si>
  <si>
    <t>String, Dynamic Programming, Sliding Window</t>
  </si>
  <si>
    <t>Design, Heap (Priority Queue)</t>
  </si>
  <si>
    <t>Hash Table, String, Depth-First Search, Design, Trie</t>
  </si>
  <si>
    <t>Array, Math, String, Binary Search, Dynamic Programming</t>
  </si>
  <si>
    <t>Dynamic Programming, Prefix Sum</t>
  </si>
  <si>
    <t>Math, Dynamic Programming, Probability and Statistics</t>
  </si>
  <si>
    <t>Math, Bit Manipulation, Simulation</t>
  </si>
  <si>
    <t>Math, Enumeration</t>
  </si>
  <si>
    <t>Array, Hash Table, Heap (Priority Queue)</t>
  </si>
  <si>
    <t>Array, Sliding Window, Sorting</t>
  </si>
  <si>
    <t>Math, String, Bit Manipulation</t>
  </si>
  <si>
    <t>Dynamic Programming, Greedy, Bit Manipulation, Memoization</t>
  </si>
  <si>
    <t>Array, Math, Design, Randomized</t>
  </si>
  <si>
    <t>Math, Prefix Sum</t>
  </si>
  <si>
    <t>Hash Table, Tree, Depth-First Search, Breadth-First Search, Design, Binary Tree</t>
  </si>
  <si>
    <t>String, Bit Manipulation, Simulation</t>
  </si>
  <si>
    <t>Design, Heap (Priority Queue), Ordered Set</t>
  </si>
  <si>
    <t>Array, Hash Table, Binary Search, Dynamic Programming, Sorting</t>
  </si>
  <si>
    <t>Array, Linked List, Dynamic Programming, Stack, Monotonic Stack, Simulation</t>
  </si>
  <si>
    <t>Array, Bit Manipulation, Trie</t>
  </si>
  <si>
    <t>Array, Depth-First Search, Breadth-First Search, Graph Theory, Heap (Priority Queue), Matrix, Shortest Path</t>
  </si>
  <si>
    <t>Array, Tree, Depth-First Search, Breadth-First Search, Graph Theory</t>
  </si>
  <si>
    <t>Hash Table, Math, Reservoir Sampling, Randomized</t>
  </si>
  <si>
    <t>String, Backtracking, Design, Iterator</t>
  </si>
  <si>
    <t>String, Stack, Depth-First Search</t>
  </si>
  <si>
    <t>Array, Hash Table, Two Pointers, Enumeration</t>
  </si>
  <si>
    <t>Array, String, Divide and Conquer, Sorting, Heap (Priority Queue), Quickselect</t>
  </si>
  <si>
    <t>Greedy, Graph Theory, Sorting, Heap (Priority Queue)</t>
  </si>
  <si>
    <t>Array, String, Binary Search, Prefix Sum</t>
  </si>
  <si>
    <t>Two Pointers, Stack, Tree, Depth-First Search, Binary Search Tree, Heap (Priority Queue), Binary Tree</t>
  </si>
  <si>
    <t>Array, Hash Table, Math, Dynamic Programming, Bit Manipulation, Bitmask</t>
  </si>
  <si>
    <t>Two Pointers, String, Binary Search, Greedy</t>
  </si>
  <si>
    <t>Math, String, Dynamic Programming</t>
  </si>
  <si>
    <t>Array, Hash Table, String, Dynamic Programming, Backtracking, Bit Manipulation, Memoization, Bitmask</t>
  </si>
  <si>
    <t>Array, Math, Simulation</t>
  </si>
  <si>
    <t>Array, String, Graph Theory, Shortest Path</t>
  </si>
  <si>
    <t>Breadth-First Search, Graph Theory, Shortest Path</t>
  </si>
  <si>
    <t>Math, Binary Search, Combinatorics, Number Theory</t>
  </si>
  <si>
    <t>Array, Linked List, Matrix, Simulation</t>
  </si>
  <si>
    <t>Array, Bit Manipulation, Brainteaser</t>
  </si>
  <si>
    <t>Array, Hash Table, Greedy, Sorting, Heap (Priority Queue), Simulation</t>
  </si>
  <si>
    <t>Array, Hash Table, Two Pointers, Design</t>
  </si>
  <si>
    <t>Array, Hash Table, String, Bit Manipulation, Trie</t>
  </si>
  <si>
    <t>Array, Hash Table, Math, Dynamic Programming, Backtracking, Sorting, Combinatorics</t>
  </si>
  <si>
    <t>Array, Depth-First Search, Breadth-First Search, Matrix, Strongly Connected Component</t>
  </si>
  <si>
    <t>Array, Math, Number Theory</t>
  </si>
  <si>
    <t>Array, Binary Search, Heap (Priority Queue), Matrix</t>
  </si>
  <si>
    <t>Array, Sliding Window, Sorting, Bucket Sort, Ordered Set</t>
  </si>
  <si>
    <t>Hash Table, Design, Heap (Priority Queue), Data Stream, Ordered Set</t>
  </si>
  <si>
    <t>Array, Binary Search, Sliding Window, Sorting</t>
  </si>
  <si>
    <t>Hash Table, String, Greedy, Heap (Priority Queue), Counting</t>
  </si>
  <si>
    <t>Array, Stack, Tree, Binary Search Tree, Recursion, Monotonic Stack, Binary Tree</t>
  </si>
  <si>
    <t>Array, Binary Search, Matrix, Interactive</t>
  </si>
  <si>
    <t>Array, Hash Table, Two Pointers, Binary Search</t>
  </si>
  <si>
    <t>Graph Theory, Topological Sort</t>
  </si>
  <si>
    <t>Array, Math, Sorting, Matrix</t>
  </si>
  <si>
    <t>Array, Binary Search, Simulation, Prefix Sum</t>
  </si>
  <si>
    <t>Union-Find, Graph Theory, Heap (Priority Queue), Minimum Spanning Tree</t>
  </si>
  <si>
    <t>Math, Dynamic Programming, Bit Manipulation, Recursion, Memoization</t>
  </si>
  <si>
    <t>Array, Enumeration</t>
  </si>
  <si>
    <t>Array, Union-Find, Matrix</t>
  </si>
  <si>
    <t>Array, Hash Table, Linked List</t>
  </si>
  <si>
    <t>Array, Hash Table, Bit Manipulation, Counting</t>
  </si>
  <si>
    <t>Array, String, Trie, Counting</t>
  </si>
  <si>
    <t>Array, Stack, Sorting, Simulation</t>
  </si>
  <si>
    <t>Dynamic Programming, Graph Theory, Topological Sort, Heap (Priority Queue), Shortest Path</t>
  </si>
  <si>
    <t>Array, Tree, Depth-First Search, Binary Tree</t>
  </si>
  <si>
    <t>Hash Table, String, Bit Manipulation, Counting</t>
  </si>
  <si>
    <t>Math, Backtracking</t>
  </si>
  <si>
    <t>Math, Rejection Sampling, Randomized, Probability and Statistics</t>
  </si>
  <si>
    <t>Stack, Depth-First Search, Breadth-First Search</t>
  </si>
  <si>
    <t>Tree, Breadth-First Search, Design, Binary Tree</t>
  </si>
  <si>
    <t>Array, Hash Table, Bit Manipulation</t>
  </si>
  <si>
    <t>Array, Math, Divide and Conquer</t>
  </si>
  <si>
    <t>Hash Table, String, Stack, Greedy</t>
  </si>
  <si>
    <t>Math, Geometry, Number Theory</t>
  </si>
  <si>
    <t>Array, Math, Binary Search, Greedy, Sorting, Heap (Priority Queue)</t>
  </si>
  <si>
    <t>String, Dynamic Programming, Greedy, Memoization</t>
  </si>
  <si>
    <t>String, Divide and Conquer, Sorting</t>
  </si>
  <si>
    <t>Array, Binary Search, Sweep Line, Sorting, Heap (Priority Queue)</t>
  </si>
  <si>
    <t>Linked List, Math, Number Theory</t>
  </si>
  <si>
    <t>String, Stack, Tree, Depth-First Search, Binary Tree</t>
  </si>
  <si>
    <t>Dynamic Programming, Bit Manipulation, Graph Theory, Bitmask</t>
  </si>
  <si>
    <t>Array, Dynamic Programming, Heap (Priority Queue)</t>
  </si>
  <si>
    <t>Array, String, Backtracking, Trie</t>
  </si>
  <si>
    <t>Array, Hash Table, Depth-First Search, Breadth-First Search, Union-Find, Graph Theory</t>
  </si>
  <si>
    <t>Array, Two Pointers, String, Simulation</t>
  </si>
  <si>
    <t>Array, Hash Table, String, Trie, String Matching</t>
  </si>
  <si>
    <t>Array, Hash Table, Greedy, Prefix Sum</t>
  </si>
  <si>
    <t>Array, Union-Find, Sorting</t>
  </si>
  <si>
    <t>Array, Hash Table, Math, Matrix</t>
  </si>
  <si>
    <t>Hash Table, String, Bit Manipulation</t>
  </si>
  <si>
    <t>Array, Two Pointers, Breadth-First Search, Union-Find, Sorting, Heap (Priority Queue), Matrix</t>
  </si>
  <si>
    <t>Array, Binary Search, Sorting, Ordered Set</t>
  </si>
  <si>
    <t>Tree, Binary Search Tree, Recursion, Binary Tree</t>
  </si>
  <si>
    <t>Array, Two Pointers, Binary Search, Greedy, Queue, Sorting, Monotonic Queue</t>
  </si>
  <si>
    <t>Greedy, Bit Manipulation</t>
  </si>
  <si>
    <t>Array, Hash Table, Two Pointers, String, Design</t>
  </si>
  <si>
    <t>Array, Depth-First Search, Graph Theory, Eulerian Circuit</t>
  </si>
  <si>
    <t>Array, Math, Two Pointers, Dynamic Programming, Sliding Window</t>
  </si>
  <si>
    <t>Math, Divide and Conquer</t>
  </si>
  <si>
    <t>String, Tree, Depth-First Search, Breadth-First Search</t>
  </si>
  <si>
    <t>Tree, Breadth-First Search, Sorting, Binary Tree</t>
  </si>
  <si>
    <t>Array, Two Pointers, Dynamic Programming, Greedy</t>
  </si>
  <si>
    <t>Array, Two Pointers, Matrix, Simulation</t>
  </si>
  <si>
    <t>Array, Hash Table, Sorting, Simulation</t>
  </si>
  <si>
    <t>String, Dynamic Programming, Prefix Sum</t>
  </si>
  <si>
    <t>Array, Two Pointers, String, Binary Search</t>
  </si>
  <si>
    <t>Two Pointers, String, Greedy, Binary Indexed Tree</t>
  </si>
  <si>
    <t>Array, Binary Search, Bit Manipulation, Sliding Window</t>
  </si>
  <si>
    <t>Array, Segment Tree, Sweep Line, Ordered Set</t>
  </si>
  <si>
    <t>Array, String, Greedy</t>
  </si>
  <si>
    <t>Array, Hash Table, Math, Dynamic Programming, Backtracking, Bit Manipulation, Bitmask</t>
  </si>
  <si>
    <t>Array, Hash Table, Design</t>
  </si>
  <si>
    <t>Dynamic Programming, Memoization</t>
  </si>
  <si>
    <t>Array, Binary Search, Prefix Sum</t>
  </si>
  <si>
    <t>Array, Hash Table, Design, Queue, Simulation</t>
  </si>
  <si>
    <t>String, Dynamic Programming, Backtracking, Bit Manipulation, Bitmask</t>
  </si>
  <si>
    <t>Math, Dynamic Programming, Graph Theory, Topological Sort, Memoization, Game Theory</t>
  </si>
  <si>
    <t>Array, Hash Table, Bit Manipulation, Breadth-First Search, Matrix</t>
  </si>
  <si>
    <t>Array, Hash Table, Design, Counting, Data Stream</t>
  </si>
  <si>
    <t>Array, Two Pointers, Dynamic Programming, Bit Manipulation, Sorting, Bitmask</t>
  </si>
  <si>
    <t>Math, Greedy, Heap (Priority Queue)</t>
  </si>
  <si>
    <t>Array, Two Pointers, String, Trie, String Matching</t>
  </si>
  <si>
    <t>Array, Hash Table, Greedy, Bit Manipulation</t>
  </si>
  <si>
    <t>Array, Math, Stack, Heap (Priority Queue), Monotonic Stack</t>
  </si>
  <si>
    <t>Array, String, Recursion</t>
  </si>
  <si>
    <t>Hash Table, String, Backtracking, Bit Manipulation</t>
  </si>
  <si>
    <t>Array, Dynamic Programming, Graph Theory</t>
  </si>
  <si>
    <t>Array, Divide and Conquer, Dynamic Programming, Binary Indexed Tree, Segment Tree, Queue, Monotonic Queue</t>
  </si>
  <si>
    <t>Array, Hash Table, Math, Geometry, Sweep Line</t>
  </si>
  <si>
    <t>Tree, Depth-First Search</t>
  </si>
  <si>
    <t>String, Greedy, Enumeration</t>
  </si>
  <si>
    <t>Hash Table, Math, String, Dynamic Programming</t>
  </si>
  <si>
    <t>Array, Math, Binary Search, Greedy, Number Theory</t>
  </si>
  <si>
    <t>Array, Greedy, Sorting, Enumeration, Prefix Sum</t>
  </si>
  <si>
    <t>Array, Hash Table, Greedy, Sort</t>
  </si>
  <si>
    <t>Array, Union-Find, Graph Theory, Topological Sort, Sorting, Matrix</t>
  </si>
  <si>
    <t>Array, Dynamic Programming, Greedy, Bit Manipulation, Tree, Sorting</t>
  </si>
  <si>
    <t>Math, String, Dynamic Programming, Combinatorics</t>
  </si>
  <si>
    <t>Tree, Depth-First Search, Breadth-First Search, Graph Theory, Topological Sort</t>
  </si>
  <si>
    <t>Array, Hash Table, Simulation</t>
  </si>
  <si>
    <t>Graph Theory, Heap (Priority Queue), Shortest Path</t>
  </si>
  <si>
    <t>Array, Depth-First Search, Union-Find</t>
  </si>
  <si>
    <t>Array, Hash Table, Math, Binary Search, Sorting, Randomized</t>
  </si>
  <si>
    <t>Array, Dynamic Programming, Bit Manipulation, Matrix, Bitmask</t>
  </si>
  <si>
    <t>Array, Hash Table, Math</t>
  </si>
  <si>
    <t>Array, Math, Greedy, Sorting, Heap (Priority Queue), Game Theory</t>
  </si>
  <si>
    <t>Hash Table, String, Graph Theory</t>
  </si>
  <si>
    <t>Array, Simulation, Interactive</t>
  </si>
  <si>
    <t>Array, Hash Table, String, Bit Manipulation, Prefix Sum</t>
  </si>
  <si>
    <t>Graph Theory, Design, Heap (Priority Queue), Shortest Path</t>
  </si>
  <si>
    <t>Array, Binary Search, Breadth-First Search, Matrix</t>
  </si>
  <si>
    <t>Array, Binary Search, Greedy, Queue, Sliding Window, Prefix Sum</t>
  </si>
  <si>
    <t>Array, Math, Union-Find, Number Theory</t>
  </si>
  <si>
    <t>Array, Binary Search, Sorting, Prefix Sum</t>
  </si>
  <si>
    <t>Array, Heap (Priority Queue), Simulation</t>
  </si>
  <si>
    <t>Math, Dynamic Programming, Combinatorics, Number Theory</t>
  </si>
  <si>
    <t>Array, Math, Stack, Number Theory</t>
  </si>
  <si>
    <t>Array, Binary Search, Stack, Binary Indexed Tree, Segment Tree, Heap (Priority Queue), Monotonic Stack</t>
  </si>
  <si>
    <t>Array, Greedy, Sorting, Prefix Sum</t>
  </si>
  <si>
    <t>Array, Stack, Greedy</t>
  </si>
  <si>
    <t>Array, Hash Table, Two Pointers</t>
  </si>
  <si>
    <t>Array, Binary Indexed Tree, Segment Tree, Queue, Sliding Window, Heap (Priority Queue), Ordered Set, Monotonic Queue</t>
  </si>
  <si>
    <t>Design, Queue, Data Stream</t>
  </si>
  <si>
    <t>String, Dynamic Programming, String Matching</t>
  </si>
  <si>
    <t>Array, Hash Table, Binary Search, Greedy, Sorting</t>
  </si>
  <si>
    <t>Math, Backtracking, Greedy</t>
  </si>
  <si>
    <t>Hash Table, Two Pointers, String, Backtracking, Counting, Enumeration</t>
  </si>
  <si>
    <t>Array, Design, Binary Indexed Tree, Segment Tree, Matrix</t>
  </si>
  <si>
    <t>Hash Table, Design, Sorting</t>
  </si>
  <si>
    <t>Math, Two Pointers, Brainteaser</t>
  </si>
  <si>
    <t>Array, Linked List, Design, Queue, Doubly-Linked List, Data Stream</t>
  </si>
  <si>
    <t>Array, Math, Geometry, Sorting, Matrix</t>
  </si>
  <si>
    <t>Array, Bit Manipulation, Tree, Depth-First Search</t>
  </si>
  <si>
    <t>Array, Bit Manipulation, Union-Find, Graph Theory</t>
  </si>
  <si>
    <t>String, Greedy, Sorting</t>
  </si>
  <si>
    <t>Hash Table, String, Greedy, Sorting, Counting</t>
  </si>
  <si>
    <t>Array, Math, Stack, Greedy, Sorting, Monotonic Stack, Number Theory</t>
  </si>
  <si>
    <t>Array, Breadth-First Search, Graph Theory</t>
  </si>
  <si>
    <t>Array, Hash Table, Tree, Depth-First Search, Breadth-First Search, Union-Find, Graph Theory</t>
  </si>
  <si>
    <t>Array, Design, Counting, Iterator</t>
  </si>
  <si>
    <t>Bit Manipulation, Brainteaser, Enumeration</t>
  </si>
  <si>
    <t>Array, Binary Search, Ordered Set</t>
  </si>
  <si>
    <t>Array, Hash Table, Binary Search, Greedy</t>
  </si>
  <si>
    <t>Array, Hash Table, String, Binary Search, Sorting</t>
  </si>
  <si>
    <t>Array, Binary Search, Stack, Sorting, Heap (Priority Queue), Monotonic Stack</t>
  </si>
  <si>
    <t>Array, Hash Table, Two Pointers, Binary Search, Dynamic Programming, Sorting, Counting</t>
  </si>
  <si>
    <t>Array, String, Backtracking, Enumeration</t>
  </si>
  <si>
    <t>Array, Greedy, Sliding Window, Prefix Sum</t>
  </si>
  <si>
    <t>Hash Table, String, Backtracking, Enumeration</t>
  </si>
  <si>
    <t>Array, Hash Table, Binary Search, Design, Segment Tree</t>
  </si>
  <si>
    <t>Array, Two Pointers, Design, Iterator</t>
  </si>
  <si>
    <t>Array, Hash Table, Trie, Rolling Hash, Hash Function, Enumeration</t>
  </si>
  <si>
    <t>String, Binary Search, Dynamic Programming, Rolling Hash, Suffix Array, Hash Function</t>
  </si>
  <si>
    <t>Math, String, Sliding Window</t>
  </si>
  <si>
    <t>Array, String, Stack, Greedy</t>
  </si>
  <si>
    <t>Hash Table, String, Binary Search, Sliding Window, Counting</t>
  </si>
  <si>
    <t>Array, Hash Table, String, Bit Manipulation, Sorting</t>
  </si>
  <si>
    <t>Array, Backtracking, Graph Theory</t>
  </si>
  <si>
    <t>Array, Math, Binary Search, Greedy</t>
  </si>
  <si>
    <t>Array, Sorting, Counting</t>
  </si>
  <si>
    <t>Array, Hash Table, Two Pointers, Design, Data Stream</t>
  </si>
  <si>
    <t>Array, Hash Table, Depth-First Search, Breadth-First Search</t>
  </si>
  <si>
    <t>Array, Design, Queue, Iterator</t>
  </si>
  <si>
    <t>Two Pointers, String, Dynamic Programming, Greedy, Rolling Hash, Hash Function</t>
  </si>
  <si>
    <t>Array, Sorting, Heap (Priority Queue), Matrix, Simulation</t>
  </si>
  <si>
    <t>Array, Bit Manipulation, Sorting</t>
  </si>
  <si>
    <t>Array, Math, Two Pointers, Sorting</t>
  </si>
  <si>
    <t>Array, Hash Table, Enumeration</t>
  </si>
  <si>
    <t>Sorting, Heap (Priority Queue)</t>
  </si>
  <si>
    <t>Array, Greedy, Sorting, Heap (Priority Queue), Prefix Sum</t>
  </si>
  <si>
    <t>String, Depth-First Search, Breadth-First Search, Enumeration</t>
  </si>
  <si>
    <t>Math, Sorting</t>
  </si>
  <si>
    <t>Array, Hash Table, Binary Search, Simulation</t>
  </si>
  <si>
    <t>Array, Segment Tree, Ordered Set</t>
  </si>
  <si>
    <t>Array, Breadth-First Search</t>
  </si>
  <si>
    <t>Math, Enumeration, Number Theory</t>
  </si>
  <si>
    <t>Array, Heap (Priority Queue), Simulation, Ordered Set</t>
  </si>
  <si>
    <t>Array, Binary Search, Greedy, Sorting, Heap (Priority Queue)</t>
  </si>
  <si>
    <t>Array, Design, Matrix</t>
  </si>
  <si>
    <t>Array, Dynamic Programming, Greedy, Tree, Binary Tree</t>
  </si>
  <si>
    <t>String, Backtracking, Stack, Breadth-First Search, Sorting</t>
  </si>
  <si>
    <t>String, Depth-First Search, Graph Theory, Eulerian Circuit</t>
  </si>
  <si>
    <t>Array, Binary Search, Design, Binary Indexed Tree, Segment Tree</t>
  </si>
  <si>
    <t>Math, Dynamic Programming, Brainteaser, Probability and Statistics</t>
  </si>
  <si>
    <t>Array, Hash Table, Tree, Depth-First Search, Binary Search Tree, Binary Tree</t>
  </si>
  <si>
    <t>Hash Table, Math, Counting</t>
  </si>
  <si>
    <t>Linked List, String, Stack, Design, Simulation, Doubly-Linked List</t>
  </si>
  <si>
    <t>Array, Greedy, Bit Manipulation</t>
  </si>
  <si>
    <t>Math, Bit Manipulation, Recursion, Simulation</t>
  </si>
  <si>
    <t>Array, Math, Geometry, Matrix</t>
  </si>
  <si>
    <t>Array, Dynamic Programming, Depth-First Search, Breadth-First Search, Matrix</t>
  </si>
  <si>
    <t>Array, Greedy, Sliding Window</t>
  </si>
  <si>
    <t>Array, Math, Dynamic Programming, Matrix</t>
  </si>
  <si>
    <t>Array, Divide and Conquer</t>
  </si>
  <si>
    <t>String, Enumeration</t>
  </si>
  <si>
    <t>Hash Table, Two Pointers, String</t>
  </si>
  <si>
    <t>Array, Hash Table, Design, Simulation</t>
  </si>
  <si>
    <t>Math, Dynamic Programming, Backtracking, Memoization, Game Theory</t>
  </si>
  <si>
    <t>Array, Math, Dynamic Programming, Greedy, Sorting</t>
  </si>
  <si>
    <t>Array, Hash Table, Binary Search, Dynamic Programming, Memoization, Sorting, Matrix, Ordered Set</t>
  </si>
  <si>
    <t>Array, Math, Geometry, Sliding Window, Sorting</t>
  </si>
  <si>
    <t>Array, Hash Table, Binary Search, Bit Manipulation</t>
  </si>
  <si>
    <t>Array, Hash Table, String, Trie, Hash Function</t>
  </si>
  <si>
    <t>Array, Hash Table, Binary Search, Counting</t>
  </si>
  <si>
    <t>Dynamic Programming, Greedy, Bit Manipulation</t>
  </si>
  <si>
    <t>Array, Hash Table, String, Sliding Window</t>
  </si>
  <si>
    <t>Array, Hash Table, String, Design</t>
  </si>
  <si>
    <t>Hash Table, Math, String, Dynamic Programming, Counting</t>
  </si>
  <si>
    <t>Array, Stack, Union-Find, Monotonic Stack</t>
  </si>
  <si>
    <t>Array, Hash Table, Stack, Greedy, Monotonic Stack</t>
  </si>
  <si>
    <t>Array, Graph Theory, Topological Sort</t>
  </si>
  <si>
    <t>Array, Hash Table, Sorting, Ordered Set</t>
  </si>
  <si>
    <t>Array, Binary Search, Sliding Window, Sorting, Prefix Sum</t>
  </si>
  <si>
    <t>Array, Hash Table, Binary Search, Matrix, Counting</t>
  </si>
  <si>
    <t>Array, Hash Table, Design, Queue, Data Stream</t>
  </si>
  <si>
    <t>Array, Binary Search, Sliding Window</t>
  </si>
  <si>
    <t>Array, String, Trie, Rolling Hash, String Matching, Hash Function</t>
  </si>
  <si>
    <t>Hash Table, Math, String, Counting</t>
  </si>
  <si>
    <t>Array, Binary Search, Segment Tree, Ordered Set</t>
  </si>
  <si>
    <t>Depth-First Search, Breadth-First Search, Concurrency</t>
  </si>
  <si>
    <t>Hash Table, String, Stack, Greedy, Heap (Priority Queue)</t>
  </si>
  <si>
    <t>Array, Math, String</t>
  </si>
  <si>
    <t>Array, Math, Sorting, Heap (Priority Queue), Number Theory</t>
  </si>
  <si>
    <t>Shell</t>
  </si>
  <si>
    <t>String, Dynamic Programming, Greedy</t>
  </si>
  <si>
    <t>Two Pointers, Binary Search, Stack, Tree, Depth-First Search, Binary Search Tree, Binary Tree</t>
  </si>
  <si>
    <t>Array, Graph Theory, Sorting, Enumeration</t>
  </si>
  <si>
    <t>Array, Hash Table, Design, Data Stream</t>
  </si>
  <si>
    <t>Dynamic Programming, Bit Manipulation, Tree, Enumeration, Bitmask</t>
  </si>
  <si>
    <t>Array, Binary Search, Greedy, Binary Indexed Tree, Segment Tree, Sorting, Ordered Set</t>
  </si>
  <si>
    <t>Array, Math, Dynamic Programming, Combinatorics</t>
  </si>
  <si>
    <t>Math, Combinatorics, Enumeration</t>
  </si>
  <si>
    <t>Array, Binary Search, Depth-First Search, Breadth-First Search, Matrix</t>
  </si>
  <si>
    <t>Array, Hash Table, Bit Manipulation, Prefix Sum</t>
  </si>
  <si>
    <t>Array, Tree, Graph Theory, Topological Sort</t>
  </si>
  <si>
    <t>Array, Hash Table, Two Pointers, String, Sorting</t>
  </si>
  <si>
    <t>Array, Hash Table, Binary Search, Binary Indexed Tree, Sorting</t>
  </si>
  <si>
    <t>Array, Simulation, Prefix Sum</t>
  </si>
  <si>
    <t>Hash Table, Math, Backtracking, Counting, Enumeration</t>
  </si>
  <si>
    <t>String, Backtracking, Enumeration</t>
  </si>
  <si>
    <t>Array, Dynamic Programming, Backtracking, Bit Manipulation, Matrix, Bitmask</t>
  </si>
  <si>
    <t>Array, Hash Table, Sorting, Prefix Sum</t>
  </si>
  <si>
    <t>String, Dynamic Programming, Simulation</t>
  </si>
  <si>
    <t>Math, String, Brainteaser, Game Theory</t>
  </si>
  <si>
    <t>Array, Hash Table, Design, Heap (Priority Queue), Ordered Set</t>
  </si>
  <si>
    <t>Array, Math, Stack, Tree, Design, Binary Tree</t>
  </si>
  <si>
    <t>Hash Table, String, Prefix Sum</t>
  </si>
  <si>
    <t>Math, Two Pointers, Binary Search, Interactive</t>
  </si>
  <si>
    <t>Array, Math, Heap (Priority Queue), Simulation</t>
  </si>
  <si>
    <t>Array, Hash Table, Math, Number Theory</t>
  </si>
  <si>
    <t>Array, Brainteaser, Sorting, Prefix Sum</t>
  </si>
  <si>
    <t>Array, Divide and Conquer, Bit Manipulation, Sorting, Heap (Priority Queue), Matrix, Prefix Sum, Quickselect</t>
  </si>
  <si>
    <t>Array, Graph Theory, Heap (Priority Queue), Matrix, Shortest Path</t>
  </si>
  <si>
    <t>Tree, Depth-First Search, Breadth-First Search, Design, Binary Tree</t>
  </si>
  <si>
    <t>Array, Divide and Conquer, Interactive</t>
  </si>
  <si>
    <t>String, Dynamic Programming, Suffix Array</t>
  </si>
  <si>
    <t>Array, Binary Search, Tree, Depth-First Search, Binary Search Tree, Binary Tree</t>
  </si>
  <si>
    <t>Array, Breadth-First Search, Sorting, Heap (Priority Queue), Matrix</t>
  </si>
  <si>
    <t>Array, Math, Union-Find, Sorting, Number Theory</t>
  </si>
  <si>
    <t>String, Greedy, Prefix Sum</t>
  </si>
  <si>
    <t>Array, Math, String, Backtracking</t>
  </si>
  <si>
    <t>Design, Queue, Heap (Priority Queue), Data Stream, Ordered Set</t>
  </si>
  <si>
    <t>Array, Hash Table, Depth-First Search, Breadth-First Search, Union-Find, Graph Theory, Heap (Priority Queue), Ordered Set</t>
  </si>
  <si>
    <t>Array, Math, Dynamic Programming, Tree, Depth-First Search, Graph Theory, Topological Sort, Combinatorics</t>
  </si>
  <si>
    <t>Array, Dynamic Programming, Queue, Sliding Window, Prefix Sum, Monotonic Queue</t>
  </si>
  <si>
    <t>Math, Binary Search, Number Theory</t>
  </si>
  <si>
    <t>Array, Depth-First Search, Breadth-First Search, Matrix, Simulation</t>
  </si>
  <si>
    <t>Hash Table, String, Enumeration</t>
  </si>
  <si>
    <t>Array, Math, Greedy, Sorting, Number Theory</t>
  </si>
  <si>
    <t>Array, Math, Binary Search, Reservoir Sampling, Prefix Sum, Ordered Set, Randomized</t>
  </si>
  <si>
    <t>Array, Hash Table, Counting, Enumeration, Prefix Sum</t>
  </si>
  <si>
    <t>String, Dynamic Programming, Rolling Hash, String Matching, Hash Function</t>
  </si>
  <si>
    <t>Array, String, Depth-First Search, Breadth-First Search, Graph Theory, Heap (Priority Queue), Matrix, Shortest Path</t>
  </si>
  <si>
    <t>Array, Hash Table, Tree, Depth-First Search, Breadth-First Search, Design</t>
  </si>
  <si>
    <t>Array, Dynamic Programming, Tree, Depth-First Search, Graph Theory</t>
  </si>
  <si>
    <t>Hash Table, Stack, Design, Heap (Priority Queue)</t>
  </si>
  <si>
    <t>Array, Sorting, Enumeration</t>
  </si>
  <si>
    <t>Array, Binary Indexed Tree, Simulation</t>
  </si>
  <si>
    <t>Array, Binary Search, Rolling Hash, Suffix Array, Hash Function</t>
  </si>
  <si>
    <t>Array, Hash Table, Math, Dynamic Programming, Bit Manipulation, Counting, Number Theory, Bitmask</t>
  </si>
  <si>
    <t>Array, Hash Table, String, Bit Manipulation, Union-Find</t>
  </si>
  <si>
    <t>Hash Table, String, Backtracking, Stack, Breadth-First Search, Sorting</t>
  </si>
  <si>
    <t>Array, Math, Dynamic Programming, Bit Manipulation, Bitmask</t>
  </si>
  <si>
    <t>Two Pointers, String, Dynamic Programming, Greedy</t>
  </si>
  <si>
    <t>Array, Binary Search, Segment Tree, Simulation, Ordered Set</t>
  </si>
  <si>
    <t>Hash Table, String, Stack, Recursion</t>
  </si>
  <si>
    <t>String, Greedy, Binary Indexed Tree, Segment Tree</t>
  </si>
  <si>
    <t>Array, Union-Find, Prefix Sum, Ordered Set</t>
  </si>
  <si>
    <t>Array, Hash Table, String, Tree, Depth-First Search, Breadth-First Search</t>
  </si>
  <si>
    <t>String, Dynamic Programming, Stack, Breadth-First Search, Memoization</t>
  </si>
  <si>
    <t>Hash Table, Bit Manipulation, Tree, Depth-First Search</t>
  </si>
  <si>
    <t>Hash Table, String, Design, Ordered Set</t>
  </si>
  <si>
    <t>Math, Dynamic Programming, Combinatorics, Prefix Sum</t>
  </si>
  <si>
    <t>Array, Dynamic Programming, Tree, Depth-First Search, Union-Find</t>
  </si>
  <si>
    <t>Two Pointers, String, Enumeration</t>
  </si>
  <si>
    <t>Array, Hash Table, Linked List, Heap (Priority Queue), Simulation, Doubly-Linked List, Ordered Set</t>
  </si>
  <si>
    <t>Hash Table, Graph Theory</t>
  </si>
  <si>
    <t>Array, Hash Table, Breadth-First Search, Graph Theory, Sorting</t>
  </si>
  <si>
    <t>Array, Math, Geometry, Sorting, Enumeration</t>
  </si>
  <si>
    <t>Array, Math, Bit Manipulation, Matrix</t>
  </si>
  <si>
    <t>Math, Geometry, Rejection Sampling, Randomized</t>
  </si>
  <si>
    <t>Array, Hash Table, Binary Search, Design, Queue, Ordered Set</t>
  </si>
  <si>
    <t>Array, Dynamic Programming, Tree, Depth-First Search</t>
  </si>
  <si>
    <t>Array, Hash Table, Divide and Conquer, Segment Tree, Prefix Sum</t>
  </si>
  <si>
    <t>Hash Table, Math, String, Combinatorics, Counting</t>
  </si>
  <si>
    <t>Array, Hash Table, Dynamic Programming, Backtracking, Bit Manipulation, Counting, Bitmask</t>
  </si>
  <si>
    <t>Array, Hash Table, Dynamic Programming, Counting</t>
  </si>
  <si>
    <t>Array, Hash Table, String, Simulation</t>
  </si>
  <si>
    <t>Array, Math, Binary Search, Counting, Enumeration, Prefix Sum</t>
  </si>
  <si>
    <t>Array, Greedy, Enumeration</t>
  </si>
  <si>
    <t>Hash Table, Math, Combinatorics, Enumeration</t>
  </si>
  <si>
    <t>Array, Binary Search, Stack, Greedy, Sorting</t>
  </si>
  <si>
    <t>Array, String, Design, Iterator</t>
  </si>
  <si>
    <t>Array, Two Pointers, Binary Search, Greedy, Sorting, Enumeration, Prefix Sum</t>
  </si>
  <si>
    <t>Array, Greedy, Graph Theory, Sorting, Heap (Priority Queue)</t>
  </si>
  <si>
    <t>String, Sliding Window, Rolling Hash, Hash Function</t>
  </si>
  <si>
    <t>Math, String, Number Theory</t>
  </si>
  <si>
    <t>Dynamic Programming, Bit Manipulation, Tree, Depth-First Search, Bitmask</t>
  </si>
  <si>
    <t>Math, Stack, Simulation</t>
  </si>
  <si>
    <t>Array, Math, Tree, Depth-First Search, Enumeration</t>
  </si>
  <si>
    <t>Array, Math, Counting, Number Theory</t>
  </si>
  <si>
    <t>String, Dynamic Programming, Bit Manipulation, Bitmask</t>
  </si>
  <si>
    <t>Array, Hash Table, String, Sorting, Ordered Set</t>
  </si>
  <si>
    <t>Math, Combinatorics</t>
  </si>
  <si>
    <t>Math, Dynamic Programming, Greedy, Enumeration</t>
  </si>
  <si>
    <t>Array, Math, Tree, Depth-First Search, Number Theory</t>
  </si>
  <si>
    <t>Array, Hash Table, Dynamic Programming, Bit Manipulation, Counting</t>
  </si>
  <si>
    <t>Array, Greedy, Bit Manipulation, Prefix Sum</t>
  </si>
  <si>
    <t>Array, Hash Table, Two Pointers, Binary Search, Greedy, Counting</t>
  </si>
  <si>
    <t>Hash Table, Math, Enumeration</t>
  </si>
  <si>
    <t>Array, Math, Binary Search, Greedy, Sorting</t>
  </si>
  <si>
    <t>Array, Greedy, Matrix, Prefix Sum</t>
  </si>
  <si>
    <t>Array, Dynamic Programming, Stack, Breadth-First Search, Union-Find, Heap (Priority Queue), Matrix, Monotonic Stack</t>
  </si>
  <si>
    <t>Array, Hash Table, Bit Manipulation, Depth-First Search, Trie</t>
  </si>
  <si>
    <t>Hash Table, String, Counting, Enumeration</t>
  </si>
  <si>
    <t>Dynamic Programming, Depth-First Search, Breadth-First Search, Graph Theory</t>
  </si>
  <si>
    <t>Array, Math, Dynamic Programming, Probability and Statistics</t>
  </si>
  <si>
    <t>Design, Heap (Priority Queue), Data Stream, Ordered Set</t>
  </si>
  <si>
    <t>Array, Math, Sliding Window, Sorting</t>
  </si>
  <si>
    <t>Array, Math, Matrix, Number Theory</t>
  </si>
  <si>
    <t>Array, String, Greedy, Trie, Sorting</t>
  </si>
  <si>
    <t>Two Pointers, String, Binary Search</t>
  </si>
  <si>
    <t>Array, Binary Search, Bit Manipulation, Segment Tree</t>
  </si>
  <si>
    <t>Array, Dynamic Programming, Segment Tree, Queue, Heap (Priority Queue), Prefix Sum, Monotonic Queue</t>
  </si>
  <si>
    <t>Array, Hash Table, String, Bit Manipulation</t>
  </si>
  <si>
    <t>Array, Matrix, Enumeration</t>
  </si>
  <si>
    <t>Array, Dynamic Programming, Binary Indexed Tree, Enumeration, Prefix Sum</t>
  </si>
  <si>
    <t>Array, Hash Table, Sliding Window, Sorting</t>
  </si>
  <si>
    <t>Array, Hash Table, Math, Two Pointers</t>
  </si>
  <si>
    <t>Array, Hash Table, String, Dynamic Programming</t>
  </si>
  <si>
    <t>Array, Hash Table, String, String Matching</t>
  </si>
  <si>
    <t>Array, Hash Table, Two Pointers, Sorting, Enumeration</t>
  </si>
  <si>
    <t>String, Sliding Window, Enumeration, Prefix Sum</t>
  </si>
  <si>
    <t>Array, Tree, Binary Tree</t>
  </si>
  <si>
    <t>Array, Math, Sorting, Simulation</t>
  </si>
  <si>
    <t>Math, Design, Segment Tree</t>
  </si>
  <si>
    <t>Hash Table, String, Bit Manipulation, Sliding Window</t>
  </si>
  <si>
    <t>Hash Table, String, Rolling Hash, Hash Function</t>
  </si>
  <si>
    <t>Hash Table, Binary Search, Union-Find, Design, Binary Indexed Tree, Segment Tree, Heap (Priority Queue), Ordered Set</t>
  </si>
  <si>
    <t>Array, Dynamic Programming, Backtracking, Greedy, Bit Manipulation, Sorting, Enumeration</t>
  </si>
  <si>
    <t>Array, String, Trie, Sorting</t>
  </si>
  <si>
    <t>Hash Table, String, Dynamic Programming, Backtracking</t>
  </si>
  <si>
    <t>Dynamic Programming, Graph Theory</t>
  </si>
  <si>
    <t>Array, String, Dynamic Programming, Graph Theory, Trie, Shortest Path</t>
  </si>
  <si>
    <t>Array, String, Counting</t>
  </si>
  <si>
    <t>Math, String, Enumeration</t>
  </si>
  <si>
    <t>Array, Dynamic Programming, Memoization, Matrix</t>
  </si>
  <si>
    <t>Array, Hash Table, String, Backtracking, Sort, Union-Find</t>
  </si>
  <si>
    <t>Math, String, Greedy, Enumeration</t>
  </si>
  <si>
    <t>Array, Math, Geometry, Sorting, Number Theory</t>
  </si>
  <si>
    <t>Dynamic Programming, Tree, Depth-First Search</t>
  </si>
  <si>
    <t>Array, Hash Table, Linked List, Design, Queue</t>
  </si>
  <si>
    <t>Array, Hash Table, String, Sorting, Heap (Priority Queue)</t>
  </si>
  <si>
    <t>Hash Table, Math, String, Greedy, Sorting, Combinatorics</t>
  </si>
  <si>
    <t>Array, Tree, Graph Theory, Strongly Connected Component</t>
  </si>
  <si>
    <t>Dynamic Programming, Graph Theory, Memoization</t>
  </si>
  <si>
    <t>Array, Dynamic Programming, Bit Manipulation, Memoization, Bitmask</t>
  </si>
  <si>
    <t>Graph Theory, Enumeration</t>
  </si>
  <si>
    <t>Array, Math, Brainteaser, Combinatorics</t>
  </si>
  <si>
    <t>Array, Two Pointers, Greedy, String Matching</t>
  </si>
  <si>
    <t>Array, Binary Search, Stack, Binary Indexed Tree, Segment Tree, Sorting, Monotonic Stack</t>
  </si>
  <si>
    <t>Binary Search, Design, Binary Indexed Tree, Segment Tree</t>
  </si>
  <si>
    <t>Array, String, Divide and Conquer, Sorting, Heap (Priority Queue), Radix Sort, Quickselect</t>
  </si>
  <si>
    <t>Hash Table, Design</t>
  </si>
  <si>
    <t>Array, Hash Table, Two Pointers, Binary Search, Graph Theory, Sorting, Counting</t>
  </si>
  <si>
    <t>Dynamic Programming, Bit Manipulation, Memoization, Bitmask</t>
  </si>
  <si>
    <t>Math, Binary Search, Dynamic Programming, Bit Manipulation</t>
  </si>
  <si>
    <t>Math, String, Simulation, Combinatorics, Number Theory</t>
  </si>
  <si>
    <t>Hash Table, Design, Queue, Counting, Data Stream</t>
  </si>
  <si>
    <t>Math, Dynamic Programming, Greedy, Brainteaser</t>
  </si>
  <si>
    <t>Array, Sorting, Heap (Priority Queue), Simulation</t>
  </si>
  <si>
    <t>String, Trie, Rolling Hash, Hash Function</t>
  </si>
  <si>
    <t>Hash Table, String, Counting, Prefix Sum</t>
  </si>
  <si>
    <t>Array, Math, Dynamic Programming, Sorting, Prefix Sum</t>
  </si>
  <si>
    <t>Array, Linked List, Divide and Conquer, Design, Simulation, Doubly-Linked List</t>
  </si>
  <si>
    <t>Array, Hash Table, String, Design, Matrix</t>
  </si>
  <si>
    <t>Array, Hash Table, Stack, Greedy, Sorting, Heap (Priority Queue)</t>
  </si>
  <si>
    <t>Array, String, Segment Tree, Ordered Set</t>
  </si>
  <si>
    <t>Array, Hash Table, Dynamic Programming, Tree, Depth-First Search</t>
  </si>
  <si>
    <t>Hash Table, Tree, Depth-First Search, Design</t>
  </si>
  <si>
    <t>Array, Math, Dynamic Programming, Combinatorics, Number Theory</t>
  </si>
  <si>
    <t>Array, Hash Table, Math, Simulation</t>
  </si>
  <si>
    <t>Array, Greedy, Design</t>
  </si>
  <si>
    <t>String, Depth-First Search, Breadth-First Search, Interactive</t>
  </si>
  <si>
    <t>Array, Hash Table, Math, Combinatorics</t>
  </si>
  <si>
    <t>Array, Segment Tree, Enumeration, Prefix Sum</t>
  </si>
  <si>
    <t>String, Binary Search, Rolling Hash, Suffix Array, String Matching, Hash Function</t>
  </si>
  <si>
    <t>Array, Math, Dynamic Programming, Backtracking, Combinatorics, Probability and Statistics</t>
  </si>
  <si>
    <t>Array, Hash Table, Dynamic Programming, Bit Manipulation, Bitmask</t>
  </si>
  <si>
    <t>Array, Backtracking, Bit Manipulation, Matrix, Enumeration</t>
  </si>
  <si>
    <t>pandas</t>
  </si>
  <si>
    <t>Array, Binary Search, Dynamic Programming, Binary Indexed Tree, Segment Tree</t>
  </si>
  <si>
    <t>Array, Math, Dynamic Programming, Graph Theory, Topological Sort, Memoization, Matrix, Game Theory</t>
  </si>
  <si>
    <t>Dynamic Programming, Breadth-First Search, Memoization</t>
  </si>
  <si>
    <t>Math, Dynamic Programming, Tree, Depth-First Search, Number Theory</t>
  </si>
  <si>
    <t>Math, Greedy, Recursion</t>
  </si>
  <si>
    <t>Array, Hash Table, Math, String, Dynamic Programming, Stack, Memoization</t>
  </si>
  <si>
    <t>Math, Greedy, Bit Manipulation</t>
  </si>
  <si>
    <t>Array, Binary Search, Segment Tree, Sweep Line</t>
  </si>
  <si>
    <t>Array, Hash Table, Heap (Priority Queue), Ordered Set</t>
  </si>
  <si>
    <t>Array, Hash Table, String, Graph Theory, Design, Topological Sort, Matrix</t>
  </si>
  <si>
    <t>Array, Hash Table, Dynamic Programming, Greedy, Enumeration, Prefix Sum</t>
  </si>
  <si>
    <t>String, Bit Manipulation</t>
  </si>
  <si>
    <t>Array, Binary Search, Stack, Monotonic Stack</t>
  </si>
  <si>
    <t>Array, Math, Greedy, Counting, Game Theory</t>
  </si>
  <si>
    <t>Two Pointers, String, Rolling Hash, Hash Function</t>
  </si>
  <si>
    <t>Array, Hash Table, String, Greedy, Sorting, Counting</t>
  </si>
  <si>
    <t>Array, Hash Table, Breadth-First Search, Union-Find, Ordered Set</t>
  </si>
  <si>
    <t>Array, Hash Table, Math, Geometry, Enumeration</t>
  </si>
  <si>
    <t>Array, Math, Binary Search, Bit Manipulation, Combinatorics, Number Theory</t>
  </si>
  <si>
    <t>Math, String, Dynamic Programming, Stack</t>
  </si>
  <si>
    <t>Array, Math, Bit Manipulation, Brainteaser, Game Theory</t>
  </si>
  <si>
    <t>Array, Math, Geometry, Randomized</t>
  </si>
  <si>
    <t>Array, Math, Greedy, Heap (Priority Queue)</t>
  </si>
  <si>
    <t>Binary Search, Depth-First Search, Breadth-First Search, Graph Theory, Shortest Path</t>
  </si>
  <si>
    <t>Array, Dynamic Programming, Bit Manipulation, Tree, Depth-First Search, Memoization</t>
  </si>
  <si>
    <t>Array, Tree, Depth-First Search</t>
  </si>
  <si>
    <t>Array, Depth-First Search, Graph Theory, Matrix</t>
  </si>
  <si>
    <t>Array, Tree, Depth-First Search, Breadth-First Search</t>
  </si>
  <si>
    <t>Array, Hash Table, Tree, Graph Theory, Simulation</t>
  </si>
  <si>
    <t>Array, Math, Sorting, Heap (Priority Queue), Matrix, Prefix Sum</t>
  </si>
  <si>
    <t>Math, Recursion, Number Theory</t>
  </si>
  <si>
    <t>Array, Math, Binary Search, Greedy, Heap (Priority Queue)</t>
  </si>
  <si>
    <t>Array, Hash Table, Counting, Enumeration</t>
  </si>
  <si>
    <t>Hash Table, String, Binary Search, Design, Sorting, Ordered Set</t>
  </si>
  <si>
    <t>Array, Math, Dynamic Programming, Bit Manipulation, Combinatorics, Bitmask</t>
  </si>
  <si>
    <t>Array, Binary Search, Dynamic Programming, Stack, Queue, Monotonic Stack, Monotonic Queue</t>
  </si>
  <si>
    <t>Hash Table, Math, String, Number Theory, Prefix Sum</t>
  </si>
  <si>
    <t>Array, Hash Table, Bit Manipulation, Matrix</t>
  </si>
  <si>
    <t>Dynamic Programming, Backtracking, Bit Manipulation, Bitmask</t>
  </si>
  <si>
    <t>Array, Hash Table, Bit Manipulation, Trie, Sliding Window</t>
  </si>
  <si>
    <t>Breadth-First Search, Graph Theory, Prefix Sum</t>
  </si>
  <si>
    <t>Array, Depth-First Search, Breadth-First Search, Matrix, Interactive</t>
  </si>
  <si>
    <t>Two Pointers, String, Binary Search, Rolling Hash, String Matching, Hash Function</t>
  </si>
  <si>
    <t>Array, Greedy, Graph Theory, Ordered Set</t>
  </si>
  <si>
    <t>String, Trie, Rolling Hash, Suffix Array, Hash Function</t>
  </si>
  <si>
    <t>Array, String, Dynamic Programming, Greedy, Union-Find, Matrix</t>
  </si>
  <si>
    <t>Divide and Conquer, Tree</t>
  </si>
  <si>
    <t>Array, Two Pointers, Dynamic Programming, Greedy, Sorting</t>
  </si>
  <si>
    <t>Dynamic Programming, Tree, Depth-First Search, Sorting, Heap (Priority Queue)</t>
  </si>
  <si>
    <t>Bit Manipulation, Graph Theory, Heap (Priority Queue), Enumeration, Shortest Path</t>
  </si>
  <si>
    <t>Array, Segment Tree</t>
  </si>
  <si>
    <t>Array, Math, Greedy, Number Theory</t>
  </si>
  <si>
    <t>Array, Two Pointers, Binary Search, Enumeration</t>
  </si>
  <si>
    <t>Math, Bit Manipulation, Depth-First Search, Breadth-First Search</t>
  </si>
  <si>
    <t>Array, Math, Matrix, Simulation</t>
  </si>
  <si>
    <t>Design, Simulation</t>
  </si>
  <si>
    <t>Math, Dynamic Programming, Bit Manipulation, Memoization, Combinatorics</t>
  </si>
  <si>
    <t>Array, Hash Table, Math, Enumeration</t>
  </si>
  <si>
    <t>Math, Backtracking, Breadth-First Search</t>
  </si>
  <si>
    <t>Array, Math, Geometry, Sorting, Ordered Set</t>
  </si>
  <si>
    <t>Array, Hash Table, Binary Search, Divide and Conquer, Binary Indexed Tree, Segment Tree, Merge Sort, Ordered Set</t>
  </si>
  <si>
    <t>Math, String, Dynamic Programming, String Matching</t>
  </si>
  <si>
    <t>Hash Table, Math, String, Stack, Recursion</t>
  </si>
  <si>
    <t>Array, Two Pointers, Sorting, Enumeration</t>
  </si>
  <si>
    <t>Array, Math, Probability and Statistics</t>
  </si>
  <si>
    <t>Hash Table, Math, String, Enumeration, Number Theory, Prefix Sum</t>
  </si>
  <si>
    <t>Hash Table, String, Dynamic Programming, Counting</t>
  </si>
  <si>
    <t>Array, String, Binary Search, Dynamic Programming, Trie, Segment Tree, Rolling Hash, String Matching, Hash Function</t>
  </si>
  <si>
    <t>Array, Simulation, Counting</t>
  </si>
  <si>
    <t>Linked List, Two Pointers, Sorting</t>
  </si>
  <si>
    <t>Math, Greedy, Sorting, Heap (Priority Queue)</t>
  </si>
  <si>
    <t>Linked List, Math, Two Pointers</t>
  </si>
  <si>
    <t>Array, Sorting, Prefix Sum, Ordered Set</t>
  </si>
  <si>
    <t>Array, Dynamic Programming, Stack, Graph Theory, Monotonic Stack, Shortest Path</t>
  </si>
  <si>
    <t>Array, String, Dynamic Programming, Suffix Array</t>
  </si>
  <si>
    <t>Math, Greedy, Enumeration</t>
  </si>
  <si>
    <t>Array, Rolling Hash, String Matching, Hash Function</t>
  </si>
  <si>
    <t>Array, Hash Table, Two Pointers, String, Dynamic Programming</t>
  </si>
  <si>
    <t>Array, Hash Table, Dynamic Programming, Sliding Window</t>
  </si>
  <si>
    <t>Array, Two Pointers, Dynamic Programming, Sorting</t>
  </si>
  <si>
    <t>Array, Hash Table, Sorting, Counting, Enumeration</t>
  </si>
  <si>
    <t>Array, Math, String, Greedy, Sorting</t>
  </si>
  <si>
    <t>Array, Binary Indexed Tree, Segment Tree, Simulation</t>
  </si>
  <si>
    <t>Array, String, Depth-First Search, Breadth-First Search, Graph Theory</t>
  </si>
  <si>
    <t>Array, Divide and Conquer, Dynamic Programming, Segment Tree</t>
  </si>
  <si>
    <t>Array, Math, Dynamic Programming, Combinatorics, Prefix Sum</t>
  </si>
  <si>
    <t>Tree, Depth-First Search, Sorting, Binary Tree</t>
  </si>
  <si>
    <t>Math, String, Counting</t>
  </si>
  <si>
    <t>Array, Hash Table, Dynamic Programming, Prefix Sum</t>
  </si>
  <si>
    <t>Array, Math, Interactive</t>
  </si>
  <si>
    <t>Array, Math, Combinatorics</t>
  </si>
  <si>
    <t>Array, Hash Table, Matrix, Counting</t>
  </si>
  <si>
    <t>Array, Binary Search, Binary Indexed Tree, Segment Tree</t>
  </si>
  <si>
    <t>Array, Math, Dynamic Programming, Sorting, Combinatorics</t>
  </si>
  <si>
    <t>Hash Table, Tree, Depth-First Search, Binary Tree, Counting</t>
  </si>
  <si>
    <t>Array, Math, Bit Manipulation, Breadth-First Search, Game Theory, Bitmask</t>
  </si>
  <si>
    <t>Array, Binary Search, Dynamic Programming, Bit Manipulation, Segment Tree, Queue</t>
  </si>
  <si>
    <t>Array, Binary Indexed Tree, Segment Tree</t>
  </si>
  <si>
    <t>Hash Table, String, Dynamic Programming, Greedy, Sorting</t>
  </si>
  <si>
    <t>Array, String, Binary Search, Sliding Window, Prefix Sum</t>
  </si>
  <si>
    <t>Hash Table, Math, String, Counting, Prefix Sum</t>
  </si>
  <si>
    <t>Array, Binary Search, Dynamic Programming, Graph Theory, Topological Sort, Heap (Priority Queue), Shortest Path</t>
  </si>
  <si>
    <t>Array, Hash Table, Breadth-First Search, Matrix</t>
  </si>
  <si>
    <t>Array, Counting</t>
  </si>
  <si>
    <t>Array, Hash Table, Math, Combinatorics, Counting</t>
  </si>
  <si>
    <t>Math, Graph Theory, Heap (Priority Queue), Number Theory, Shortest Path</t>
  </si>
  <si>
    <t>Math, Simulation, Game Theory</t>
  </si>
  <si>
    <t>String, Dynamic Programming, Greedy, Prefix Sum</t>
  </si>
  <si>
    <t>Array, Hash Table, Math, Breadth-First Search, Number Theory</t>
  </si>
  <si>
    <t>Array, Hash Table, Recursion, Enumeration</t>
  </si>
  <si>
    <t>Hash Table, String, Stack, Simulation</t>
  </si>
  <si>
    <t>Array, Hash Table, Tree, Depth-First Search, Prefix Sum</t>
  </si>
  <si>
    <t>Binary Search, Union-Find, Graph Theory, Sorting</t>
  </si>
  <si>
    <t>Depth-First Search, Union-Find, Graph Theory, Design, Sorting, Heap (Priority Queue), Minimum Spanning Tree</t>
  </si>
  <si>
    <t>Array, Math, Simulation, Combinatorics, Prefix Sum</t>
  </si>
  <si>
    <t>Array, Math, Depth-First Search, Breadth-First Search, Union-Find, Geometry</t>
  </si>
  <si>
    <t>Array, Hash Table, Binary Search</t>
  </si>
  <si>
    <t>Array, Hash Table, String, Counting, Enumeration</t>
  </si>
  <si>
    <t>Array, Greedy, Sorting, Heap (Priority Queue), Matrix</t>
  </si>
  <si>
    <t>Math, Backtracking, Number Theory</t>
  </si>
  <si>
    <t>Array, String, Binary Search, Interactive</t>
  </si>
  <si>
    <t>Hash Table, String, Greedy, Counting, Enumeration</t>
  </si>
  <si>
    <t>Array, Tree, Binary Search Tree, Binary Tree, Ordered Set</t>
  </si>
  <si>
    <t>Array, Divide and Conquer, Matrix</t>
  </si>
  <si>
    <t>Array, Hash Table, Binary Search, Union-Find, Graph Theory</t>
  </si>
  <si>
    <t>Array, Dynamic Programming, Matrix, Enumeration</t>
  </si>
  <si>
    <t>Math, String, Dynamic Programming, Greedy, Number Theory</t>
  </si>
  <si>
    <t>Array, Bit Manipulation, Enumeration</t>
  </si>
  <si>
    <t>Array, Dynamic Programming, Bit Manipulation, Prefix Sum</t>
  </si>
  <si>
    <t>Array, Math, Dynamic Programming, Bit Manipulation, Brainteaser, Game Theory</t>
  </si>
  <si>
    <t>Hash Table, String, Rolling Hash, Counting, Hash Function</t>
  </si>
  <si>
    <t>Array, Hash Table, String, Tree, Depth-First Search</t>
  </si>
  <si>
    <t>Array, Dynamic Programming, Backtracking, Bit Manipulation, Depth-First Search, Bitmask</t>
  </si>
  <si>
    <t>Array, Hash Table, Math, String, Counting</t>
  </si>
  <si>
    <t>Array, Math, Brainteaser, Game Theory</t>
  </si>
  <si>
    <t>Math, String, Combinatorics, Number Theory</t>
  </si>
  <si>
    <t>Array, Hash Table, Math, Matrix, Counting, Enumeration, Number Theory</t>
  </si>
  <si>
    <t>Array, Math, Sliding Window, Enumeration, Number Theory</t>
  </si>
  <si>
    <t>Array, Hash Table, Math, Binary Search, Combinatorics, Counting, Number Theory, Prefix Sum</t>
  </si>
  <si>
    <t>Dynamic Programming, Tree, Depth-First Search, Sorting</t>
  </si>
  <si>
    <t>Array, Binary Search, Enumeration</t>
  </si>
  <si>
    <t>Array, Depth-First Search, Breadth-First Search, Graph Theory, Heap (Priority Queue), Matrix, Interactive, Shortest Path</t>
  </si>
  <si>
    <t>Array, Binary Search, Bit Manipulation, Enumeration</t>
  </si>
  <si>
    <t>Array, Dynamic Programming, Bit Manipulation, Matrix</t>
  </si>
  <si>
    <t>Graph Theory, Prefix Sum</t>
  </si>
  <si>
    <t>Array, Math, Dynamic Programming, Number Theory</t>
  </si>
  <si>
    <t>Array, Math, Dynamic Programming, Bit Manipulation, Number Theory, Bitmask</t>
  </si>
  <si>
    <t>Array, Hash Table, String, Enumeration</t>
  </si>
  <si>
    <t>Array, Hash Table, String, Counting, Prefix Sum</t>
  </si>
  <si>
    <t>Array, Hash Table, Dynamic Programming, Bit Manipulation</t>
  </si>
  <si>
    <t>Array, String, Binary Search, Dynamic Programming, Segment Tree, Rolling Hash, String Matching, Hash Function</t>
  </si>
  <si>
    <t>Hash Table, Dynamic Programming, Graph Theory</t>
  </si>
  <si>
    <t>Array, Math, Queue, Sliding Window, Number Theory, Monotonic Queue</t>
  </si>
  <si>
    <t>Array, Binary Search, Greedy, Heap (Priority Queue)</t>
  </si>
  <si>
    <t>Array, Stack, Segment Tree, Queue, Sliding Window, Monotonic Stack, Monotonic Queue</t>
  </si>
  <si>
    <t>Array, Dynamic Programming, Matrix, Prefix Sum</t>
  </si>
  <si>
    <t>Two Pointers, String, Dynamic Programming, Enumeration</t>
  </si>
  <si>
    <t>String, Sorting, Counting Sort</t>
  </si>
  <si>
    <t>Array, Hash Table, Graph Theory, Matrix</t>
  </si>
  <si>
    <t>Array, Math, Stack, Monotonic Stack</t>
  </si>
  <si>
    <t>Array, Greedy, Segment Tree, Heap (Priority Queue)</t>
  </si>
  <si>
    <t>Array, Hash Table, String, Tree, Depth-First Search, Hash Function</t>
  </si>
  <si>
    <t>Array, Bit Manipulation, Recursion, Enumeration</t>
  </si>
  <si>
    <t>Array, Two Pointers, Greedy, Sorting, Heap (Priority Queue)</t>
  </si>
  <si>
    <t>Array, Math, Binary Indexed Tree, Segment Tree, Geometry, Sorting, Enumeration</t>
  </si>
  <si>
    <t>Array, Matrix, Enumeration, Prefix Sum</t>
  </si>
  <si>
    <t>Array, Hash Table, Sliding Window, Simulation, Counting</t>
  </si>
  <si>
    <t>Array, Binary Search, Depth-First Search, Breadth-First Search, Union-Find, Graph Theory</t>
  </si>
  <si>
    <t>Array, Hash Table, Math, Dynamic Programming, Backtracking, Bit Manipulation, Geometry, Bitmask</t>
  </si>
  <si>
    <t>Array, String, Backtracking, Simulation</t>
  </si>
  <si>
    <t>Hash Table, String, Dynamic Programming, Counting, Enumeration</t>
  </si>
  <si>
    <t>Hash Table, String, Dynamic Programming, Greedy</t>
  </si>
  <si>
    <t>Array, Greedy, Bit Manipulation, Sorting</t>
  </si>
  <si>
    <t>Array, String, Greedy, Heap (Priority Queue)</t>
  </si>
  <si>
    <t>Array, Binary Search, Dynamic Programming, Bit Manipulation, Tree, Depth-First Search</t>
  </si>
  <si>
    <t>Binary Search, Greedy, Union-Find, Graph Theory, Minimum Spanning Tree</t>
  </si>
  <si>
    <t>Array, Binary Search, Divide and Conquer, Sorting, Quickselect</t>
  </si>
  <si>
    <t>Array, Depth-First Search, Union-Find, Graph Theory</t>
  </si>
  <si>
    <t>Hash Table, String, Trie, Simulation</t>
  </si>
  <si>
    <t>Math, String, Prefix Sum</t>
  </si>
  <si>
    <t>Array, Hash Table, Math, Tree, Depth-First Search, Counting, Number Theory</t>
  </si>
  <si>
    <t>Array, Dynamic Programming, Enumeration</t>
  </si>
  <si>
    <t>Array, Stack, Matrix, Monotonic Stack</t>
  </si>
  <si>
    <t>Hash Table, String, Sliding Window, Prefix Sum</t>
  </si>
  <si>
    <t>Math, Bit Manipulation, Combinatorics</t>
  </si>
  <si>
    <t>Array, Math, Two Pointers, Greedy, Sorting</t>
  </si>
  <si>
    <t>Array, Tree, Depth-First Search, Binary Indexed Tree, Segment Tree</t>
  </si>
  <si>
    <t>Array, Math, Dynamic Programming, Matrix, Combinatorics, Number Theory</t>
  </si>
  <si>
    <t>Array, Binary Search, Bit Manipulation</t>
  </si>
  <si>
    <t>Array, String, Rolling Hash, String Matching, Matrix, Hash Function</t>
  </si>
  <si>
    <t>Array, Binary Indexed Tree, Ordered Set</t>
  </si>
  <si>
    <t>Array, Dynamic Programming, Segment Tree</t>
  </si>
  <si>
    <t>Array, Hash Table, String, Depth-First Search, Breadth-First Search, Graph Theory, Topological Sort</t>
  </si>
  <si>
    <t>Array, Hash Table, Divide and Conquer, Segment Tree, Merge Sort, Prefix Sum</t>
  </si>
  <si>
    <t>Array, Interactive</t>
  </si>
  <si>
    <t>Array, Math, Greedy, Bit Manipulation</t>
  </si>
  <si>
    <t>String, Stack, Counting</t>
  </si>
  <si>
    <t>Array, Hash Table, Math, Dynamic Programming, Sliding Window, Heap (Priority Queue)</t>
  </si>
  <si>
    <t>Array, Dynamic Programming, Bit Manipulation, Graph Theory, Topological Sort, Bitmask</t>
  </si>
  <si>
    <t>Math, Tree, Depth-First Search</t>
  </si>
  <si>
    <t>String, Dynamic Programming, Bit Manipulation, Graph Theory, Bitmask</t>
  </si>
  <si>
    <t>Array, Binary Search, Design, Prefix Sum</t>
  </si>
  <si>
    <t>Math, String, Backtracking, Greedy, Number Theory</t>
  </si>
  <si>
    <t>Array, Math, Dynamic Programming, Bit Manipulation, Tree, Depth-First Search</t>
  </si>
  <si>
    <t>Array, Sorting, Heap (Priority Queue), Prefix Sum</t>
  </si>
  <si>
    <t>Hash Table, Math, String, Prefix Sum</t>
  </si>
  <si>
    <t>Array, Math, Bit Manipulation, Brainteaser, Prefix Sum</t>
  </si>
  <si>
    <t>Hash Table, Math, String, Sorting, Number Theory</t>
  </si>
  <si>
    <t>Array, Greedy, Union-Find, Sorting</t>
  </si>
  <si>
    <t>Array, String, Backtracking, Sorting, Enumeration</t>
  </si>
  <si>
    <t>Array, Graph Theory, Matrix</t>
  </si>
  <si>
    <t>Hash Table, Design, Sorting, Heap (Priority Queue), Data Stream</t>
  </si>
  <si>
    <t>Two Pointers, String, Simulation</t>
  </si>
  <si>
    <t>Array, Two Pointers, Binary Search, Dynamic Programming, Greedy, Bit Manipulation, Graph Theory, Sorting</t>
  </si>
  <si>
    <t>Array, Dynamic Programming, Bit Manipulation, Tree, Depth-First Search</t>
  </si>
  <si>
    <t>Array, Hash Table, Math, Greedy, Geometry, Enumeration</t>
  </si>
  <si>
    <t>Math, Dynamic Programming, Bit Manipulation, Combinatorics</t>
  </si>
  <si>
    <t>Array, Greedy, Sorting, Enumeration</t>
  </si>
  <si>
    <t>Array, Dynamic Programming, Bit Manipulation, Tree, Depth-First Search, Bitmask</t>
  </si>
  <si>
    <t>Math, Greedy, Graph Theory</t>
  </si>
  <si>
    <t>Hash Table, Linked List, Counting</t>
  </si>
  <si>
    <t>Array, Math, Binary Search, Segment Tree</t>
  </si>
  <si>
    <t>Bit Manipulation, Enumeration</t>
  </si>
  <si>
    <t>Array, Hash Table, String, Design, Sorting</t>
  </si>
  <si>
    <t>Array, Hash Table, Divide and Conquer, Segment Tree, Merge Sort, Counting, Prefix Sum</t>
  </si>
  <si>
    <t>Array, Segment Tree, Sliding Window</t>
  </si>
  <si>
    <t>Array, Math, Binary Indexed Tree, Segment Tree, Geometry, Sorting</t>
  </si>
  <si>
    <t>String, Segment Tree</t>
  </si>
  <si>
    <t>Two Pointers, String, Binary Search, String Matching</t>
  </si>
  <si>
    <t>Array, Math, Dynamic Programming, Greedy, Number Theory</t>
  </si>
  <si>
    <t>Hash Table, Design, Queue, Data Stream</t>
  </si>
  <si>
    <t>String, Binary Search</t>
  </si>
  <si>
    <t>Math, Dynamic Programming, Enumeration</t>
  </si>
  <si>
    <t>Array, Math, Bit Manipulation, Enumeration</t>
  </si>
  <si>
    <t>Array, Divide and Conquer, Dynamic Programming, Queue, Prefix Sum, Monotonic Queue</t>
  </si>
  <si>
    <t>Array, Math, Binary Search, Geometry, Sorting</t>
  </si>
  <si>
    <t>Array, Dynamic Programming, Bit Manipulation, Graph Theory, Heap (Priority Queue), Shortest Path, Bitmask</t>
  </si>
  <si>
    <t>Array, Math, Binary Search, Greedy, Segment Tree, Number Theory</t>
  </si>
  <si>
    <t>Array, Two Pointers, Binary Search, Dynamic Programming, Bit Manipulation</t>
  </si>
  <si>
    <t>Hash Table, String, Stack, Greedy, Monotonic Stack</t>
  </si>
  <si>
    <t>Tree, Depth-First Search, Graph Theory, Topological Sort, Sorting</t>
  </si>
  <si>
    <t>Array, Hash Table, Matrix, Enumeration, Prefix Sum</t>
  </si>
  <si>
    <t>Math, String, Breadth-First Search, Union-Find, Ordered Set</t>
  </si>
  <si>
    <t>Array, Hash Table, Binary Search, Divide and Conquer, Counting, Prefix Sum</t>
  </si>
  <si>
    <t>Two Pointers, Binary Search, Enumeration</t>
  </si>
  <si>
    <t>Union-Find, Interactive, Counting</t>
  </si>
  <si>
    <t>Hash Table, Math, Dynamic Programming</t>
  </si>
  <si>
    <t>Array, Math, Binary Indexed Tree, Number Theory</t>
  </si>
  <si>
    <t>Math, Two Pointers, String, Bit Manipulation</t>
  </si>
  <si>
    <t>Array, Divide and Conquer, Binary Indexed Tree, Segment Tree</t>
  </si>
  <si>
    <t>Array, Bit Manipulation, Simulation</t>
  </si>
  <si>
    <t>Array, Math, Binary Search, Geometry, Enumeration</t>
  </si>
  <si>
    <t>Tree, Depth-First Search, Graph Theory, Trie</t>
  </si>
  <si>
    <t>String, Greedy, String Matching</t>
  </si>
  <si>
    <t>Array, Divide and Conquer, Simulation</t>
  </si>
  <si>
    <t>Array, Math, Segment Tree</t>
  </si>
  <si>
    <t>Array, Math, Greedy, Bit Manipulation, Enumeration</t>
  </si>
  <si>
    <t>Array, Math, Dynamic Programming, Bit Manipulation, Combinatorics</t>
  </si>
  <si>
    <t>Array, Hash Table, Math, Binary Indexed Tree, Geometry, Sweep Line, Sorting</t>
  </si>
  <si>
    <t>Array, Counting, Enumeration</t>
  </si>
  <si>
    <t>Array, String, Bit Manipulation, Graph Theory, Topological Sort, Enumeration</t>
  </si>
  <si>
    <t>Array, Math, Combinatorics, Enumeration</t>
  </si>
  <si>
    <t>Array, Tree, Depth-First Search, Ordered Set</t>
  </si>
  <si>
    <t>Array, Hash Table, Math, Stack, Sliding Window</t>
  </si>
  <si>
    <t>Divide and Conquer, Tree, Depth-First Search, Binary Tree</t>
  </si>
  <si>
    <t>Array, String, Binary Search, Segment Tree</t>
  </si>
  <si>
    <t>Math, Dynamic Programming, Number Theory</t>
  </si>
  <si>
    <t>Array, Ordered Set</t>
  </si>
  <si>
    <t>Array, Math, Segment Tree, Number Theory</t>
  </si>
  <si>
    <t>Array, Linked List, Doubly-Linked List</t>
  </si>
  <si>
    <t>Array, Math, Binary Search</t>
  </si>
  <si>
    <t>Array, Math, Divide and Conquer, Geometry, Sorting, Ordered Set</t>
  </si>
  <si>
    <t>Array, Math, Binary Search, Number Theory</t>
  </si>
  <si>
    <t>Math, Dynamic Programming, Tree, Binary Tree, Game Theory</t>
  </si>
  <si>
    <t>Array, Sliding Window, Rolling Hash, String Matching, Interactive, Hash Function</t>
  </si>
  <si>
    <t>Bit Manipulation, Interactive</t>
  </si>
  <si>
    <t>String, Binary Search, Dynamic Programming, Sliding Window, Hash Function</t>
  </si>
  <si>
    <t>Array, Bit Manipulation, Breadth-First Search</t>
  </si>
  <si>
    <t>Hash Table, Binary Search, Design, Queue, Heap (Priority Queue), Data Stream, Ordered Set</t>
  </si>
  <si>
    <t>Array, Two Pointers, Dynamic Programming</t>
  </si>
  <si>
    <t>Array, Hash Table, String, Matrix</t>
  </si>
  <si>
    <t>Array, Math, Two Pointers, String, Greedy, Game Theory</t>
  </si>
  <si>
    <t>Array, Depth-First Search, Breadth-First Search, Union-Find, Graph Theory, Topological Sort</t>
  </si>
  <si>
    <t>Array, Hash Table, Design, Heap (Priority Queue), Matrix, Ordered Set</t>
  </si>
  <si>
    <t>Array, Hash Table, Math, Sliding Window, Heap (Priority Queue)</t>
  </si>
  <si>
    <t>String, Greedy, Sorting, Counting Sort</t>
  </si>
  <si>
    <t>Binary Search, Bit Manipulation</t>
  </si>
  <si>
    <t>Hash Table, String, Simulation, Counting</t>
  </si>
  <si>
    <t>Array, Binary Search, Graph Theory, Sorting, Prefix Sum</t>
  </si>
  <si>
    <t>Array, Greedy, Prefix Sum</t>
  </si>
  <si>
    <t>Array, Hash Table, Sliding Window, Counting, Ordered Set</t>
  </si>
  <si>
    <t>Array, Hash Table, String, Simulation, Counting, Prefix Sum</t>
  </si>
  <si>
    <t>Array, Depth-First Search, Graph Theory</t>
  </si>
  <si>
    <t>Array, Math, Depth-First Search, Breadth-First Search, Graph Theory</t>
  </si>
  <si>
    <t>Array, Recursion, Matrix</t>
  </si>
  <si>
    <t>Array, Bit Manipulation, Trie, Prefix Sum</t>
  </si>
  <si>
    <t>String, Trie</t>
  </si>
  <si>
    <t>Tree, Breadth-First Search, Graph Theory</t>
  </si>
  <si>
    <t>Binary Search, Breadth-First Search, Graph Theory</t>
  </si>
  <si>
    <t>Hash Table, Math, String, Divide and Conquer, Stack</t>
  </si>
  <si>
    <t>String, Binary Search, Rolling Hash, Suffix Array, Hash Function</t>
  </si>
  <si>
    <t>🧩 Total Problems: 3812</t>
  </si>
  <si>
    <t>🕰️ Last Updated: 2026-01-17 18:41 CET</t>
  </si>
  <si>
    <t>Array, Dynamic Programming, Backtracking, Bit Manipulation, Memoization, Bitmask DP</t>
  </si>
  <si>
    <t>Depth-First Search, Graph Theory, Eulerian Circuit</t>
  </si>
  <si>
    <t>Dynamic Programming, Bit Manipulation, Breadth-First Search, Graph Theory, Bitmask DP</t>
  </si>
  <si>
    <t>Array, Dynamic Programming, Backtracking, Bit Manipulation, Bitmask DP</t>
  </si>
  <si>
    <t>Array, Two Pointers, Binary Search, Dynamic Programming, Bit Manipulation, Ordered Set, Bitmask DP</t>
  </si>
  <si>
    <t>Math, Dynamic Programming, Bit Manipulation, Memoization, Game Theory, Bitmask DP</t>
  </si>
  <si>
    <t>Hash Table, Dynamic Programming, Graph Theory, Topological Sort, Memoization, Counting</t>
  </si>
  <si>
    <t>Hash Table, Depth-First Search, Breadth-First Search, Union-Find, Hash Function</t>
  </si>
  <si>
    <t>Array, Dynamic Programming, Bit Manipulation, Bitmask DP</t>
  </si>
  <si>
    <t>Array, Hash Table, String, Dynamic Programming, Backtracking, Bit Manipulation, Counting, Bitmask DP</t>
  </si>
  <si>
    <t>Array, Math, Dynamic Programming, Backtracking, Bit Manipulation, Number Theory, Bitmask DP</t>
  </si>
  <si>
    <t>Array, Math, Simulation, Combinatorics</t>
  </si>
  <si>
    <t>Array, String, Dynamic Programming, Bit Manipulation, Bitmask DP</t>
  </si>
  <si>
    <t>Array, Math, Dynamic Programming, Bit Manipulation, Bitmask DP</t>
  </si>
  <si>
    <t>Array, Hash Table, String, Dynamic Programming, Backtracking, Bit Manipulation, Memoization, Bitmask DP</t>
  </si>
  <si>
    <t>Dynamic Programming, Bit Manipulation, Graph Theory, Bitmask DP</t>
  </si>
  <si>
    <t>Array, Hash Table, Math, Dynamic Programming, Backtracking, Bit Manipulation, Bitmask DP</t>
  </si>
  <si>
    <t>String, Dynamic Programming, Backtracking, Bit Manipulation, Bitmask DP</t>
  </si>
  <si>
    <t>Array, Hash Table, Design, Counting</t>
  </si>
  <si>
    <t>Array, Two Pointers, Dynamic Programming, Bit Manipulation, Sorting, Bitmask DP</t>
  </si>
  <si>
    <t>Array, Dynamic Programming, Bit Manipulation, Matrix, Bitmask DP</t>
  </si>
  <si>
    <t>String, Backtracking, Greedy, Counting, Enumeration</t>
  </si>
  <si>
    <t>String, Recursion</t>
  </si>
  <si>
    <t>Graph Theory, Shortest Path</t>
  </si>
  <si>
    <t>Hash Table, Binary Search, Tree, Depth-First Search, Binary Tree</t>
  </si>
  <si>
    <t>Dynamic Programming, Bit Manipulation, Tree, Enumeration, Bitmask DP</t>
  </si>
  <si>
    <t>Math, Dynamic Programming, Tree, Graph Theory, Topological Sort, Combinatorics</t>
  </si>
  <si>
    <t>Array, Hash Table, Math, Dynamic Programming, Bit Manipulation, Counting, Number Theory, Bitmask DP</t>
  </si>
  <si>
    <t>String, Bit Manipulation, Union-Find</t>
  </si>
  <si>
    <t>Dynamic Programming, Tree, Depth-First Search, Union-Find</t>
  </si>
  <si>
    <t>Array, Hash Table, Dynamic Programming, Backtracking, Bit Manipulation, Counting, Bitmask DP</t>
  </si>
  <si>
    <t>Array, Math, Binary Search, Prefix Sum</t>
  </si>
  <si>
    <t>Dynamic Programming, Bit Manipulation, Tree, Depth-First Search, Bitmask DP</t>
  </si>
  <si>
    <t>String, Dynamic Programming, Bit Manipulation, Bitmask DP</t>
  </si>
  <si>
    <t>Hash Table, Math, String, Greedy, Combinatorics</t>
  </si>
  <si>
    <t>Array, Dynamic Programming, Bit Manipulation, Memoization, Bitmask DP</t>
  </si>
  <si>
    <t>Dynamic Programming, Bit Manipulation, Memoization, Bitmask DP</t>
  </si>
  <si>
    <t>String, Rolling Hash, Hash Function</t>
  </si>
  <si>
    <t>Tree, Graph Theory</t>
  </si>
  <si>
    <t>Array, Math, Dynamic Programming, Bit Manipulation, Combinatorics, Bitmask DP</t>
  </si>
  <si>
    <t>Dynamic Programming, Backtracking, Bit Manipulation, Bitmask DP</t>
  </si>
  <si>
    <t>String, Binary Search, Enumeration</t>
  </si>
  <si>
    <t>Math, String, Combinatorics</t>
  </si>
  <si>
    <t>Array, Math, Bit Manipulation, Breadth-First Search, Game Theory, Bitmask DP</t>
  </si>
  <si>
    <t>Array, Dynamic Programming, Backtracking, Bit Manipulation, Depth-First Search, Bitmask DP</t>
  </si>
  <si>
    <t>Dynamic Programming, Greedy</t>
  </si>
  <si>
    <t>Array, Math, Dynamic Programming, Bit Manipulation, Number Theory, Bitmask DP</t>
  </si>
  <si>
    <t>Array, Hash Table, Math, Dynamic Programming, Backtracking, Bit Manipulation, Geometry, Bitmask DP</t>
  </si>
  <si>
    <t>Array, Binary Search, Dynamic Programming, Tree, Depth-First Search</t>
  </si>
  <si>
    <t>String, Dynamic Programming, Bit Manipulation, Graph Theory, Bitmask DP</t>
  </si>
  <si>
    <t>Array, Dynamic Programming, Bit Manipulation, Graph Theory, Topological Sort, Bitmask DP</t>
  </si>
  <si>
    <t>Array, Dynamic Programming, Bit Manipulation, Tree, Depth-First Search, Bitmask DP</t>
  </si>
  <si>
    <t>Array, Dynamic Programming, Bit Manipulation, Graph Theory, Heap (Priority Queue), Shortest Path, Bitmask DP</t>
  </si>
  <si>
    <t>Array, Math, Tree, Number Theory</t>
  </si>
  <si>
    <t>Hash Table, String, Binary Search, Prefix Sum</t>
  </si>
  <si>
    <t>Array, Sliding Window, Rolling Hash, String Matching, Hash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</si>
</sst>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b/>
      <sz val="11"/>
      <color rgb="FFFFFFFF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84F77"/>
        <bgColor rgb="FF284F77"/>
      </patternFill>
    </fill>
  </fills>
  <borders count="2">
    <border>
      <left/>
      <right/>
      <top/>
      <bottom/>
      <diagonal/>
    </border>
    <border>
      <left/>
      <right/>
      <top style="thin">
        <color rgb="FFFFFFFF"/>
      </top>
      <bottom style="thin">
        <color rgb="FF284F7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3" fillId="2" borderId="1" xfId="0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right"/>
    </xf>
    <xf numFmtId="10" fontId="1" fillId="0" borderId="0" xfId="0" applyNumberFormat="1" applyFont="1"/>
  </cellXfs>
  <cellStyles count="1">
    <cellStyle name="Normal" xfId="0" builtinId="0"/>
  </cellStyles>
  <dxfs count="735"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3852"/>
  <sheetViews>
    <sheetView tabSelected="1" topLeftCell="C1" workbookViewId="0">
      <pane ySplit="1" topLeftCell="A2" activePane="bottomLeft" state="frozen"/>
      <selection pane="bottomLeft" activeCell="O19" sqref="O19"/>
    </sheetView>
  </sheetViews>
  <sheetFormatPr defaultColWidth="12.6640625" defaultRowHeight="15.75" customHeight="1" x14ac:dyDescent="0.25"/>
  <cols>
    <col min="1" max="1" width="6.33203125" customWidth="1"/>
    <col min="2" max="2" width="27.6640625" customWidth="1"/>
    <col min="3" max="4" width="11.33203125" customWidth="1"/>
    <col min="5" max="5" width="12.6640625" customWidth="1"/>
    <col min="6" max="6" width="22.6640625" customWidth="1"/>
    <col min="7" max="7" width="12.6640625" customWidth="1"/>
    <col min="8" max="9" width="17.6640625" customWidth="1"/>
    <col min="10" max="12" width="12.6640625" customWidth="1"/>
    <col min="13" max="14" width="10.77734375" customWidth="1"/>
  </cols>
  <sheetData>
    <row r="1" spans="1:14" x14ac:dyDescent="0.25">
      <c r="A1" s="5" t="s">
        <v>4</v>
      </c>
      <c r="B1" s="5" t="s">
        <v>5</v>
      </c>
      <c r="C1" s="5" t="s">
        <v>6</v>
      </c>
      <c r="D1" s="5" t="s">
        <v>7</v>
      </c>
      <c r="E1" s="6" t="s">
        <v>8</v>
      </c>
      <c r="F1" s="5" t="s">
        <v>9</v>
      </c>
      <c r="G1" s="5" t="s">
        <v>10</v>
      </c>
      <c r="H1" s="5" t="s">
        <v>11</v>
      </c>
      <c r="I1" s="5" t="s">
        <v>12</v>
      </c>
      <c r="J1" s="5" t="s">
        <v>13</v>
      </c>
      <c r="K1" s="5" t="s">
        <v>14</v>
      </c>
      <c r="L1" s="5" t="s">
        <v>15</v>
      </c>
      <c r="M1" s="5" t="s">
        <v>16</v>
      </c>
      <c r="N1" s="5" t="s">
        <v>17</v>
      </c>
    </row>
    <row r="2" spans="1:14" x14ac:dyDescent="0.25">
      <c r="A2" s="1">
        <v>1</v>
      </c>
      <c r="B2" s="2" t="str">
        <f>HYPERLINK("https://leetcode.com/problems/two-sum/", "Two Sum")</f>
        <v>Two Sum</v>
      </c>
      <c r="C2" s="1">
        <v>67715</v>
      </c>
      <c r="D2" s="1">
        <v>2518</v>
      </c>
      <c r="E2" s="3">
        <f>IF(INDEX(C:C, ROW())+INDEX(D:D, ROW())=0, 0, INDEX(C:C, ROW())/(INDEX(C:C, ROW())+INDEX(D:D, ROW())))</f>
        <v>0.96414790767872649</v>
      </c>
      <c r="F2" s="1" t="s">
        <v>19</v>
      </c>
      <c r="G2" s="1" t="s">
        <v>20</v>
      </c>
      <c r="H2" s="1">
        <v>20776074</v>
      </c>
      <c r="I2" s="1">
        <v>36401667</v>
      </c>
      <c r="J2" s="7">
        <v>0.57099999999999995</v>
      </c>
      <c r="K2" s="1" t="s">
        <v>21</v>
      </c>
      <c r="L2" s="1" t="s">
        <v>21</v>
      </c>
      <c r="M2" s="1" t="s">
        <v>21</v>
      </c>
      <c r="N2" s="1" t="s">
        <v>22</v>
      </c>
    </row>
    <row r="3" spans="1:14" x14ac:dyDescent="0.25">
      <c r="A3" s="1">
        <v>2</v>
      </c>
      <c r="B3" s="2" t="str">
        <f>HYPERLINK("https://leetcode.com/problems/add-two-numbers/", "Add Two Numbers")</f>
        <v>Add Two Numbers</v>
      </c>
      <c r="C3" s="1">
        <v>36316</v>
      </c>
      <c r="D3" s="1">
        <v>7178</v>
      </c>
      <c r="E3" s="3">
        <f>IF(INDEX(C:C, ROW())+INDEX(D:D, ROW())=0, 0, INDEX(C:C, ROW())/(INDEX(C:C, ROW())+INDEX(D:D, ROW())))</f>
        <v>0.83496574240125077</v>
      </c>
      <c r="F3" s="1" t="s">
        <v>26</v>
      </c>
      <c r="G3" s="1" t="s">
        <v>24</v>
      </c>
      <c r="H3" s="1">
        <v>6763253</v>
      </c>
      <c r="I3" s="1">
        <v>14107830</v>
      </c>
      <c r="J3" s="7">
        <v>0.47899999999999998</v>
      </c>
      <c r="K3" s="1" t="s">
        <v>21</v>
      </c>
      <c r="L3" s="1" t="s">
        <v>21</v>
      </c>
      <c r="M3" s="1" t="s">
        <v>21</v>
      </c>
      <c r="N3" s="1" t="s">
        <v>22</v>
      </c>
    </row>
    <row r="4" spans="1:14" x14ac:dyDescent="0.25">
      <c r="A4" s="1">
        <v>3</v>
      </c>
      <c r="B4" s="2" t="str">
        <f>HYPERLINK("https://leetcode.com/problems/longest-substring-without-repeating-characters/", "Longest Substring Without Repeating Characters")</f>
        <v>Longest Substring Without Repeating Characters</v>
      </c>
      <c r="C4" s="1">
        <v>44501</v>
      </c>
      <c r="D4" s="1">
        <v>2185</v>
      </c>
      <c r="E4" s="3">
        <f>IF(INDEX(C:C, ROW())+INDEX(D:D, ROW())=0, 0, INDEX(C:C, ROW())/(INDEX(C:C, ROW())+INDEX(D:D, ROW())))</f>
        <v>0.95319796084479291</v>
      </c>
      <c r="F4" s="1" t="s">
        <v>23</v>
      </c>
      <c r="G4" s="1" t="s">
        <v>24</v>
      </c>
      <c r="H4" s="1">
        <v>9022611</v>
      </c>
      <c r="I4" s="1">
        <v>23436295</v>
      </c>
      <c r="J4" s="7">
        <v>0.38500000000000001</v>
      </c>
      <c r="K4" s="1" t="s">
        <v>21</v>
      </c>
      <c r="L4" s="1" t="s">
        <v>21</v>
      </c>
      <c r="M4" s="1" t="s">
        <v>21</v>
      </c>
      <c r="N4" s="1" t="s">
        <v>22</v>
      </c>
    </row>
    <row r="5" spans="1:14" x14ac:dyDescent="0.25">
      <c r="A5" s="1">
        <v>4</v>
      </c>
      <c r="B5" s="2" t="str">
        <f>HYPERLINK("https://leetcode.com/problems/median-of-two-sorted-arrays/", "Median of Two Sorted Arrays")</f>
        <v>Median of Two Sorted Arrays</v>
      </c>
      <c r="C5" s="1">
        <v>31846</v>
      </c>
      <c r="D5" s="1">
        <v>3554</v>
      </c>
      <c r="E5" s="3">
        <f>IF(INDEX(C:C, ROW())+INDEX(D:D, ROW())=0, 0, INDEX(C:C, ROW())/(INDEX(C:C, ROW())+INDEX(D:D, ROW())))</f>
        <v>0.89960451977401135</v>
      </c>
      <c r="F5" s="1" t="s">
        <v>34</v>
      </c>
      <c r="G5" s="1" t="s">
        <v>28</v>
      </c>
      <c r="H5" s="1">
        <v>4069907</v>
      </c>
      <c r="I5" s="1">
        <v>8863889</v>
      </c>
      <c r="J5" s="7">
        <v>0.45900000000000002</v>
      </c>
      <c r="K5" s="1" t="s">
        <v>21</v>
      </c>
      <c r="L5" s="1" t="s">
        <v>21</v>
      </c>
      <c r="M5" s="1" t="s">
        <v>21</v>
      </c>
      <c r="N5" s="1" t="s">
        <v>22</v>
      </c>
    </row>
    <row r="6" spans="1:14" x14ac:dyDescent="0.25">
      <c r="A6" s="1">
        <v>5</v>
      </c>
      <c r="B6" s="2" t="str">
        <f>HYPERLINK("https://leetcode.com/problems/longest-palindromic-substring/", "Longest Palindromic Substring")</f>
        <v>Longest Palindromic Substring</v>
      </c>
      <c r="C6" s="1">
        <v>32369</v>
      </c>
      <c r="D6" s="1">
        <v>1994</v>
      </c>
      <c r="E6" s="3">
        <f>IF(INDEX(C:C, ROW())+INDEX(D:D, ROW())=0, 0, INDEX(C:C, ROW())/(INDEX(C:C, ROW())+INDEX(D:D, ROW())))</f>
        <v>0.94197247038966325</v>
      </c>
      <c r="F6" s="1" t="s">
        <v>33</v>
      </c>
      <c r="G6" s="1" t="s">
        <v>24</v>
      </c>
      <c r="H6" s="1">
        <v>4546884</v>
      </c>
      <c r="I6" s="1">
        <v>12184403</v>
      </c>
      <c r="J6" s="7">
        <v>0.373</v>
      </c>
      <c r="K6" s="1" t="s">
        <v>21</v>
      </c>
      <c r="L6" s="1" t="s">
        <v>21</v>
      </c>
      <c r="M6" s="1" t="s">
        <v>21</v>
      </c>
      <c r="N6" s="1" t="s">
        <v>22</v>
      </c>
    </row>
    <row r="7" spans="1:14" x14ac:dyDescent="0.25">
      <c r="A7" s="1">
        <v>6</v>
      </c>
      <c r="B7" s="2" t="str">
        <f>HYPERLINK("https://leetcode.com/problems/zigzag-conversion/", "Zigzag Conversion")</f>
        <v>Zigzag Conversion</v>
      </c>
      <c r="C7" s="1">
        <v>9246</v>
      </c>
      <c r="D7" s="1">
        <v>15844</v>
      </c>
      <c r="E7" s="3">
        <f>IF(INDEX(C:C, ROW())+INDEX(D:D, ROW())=0, 0, INDEX(C:C, ROW())/(INDEX(C:C, ROW())+INDEX(D:D, ROW())))</f>
        <v>0.36851335193304108</v>
      </c>
      <c r="F7" s="1" t="s">
        <v>146</v>
      </c>
      <c r="G7" s="1" t="s">
        <v>24</v>
      </c>
      <c r="H7" s="1">
        <v>2110989</v>
      </c>
      <c r="I7" s="1">
        <v>3943628</v>
      </c>
      <c r="J7" s="7">
        <v>0.53500000000000003</v>
      </c>
      <c r="K7" s="1" t="s">
        <v>21</v>
      </c>
      <c r="L7" s="1" t="s">
        <v>21</v>
      </c>
      <c r="M7" s="1" t="s">
        <v>21</v>
      </c>
      <c r="N7" s="1" t="s">
        <v>22</v>
      </c>
    </row>
    <row r="8" spans="1:14" x14ac:dyDescent="0.25">
      <c r="A8" s="1">
        <v>7</v>
      </c>
      <c r="B8" s="2" t="str">
        <f>HYPERLINK("https://leetcode.com/problems/reverse-integer/", "Reverse Integer")</f>
        <v>Reverse Integer</v>
      </c>
      <c r="C8" s="1">
        <v>15333</v>
      </c>
      <c r="D8" s="1">
        <v>13987</v>
      </c>
      <c r="E8" s="3">
        <f>IF(INDEX(C:C, ROW())+INDEX(D:D, ROW())=0, 0, INDEX(C:C, ROW())/(INDEX(C:C, ROW())+INDEX(D:D, ROW())))</f>
        <v>0.52295361527967255</v>
      </c>
      <c r="F8" s="1" t="s">
        <v>84</v>
      </c>
      <c r="G8" s="1" t="s">
        <v>24</v>
      </c>
      <c r="H8" s="1">
        <v>4805698</v>
      </c>
      <c r="I8" s="1">
        <v>15253504</v>
      </c>
      <c r="J8" s="7">
        <v>0.315</v>
      </c>
      <c r="K8" s="1" t="s">
        <v>21</v>
      </c>
      <c r="L8" s="1" t="s">
        <v>21</v>
      </c>
      <c r="M8" s="1" t="s">
        <v>21</v>
      </c>
      <c r="N8" s="1" t="s">
        <v>22</v>
      </c>
    </row>
    <row r="9" spans="1:14" x14ac:dyDescent="0.25">
      <c r="A9" s="1">
        <v>8</v>
      </c>
      <c r="B9" s="2" t="str">
        <f>HYPERLINK("https://leetcode.com/problems/string-to-integer-atoi/", "String to Integer (atoi)")</f>
        <v>String to Integer (atoi)</v>
      </c>
      <c r="C9" s="1">
        <v>6093</v>
      </c>
      <c r="D9" s="1">
        <v>15510</v>
      </c>
      <c r="E9" s="3">
        <f>IF(INDEX(C:C, ROW())+INDEX(D:D, ROW())=0, 0, INDEX(C:C, ROW())/(INDEX(C:C, ROW())+INDEX(D:D, ROW())))</f>
        <v>0.28204416053325926</v>
      </c>
      <c r="F9" s="1" t="s">
        <v>146</v>
      </c>
      <c r="G9" s="1" t="s">
        <v>24</v>
      </c>
      <c r="H9" s="1">
        <v>2346186</v>
      </c>
      <c r="I9" s="1">
        <v>11403466</v>
      </c>
      <c r="J9" s="7">
        <v>0.20599999999999999</v>
      </c>
      <c r="K9" s="1" t="s">
        <v>21</v>
      </c>
      <c r="L9" s="1" t="s">
        <v>21</v>
      </c>
      <c r="M9" s="1" t="s">
        <v>29</v>
      </c>
      <c r="N9" s="1" t="s">
        <v>22</v>
      </c>
    </row>
    <row r="10" spans="1:14" x14ac:dyDescent="0.25">
      <c r="A10" s="1">
        <v>9</v>
      </c>
      <c r="B10" s="2" t="str">
        <f>HYPERLINK("https://leetcode.com/problems/palindrome-number/", "Palindrome Number")</f>
        <v>Palindrome Number</v>
      </c>
      <c r="C10" s="1">
        <v>15660</v>
      </c>
      <c r="D10" s="1">
        <v>2918</v>
      </c>
      <c r="E10" s="3">
        <f>IF(INDEX(C:C, ROW())+INDEX(D:D, ROW())=0, 0, INDEX(C:C, ROW())/(INDEX(C:C, ROW())+INDEX(D:D, ROW())))</f>
        <v>0.84293250080740656</v>
      </c>
      <c r="F10" s="1" t="s">
        <v>84</v>
      </c>
      <c r="G10" s="1" t="s">
        <v>20</v>
      </c>
      <c r="H10" s="1">
        <v>7771385</v>
      </c>
      <c r="I10" s="1">
        <v>12899487</v>
      </c>
      <c r="J10" s="7">
        <v>0.60199999999999998</v>
      </c>
      <c r="K10" s="1" t="s">
        <v>21</v>
      </c>
      <c r="L10" s="1" t="s">
        <v>21</v>
      </c>
      <c r="M10" s="1" t="s">
        <v>21</v>
      </c>
      <c r="N10" s="1" t="s">
        <v>22</v>
      </c>
    </row>
    <row r="11" spans="1:14" x14ac:dyDescent="0.25">
      <c r="A11" s="1">
        <v>10</v>
      </c>
      <c r="B11" s="2" t="str">
        <f>HYPERLINK("https://leetcode.com/problems/regular-expression-matching/", "Regular Expression Matching")</f>
        <v>Regular Expression Matching</v>
      </c>
      <c r="C11" s="1">
        <v>13238</v>
      </c>
      <c r="D11" s="1">
        <v>2392</v>
      </c>
      <c r="E11" s="3">
        <f>IF(INDEX(C:C, ROW())+INDEX(D:D, ROW())=0, 0, INDEX(C:C, ROW())/(INDEX(C:C, ROW())+INDEX(D:D, ROW())))</f>
        <v>0.84696097248880353</v>
      </c>
      <c r="F11" s="1" t="s">
        <v>99</v>
      </c>
      <c r="G11" s="1" t="s">
        <v>28</v>
      </c>
      <c r="H11" s="1">
        <v>1338052</v>
      </c>
      <c r="I11" s="1">
        <v>4396229</v>
      </c>
      <c r="J11" s="7">
        <v>0.30399999999999999</v>
      </c>
      <c r="K11" s="1" t="s">
        <v>21</v>
      </c>
      <c r="L11" s="1" t="s">
        <v>21</v>
      </c>
      <c r="M11" s="1" t="s">
        <v>29</v>
      </c>
      <c r="N11" s="1" t="s">
        <v>22</v>
      </c>
    </row>
    <row r="12" spans="1:14" x14ac:dyDescent="0.25">
      <c r="A12" s="1">
        <v>11</v>
      </c>
      <c r="B12" s="2" t="str">
        <f>HYPERLINK("https://leetcode.com/problems/container-with-most-water/", "Container With Most Water")</f>
        <v>Container With Most Water</v>
      </c>
      <c r="C12" s="1">
        <v>33838</v>
      </c>
      <c r="D12" s="1">
        <v>2179</v>
      </c>
      <c r="E12" s="3">
        <f>IF(INDEX(C:C, ROW())+INDEX(D:D, ROW())=0, 0, INDEX(C:C, ROW())/(INDEX(C:C, ROW())+INDEX(D:D, ROW())))</f>
        <v>0.93950079129300057</v>
      </c>
      <c r="F12" s="1" t="s">
        <v>32</v>
      </c>
      <c r="G12" s="1" t="s">
        <v>24</v>
      </c>
      <c r="H12" s="1">
        <v>5092055</v>
      </c>
      <c r="I12" s="1">
        <v>8554761</v>
      </c>
      <c r="J12" s="7">
        <v>0.59499999999999997</v>
      </c>
      <c r="K12" s="1" t="s">
        <v>21</v>
      </c>
      <c r="L12" s="1" t="s">
        <v>21</v>
      </c>
      <c r="M12" s="1" t="s">
        <v>21</v>
      </c>
      <c r="N12" s="1" t="s">
        <v>22</v>
      </c>
    </row>
    <row r="13" spans="1:14" x14ac:dyDescent="0.25">
      <c r="A13" s="1">
        <v>12</v>
      </c>
      <c r="B13" s="2" t="str">
        <f>HYPERLINK("https://leetcode.com/problems/integer-to-roman/", "Integer to Roman")</f>
        <v>Integer to Roman</v>
      </c>
      <c r="C13" s="1">
        <v>8462</v>
      </c>
      <c r="D13" s="1">
        <v>5718</v>
      </c>
      <c r="E13" s="3">
        <f>IF(INDEX(C:C, ROW())+INDEX(D:D, ROW())=0, 0, INDEX(C:C, ROW())/(INDEX(C:C, ROW())+INDEX(D:D, ROW())))</f>
        <v>0.59675599435825111</v>
      </c>
      <c r="F13" s="1" t="s">
        <v>75</v>
      </c>
      <c r="G13" s="1" t="s">
        <v>24</v>
      </c>
      <c r="H13" s="1">
        <v>2050710</v>
      </c>
      <c r="I13" s="1">
        <v>2912360</v>
      </c>
      <c r="J13" s="7">
        <v>0.70399999999999996</v>
      </c>
      <c r="K13" s="1" t="s">
        <v>21</v>
      </c>
      <c r="L13" s="1" t="s">
        <v>21</v>
      </c>
      <c r="M13" s="1" t="s">
        <v>21</v>
      </c>
      <c r="N13" s="1" t="s">
        <v>22</v>
      </c>
    </row>
    <row r="14" spans="1:14" x14ac:dyDescent="0.25">
      <c r="A14" s="1">
        <v>13</v>
      </c>
      <c r="B14" s="2" t="str">
        <f>HYPERLINK("https://leetcode.com/problems/roman-to-integer/", "Roman to Integer")</f>
        <v>Roman to Integer</v>
      </c>
      <c r="C14" s="1">
        <v>17493</v>
      </c>
      <c r="D14" s="1">
        <v>1214</v>
      </c>
      <c r="E14" s="3">
        <f>IF(INDEX(C:C, ROW())+INDEX(D:D, ROW())=0, 0, INDEX(C:C, ROW())/(INDEX(C:C, ROW())+INDEX(D:D, ROW())))</f>
        <v>0.93510450633452713</v>
      </c>
      <c r="F14" s="1" t="s">
        <v>75</v>
      </c>
      <c r="G14" s="1" t="s">
        <v>20</v>
      </c>
      <c r="H14" s="1">
        <v>5665812</v>
      </c>
      <c r="I14" s="1">
        <v>8553171</v>
      </c>
      <c r="J14" s="7">
        <v>0.66200000000000003</v>
      </c>
      <c r="K14" s="1" t="s">
        <v>21</v>
      </c>
      <c r="L14" s="1" t="s">
        <v>21</v>
      </c>
      <c r="M14" s="1" t="s">
        <v>21</v>
      </c>
      <c r="N14" s="1" t="s">
        <v>22</v>
      </c>
    </row>
    <row r="15" spans="1:14" x14ac:dyDescent="0.25">
      <c r="A15" s="1">
        <v>14</v>
      </c>
      <c r="B15" s="2" t="str">
        <f>HYPERLINK("https://leetcode.com/problems/longest-common-prefix/", "Longest Common Prefix")</f>
        <v>Longest Common Prefix</v>
      </c>
      <c r="C15" s="1">
        <v>21077</v>
      </c>
      <c r="D15" s="1">
        <v>4909</v>
      </c>
      <c r="E15" s="3">
        <f>IF(INDEX(C:C, ROW())+INDEX(D:D, ROW())=0, 0, INDEX(C:C, ROW())/(INDEX(C:C, ROW())+INDEX(D:D, ROW())))</f>
        <v>0.81109058723928273</v>
      </c>
      <c r="F15" s="1" t="s">
        <v>54</v>
      </c>
      <c r="G15" s="1" t="s">
        <v>20</v>
      </c>
      <c r="H15" s="1">
        <v>5517647</v>
      </c>
      <c r="I15" s="1">
        <v>11716453</v>
      </c>
      <c r="J15" s="7">
        <v>0.47099999999999997</v>
      </c>
      <c r="K15" s="1" t="s">
        <v>21</v>
      </c>
      <c r="L15" s="1" t="s">
        <v>21</v>
      </c>
      <c r="M15" s="1" t="s">
        <v>21</v>
      </c>
      <c r="N15" s="1" t="s">
        <v>22</v>
      </c>
    </row>
    <row r="16" spans="1:14" x14ac:dyDescent="0.25">
      <c r="A16" s="1">
        <v>15</v>
      </c>
      <c r="B16" s="2" t="str">
        <f>HYPERLINK("https://leetcode.com/problems/3sum/", "3Sum")</f>
        <v>3Sum</v>
      </c>
      <c r="C16" s="1">
        <v>35179</v>
      </c>
      <c r="D16" s="1">
        <v>3258</v>
      </c>
      <c r="E16" s="3">
        <f>IF(INDEX(C:C, ROW())+INDEX(D:D, ROW())=0, 0, INDEX(C:C, ROW())/(INDEX(C:C, ROW())+INDEX(D:D, ROW())))</f>
        <v>0.91523792179410468</v>
      </c>
      <c r="F16" s="1" t="s">
        <v>31</v>
      </c>
      <c r="G16" s="1" t="s">
        <v>24</v>
      </c>
      <c r="H16" s="1">
        <v>5684361</v>
      </c>
      <c r="I16" s="1">
        <v>14732981</v>
      </c>
      <c r="J16" s="7">
        <v>0.38600000000000001</v>
      </c>
      <c r="K16" s="1" t="s">
        <v>21</v>
      </c>
      <c r="L16" s="1" t="s">
        <v>21</v>
      </c>
      <c r="M16" s="1" t="s">
        <v>21</v>
      </c>
      <c r="N16" s="1" t="s">
        <v>22</v>
      </c>
    </row>
    <row r="17" spans="1:14" x14ac:dyDescent="0.25">
      <c r="A17" s="1">
        <v>16</v>
      </c>
      <c r="B17" s="2" t="str">
        <f>HYPERLINK("https://leetcode.com/problems/3sum-closest/", "3Sum Closest")</f>
        <v>3Sum Closest</v>
      </c>
      <c r="C17" s="1">
        <v>11546</v>
      </c>
      <c r="D17" s="1">
        <v>617</v>
      </c>
      <c r="E17" s="3">
        <f>IF(INDEX(C:C, ROW())+INDEX(D:D, ROW())=0, 0, INDEX(C:C, ROW())/(INDEX(C:C, ROW())+INDEX(D:D, ROW())))</f>
        <v>0.94927238345802845</v>
      </c>
      <c r="F17" s="1" t="s">
        <v>31</v>
      </c>
      <c r="G17" s="1" t="s">
        <v>24</v>
      </c>
      <c r="H17" s="1">
        <v>1755804</v>
      </c>
      <c r="I17" s="1">
        <v>3654459</v>
      </c>
      <c r="J17" s="7">
        <v>0.48</v>
      </c>
      <c r="K17" s="1" t="s">
        <v>21</v>
      </c>
      <c r="L17" s="1" t="s">
        <v>21</v>
      </c>
      <c r="M17" s="1" t="s">
        <v>21</v>
      </c>
      <c r="N17" s="1" t="s">
        <v>22</v>
      </c>
    </row>
    <row r="18" spans="1:14" x14ac:dyDescent="0.25">
      <c r="A18" s="1">
        <v>17</v>
      </c>
      <c r="B18" s="2" t="str">
        <f>HYPERLINK("https://leetcode.com/problems/letter-combinations-of-a-phone-number/", "Letter Combinations of a Phone Number")</f>
        <v>Letter Combinations of a Phone Number</v>
      </c>
      <c r="C18" s="1">
        <v>20792</v>
      </c>
      <c r="D18" s="1">
        <v>1126</v>
      </c>
      <c r="E18" s="3">
        <f>IF(INDEX(C:C, ROW())+INDEX(D:D, ROW())=0, 0, INDEX(C:C, ROW())/(INDEX(C:C, ROW())+INDEX(D:D, ROW())))</f>
        <v>0.94862669951637923</v>
      </c>
      <c r="F18" s="1" t="s">
        <v>58</v>
      </c>
      <c r="G18" s="1" t="s">
        <v>24</v>
      </c>
      <c r="H18" s="1">
        <v>2918135</v>
      </c>
      <c r="I18" s="1">
        <v>4455089</v>
      </c>
      <c r="J18" s="7">
        <v>0.65500000000000003</v>
      </c>
      <c r="K18" s="1" t="s">
        <v>21</v>
      </c>
      <c r="L18" s="1" t="s">
        <v>21</v>
      </c>
      <c r="M18" s="1" t="s">
        <v>29</v>
      </c>
      <c r="N18" s="1" t="s">
        <v>22</v>
      </c>
    </row>
    <row r="19" spans="1:14" x14ac:dyDescent="0.25">
      <c r="A19" s="1">
        <v>18</v>
      </c>
      <c r="B19" s="2" t="str">
        <f>HYPERLINK("https://leetcode.com/problems/4sum/", "4Sum")</f>
        <v>4Sum</v>
      </c>
      <c r="C19" s="1">
        <v>12768</v>
      </c>
      <c r="D19" s="1">
        <v>1532</v>
      </c>
      <c r="E19" s="3">
        <f>IF(INDEX(C:C, ROW())+INDEX(D:D, ROW())=0, 0, INDEX(C:C, ROW())/(INDEX(C:C, ROW())+INDEX(D:D, ROW())))</f>
        <v>0.89286713286713282</v>
      </c>
      <c r="F19" s="1" t="s">
        <v>31</v>
      </c>
      <c r="G19" s="1" t="s">
        <v>24</v>
      </c>
      <c r="H19" s="1">
        <v>1602029</v>
      </c>
      <c r="I19" s="1">
        <v>4005350</v>
      </c>
      <c r="J19" s="7">
        <v>0.4</v>
      </c>
      <c r="K19" s="1" t="s">
        <v>21</v>
      </c>
      <c r="L19" s="1" t="s">
        <v>21</v>
      </c>
      <c r="M19" s="1" t="s">
        <v>29</v>
      </c>
      <c r="N19" s="1" t="s">
        <v>22</v>
      </c>
    </row>
    <row r="20" spans="1:14" x14ac:dyDescent="0.25">
      <c r="A20" s="1">
        <v>19</v>
      </c>
      <c r="B20" s="2" t="str">
        <f>HYPERLINK("https://leetcode.com/problems/remove-nth-node-from-end-of-list/", "Remove Nth Node From End of List")</f>
        <v>Remove Nth Node From End of List</v>
      </c>
      <c r="C20" s="1">
        <v>21092</v>
      </c>
      <c r="D20" s="1">
        <v>895</v>
      </c>
      <c r="E20" s="3">
        <f>IF(INDEX(C:C, ROW())+INDEX(D:D, ROW())=0, 0, INDEX(C:C, ROW())/(INDEX(C:C, ROW())+INDEX(D:D, ROW())))</f>
        <v>0.95929412834856964</v>
      </c>
      <c r="F20" s="1" t="s">
        <v>53</v>
      </c>
      <c r="G20" s="1" t="s">
        <v>24</v>
      </c>
      <c r="H20" s="1">
        <v>4054558</v>
      </c>
      <c r="I20" s="1">
        <v>7953478</v>
      </c>
      <c r="J20" s="7">
        <v>0.51</v>
      </c>
      <c r="K20" s="1" t="s">
        <v>21</v>
      </c>
      <c r="L20" s="1" t="s">
        <v>21</v>
      </c>
      <c r="M20" s="1" t="s">
        <v>21</v>
      </c>
      <c r="N20" s="1" t="s">
        <v>22</v>
      </c>
    </row>
    <row r="21" spans="1:14" x14ac:dyDescent="0.25">
      <c r="A21" s="1">
        <v>20</v>
      </c>
      <c r="B21" s="2" t="str">
        <f>HYPERLINK("https://leetcode.com/problems/valid-parentheses/", "Valid Parentheses")</f>
        <v>Valid Parentheses</v>
      </c>
      <c r="C21" s="1">
        <v>27585</v>
      </c>
      <c r="D21" s="1">
        <v>1988</v>
      </c>
      <c r="E21" s="3">
        <f>IF(INDEX(C:C, ROW())+INDEX(D:D, ROW())=0, 0, INDEX(C:C, ROW())/(INDEX(C:C, ROW())+INDEX(D:D, ROW())))</f>
        <v>0.9327765191221723</v>
      </c>
      <c r="F21" s="1" t="s">
        <v>36</v>
      </c>
      <c r="G21" s="1" t="s">
        <v>20</v>
      </c>
      <c r="H21" s="1">
        <v>7240369</v>
      </c>
      <c r="I21" s="1">
        <v>16566045</v>
      </c>
      <c r="J21" s="7">
        <v>0.437</v>
      </c>
      <c r="K21" s="1" t="s">
        <v>21</v>
      </c>
      <c r="L21" s="1" t="s">
        <v>21</v>
      </c>
      <c r="M21" s="1" t="s">
        <v>21</v>
      </c>
      <c r="N21" s="1" t="s">
        <v>22</v>
      </c>
    </row>
    <row r="22" spans="1:14" x14ac:dyDescent="0.25">
      <c r="A22" s="1">
        <v>21</v>
      </c>
      <c r="B22" s="2" t="str">
        <f>HYPERLINK("https://leetcode.com/problems/merge-two-sorted-lists/", "Merge Two Sorted Lists")</f>
        <v>Merge Two Sorted Lists</v>
      </c>
      <c r="C22" s="1">
        <v>24742</v>
      </c>
      <c r="D22" s="1">
        <v>2424</v>
      </c>
      <c r="E22" s="3">
        <f>IF(INDEX(C:C, ROW())+INDEX(D:D, ROW())=0, 0, INDEX(C:C, ROW())/(INDEX(C:C, ROW())+INDEX(D:D, ROW())))</f>
        <v>0.91077081646175362</v>
      </c>
      <c r="F22" s="1" t="s">
        <v>41</v>
      </c>
      <c r="G22" s="1" t="s">
        <v>20</v>
      </c>
      <c r="H22" s="1">
        <v>6049039</v>
      </c>
      <c r="I22" s="1">
        <v>8905053</v>
      </c>
      <c r="J22" s="7">
        <v>0.67900000000000005</v>
      </c>
      <c r="K22" s="1" t="s">
        <v>21</v>
      </c>
      <c r="L22" s="1" t="s">
        <v>21</v>
      </c>
      <c r="M22" s="1" t="s">
        <v>21</v>
      </c>
      <c r="N22" s="1" t="s">
        <v>22</v>
      </c>
    </row>
    <row r="23" spans="1:14" x14ac:dyDescent="0.25">
      <c r="A23" s="1">
        <v>22</v>
      </c>
      <c r="B23" s="2" t="str">
        <f>HYPERLINK("https://leetcode.com/problems/generate-parentheses/", "Generate Parentheses")</f>
        <v>Generate Parentheses</v>
      </c>
      <c r="C23" s="1">
        <v>23116</v>
      </c>
      <c r="D23" s="1">
        <v>1075</v>
      </c>
      <c r="E23" s="3">
        <f>IF(INDEX(C:C, ROW())+INDEX(D:D, ROW())=0, 0, INDEX(C:C, ROW())/(INDEX(C:C, ROW())+INDEX(D:D, ROW())))</f>
        <v>0.95556198586251084</v>
      </c>
      <c r="F23" s="1" t="s">
        <v>44</v>
      </c>
      <c r="G23" s="1" t="s">
        <v>24</v>
      </c>
      <c r="H23" s="1">
        <v>2774979</v>
      </c>
      <c r="I23" s="1">
        <v>3545719</v>
      </c>
      <c r="J23" s="7">
        <v>0.78300000000000003</v>
      </c>
      <c r="K23" s="1" t="s">
        <v>21</v>
      </c>
      <c r="L23" s="1" t="s">
        <v>21</v>
      </c>
      <c r="M23" s="1" t="s">
        <v>21</v>
      </c>
      <c r="N23" s="1" t="s">
        <v>22</v>
      </c>
    </row>
    <row r="24" spans="1:14" x14ac:dyDescent="0.25">
      <c r="A24" s="1">
        <v>23</v>
      </c>
      <c r="B24" s="2" t="str">
        <f>HYPERLINK("https://leetcode.com/problems/merge-k-sorted-lists/", "Merge k Sorted Lists")</f>
        <v>Merge k Sorted Lists</v>
      </c>
      <c r="C24" s="1">
        <v>21168</v>
      </c>
      <c r="D24" s="1">
        <v>789</v>
      </c>
      <c r="E24" s="3">
        <f>IF(INDEX(C:C, ROW())+INDEX(D:D, ROW())=0, 0, INDEX(C:C, ROW())/(INDEX(C:C, ROW())+INDEX(D:D, ROW())))</f>
        <v>0.96406612925263013</v>
      </c>
      <c r="F24" s="1" t="s">
        <v>52</v>
      </c>
      <c r="G24" s="1" t="s">
        <v>28</v>
      </c>
      <c r="H24" s="1">
        <v>2881981</v>
      </c>
      <c r="I24" s="1">
        <v>4894509</v>
      </c>
      <c r="J24" s="7">
        <v>0.58899999999999997</v>
      </c>
      <c r="K24" s="1" t="s">
        <v>21</v>
      </c>
      <c r="L24" s="1" t="s">
        <v>21</v>
      </c>
      <c r="M24" s="1" t="s">
        <v>21</v>
      </c>
      <c r="N24" s="1" t="s">
        <v>22</v>
      </c>
    </row>
    <row r="25" spans="1:14" x14ac:dyDescent="0.25">
      <c r="A25" s="1">
        <v>24</v>
      </c>
      <c r="B25" s="2" t="str">
        <f>HYPERLINK("https://leetcode.com/problems/swap-nodes-in-pairs/", "Swap Nodes in Pairs")</f>
        <v>Swap Nodes in Pairs</v>
      </c>
      <c r="C25" s="1">
        <v>13064</v>
      </c>
      <c r="D25" s="1">
        <v>510</v>
      </c>
      <c r="E25" s="3">
        <f>IF(INDEX(C:C, ROW())+INDEX(D:D, ROW())=0, 0, INDEX(C:C, ROW())/(INDEX(C:C, ROW())+INDEX(D:D, ROW())))</f>
        <v>0.96242817150434656</v>
      </c>
      <c r="F25" s="1" t="s">
        <v>41</v>
      </c>
      <c r="G25" s="1" t="s">
        <v>24</v>
      </c>
      <c r="H25" s="1">
        <v>1858033</v>
      </c>
      <c r="I25" s="1">
        <v>2695070</v>
      </c>
      <c r="J25" s="7">
        <v>0.68899999999999995</v>
      </c>
      <c r="K25" s="1" t="s">
        <v>21</v>
      </c>
      <c r="L25" s="1" t="s">
        <v>21</v>
      </c>
      <c r="M25" s="1" t="s">
        <v>29</v>
      </c>
      <c r="N25" s="1" t="s">
        <v>22</v>
      </c>
    </row>
    <row r="26" spans="1:14" x14ac:dyDescent="0.25">
      <c r="A26" s="1">
        <v>25</v>
      </c>
      <c r="B26" s="2" t="str">
        <f>HYPERLINK("https://leetcode.com/problems/reverse-nodes-in-k-group/", "Reverse Nodes in k-Group")</f>
        <v>Reverse Nodes in k-Group</v>
      </c>
      <c r="C26" s="1">
        <v>15529</v>
      </c>
      <c r="D26" s="1">
        <v>800</v>
      </c>
      <c r="E26" s="3">
        <f>IF(INDEX(C:C, ROW())+INDEX(D:D, ROW())=0, 0, INDEX(C:C, ROW())/(INDEX(C:C, ROW())+INDEX(D:D, ROW())))</f>
        <v>0.95100741012921797</v>
      </c>
      <c r="F26" s="1" t="s">
        <v>41</v>
      </c>
      <c r="G26" s="1" t="s">
        <v>28</v>
      </c>
      <c r="H26" s="1">
        <v>1472127</v>
      </c>
      <c r="I26" s="1">
        <v>2252754</v>
      </c>
      <c r="J26" s="7">
        <v>0.65300000000000002</v>
      </c>
      <c r="K26" s="1" t="s">
        <v>21</v>
      </c>
      <c r="L26" s="1" t="s">
        <v>21</v>
      </c>
      <c r="M26" s="1" t="s">
        <v>29</v>
      </c>
      <c r="N26" s="1" t="s">
        <v>22</v>
      </c>
    </row>
    <row r="27" spans="1:14" x14ac:dyDescent="0.25">
      <c r="A27" s="1">
        <v>26</v>
      </c>
      <c r="B27" s="2" t="str">
        <f>HYPERLINK("https://leetcode.com/problems/remove-duplicates-from-sorted-array/", "Remove Duplicates from Sorted Array")</f>
        <v>Remove Duplicates from Sorted Array</v>
      </c>
      <c r="C27" s="1">
        <v>18773</v>
      </c>
      <c r="D27" s="1">
        <v>20470</v>
      </c>
      <c r="E27" s="3">
        <f>IF(INDEX(C:C, ROW())+INDEX(D:D, ROW())=0, 0, INDEX(C:C, ROW())/(INDEX(C:C, ROW())+INDEX(D:D, ROW())))</f>
        <v>0.4783783095074281</v>
      </c>
      <c r="F27" s="1" t="s">
        <v>51</v>
      </c>
      <c r="G27" s="1" t="s">
        <v>20</v>
      </c>
      <c r="H27" s="1">
        <v>7520697</v>
      </c>
      <c r="I27" s="1">
        <v>12078716</v>
      </c>
      <c r="J27" s="7">
        <v>0.623</v>
      </c>
      <c r="K27" s="1" t="s">
        <v>21</v>
      </c>
      <c r="L27" s="1" t="s">
        <v>21</v>
      </c>
      <c r="M27" s="1" t="s">
        <v>21</v>
      </c>
      <c r="N27" s="1" t="s">
        <v>22</v>
      </c>
    </row>
    <row r="28" spans="1:14" x14ac:dyDescent="0.25">
      <c r="A28" s="1">
        <v>27</v>
      </c>
      <c r="B28" s="2" t="str">
        <f>HYPERLINK("https://leetcode.com/problems/remove-element/", "Remove Element")</f>
        <v>Remove Element</v>
      </c>
      <c r="C28" s="1">
        <v>4956</v>
      </c>
      <c r="D28" s="1">
        <v>5292</v>
      </c>
      <c r="E28" s="3">
        <f>IF(INDEX(C:C, ROW())+INDEX(D:D, ROW())=0, 0, INDEX(C:C, ROW())/(INDEX(C:C, ROW())+INDEX(D:D, ROW())))</f>
        <v>0.48360655737704916</v>
      </c>
      <c r="F28" s="1" t="s">
        <v>51</v>
      </c>
      <c r="G28" s="1" t="s">
        <v>20</v>
      </c>
      <c r="H28" s="1">
        <v>5025010</v>
      </c>
      <c r="I28" s="1">
        <v>8188465</v>
      </c>
      <c r="J28" s="7">
        <v>0.61399999999999999</v>
      </c>
      <c r="K28" s="1" t="s">
        <v>21</v>
      </c>
      <c r="L28" s="1" t="s">
        <v>21</v>
      </c>
      <c r="M28" s="1" t="s">
        <v>21</v>
      </c>
      <c r="N28" s="1" t="s">
        <v>22</v>
      </c>
    </row>
    <row r="29" spans="1:14" x14ac:dyDescent="0.25">
      <c r="A29" s="1">
        <v>28</v>
      </c>
      <c r="B29" s="2" t="str">
        <f>HYPERLINK("https://leetcode.com/problems/find-the-index-of-the-first-occurrence-in-a-string/", "Find the Index of the First Occurrence in a String")</f>
        <v>Find the Index of the First Occurrence in a String</v>
      </c>
      <c r="C29" s="1">
        <v>7500</v>
      </c>
      <c r="D29" s="1">
        <v>569</v>
      </c>
      <c r="E29" s="3">
        <f>IF(INDEX(C:C, ROW())+INDEX(D:D, ROW())=0, 0, INDEX(C:C, ROW())/(INDEX(C:C, ROW())+INDEX(D:D, ROW())))</f>
        <v>0.92948320733672074</v>
      </c>
      <c r="F29" s="1" t="s">
        <v>184</v>
      </c>
      <c r="G29" s="1" t="s">
        <v>20</v>
      </c>
      <c r="H29" s="1">
        <v>3913647</v>
      </c>
      <c r="I29" s="1">
        <v>8462686</v>
      </c>
      <c r="J29" s="7">
        <v>0.46200000000000002</v>
      </c>
      <c r="K29" s="1" t="s">
        <v>21</v>
      </c>
      <c r="L29" s="1" t="s">
        <v>21</v>
      </c>
      <c r="M29" s="1" t="s">
        <v>21</v>
      </c>
      <c r="N29" s="1" t="s">
        <v>22</v>
      </c>
    </row>
    <row r="30" spans="1:14" x14ac:dyDescent="0.25">
      <c r="A30" s="1">
        <v>29</v>
      </c>
      <c r="B30" s="2" t="str">
        <f>HYPERLINK("https://leetcode.com/problems/divide-two-integers/", "Divide Two Integers")</f>
        <v>Divide Two Integers</v>
      </c>
      <c r="C30" s="1">
        <v>6053</v>
      </c>
      <c r="D30" s="1">
        <v>15263</v>
      </c>
      <c r="E30" s="3">
        <f>IF(INDEX(C:C, ROW())+INDEX(D:D, ROW())=0, 0, INDEX(C:C, ROW())/(INDEX(C:C, ROW())+INDEX(D:D, ROW())))</f>
        <v>0.28396509664102082</v>
      </c>
      <c r="F30" s="1" t="s">
        <v>227</v>
      </c>
      <c r="G30" s="1" t="s">
        <v>24</v>
      </c>
      <c r="H30" s="1">
        <v>1117372</v>
      </c>
      <c r="I30" s="1">
        <v>5764256</v>
      </c>
      <c r="J30" s="7">
        <v>0.19400000000000001</v>
      </c>
      <c r="K30" s="1" t="s">
        <v>21</v>
      </c>
      <c r="L30" s="1" t="s">
        <v>21</v>
      </c>
      <c r="M30" s="1" t="s">
        <v>29</v>
      </c>
      <c r="N30" s="1" t="s">
        <v>22</v>
      </c>
    </row>
    <row r="31" spans="1:14" x14ac:dyDescent="0.25">
      <c r="A31" s="1">
        <v>30</v>
      </c>
      <c r="B31" s="2" t="str">
        <f>HYPERLINK("https://leetcode.com/problems/substring-with-concatenation-of-all-words/", "Substring with Concatenation of All Words")</f>
        <v>Substring with Concatenation of All Words</v>
      </c>
      <c r="C31" s="1">
        <v>2599</v>
      </c>
      <c r="D31" s="1">
        <v>426</v>
      </c>
      <c r="E31" s="3">
        <f>IF(INDEX(C:C, ROW())+INDEX(D:D, ROW())=0, 0, INDEX(C:C, ROW())/(INDEX(C:C, ROW())+INDEX(D:D, ROW())))</f>
        <v>0.85917355371900828</v>
      </c>
      <c r="F31" s="1" t="s">
        <v>23</v>
      </c>
      <c r="G31" s="1" t="s">
        <v>28</v>
      </c>
      <c r="H31" s="1">
        <v>681997</v>
      </c>
      <c r="I31" s="1">
        <v>2007211</v>
      </c>
      <c r="J31" s="7">
        <v>0.34</v>
      </c>
      <c r="K31" s="1" t="s">
        <v>21</v>
      </c>
      <c r="L31" s="1" t="s">
        <v>21</v>
      </c>
      <c r="M31" s="1" t="s">
        <v>21</v>
      </c>
      <c r="N31" s="1" t="s">
        <v>22</v>
      </c>
    </row>
    <row r="32" spans="1:14" x14ac:dyDescent="0.25">
      <c r="A32" s="1">
        <v>31</v>
      </c>
      <c r="B32" s="2" t="str">
        <f>HYPERLINK("https://leetcode.com/problems/next-permutation/", "Next Permutation")</f>
        <v>Next Permutation</v>
      </c>
      <c r="C32" s="1">
        <v>21193</v>
      </c>
      <c r="D32" s="1">
        <v>5093</v>
      </c>
      <c r="E32" s="3">
        <f>IF(INDEX(C:C, ROW())+INDEX(D:D, ROW())=0, 0, INDEX(C:C, ROW())/(INDEX(C:C, ROW())+INDEX(D:D, ROW())))</f>
        <v>0.80624667123183447</v>
      </c>
      <c r="F32" s="1" t="s">
        <v>51</v>
      </c>
      <c r="G32" s="1" t="s">
        <v>24</v>
      </c>
      <c r="H32" s="1">
        <v>2179496</v>
      </c>
      <c r="I32" s="1">
        <v>4872311</v>
      </c>
      <c r="J32" s="7">
        <v>0.44700000000000001</v>
      </c>
      <c r="K32" s="1" t="s">
        <v>21</v>
      </c>
      <c r="L32" s="1" t="s">
        <v>21</v>
      </c>
      <c r="M32" s="1" t="s">
        <v>21</v>
      </c>
      <c r="N32" s="1" t="s">
        <v>22</v>
      </c>
    </row>
    <row r="33" spans="1:14" x14ac:dyDescent="0.25">
      <c r="A33" s="1">
        <v>32</v>
      </c>
      <c r="B33" s="2" t="str">
        <f>HYPERLINK("https://leetcode.com/problems/longest-valid-parentheses/", "Longest Valid Parentheses")</f>
        <v>Longest Valid Parentheses</v>
      </c>
      <c r="C33" s="1">
        <v>13241</v>
      </c>
      <c r="D33" s="1">
        <v>463</v>
      </c>
      <c r="E33" s="3">
        <f>IF(INDEX(C:C, ROW())+INDEX(D:D, ROW())=0, 0, INDEX(C:C, ROW())/(INDEX(C:C, ROW())+INDEX(D:D, ROW())))</f>
        <v>0.96621424401634559</v>
      </c>
      <c r="F33" s="1" t="s">
        <v>98</v>
      </c>
      <c r="G33" s="1" t="s">
        <v>28</v>
      </c>
      <c r="H33" s="1">
        <v>1056043</v>
      </c>
      <c r="I33" s="1">
        <v>2776998</v>
      </c>
      <c r="J33" s="7">
        <v>0.38</v>
      </c>
      <c r="K33" s="1" t="s">
        <v>21</v>
      </c>
      <c r="L33" s="1" t="s">
        <v>21</v>
      </c>
      <c r="M33" s="1" t="s">
        <v>29</v>
      </c>
      <c r="N33" s="1" t="s">
        <v>22</v>
      </c>
    </row>
    <row r="34" spans="1:14" x14ac:dyDescent="0.25">
      <c r="A34" s="1">
        <v>33</v>
      </c>
      <c r="B34" s="2" t="str">
        <f>HYPERLINK("https://leetcode.com/problems/search-in-rotated-sorted-array/", "Search in Rotated Sorted Array")</f>
        <v>Search in Rotated Sorted Array</v>
      </c>
      <c r="C34" s="1">
        <v>29743</v>
      </c>
      <c r="D34" s="1">
        <v>1800</v>
      </c>
      <c r="E34" s="3">
        <f>IF(INDEX(C:C, ROW())+INDEX(D:D, ROW())=0, 0, INDEX(C:C, ROW())/(INDEX(C:C, ROW())+INDEX(D:D, ROW())))</f>
        <v>0.94293504105506765</v>
      </c>
      <c r="F34" s="1" t="s">
        <v>35</v>
      </c>
      <c r="G34" s="1" t="s">
        <v>24</v>
      </c>
      <c r="H34" s="1">
        <v>4262680</v>
      </c>
      <c r="I34" s="1">
        <v>9662878</v>
      </c>
      <c r="J34" s="7">
        <v>0.441</v>
      </c>
      <c r="K34" s="1" t="s">
        <v>21</v>
      </c>
      <c r="L34" s="1" t="s">
        <v>21</v>
      </c>
      <c r="M34" s="1" t="s">
        <v>29</v>
      </c>
      <c r="N34" s="1" t="s">
        <v>22</v>
      </c>
    </row>
    <row r="35" spans="1:14" x14ac:dyDescent="0.25">
      <c r="A35" s="1">
        <v>34</v>
      </c>
      <c r="B35" s="2" t="str">
        <f>HYPERLINK("https://leetcode.com/problems/find-first-and-last-position-of-element-in-sorted-array/", "Find First and Last Position of Element in Sorted Array")</f>
        <v>Find First and Last Position of Element in Sorted Array</v>
      </c>
      <c r="C35" s="1">
        <v>23108</v>
      </c>
      <c r="D35" s="1">
        <v>633</v>
      </c>
      <c r="E35" s="3">
        <f>IF(INDEX(C:C, ROW())+INDEX(D:D, ROW())=0, 0, INDEX(C:C, ROW())/(INDEX(C:C, ROW())+INDEX(D:D, ROW())))</f>
        <v>0.97333726464765591</v>
      </c>
      <c r="F35" s="1" t="s">
        <v>35</v>
      </c>
      <c r="G35" s="1" t="s">
        <v>24</v>
      </c>
      <c r="H35" s="1">
        <v>3182500</v>
      </c>
      <c r="I35" s="1">
        <v>6582064</v>
      </c>
      <c r="J35" s="7">
        <v>0.48399999999999999</v>
      </c>
      <c r="K35" s="1" t="s">
        <v>21</v>
      </c>
      <c r="L35" s="1" t="s">
        <v>21</v>
      </c>
      <c r="M35" s="1" t="s">
        <v>29</v>
      </c>
      <c r="N35" s="1" t="s">
        <v>22</v>
      </c>
    </row>
    <row r="36" spans="1:14" x14ac:dyDescent="0.25">
      <c r="A36" s="1">
        <v>35</v>
      </c>
      <c r="B36" s="2" t="str">
        <f>HYPERLINK("https://leetcode.com/problems/search-insert-position/", "Search Insert Position")</f>
        <v>Search Insert Position</v>
      </c>
      <c r="C36" s="1">
        <v>18628</v>
      </c>
      <c r="D36" s="1">
        <v>887</v>
      </c>
      <c r="E36" s="3">
        <f>IF(INDEX(C:C, ROW())+INDEX(D:D, ROW())=0, 0, INDEX(C:C, ROW())/(INDEX(C:C, ROW())+INDEX(D:D, ROW())))</f>
        <v>0.95454778375608507</v>
      </c>
      <c r="F36" s="1" t="s">
        <v>35</v>
      </c>
      <c r="G36" s="1" t="s">
        <v>20</v>
      </c>
      <c r="H36" s="1">
        <v>4551140</v>
      </c>
      <c r="I36" s="1">
        <v>8975915</v>
      </c>
      <c r="J36" s="7">
        <v>0.50700000000000001</v>
      </c>
      <c r="K36" s="1" t="s">
        <v>21</v>
      </c>
      <c r="L36" s="1" t="s">
        <v>21</v>
      </c>
      <c r="M36" s="1" t="s">
        <v>21</v>
      </c>
      <c r="N36" s="1" t="s">
        <v>22</v>
      </c>
    </row>
    <row r="37" spans="1:14" x14ac:dyDescent="0.25">
      <c r="A37" s="1">
        <v>36</v>
      </c>
      <c r="B37" s="2" t="str">
        <f>HYPERLINK("https://leetcode.com/problems/valid-sudoku/", "Valid Sudoku")</f>
        <v>Valid Sudoku</v>
      </c>
      <c r="C37" s="1">
        <v>12386</v>
      </c>
      <c r="D37" s="1">
        <v>1261</v>
      </c>
      <c r="E37" s="3">
        <f>IF(INDEX(C:C, ROW())+INDEX(D:D, ROW())=0, 0, INDEX(C:C, ROW())/(INDEX(C:C, ROW())+INDEX(D:D, ROW())))</f>
        <v>0.90759873964973992</v>
      </c>
      <c r="F37" s="1" t="s">
        <v>78</v>
      </c>
      <c r="G37" s="1" t="s">
        <v>24</v>
      </c>
      <c r="H37" s="1">
        <v>2412700</v>
      </c>
      <c r="I37" s="1">
        <v>3761289</v>
      </c>
      <c r="J37" s="7">
        <v>0.64100000000000001</v>
      </c>
      <c r="K37" s="1" t="s">
        <v>21</v>
      </c>
      <c r="L37" s="1" t="s">
        <v>21</v>
      </c>
      <c r="M37" s="1" t="s">
        <v>29</v>
      </c>
      <c r="N37" s="1" t="s">
        <v>22</v>
      </c>
    </row>
    <row r="38" spans="1:14" x14ac:dyDescent="0.25">
      <c r="A38" s="1">
        <v>37</v>
      </c>
      <c r="B38" s="2" t="str">
        <f>HYPERLINK("https://leetcode.com/problems/sudoku-solver/", "Sudoku Solver")</f>
        <v>Sudoku Solver</v>
      </c>
      <c r="C38" s="1">
        <v>11011</v>
      </c>
      <c r="D38" s="1">
        <v>341</v>
      </c>
      <c r="E38" s="3">
        <f>IF(INDEX(C:C, ROW())+INDEX(D:D, ROW())=0, 0, INDEX(C:C, ROW())/(INDEX(C:C, ROW())+INDEX(D:D, ROW())))</f>
        <v>0.96996124031007747</v>
      </c>
      <c r="F38" s="1" t="s">
        <v>123</v>
      </c>
      <c r="G38" s="1" t="s">
        <v>28</v>
      </c>
      <c r="H38" s="1">
        <v>995688</v>
      </c>
      <c r="I38" s="1">
        <v>1522766</v>
      </c>
      <c r="J38" s="7">
        <v>0.65400000000000003</v>
      </c>
      <c r="K38" s="1" t="s">
        <v>21</v>
      </c>
      <c r="L38" s="1" t="s">
        <v>21</v>
      </c>
      <c r="M38" s="1" t="s">
        <v>29</v>
      </c>
      <c r="N38" s="1" t="s">
        <v>22</v>
      </c>
    </row>
    <row r="39" spans="1:14" x14ac:dyDescent="0.25">
      <c r="A39" s="1">
        <v>38</v>
      </c>
      <c r="B39" s="2" t="str">
        <f>HYPERLINK("https://leetcode.com/problems/count-and-say/", "Count and Say")</f>
        <v>Count and Say</v>
      </c>
      <c r="C39" s="1">
        <v>5066</v>
      </c>
      <c r="D39" s="1">
        <v>9043</v>
      </c>
      <c r="E39" s="3">
        <f>IF(INDEX(C:C, ROW())+INDEX(D:D, ROW())=0, 0, INDEX(C:C, ROW())/(INDEX(C:C, ROW())+INDEX(D:D, ROW())))</f>
        <v>0.35906159189170034</v>
      </c>
      <c r="F39" s="1" t="s">
        <v>146</v>
      </c>
      <c r="G39" s="1" t="s">
        <v>24</v>
      </c>
      <c r="H39" s="1">
        <v>1375339</v>
      </c>
      <c r="I39" s="1">
        <v>2207142</v>
      </c>
      <c r="J39" s="7">
        <v>0.623</v>
      </c>
      <c r="K39" s="1" t="s">
        <v>21</v>
      </c>
      <c r="L39" s="1" t="s">
        <v>21</v>
      </c>
      <c r="M39" s="1" t="s">
        <v>29</v>
      </c>
      <c r="N39" s="1" t="s">
        <v>22</v>
      </c>
    </row>
    <row r="40" spans="1:14" x14ac:dyDescent="0.25">
      <c r="A40" s="1">
        <v>39</v>
      </c>
      <c r="B40" s="2" t="str">
        <f>HYPERLINK("https://leetcode.com/problems/combination-sum/", "Combination Sum")</f>
        <v>Combination Sum</v>
      </c>
      <c r="C40" s="1">
        <v>20837</v>
      </c>
      <c r="D40" s="1">
        <v>530</v>
      </c>
      <c r="E40" s="3">
        <f>IF(INDEX(C:C, ROW())+INDEX(D:D, ROW())=0, 0, INDEX(C:C, ROW())/(INDEX(C:C, ROW())+INDEX(D:D, ROW())))</f>
        <v>0.97519539476763228</v>
      </c>
      <c r="F40" s="1" t="s">
        <v>56</v>
      </c>
      <c r="G40" s="1" t="s">
        <v>24</v>
      </c>
      <c r="H40" s="1">
        <v>3014553</v>
      </c>
      <c r="I40" s="1">
        <v>3961615</v>
      </c>
      <c r="J40" s="7">
        <v>0.76100000000000001</v>
      </c>
      <c r="K40" s="1" t="s">
        <v>21</v>
      </c>
      <c r="L40" s="1" t="s">
        <v>21</v>
      </c>
      <c r="M40" s="1" t="s">
        <v>21</v>
      </c>
      <c r="N40" s="1" t="s">
        <v>22</v>
      </c>
    </row>
    <row r="41" spans="1:14" x14ac:dyDescent="0.25">
      <c r="A41" s="1">
        <v>40</v>
      </c>
      <c r="B41" s="2" t="str">
        <f>HYPERLINK("https://leetcode.com/problems/combination-sum-ii/", "Combination Sum II")</f>
        <v>Combination Sum II</v>
      </c>
      <c r="C41" s="1">
        <v>12162</v>
      </c>
      <c r="D41" s="1">
        <v>382</v>
      </c>
      <c r="E41" s="3">
        <f>IF(INDEX(C:C, ROW())+INDEX(D:D, ROW())=0, 0, INDEX(C:C, ROW())/(INDEX(C:C, ROW())+INDEX(D:D, ROW())))</f>
        <v>0.96954719387755106</v>
      </c>
      <c r="F41" s="1" t="s">
        <v>56</v>
      </c>
      <c r="G41" s="1" t="s">
        <v>24</v>
      </c>
      <c r="H41" s="1">
        <v>1640174</v>
      </c>
      <c r="I41" s="1">
        <v>2780861</v>
      </c>
      <c r="J41" s="7">
        <v>0.59</v>
      </c>
      <c r="K41" s="1" t="s">
        <v>21</v>
      </c>
      <c r="L41" s="1" t="s">
        <v>21</v>
      </c>
      <c r="M41" s="1" t="s">
        <v>29</v>
      </c>
      <c r="N41" s="1" t="s">
        <v>22</v>
      </c>
    </row>
    <row r="42" spans="1:14" x14ac:dyDescent="0.25">
      <c r="A42" s="1">
        <v>41</v>
      </c>
      <c r="B42" s="2" t="str">
        <f>HYPERLINK("https://leetcode.com/problems/first-missing-positive/", "First Missing Positive")</f>
        <v>First Missing Positive</v>
      </c>
      <c r="C42" s="1">
        <v>18271</v>
      </c>
      <c r="D42" s="1">
        <v>1978</v>
      </c>
      <c r="E42" s="3">
        <f>IF(INDEX(C:C, ROW())+INDEX(D:D, ROW())=0, 0, INDEX(C:C, ROW())/(INDEX(C:C, ROW())+INDEX(D:D, ROW())))</f>
        <v>0.90231616376117341</v>
      </c>
      <c r="F42" s="1" t="s">
        <v>19</v>
      </c>
      <c r="G42" s="1" t="s">
        <v>28</v>
      </c>
      <c r="H42" s="1">
        <v>1694029</v>
      </c>
      <c r="I42" s="1">
        <v>3993124</v>
      </c>
      <c r="J42" s="7">
        <v>0.42399999999999999</v>
      </c>
      <c r="K42" s="1" t="s">
        <v>21</v>
      </c>
      <c r="L42" s="1" t="s">
        <v>21</v>
      </c>
      <c r="M42" s="1" t="s">
        <v>29</v>
      </c>
      <c r="N42" s="1" t="s">
        <v>22</v>
      </c>
    </row>
    <row r="43" spans="1:14" x14ac:dyDescent="0.25">
      <c r="A43" s="1">
        <v>42</v>
      </c>
      <c r="B43" s="2" t="str">
        <f>HYPERLINK("https://leetcode.com/problems/trapping-rain-water/", "Trapping Rain Water")</f>
        <v>Trapping Rain Water</v>
      </c>
      <c r="C43" s="1">
        <v>36081</v>
      </c>
      <c r="D43" s="1">
        <v>688</v>
      </c>
      <c r="E43" s="3">
        <f>IF(INDEX(C:C, ROW())+INDEX(D:D, ROW())=0, 0, INDEX(C:C, ROW())/(INDEX(C:C, ROW())+INDEX(D:D, ROW())))</f>
        <v>0.9812885854932144</v>
      </c>
      <c r="F43" s="1" t="s">
        <v>27</v>
      </c>
      <c r="G43" s="1" t="s">
        <v>28</v>
      </c>
      <c r="H43" s="1">
        <v>3392107</v>
      </c>
      <c r="I43" s="1">
        <v>5079157</v>
      </c>
      <c r="J43" s="7">
        <v>0.66800000000000004</v>
      </c>
      <c r="K43" s="1" t="s">
        <v>21</v>
      </c>
      <c r="L43" s="1" t="s">
        <v>21</v>
      </c>
      <c r="M43" s="1" t="s">
        <v>29</v>
      </c>
      <c r="N43" s="1" t="s">
        <v>22</v>
      </c>
    </row>
    <row r="44" spans="1:14" x14ac:dyDescent="0.25">
      <c r="A44" s="1">
        <v>43</v>
      </c>
      <c r="B44" s="2" t="str">
        <f>HYPERLINK("https://leetcode.com/problems/multiply-strings/", "Multiply Strings")</f>
        <v>Multiply Strings</v>
      </c>
      <c r="C44" s="1">
        <v>7701</v>
      </c>
      <c r="D44" s="1">
        <v>3669</v>
      </c>
      <c r="E44" s="3">
        <f>IF(INDEX(C:C, ROW())+INDEX(D:D, ROW())=0, 0, INDEX(C:C, ROW())/(INDEX(C:C, ROW())+INDEX(D:D, ROW())))</f>
        <v>0.67730870712401059</v>
      </c>
      <c r="F44" s="1" t="s">
        <v>178</v>
      </c>
      <c r="G44" s="1" t="s">
        <v>24</v>
      </c>
      <c r="H44" s="1">
        <v>1118931</v>
      </c>
      <c r="I44" s="1">
        <v>2568688</v>
      </c>
      <c r="J44" s="7">
        <v>0.436</v>
      </c>
      <c r="K44" s="1" t="s">
        <v>21</v>
      </c>
      <c r="L44" s="1" t="s">
        <v>21</v>
      </c>
      <c r="M44" s="1" t="s">
        <v>29</v>
      </c>
      <c r="N44" s="1" t="s">
        <v>22</v>
      </c>
    </row>
    <row r="45" spans="1:14" x14ac:dyDescent="0.25">
      <c r="A45" s="1">
        <v>44</v>
      </c>
      <c r="B45" s="2" t="str">
        <f>HYPERLINK("https://leetcode.com/problems/wildcard-matching/", "Wildcard Matching")</f>
        <v>Wildcard Matching</v>
      </c>
      <c r="C45" s="1">
        <v>9072</v>
      </c>
      <c r="D45" s="1">
        <v>414</v>
      </c>
      <c r="E45" s="3">
        <f>IF(INDEX(C:C, ROW())+INDEX(D:D, ROW())=0, 0, INDEX(C:C, ROW())/(INDEX(C:C, ROW())+INDEX(D:D, ROW())))</f>
        <v>0.9563567362428842</v>
      </c>
      <c r="F45" s="1" t="s">
        <v>153</v>
      </c>
      <c r="G45" s="1" t="s">
        <v>28</v>
      </c>
      <c r="H45" s="1">
        <v>839922</v>
      </c>
      <c r="I45" s="1">
        <v>2677219</v>
      </c>
      <c r="J45" s="7">
        <v>0.314</v>
      </c>
      <c r="K45" s="1" t="s">
        <v>21</v>
      </c>
      <c r="L45" s="1" t="s">
        <v>21</v>
      </c>
      <c r="M45" s="1" t="s">
        <v>29</v>
      </c>
      <c r="N45" s="1" t="s">
        <v>22</v>
      </c>
    </row>
    <row r="46" spans="1:14" x14ac:dyDescent="0.25">
      <c r="A46" s="1">
        <v>45</v>
      </c>
      <c r="B46" s="2" t="str">
        <f>HYPERLINK("https://leetcode.com/problems/jump-game-ii/", "Jump Game II")</f>
        <v>Jump Game II</v>
      </c>
      <c r="C46" s="1">
        <v>16367</v>
      </c>
      <c r="D46" s="1">
        <v>701</v>
      </c>
      <c r="E46" s="3">
        <f>IF(INDEX(C:C, ROW())+INDEX(D:D, ROW())=0, 0, INDEX(C:C, ROW())/(INDEX(C:C, ROW())+INDEX(D:D, ROW())))</f>
        <v>0.95892898992266229</v>
      </c>
      <c r="F46" s="1" t="s">
        <v>50</v>
      </c>
      <c r="G46" s="1" t="s">
        <v>24</v>
      </c>
      <c r="H46" s="1">
        <v>2054364</v>
      </c>
      <c r="I46" s="1">
        <v>4837576</v>
      </c>
      <c r="J46" s="7">
        <v>0.42499999999999999</v>
      </c>
      <c r="K46" s="1" t="s">
        <v>21</v>
      </c>
      <c r="L46" s="1" t="s">
        <v>21</v>
      </c>
      <c r="M46" s="1" t="s">
        <v>29</v>
      </c>
      <c r="N46" s="1" t="s">
        <v>22</v>
      </c>
    </row>
    <row r="47" spans="1:14" x14ac:dyDescent="0.25">
      <c r="A47" s="1">
        <v>46</v>
      </c>
      <c r="B47" s="2" t="str">
        <f>HYPERLINK("https://leetcode.com/problems/permutations/", "Permutations")</f>
        <v>Permutations</v>
      </c>
      <c r="C47" s="1">
        <v>20735</v>
      </c>
      <c r="D47" s="1">
        <v>382</v>
      </c>
      <c r="E47" s="3">
        <f>IF(INDEX(C:C, ROW())+INDEX(D:D, ROW())=0, 0, INDEX(C:C, ROW())/(INDEX(C:C, ROW())+INDEX(D:D, ROW())))</f>
        <v>0.98191030922953071</v>
      </c>
      <c r="F47" s="1" t="s">
        <v>56</v>
      </c>
      <c r="G47" s="1" t="s">
        <v>24</v>
      </c>
      <c r="H47" s="1">
        <v>2984664</v>
      </c>
      <c r="I47" s="1">
        <v>3656464</v>
      </c>
      <c r="J47" s="7">
        <v>0.81599999999999995</v>
      </c>
      <c r="K47" s="1" t="s">
        <v>21</v>
      </c>
      <c r="L47" s="1" t="s">
        <v>21</v>
      </c>
      <c r="M47" s="1" t="s">
        <v>29</v>
      </c>
      <c r="N47" s="1" t="s">
        <v>22</v>
      </c>
    </row>
    <row r="48" spans="1:14" x14ac:dyDescent="0.25">
      <c r="A48" s="1">
        <v>47</v>
      </c>
      <c r="B48" s="2" t="str">
        <f>HYPERLINK("https://leetcode.com/problems/permutations-ii/", "Permutations II")</f>
        <v>Permutations II</v>
      </c>
      <c r="C48" s="1">
        <v>9101</v>
      </c>
      <c r="D48" s="1">
        <v>162</v>
      </c>
      <c r="E48" s="3">
        <f>IF(INDEX(C:C, ROW())+INDEX(D:D, ROW())=0, 0, INDEX(C:C, ROW())/(INDEX(C:C, ROW())+INDEX(D:D, ROW())))</f>
        <v>0.98251106552952605</v>
      </c>
      <c r="F48" s="1" t="s">
        <v>152</v>
      </c>
      <c r="G48" s="1" t="s">
        <v>24</v>
      </c>
      <c r="H48" s="1">
        <v>1249899</v>
      </c>
      <c r="I48" s="1">
        <v>1985071</v>
      </c>
      <c r="J48" s="7">
        <v>0.63</v>
      </c>
      <c r="K48" s="1" t="s">
        <v>21</v>
      </c>
      <c r="L48" s="1" t="s">
        <v>21</v>
      </c>
      <c r="M48" s="1" t="s">
        <v>29</v>
      </c>
      <c r="N48" s="1" t="s">
        <v>22</v>
      </c>
    </row>
    <row r="49" spans="1:14" x14ac:dyDescent="0.25">
      <c r="A49" s="1">
        <v>48</v>
      </c>
      <c r="B49" s="2" t="str">
        <f>HYPERLINK("https://leetcode.com/problems/rotate-image/", "Rotate Image")</f>
        <v>Rotate Image</v>
      </c>
      <c r="C49" s="1">
        <v>19721</v>
      </c>
      <c r="D49" s="1">
        <v>955</v>
      </c>
      <c r="E49" s="3">
        <f>IF(INDEX(C:C, ROW())+INDEX(D:D, ROW())=0, 0, INDEX(C:C, ROW())/(INDEX(C:C, ROW())+INDEX(D:D, ROW())))</f>
        <v>0.95381118204681758</v>
      </c>
      <c r="F49" s="1" t="s">
        <v>60</v>
      </c>
      <c r="G49" s="1" t="s">
        <v>24</v>
      </c>
      <c r="H49" s="1">
        <v>2716561</v>
      </c>
      <c r="I49" s="1">
        <v>3424454</v>
      </c>
      <c r="J49" s="7">
        <v>0.79300000000000004</v>
      </c>
      <c r="K49" s="1" t="s">
        <v>21</v>
      </c>
      <c r="L49" s="1" t="s">
        <v>21</v>
      </c>
      <c r="M49" s="1" t="s">
        <v>29</v>
      </c>
      <c r="N49" s="1" t="s">
        <v>22</v>
      </c>
    </row>
    <row r="50" spans="1:14" x14ac:dyDescent="0.25">
      <c r="A50" s="1">
        <v>49</v>
      </c>
      <c r="B50" s="2" t="str">
        <f>HYPERLINK("https://leetcode.com/problems/group-anagrams/", "Group Anagrams")</f>
        <v>Group Anagrams</v>
      </c>
      <c r="C50" s="1">
        <v>21856</v>
      </c>
      <c r="D50" s="1">
        <v>749</v>
      </c>
      <c r="E50" s="3">
        <f>IF(INDEX(C:C, ROW())+INDEX(D:D, ROW())=0, 0, INDEX(C:C, ROW())/(INDEX(C:C, ROW())+INDEX(D:D, ROW())))</f>
        <v>0.96686573766865735</v>
      </c>
      <c r="F50" s="1" t="s">
        <v>49</v>
      </c>
      <c r="G50" s="1" t="s">
        <v>24</v>
      </c>
      <c r="H50" s="1">
        <v>4536554</v>
      </c>
      <c r="I50" s="1">
        <v>6284876</v>
      </c>
      <c r="J50" s="7">
        <v>0.72199999999999998</v>
      </c>
      <c r="K50" s="1" t="s">
        <v>21</v>
      </c>
      <c r="L50" s="1" t="s">
        <v>21</v>
      </c>
      <c r="M50" s="1" t="s">
        <v>21</v>
      </c>
      <c r="N50" s="1" t="s">
        <v>22</v>
      </c>
    </row>
    <row r="51" spans="1:14" x14ac:dyDescent="0.25">
      <c r="A51" s="1">
        <v>50</v>
      </c>
      <c r="B51" s="2" t="str">
        <f>HYPERLINK("https://leetcode.com/problems/powx-n/", "Pow(x, n)")</f>
        <v>Pow(x, n)</v>
      </c>
      <c r="C51" s="1">
        <v>11564</v>
      </c>
      <c r="D51" s="1">
        <v>10517</v>
      </c>
      <c r="E51" s="3">
        <f>IF(INDEX(C:C, ROW())+INDEX(D:D, ROW())=0, 0, INDEX(C:C, ROW())/(INDEX(C:C, ROW())+INDEX(D:D, ROW())))</f>
        <v>0.52370816539106024</v>
      </c>
      <c r="F51" s="1" t="s">
        <v>116</v>
      </c>
      <c r="G51" s="1" t="s">
        <v>24</v>
      </c>
      <c r="H51" s="1">
        <v>2616247</v>
      </c>
      <c r="I51" s="1">
        <v>6838117</v>
      </c>
      <c r="J51" s="7">
        <v>0.38300000000000001</v>
      </c>
      <c r="K51" s="1" t="s">
        <v>21</v>
      </c>
      <c r="L51" s="1" t="s">
        <v>21</v>
      </c>
      <c r="M51" s="1" t="s">
        <v>29</v>
      </c>
      <c r="N51" s="1" t="s">
        <v>22</v>
      </c>
    </row>
    <row r="52" spans="1:14" x14ac:dyDescent="0.25">
      <c r="A52" s="1">
        <v>51</v>
      </c>
      <c r="B52" s="2" t="str">
        <f>HYPERLINK("https://leetcode.com/problems/n-queens/", "N-Queens")</f>
        <v>N-Queens</v>
      </c>
      <c r="C52" s="1">
        <v>14183</v>
      </c>
      <c r="D52" s="1">
        <v>346</v>
      </c>
      <c r="E52" s="3">
        <f>IF(INDEX(C:C, ROW())+INDEX(D:D, ROW())=0, 0, INDEX(C:C, ROW())/(INDEX(C:C, ROW())+INDEX(D:D, ROW())))</f>
        <v>0.9761855599146535</v>
      </c>
      <c r="F52" s="1" t="s">
        <v>56</v>
      </c>
      <c r="G52" s="1" t="s">
        <v>28</v>
      </c>
      <c r="H52" s="1">
        <v>1212274</v>
      </c>
      <c r="I52" s="1">
        <v>1617872</v>
      </c>
      <c r="J52" s="7">
        <v>0.749</v>
      </c>
      <c r="K52" s="1" t="s">
        <v>21</v>
      </c>
      <c r="L52" s="1" t="s">
        <v>21</v>
      </c>
      <c r="M52" s="1" t="s">
        <v>29</v>
      </c>
      <c r="N52" s="1" t="s">
        <v>22</v>
      </c>
    </row>
    <row r="53" spans="1:14" x14ac:dyDescent="0.25">
      <c r="A53" s="1">
        <v>52</v>
      </c>
      <c r="B53" s="2" t="str">
        <f>HYPERLINK("https://leetcode.com/problems/n-queens-ii/", "N-Queens II")</f>
        <v>N-Queens II</v>
      </c>
      <c r="C53" s="1">
        <v>4255</v>
      </c>
      <c r="D53" s="1">
        <v>282</v>
      </c>
      <c r="E53" s="3">
        <f>IF(INDEX(C:C, ROW())+INDEX(D:D, ROW())=0, 0, INDEX(C:C, ROW())/(INDEX(C:C, ROW())+INDEX(D:D, ROW())))</f>
        <v>0.93784439056645363</v>
      </c>
      <c r="F53" s="1" t="s">
        <v>159</v>
      </c>
      <c r="G53" s="1" t="s">
        <v>28</v>
      </c>
      <c r="H53" s="1">
        <v>576861</v>
      </c>
      <c r="I53" s="1">
        <v>738030</v>
      </c>
      <c r="J53" s="7">
        <v>0.78200000000000003</v>
      </c>
      <c r="K53" s="1" t="s">
        <v>21</v>
      </c>
      <c r="L53" s="1" t="s">
        <v>21</v>
      </c>
      <c r="M53" s="1" t="s">
        <v>29</v>
      </c>
      <c r="N53" s="1" t="s">
        <v>22</v>
      </c>
    </row>
    <row r="54" spans="1:14" x14ac:dyDescent="0.25">
      <c r="A54" s="1">
        <v>53</v>
      </c>
      <c r="B54" s="2" t="str">
        <f>HYPERLINK("https://leetcode.com/problems/maximum-subarray/", "Maximum Subarray")</f>
        <v>Maximum Subarray</v>
      </c>
      <c r="C54" s="1">
        <v>37533</v>
      </c>
      <c r="D54" s="1">
        <v>1591</v>
      </c>
      <c r="E54" s="3">
        <f>IF(INDEX(C:C, ROW())+INDEX(D:D, ROW())=0, 0, INDEX(C:C, ROW())/(INDEX(C:C, ROW())+INDEX(D:D, ROW())))</f>
        <v>0.95933442388303858</v>
      </c>
      <c r="F54" s="1" t="s">
        <v>25</v>
      </c>
      <c r="G54" s="1" t="s">
        <v>24</v>
      </c>
      <c r="H54" s="1">
        <v>5866921</v>
      </c>
      <c r="I54" s="1">
        <v>11075317</v>
      </c>
      <c r="J54" s="7">
        <v>0.53</v>
      </c>
      <c r="K54" s="1" t="s">
        <v>21</v>
      </c>
      <c r="L54" s="1" t="s">
        <v>21</v>
      </c>
      <c r="M54" s="1" t="s">
        <v>21</v>
      </c>
      <c r="N54" s="1" t="s">
        <v>22</v>
      </c>
    </row>
    <row r="55" spans="1:14" x14ac:dyDescent="0.25">
      <c r="A55" s="1">
        <v>54</v>
      </c>
      <c r="B55" s="2" t="str">
        <f>HYPERLINK("https://leetcode.com/problems/spiral-matrix/", "Spiral Matrix")</f>
        <v>Spiral Matrix</v>
      </c>
      <c r="C55" s="1">
        <v>17275</v>
      </c>
      <c r="D55" s="1">
        <v>1557</v>
      </c>
      <c r="E55" s="3">
        <f>IF(INDEX(C:C, ROW())+INDEX(D:D, ROW())=0, 0, INDEX(C:C, ROW())/(INDEX(C:C, ROW())+INDEX(D:D, ROW())))</f>
        <v>0.91732158028887001</v>
      </c>
      <c r="F55" s="1" t="s">
        <v>77</v>
      </c>
      <c r="G55" s="1" t="s">
        <v>24</v>
      </c>
      <c r="H55" s="1">
        <v>2297059</v>
      </c>
      <c r="I55" s="1">
        <v>4091939</v>
      </c>
      <c r="J55" s="7">
        <v>0.56100000000000005</v>
      </c>
      <c r="K55" s="1" t="s">
        <v>21</v>
      </c>
      <c r="L55" s="1" t="s">
        <v>21</v>
      </c>
      <c r="M55" s="1" t="s">
        <v>29</v>
      </c>
      <c r="N55" s="1" t="s">
        <v>22</v>
      </c>
    </row>
    <row r="56" spans="1:14" x14ac:dyDescent="0.25">
      <c r="A56" s="1">
        <v>55</v>
      </c>
      <c r="B56" s="2" t="str">
        <f>HYPERLINK("https://leetcode.com/problems/jump-game/", "Jump Game")</f>
        <v>Jump Game</v>
      </c>
      <c r="C56" s="1">
        <v>21600</v>
      </c>
      <c r="D56" s="1">
        <v>1482</v>
      </c>
      <c r="E56" s="3">
        <f>IF(INDEX(C:C, ROW())+INDEX(D:D, ROW())=0, 0, INDEX(C:C, ROW())/(INDEX(C:C, ROW())+INDEX(D:D, ROW())))</f>
        <v>0.93579412529243566</v>
      </c>
      <c r="F56" s="1" t="s">
        <v>50</v>
      </c>
      <c r="G56" s="1" t="s">
        <v>24</v>
      </c>
      <c r="H56" s="1">
        <v>3072431</v>
      </c>
      <c r="I56" s="1">
        <v>7591037</v>
      </c>
      <c r="J56" s="7">
        <v>0.40500000000000003</v>
      </c>
      <c r="K56" s="1" t="s">
        <v>21</v>
      </c>
      <c r="L56" s="1" t="s">
        <v>21</v>
      </c>
      <c r="M56" s="1" t="s">
        <v>29</v>
      </c>
      <c r="N56" s="1" t="s">
        <v>22</v>
      </c>
    </row>
    <row r="57" spans="1:14" x14ac:dyDescent="0.25">
      <c r="A57" s="1">
        <v>56</v>
      </c>
      <c r="B57" s="2" t="str">
        <f>HYPERLINK("https://leetcode.com/problems/merge-intervals/", "Merge Intervals")</f>
        <v>Merge Intervals</v>
      </c>
      <c r="C57" s="1">
        <v>24450</v>
      </c>
      <c r="D57" s="1">
        <v>898</v>
      </c>
      <c r="E57" s="3">
        <f>IF(INDEX(C:C, ROW())+INDEX(D:D, ROW())=0, 0, INDEX(C:C, ROW())/(INDEX(C:C, ROW())+INDEX(D:D, ROW())))</f>
        <v>0.96457314186523591</v>
      </c>
      <c r="F57" s="1" t="s">
        <v>42</v>
      </c>
      <c r="G57" s="1" t="s">
        <v>24</v>
      </c>
      <c r="H57" s="1">
        <v>3824842</v>
      </c>
      <c r="I57" s="1">
        <v>7475109</v>
      </c>
      <c r="J57" s="7">
        <v>0.51200000000000001</v>
      </c>
      <c r="K57" s="1" t="s">
        <v>21</v>
      </c>
      <c r="L57" s="1" t="s">
        <v>21</v>
      </c>
      <c r="M57" s="1" t="s">
        <v>21</v>
      </c>
      <c r="N57" s="1" t="s">
        <v>22</v>
      </c>
    </row>
    <row r="58" spans="1:14" x14ac:dyDescent="0.25">
      <c r="A58" s="1">
        <v>57</v>
      </c>
      <c r="B58" s="2" t="str">
        <f>HYPERLINK("https://leetcode.com/problems/insert-interval/", "Insert Interval")</f>
        <v>Insert Interval</v>
      </c>
      <c r="C58" s="1">
        <v>11749</v>
      </c>
      <c r="D58" s="1">
        <v>915</v>
      </c>
      <c r="E58" s="3">
        <f>IF(INDEX(C:C, ROW())+INDEX(D:D, ROW())=0, 0, INDEX(C:C, ROW())/(INDEX(C:C, ROW())+INDEX(D:D, ROW())))</f>
        <v>0.92774794693619711</v>
      </c>
      <c r="F58" s="1" t="s">
        <v>113</v>
      </c>
      <c r="G58" s="1" t="s">
        <v>24</v>
      </c>
      <c r="H58" s="1">
        <v>1707064</v>
      </c>
      <c r="I58" s="1">
        <v>3813996</v>
      </c>
      <c r="J58" s="7">
        <v>0.44800000000000001</v>
      </c>
      <c r="K58" s="1" t="s">
        <v>21</v>
      </c>
      <c r="L58" s="1" t="s">
        <v>21</v>
      </c>
      <c r="M58" s="1" t="s">
        <v>29</v>
      </c>
      <c r="N58" s="1" t="s">
        <v>22</v>
      </c>
    </row>
    <row r="59" spans="1:14" x14ac:dyDescent="0.25">
      <c r="A59" s="1">
        <v>58</v>
      </c>
      <c r="B59" s="2" t="str">
        <f>HYPERLINK("https://leetcode.com/problems/length-of-last-word/", "Length of Last Word")</f>
        <v>Length of Last Word</v>
      </c>
      <c r="C59" s="1">
        <v>6345</v>
      </c>
      <c r="D59" s="1">
        <v>356</v>
      </c>
      <c r="E59" s="3">
        <f>IF(INDEX(C:C, ROW())+INDEX(D:D, ROW())=0, 0, INDEX(C:C, ROW())/(INDEX(C:C, ROW())+INDEX(D:D, ROW())))</f>
        <v>0.94687360095508133</v>
      </c>
      <c r="F59" s="1" t="s">
        <v>146</v>
      </c>
      <c r="G59" s="1" t="s">
        <v>20</v>
      </c>
      <c r="H59" s="1">
        <v>3282209</v>
      </c>
      <c r="I59" s="1">
        <v>5632112</v>
      </c>
      <c r="J59" s="7">
        <v>0.58299999999999996</v>
      </c>
      <c r="K59" s="1" t="s">
        <v>21</v>
      </c>
      <c r="L59" s="1" t="s">
        <v>21</v>
      </c>
      <c r="M59" s="1" t="s">
        <v>29</v>
      </c>
      <c r="N59" s="1" t="s">
        <v>22</v>
      </c>
    </row>
    <row r="60" spans="1:14" x14ac:dyDescent="0.25">
      <c r="A60" s="1">
        <v>59</v>
      </c>
      <c r="B60" s="2" t="str">
        <f>HYPERLINK("https://leetcode.com/problems/spiral-matrix-ii/", "Spiral Matrix II")</f>
        <v>Spiral Matrix II</v>
      </c>
      <c r="C60" s="1">
        <v>6886</v>
      </c>
      <c r="D60" s="1">
        <v>288</v>
      </c>
      <c r="E60" s="3">
        <f>IF(INDEX(C:C, ROW())+INDEX(D:D, ROW())=0, 0, INDEX(C:C, ROW())/(INDEX(C:C, ROW())+INDEX(D:D, ROW())))</f>
        <v>0.95985503206021749</v>
      </c>
      <c r="F60" s="1" t="s">
        <v>77</v>
      </c>
      <c r="G60" s="1" t="s">
        <v>24</v>
      </c>
      <c r="H60" s="1">
        <v>780039</v>
      </c>
      <c r="I60" s="1">
        <v>1045257</v>
      </c>
      <c r="J60" s="7">
        <v>0.746</v>
      </c>
      <c r="K60" s="1" t="s">
        <v>21</v>
      </c>
      <c r="L60" s="1" t="s">
        <v>21</v>
      </c>
      <c r="M60" s="1" t="s">
        <v>29</v>
      </c>
      <c r="N60" s="1" t="s">
        <v>22</v>
      </c>
    </row>
    <row r="61" spans="1:14" x14ac:dyDescent="0.25">
      <c r="A61" s="1">
        <v>60</v>
      </c>
      <c r="B61" s="2" t="str">
        <f>HYPERLINK("https://leetcode.com/problems/permutation-sequence/", "Permutation Sequence")</f>
        <v>Permutation Sequence</v>
      </c>
      <c r="C61" s="1">
        <v>7216</v>
      </c>
      <c r="D61" s="1">
        <v>507</v>
      </c>
      <c r="E61" s="3">
        <f>IF(INDEX(C:C, ROW())+INDEX(D:D, ROW())=0, 0, INDEX(C:C, ROW())/(INDEX(C:C, ROW())+INDEX(D:D, ROW())))</f>
        <v>0.93435193577625275</v>
      </c>
      <c r="F61" s="1" t="s">
        <v>116</v>
      </c>
      <c r="G61" s="1" t="s">
        <v>28</v>
      </c>
      <c r="H61" s="1">
        <v>552696</v>
      </c>
      <c r="I61" s="1">
        <v>1060121</v>
      </c>
      <c r="J61" s="7">
        <v>0.52100000000000002</v>
      </c>
      <c r="K61" s="1" t="s">
        <v>21</v>
      </c>
      <c r="L61" s="1" t="s">
        <v>21</v>
      </c>
      <c r="M61" s="1" t="s">
        <v>29</v>
      </c>
      <c r="N61" s="1" t="s">
        <v>22</v>
      </c>
    </row>
    <row r="62" spans="1:14" x14ac:dyDescent="0.25">
      <c r="A62" s="1">
        <v>61</v>
      </c>
      <c r="B62" s="2" t="str">
        <f>HYPERLINK("https://leetcode.com/problems/rotate-list/", "Rotate List")</f>
        <v>Rotate List</v>
      </c>
      <c r="C62" s="1">
        <v>11155</v>
      </c>
      <c r="D62" s="1">
        <v>1543</v>
      </c>
      <c r="E62" s="3">
        <f>IF(INDEX(C:C, ROW())+INDEX(D:D, ROW())=0, 0, INDEX(C:C, ROW())/(INDEX(C:C, ROW())+INDEX(D:D, ROW())))</f>
        <v>0.87848480075602453</v>
      </c>
      <c r="F62" s="1" t="s">
        <v>53</v>
      </c>
      <c r="G62" s="1" t="s">
        <v>24</v>
      </c>
      <c r="H62" s="1">
        <v>1542938</v>
      </c>
      <c r="I62" s="1">
        <v>3744250</v>
      </c>
      <c r="J62" s="7">
        <v>0.41199999999999998</v>
      </c>
      <c r="K62" s="1" t="s">
        <v>21</v>
      </c>
      <c r="L62" s="1" t="s">
        <v>21</v>
      </c>
      <c r="M62" s="1" t="s">
        <v>29</v>
      </c>
      <c r="N62" s="1" t="s">
        <v>22</v>
      </c>
    </row>
    <row r="63" spans="1:14" x14ac:dyDescent="0.25">
      <c r="A63" s="1">
        <v>62</v>
      </c>
      <c r="B63" s="2" t="str">
        <f>HYPERLINK("https://leetcode.com/problems/unique-paths/", "Unique Paths")</f>
        <v>Unique Paths</v>
      </c>
      <c r="C63" s="1">
        <v>18251</v>
      </c>
      <c r="D63" s="1">
        <v>491</v>
      </c>
      <c r="E63" s="3">
        <f>IF(INDEX(C:C, ROW())+INDEX(D:D, ROW())=0, 0, INDEX(C:C, ROW())/(INDEX(C:C, ROW())+INDEX(D:D, ROW())))</f>
        <v>0.9738021555863835</v>
      </c>
      <c r="F63" s="1" t="s">
        <v>70</v>
      </c>
      <c r="G63" s="1" t="s">
        <v>24</v>
      </c>
      <c r="H63" s="1">
        <v>2726941</v>
      </c>
      <c r="I63" s="1">
        <v>4097123</v>
      </c>
      <c r="J63" s="7">
        <v>0.66600000000000004</v>
      </c>
      <c r="K63" s="1" t="s">
        <v>21</v>
      </c>
      <c r="L63" s="1" t="s">
        <v>21</v>
      </c>
      <c r="M63" s="1" t="s">
        <v>29</v>
      </c>
      <c r="N63" s="1" t="s">
        <v>22</v>
      </c>
    </row>
    <row r="64" spans="1:14" x14ac:dyDescent="0.25">
      <c r="A64" s="1">
        <v>63</v>
      </c>
      <c r="B64" s="2" t="str">
        <f>HYPERLINK("https://leetcode.com/problems/unique-paths-ii/", "Unique Paths II")</f>
        <v>Unique Paths II</v>
      </c>
      <c r="C64" s="1">
        <v>9626</v>
      </c>
      <c r="D64" s="1">
        <v>557</v>
      </c>
      <c r="E64" s="3">
        <f>IF(INDEX(C:C, ROW())+INDEX(D:D, ROW())=0, 0, INDEX(C:C, ROW())/(INDEX(C:C, ROW())+INDEX(D:D, ROW())))</f>
        <v>0.94530099184916039</v>
      </c>
      <c r="F64" s="1" t="s">
        <v>94</v>
      </c>
      <c r="G64" s="1" t="s">
        <v>24</v>
      </c>
      <c r="H64" s="1">
        <v>1430615</v>
      </c>
      <c r="I64" s="1">
        <v>3241099</v>
      </c>
      <c r="J64" s="7">
        <v>0.441</v>
      </c>
      <c r="K64" s="1" t="s">
        <v>21</v>
      </c>
      <c r="L64" s="1" t="s">
        <v>21</v>
      </c>
      <c r="M64" s="1" t="s">
        <v>29</v>
      </c>
      <c r="N64" s="1" t="s">
        <v>22</v>
      </c>
    </row>
    <row r="65" spans="1:14" x14ac:dyDescent="0.25">
      <c r="A65" s="1">
        <v>64</v>
      </c>
      <c r="B65" s="2" t="str">
        <f>HYPERLINK("https://leetcode.com/problems/minimum-path-sum/", "Minimum Path Sum")</f>
        <v>Minimum Path Sum</v>
      </c>
      <c r="C65" s="1">
        <v>13599</v>
      </c>
      <c r="D65" s="1">
        <v>200</v>
      </c>
      <c r="E65" s="3">
        <f>IF(INDEX(C:C, ROW())+INDEX(D:D, ROW())=0, 0, INDEX(C:C, ROW())/(INDEX(C:C, ROW())+INDEX(D:D, ROW())))</f>
        <v>0.98550619610116674</v>
      </c>
      <c r="F65" s="1" t="s">
        <v>94</v>
      </c>
      <c r="G65" s="1" t="s">
        <v>24</v>
      </c>
      <c r="H65" s="1">
        <v>1782256</v>
      </c>
      <c r="I65" s="1">
        <v>2628218</v>
      </c>
      <c r="J65" s="7">
        <v>0.67800000000000005</v>
      </c>
      <c r="K65" s="1" t="s">
        <v>21</v>
      </c>
      <c r="L65" s="1" t="s">
        <v>21</v>
      </c>
      <c r="M65" s="1" t="s">
        <v>29</v>
      </c>
      <c r="N65" s="1" t="s">
        <v>22</v>
      </c>
    </row>
    <row r="66" spans="1:14" x14ac:dyDescent="0.25">
      <c r="A66" s="1">
        <v>65</v>
      </c>
      <c r="B66" s="2" t="str">
        <f>HYPERLINK("https://leetcode.com/problems/valid-number/", "Valid Number")</f>
        <v>Valid Number</v>
      </c>
      <c r="C66" s="1">
        <v>1489</v>
      </c>
      <c r="D66" s="1">
        <v>2206</v>
      </c>
      <c r="E66" s="3">
        <f>IF(INDEX(C:C, ROW())+INDEX(D:D, ROW())=0, 0, INDEX(C:C, ROW())/(INDEX(C:C, ROW())+INDEX(D:D, ROW())))</f>
        <v>0.4029769959404601</v>
      </c>
      <c r="F66" s="1" t="s">
        <v>146</v>
      </c>
      <c r="G66" s="1" t="s">
        <v>28</v>
      </c>
      <c r="H66" s="1">
        <v>504947</v>
      </c>
      <c r="I66" s="1">
        <v>2235455</v>
      </c>
      <c r="J66" s="7">
        <v>0.22600000000000001</v>
      </c>
      <c r="K66" s="1" t="s">
        <v>21</v>
      </c>
      <c r="L66" s="1" t="s">
        <v>21</v>
      </c>
      <c r="M66" s="1" t="s">
        <v>29</v>
      </c>
      <c r="N66" s="1" t="s">
        <v>22</v>
      </c>
    </row>
    <row r="67" spans="1:14" x14ac:dyDescent="0.25">
      <c r="A67" s="1">
        <v>66</v>
      </c>
      <c r="B67" s="2" t="str">
        <f>HYPERLINK("https://leetcode.com/problems/plus-one/", "Plus One")</f>
        <v>Plus One</v>
      </c>
      <c r="C67" s="1">
        <v>11704</v>
      </c>
      <c r="D67" s="1">
        <v>5595</v>
      </c>
      <c r="E67" s="3">
        <f>IF(INDEX(C:C, ROW())+INDEX(D:D, ROW())=0, 0, INDEX(C:C, ROW())/(INDEX(C:C, ROW())+INDEX(D:D, ROW())))</f>
        <v>0.67657090005202614</v>
      </c>
      <c r="F67" s="1" t="s">
        <v>115</v>
      </c>
      <c r="G67" s="1" t="s">
        <v>20</v>
      </c>
      <c r="H67" s="1">
        <v>3600160</v>
      </c>
      <c r="I67" s="1">
        <v>7268815</v>
      </c>
      <c r="J67" s="7">
        <v>0.495</v>
      </c>
      <c r="K67" s="1" t="s">
        <v>21</v>
      </c>
      <c r="L67" s="1" t="s">
        <v>21</v>
      </c>
      <c r="M67" s="1" t="s">
        <v>29</v>
      </c>
      <c r="N67" s="1" t="s">
        <v>22</v>
      </c>
    </row>
    <row r="68" spans="1:14" x14ac:dyDescent="0.25">
      <c r="A68" s="1">
        <v>67</v>
      </c>
      <c r="B68" s="2" t="str">
        <f>HYPERLINK("https://leetcode.com/problems/add-binary/", "Add Binary")</f>
        <v>Add Binary</v>
      </c>
      <c r="C68" s="1">
        <v>10678</v>
      </c>
      <c r="D68" s="1">
        <v>1107</v>
      </c>
      <c r="E68" s="3">
        <f>IF(INDEX(C:C, ROW())+INDEX(D:D, ROW())=0, 0, INDEX(C:C, ROW())/(INDEX(C:C, ROW())+INDEX(D:D, ROW())))</f>
        <v>0.90606703436571912</v>
      </c>
      <c r="F68" s="1" t="s">
        <v>126</v>
      </c>
      <c r="G68" s="1" t="s">
        <v>20</v>
      </c>
      <c r="H68" s="1">
        <v>2263329</v>
      </c>
      <c r="I68" s="1">
        <v>3927581</v>
      </c>
      <c r="J68" s="7">
        <v>0.57599999999999996</v>
      </c>
      <c r="K68" s="1" t="s">
        <v>21</v>
      </c>
      <c r="L68" s="1" t="s">
        <v>21</v>
      </c>
      <c r="M68" s="1" t="s">
        <v>29</v>
      </c>
      <c r="N68" s="1" t="s">
        <v>22</v>
      </c>
    </row>
    <row r="69" spans="1:14" x14ac:dyDescent="0.25">
      <c r="A69" s="1">
        <v>68</v>
      </c>
      <c r="B69" s="2" t="str">
        <f>HYPERLINK("https://leetcode.com/problems/text-justification/", "Text Justification")</f>
        <v>Text Justification</v>
      </c>
      <c r="C69" s="1">
        <v>4511</v>
      </c>
      <c r="D69" s="1">
        <v>5352</v>
      </c>
      <c r="E69" s="3">
        <f>IF(INDEX(C:C, ROW())+INDEX(D:D, ROW())=0, 0, INDEX(C:C, ROW())/(INDEX(C:C, ROW())+INDEX(D:D, ROW())))</f>
        <v>0.4573659130082125</v>
      </c>
      <c r="F69" s="1" t="s">
        <v>285</v>
      </c>
      <c r="G69" s="1" t="s">
        <v>28</v>
      </c>
      <c r="H69" s="1">
        <v>629446</v>
      </c>
      <c r="I69" s="1">
        <v>1248710</v>
      </c>
      <c r="J69" s="7">
        <v>0.504</v>
      </c>
      <c r="K69" s="1" t="s">
        <v>21</v>
      </c>
      <c r="L69" s="1" t="s">
        <v>21</v>
      </c>
      <c r="M69" s="1" t="s">
        <v>29</v>
      </c>
      <c r="N69" s="1" t="s">
        <v>22</v>
      </c>
    </row>
    <row r="70" spans="1:14" x14ac:dyDescent="0.25">
      <c r="A70" s="1">
        <v>69</v>
      </c>
      <c r="B70" s="2" t="str">
        <f>HYPERLINK("https://leetcode.com/problems/sqrtx/", "Sqrt(x)")</f>
        <v>Sqrt(x)</v>
      </c>
      <c r="C70" s="1">
        <v>9589</v>
      </c>
      <c r="D70" s="1">
        <v>4635</v>
      </c>
      <c r="E70" s="3">
        <f>IF(INDEX(C:C, ROW())+INDEX(D:D, ROW())=0, 0, INDEX(C:C, ROW())/(INDEX(C:C, ROW())+INDEX(D:D, ROW())))</f>
        <v>0.67414229471316089</v>
      </c>
      <c r="F70" s="1" t="s">
        <v>139</v>
      </c>
      <c r="G70" s="1" t="s">
        <v>20</v>
      </c>
      <c r="H70" s="1">
        <v>3060615</v>
      </c>
      <c r="I70" s="1">
        <v>7390046</v>
      </c>
      <c r="J70" s="7">
        <v>0.41399999999999998</v>
      </c>
      <c r="K70" s="1" t="s">
        <v>21</v>
      </c>
      <c r="L70" s="1" t="s">
        <v>21</v>
      </c>
      <c r="M70" s="1" t="s">
        <v>21</v>
      </c>
      <c r="N70" s="1" t="s">
        <v>22</v>
      </c>
    </row>
    <row r="71" spans="1:14" x14ac:dyDescent="0.25">
      <c r="A71" s="1">
        <v>70</v>
      </c>
      <c r="B71" s="2" t="str">
        <f>HYPERLINK("https://leetcode.com/problems/climbing-stairs/", "Climbing Stairs")</f>
        <v>Climbing Stairs</v>
      </c>
      <c r="C71" s="1">
        <v>24308</v>
      </c>
      <c r="D71" s="1">
        <v>1036</v>
      </c>
      <c r="E71" s="3">
        <f>IF(INDEX(C:C, ROW())+INDEX(D:D, ROW())=0, 0, INDEX(C:C, ROW())/(INDEX(C:C, ROW())+INDEX(D:D, ROW())))</f>
        <v>0.9591224747474747</v>
      </c>
      <c r="F71" s="1" t="s">
        <v>43</v>
      </c>
      <c r="G71" s="1" t="s">
        <v>20</v>
      </c>
      <c r="H71" s="1">
        <v>4932301</v>
      </c>
      <c r="I71" s="1">
        <v>9150415</v>
      </c>
      <c r="J71" s="7">
        <v>0.53900000000000003</v>
      </c>
      <c r="K71" s="1" t="s">
        <v>21</v>
      </c>
      <c r="L71" s="1" t="s">
        <v>21</v>
      </c>
      <c r="M71" s="1" t="s">
        <v>29</v>
      </c>
      <c r="N71" s="1" t="s">
        <v>22</v>
      </c>
    </row>
    <row r="72" spans="1:14" x14ac:dyDescent="0.25">
      <c r="A72" s="1">
        <v>71</v>
      </c>
      <c r="B72" s="2" t="str">
        <f>HYPERLINK("https://leetcode.com/problems/simplify-path/", "Simplify Path")</f>
        <v>Simplify Path</v>
      </c>
      <c r="C72" s="1">
        <v>6492</v>
      </c>
      <c r="D72" s="1">
        <v>1403</v>
      </c>
      <c r="E72" s="3">
        <f>IF(INDEX(C:C, ROW())+INDEX(D:D, ROW())=0, 0, INDEX(C:C, ROW())/(INDEX(C:C, ROW())+INDEX(D:D, ROW())))</f>
        <v>0.82229259024699175</v>
      </c>
      <c r="F72" s="1" t="s">
        <v>36</v>
      </c>
      <c r="G72" s="1" t="s">
        <v>24</v>
      </c>
      <c r="H72" s="1">
        <v>1280912</v>
      </c>
      <c r="I72" s="1">
        <v>2561574</v>
      </c>
      <c r="J72" s="7">
        <v>0.5</v>
      </c>
      <c r="K72" s="1" t="s">
        <v>21</v>
      </c>
      <c r="L72" s="1" t="s">
        <v>21</v>
      </c>
      <c r="M72" s="1" t="s">
        <v>21</v>
      </c>
      <c r="N72" s="1" t="s">
        <v>22</v>
      </c>
    </row>
    <row r="73" spans="1:14" x14ac:dyDescent="0.25">
      <c r="A73" s="1">
        <v>72</v>
      </c>
      <c r="B73" s="2" t="str">
        <f>HYPERLINK("https://leetcode.com/problems/edit-distance/", "Edit Distance")</f>
        <v>Edit Distance</v>
      </c>
      <c r="C73" s="1">
        <v>16321</v>
      </c>
      <c r="D73" s="1">
        <v>323</v>
      </c>
      <c r="E73" s="3">
        <f>IF(INDEX(C:C, ROW())+INDEX(D:D, ROW())=0, 0, INDEX(C:C, ROW())/(INDEX(C:C, ROW())+INDEX(D:D, ROW())))</f>
        <v>0.98059360730593603</v>
      </c>
      <c r="F73" s="1" t="s">
        <v>82</v>
      </c>
      <c r="G73" s="1" t="s">
        <v>24</v>
      </c>
      <c r="H73" s="1">
        <v>1393063</v>
      </c>
      <c r="I73" s="1">
        <v>2316824</v>
      </c>
      <c r="J73" s="7">
        <v>0.60099999999999998</v>
      </c>
      <c r="K73" s="1" t="s">
        <v>21</v>
      </c>
      <c r="L73" s="1" t="s">
        <v>21</v>
      </c>
      <c r="M73" s="1" t="s">
        <v>29</v>
      </c>
      <c r="N73" s="1" t="s">
        <v>22</v>
      </c>
    </row>
    <row r="74" spans="1:14" x14ac:dyDescent="0.25">
      <c r="A74" s="1">
        <v>73</v>
      </c>
      <c r="B74" s="2" t="str">
        <f>HYPERLINK("https://leetcode.com/problems/set-matrix-zeroes/", "Set Matrix Zeroes")</f>
        <v>Set Matrix Zeroes</v>
      </c>
      <c r="C74" s="1">
        <v>16969</v>
      </c>
      <c r="D74" s="1">
        <v>858</v>
      </c>
      <c r="E74" s="3">
        <f>IF(INDEX(C:C, ROW())+INDEX(D:D, ROW())=0, 0, INDEX(C:C, ROW())/(INDEX(C:C, ROW())+INDEX(D:D, ROW())))</f>
        <v>0.95187075783923258</v>
      </c>
      <c r="F74" s="1" t="s">
        <v>78</v>
      </c>
      <c r="G74" s="1" t="s">
        <v>24</v>
      </c>
      <c r="H74" s="1">
        <v>2483078</v>
      </c>
      <c r="I74" s="1">
        <v>3977081</v>
      </c>
      <c r="J74" s="7">
        <v>0.624</v>
      </c>
      <c r="K74" s="1" t="s">
        <v>21</v>
      </c>
      <c r="L74" s="1" t="s">
        <v>21</v>
      </c>
      <c r="M74" s="1" t="s">
        <v>29</v>
      </c>
      <c r="N74" s="1" t="s">
        <v>22</v>
      </c>
    </row>
    <row r="75" spans="1:14" x14ac:dyDescent="0.25">
      <c r="A75" s="1">
        <v>74</v>
      </c>
      <c r="B75" s="2" t="str">
        <f>HYPERLINK("https://leetcode.com/problems/search-a-2d-matrix/", "Search a 2D Matrix")</f>
        <v>Search a 2D Matrix</v>
      </c>
      <c r="C75" s="1">
        <v>17758</v>
      </c>
      <c r="D75" s="1">
        <v>480</v>
      </c>
      <c r="E75" s="3">
        <f>IF(INDEX(C:C, ROW())+INDEX(D:D, ROW())=0, 0, INDEX(C:C, ROW())/(INDEX(C:C, ROW())+INDEX(D:D, ROW())))</f>
        <v>0.97368132470665647</v>
      </c>
      <c r="F75" s="1" t="s">
        <v>73</v>
      </c>
      <c r="G75" s="1" t="s">
        <v>24</v>
      </c>
      <c r="H75" s="1">
        <v>2782868</v>
      </c>
      <c r="I75" s="1">
        <v>5198980</v>
      </c>
      <c r="J75" s="7">
        <v>0.53500000000000003</v>
      </c>
      <c r="K75" s="1" t="s">
        <v>21</v>
      </c>
      <c r="L75" s="1" t="s">
        <v>21</v>
      </c>
      <c r="M75" s="1" t="s">
        <v>29</v>
      </c>
      <c r="N75" s="1" t="s">
        <v>22</v>
      </c>
    </row>
    <row r="76" spans="1:14" x14ac:dyDescent="0.25">
      <c r="A76" s="1">
        <v>75</v>
      </c>
      <c r="B76" s="2" t="str">
        <f>HYPERLINK("https://leetcode.com/problems/sort-colors/", "Sort Colors")</f>
        <v>Sort Colors</v>
      </c>
      <c r="C76" s="1">
        <v>21401</v>
      </c>
      <c r="D76" s="1">
        <v>762</v>
      </c>
      <c r="E76" s="3">
        <f>IF(INDEX(C:C, ROW())+INDEX(D:D, ROW())=0, 0, INDEX(C:C, ROW())/(INDEX(C:C, ROW())+INDEX(D:D, ROW())))</f>
        <v>0.96561837296394892</v>
      </c>
      <c r="F76" s="1" t="s">
        <v>31</v>
      </c>
      <c r="G76" s="1" t="s">
        <v>24</v>
      </c>
      <c r="H76" s="1">
        <v>3573921</v>
      </c>
      <c r="I76" s="1">
        <v>5167614</v>
      </c>
      <c r="J76" s="7">
        <v>0.69199999999999995</v>
      </c>
      <c r="K76" s="1" t="s">
        <v>21</v>
      </c>
      <c r="L76" s="1" t="s">
        <v>21</v>
      </c>
      <c r="M76" s="1" t="s">
        <v>29</v>
      </c>
      <c r="N76" s="1" t="s">
        <v>22</v>
      </c>
    </row>
    <row r="77" spans="1:14" x14ac:dyDescent="0.25">
      <c r="A77" s="1">
        <v>76</v>
      </c>
      <c r="B77" s="2" t="str">
        <f>HYPERLINK("https://leetcode.com/problems/minimum-window-substring/", "Minimum Window Substring")</f>
        <v>Minimum Window Substring</v>
      </c>
      <c r="C77" s="1">
        <v>20005</v>
      </c>
      <c r="D77" s="1">
        <v>849</v>
      </c>
      <c r="E77" s="3">
        <f>IF(INDEX(C:C, ROW())+INDEX(D:D, ROW())=0, 0, INDEX(C:C, ROW())/(INDEX(C:C, ROW())+INDEX(D:D, ROW())))</f>
        <v>0.95928838592116616</v>
      </c>
      <c r="F77" s="1" t="s">
        <v>23</v>
      </c>
      <c r="G77" s="1" t="s">
        <v>28</v>
      </c>
      <c r="H77" s="1">
        <v>2069781</v>
      </c>
      <c r="I77" s="1">
        <v>4408729</v>
      </c>
      <c r="J77" s="7">
        <v>0.46899999999999997</v>
      </c>
      <c r="K77" s="1" t="s">
        <v>21</v>
      </c>
      <c r="L77" s="1" t="s">
        <v>21</v>
      </c>
      <c r="M77" s="1" t="s">
        <v>29</v>
      </c>
      <c r="N77" s="1" t="s">
        <v>22</v>
      </c>
    </row>
    <row r="78" spans="1:14" x14ac:dyDescent="0.25">
      <c r="A78" s="1">
        <v>77</v>
      </c>
      <c r="B78" s="2" t="str">
        <f>HYPERLINK("https://leetcode.com/problems/combinations/", "Combinations")</f>
        <v>Combinations</v>
      </c>
      <c r="C78" s="1">
        <v>8880</v>
      </c>
      <c r="D78" s="1">
        <v>253</v>
      </c>
      <c r="E78" s="3">
        <f>IF(INDEX(C:C, ROW())+INDEX(D:D, ROW())=0, 0, INDEX(C:C, ROW())/(INDEX(C:C, ROW())+INDEX(D:D, ROW())))</f>
        <v>0.97229825906054967</v>
      </c>
      <c r="F78" s="1" t="s">
        <v>159</v>
      </c>
      <c r="G78" s="1" t="s">
        <v>24</v>
      </c>
      <c r="H78" s="1">
        <v>1289467</v>
      </c>
      <c r="I78" s="1">
        <v>1738311</v>
      </c>
      <c r="J78" s="7">
        <v>0.74199999999999999</v>
      </c>
      <c r="K78" s="1" t="s">
        <v>21</v>
      </c>
      <c r="L78" s="1" t="s">
        <v>21</v>
      </c>
      <c r="M78" s="1" t="s">
        <v>29</v>
      </c>
      <c r="N78" s="1" t="s">
        <v>22</v>
      </c>
    </row>
    <row r="79" spans="1:14" x14ac:dyDescent="0.25">
      <c r="A79" s="1">
        <v>78</v>
      </c>
      <c r="B79" s="2" t="str">
        <f>HYPERLINK("https://leetcode.com/problems/subsets/", "Subsets")</f>
        <v>Subsets</v>
      </c>
      <c r="C79" s="1">
        <v>19072</v>
      </c>
      <c r="D79" s="1">
        <v>340</v>
      </c>
      <c r="E79" s="3">
        <f>IF(INDEX(C:C, ROW())+INDEX(D:D, ROW())=0, 0, INDEX(C:C, ROW())/(INDEX(C:C, ROW())+INDEX(D:D, ROW())))</f>
        <v>0.98248506078714193</v>
      </c>
      <c r="F79" s="1" t="s">
        <v>63</v>
      </c>
      <c r="G79" s="1" t="s">
        <v>24</v>
      </c>
      <c r="H79" s="1">
        <v>2937243</v>
      </c>
      <c r="I79" s="1">
        <v>3580241</v>
      </c>
      <c r="J79" s="7">
        <v>0.82</v>
      </c>
      <c r="K79" s="1" t="s">
        <v>21</v>
      </c>
      <c r="L79" s="1" t="s">
        <v>21</v>
      </c>
      <c r="M79" s="1" t="s">
        <v>21</v>
      </c>
      <c r="N79" s="1" t="s">
        <v>22</v>
      </c>
    </row>
    <row r="80" spans="1:14" x14ac:dyDescent="0.25">
      <c r="A80" s="1">
        <v>79</v>
      </c>
      <c r="B80" s="2" t="str">
        <f>HYPERLINK("https://leetcode.com/problems/word-search/", "Word Search")</f>
        <v>Word Search</v>
      </c>
      <c r="C80" s="1">
        <v>17548</v>
      </c>
      <c r="D80" s="1">
        <v>753</v>
      </c>
      <c r="E80" s="3">
        <f>IF(INDEX(C:C, ROW())+INDEX(D:D, ROW())=0, 0, INDEX(C:C, ROW())/(INDEX(C:C, ROW())+INDEX(D:D, ROW())))</f>
        <v>0.95885470739303869</v>
      </c>
      <c r="F80" s="1" t="s">
        <v>74</v>
      </c>
      <c r="G80" s="1" t="s">
        <v>24</v>
      </c>
      <c r="H80" s="1">
        <v>2418139</v>
      </c>
      <c r="I80" s="1">
        <v>5161708</v>
      </c>
      <c r="J80" s="7">
        <v>0.46800000000000003</v>
      </c>
      <c r="K80" s="1" t="s">
        <v>21</v>
      </c>
      <c r="L80" s="1" t="s">
        <v>21</v>
      </c>
      <c r="M80" s="1" t="s">
        <v>29</v>
      </c>
      <c r="N80" s="1" t="s">
        <v>22</v>
      </c>
    </row>
    <row r="81" spans="1:14" x14ac:dyDescent="0.25">
      <c r="A81" s="1">
        <v>80</v>
      </c>
      <c r="B81" s="2" t="str">
        <f>HYPERLINK("https://leetcode.com/problems/remove-duplicates-from-sorted-array-ii/", "Remove Duplicates from Sorted Array II")</f>
        <v>Remove Duplicates from Sorted Array II</v>
      </c>
      <c r="C81" s="1">
        <v>8182</v>
      </c>
      <c r="D81" s="1">
        <v>1511</v>
      </c>
      <c r="E81" s="3">
        <f>IF(INDEX(C:C, ROW())+INDEX(D:D, ROW())=0, 0, INDEX(C:C, ROW())/(INDEX(C:C, ROW())+INDEX(D:D, ROW())))</f>
        <v>0.84411430929536779</v>
      </c>
      <c r="F81" s="1" t="s">
        <v>51</v>
      </c>
      <c r="G81" s="1" t="s">
        <v>24</v>
      </c>
      <c r="H81" s="1">
        <v>1858222</v>
      </c>
      <c r="I81" s="1">
        <v>2890890</v>
      </c>
      <c r="J81" s="7">
        <v>0.64300000000000002</v>
      </c>
      <c r="K81" s="1" t="s">
        <v>21</v>
      </c>
      <c r="L81" s="1" t="s">
        <v>21</v>
      </c>
      <c r="M81" s="1" t="s">
        <v>29</v>
      </c>
      <c r="N81" s="1" t="s">
        <v>22</v>
      </c>
    </row>
    <row r="82" spans="1:14" x14ac:dyDescent="0.25">
      <c r="A82" s="1">
        <v>81</v>
      </c>
      <c r="B82" s="2" t="str">
        <f>HYPERLINK("https://leetcode.com/problems/search-in-rotated-sorted-array-ii/", "Search in Rotated Sorted Array II")</f>
        <v>Search in Rotated Sorted Array II</v>
      </c>
      <c r="C82" s="1">
        <v>9560</v>
      </c>
      <c r="D82" s="1">
        <v>1117</v>
      </c>
      <c r="E82" s="3">
        <f>IF(INDEX(C:C, ROW())+INDEX(D:D, ROW())=0, 0, INDEX(C:C, ROW())/(INDEX(C:C, ROW())+INDEX(D:D, ROW())))</f>
        <v>0.89538259810808285</v>
      </c>
      <c r="F82" s="1" t="s">
        <v>35</v>
      </c>
      <c r="G82" s="1" t="s">
        <v>24</v>
      </c>
      <c r="H82" s="1">
        <v>1185944</v>
      </c>
      <c r="I82" s="1">
        <v>2984955</v>
      </c>
      <c r="J82" s="7">
        <v>0.39700000000000002</v>
      </c>
      <c r="K82" s="1" t="s">
        <v>21</v>
      </c>
      <c r="L82" s="1" t="s">
        <v>21</v>
      </c>
      <c r="M82" s="1" t="s">
        <v>29</v>
      </c>
      <c r="N82" s="1" t="s">
        <v>22</v>
      </c>
    </row>
    <row r="83" spans="1:14" x14ac:dyDescent="0.25">
      <c r="A83" s="1">
        <v>82</v>
      </c>
      <c r="B83" s="2" t="str">
        <f>HYPERLINK("https://leetcode.com/problems/remove-duplicates-from-sorted-list-ii/", "Remove Duplicates from Sorted List II")</f>
        <v>Remove Duplicates from Sorted List II</v>
      </c>
      <c r="C83" s="1">
        <v>9620</v>
      </c>
      <c r="D83" s="1">
        <v>280</v>
      </c>
      <c r="E83" s="3">
        <f>IF(INDEX(C:C, ROW())+INDEX(D:D, ROW())=0, 0, INDEX(C:C, ROW())/(INDEX(C:C, ROW())+INDEX(D:D, ROW())))</f>
        <v>0.97171717171717176</v>
      </c>
      <c r="F83" s="1" t="s">
        <v>53</v>
      </c>
      <c r="G83" s="1" t="s">
        <v>24</v>
      </c>
      <c r="H83" s="1">
        <v>1063939</v>
      </c>
      <c r="I83" s="1">
        <v>2073339</v>
      </c>
      <c r="J83" s="7">
        <v>0.51300000000000001</v>
      </c>
      <c r="K83" s="1" t="s">
        <v>21</v>
      </c>
      <c r="L83" s="1" t="s">
        <v>21</v>
      </c>
      <c r="M83" s="1" t="s">
        <v>29</v>
      </c>
      <c r="N83" s="1" t="s">
        <v>22</v>
      </c>
    </row>
    <row r="84" spans="1:14" x14ac:dyDescent="0.25">
      <c r="A84" s="1">
        <v>83</v>
      </c>
      <c r="B84" s="2" t="str">
        <f>HYPERLINK("https://leetcode.com/problems/remove-duplicates-from-sorted-list/", "Remove Duplicates from Sorted List")</f>
        <v>Remove Duplicates from Sorted List</v>
      </c>
      <c r="C84" s="1">
        <v>9779</v>
      </c>
      <c r="D84" s="1">
        <v>363</v>
      </c>
      <c r="E84" s="3">
        <f>IF(INDEX(C:C, ROW())+INDEX(D:D, ROW())=0, 0, INDEX(C:C, ROW())/(INDEX(C:C, ROW())+INDEX(D:D, ROW())))</f>
        <v>0.96420824295010843</v>
      </c>
      <c r="F84" s="1" t="s">
        <v>104</v>
      </c>
      <c r="G84" s="1" t="s">
        <v>20</v>
      </c>
      <c r="H84" s="1">
        <v>2284007</v>
      </c>
      <c r="I84" s="1">
        <v>4059652</v>
      </c>
      <c r="J84" s="7">
        <v>0.56299999999999994</v>
      </c>
      <c r="K84" s="1" t="s">
        <v>21</v>
      </c>
      <c r="L84" s="1" t="s">
        <v>21</v>
      </c>
      <c r="M84" s="1" t="s">
        <v>21</v>
      </c>
      <c r="N84" s="1" t="s">
        <v>22</v>
      </c>
    </row>
    <row r="85" spans="1:14" x14ac:dyDescent="0.25">
      <c r="A85" s="1">
        <v>84</v>
      </c>
      <c r="B85" s="2" t="str">
        <f>HYPERLINK("https://leetcode.com/problems/largest-rectangle-in-histogram/", "Largest Rectangle in Histogram")</f>
        <v>Largest Rectangle in Histogram</v>
      </c>
      <c r="C85" s="1">
        <v>19448</v>
      </c>
      <c r="D85" s="1">
        <v>381</v>
      </c>
      <c r="E85" s="3">
        <f>IF(INDEX(C:C, ROW())+INDEX(D:D, ROW())=0, 0, INDEX(C:C, ROW())/(INDEX(C:C, ROW())+INDEX(D:D, ROW())))</f>
        <v>0.98078571788794189</v>
      </c>
      <c r="F85" s="1" t="s">
        <v>61</v>
      </c>
      <c r="G85" s="1" t="s">
        <v>28</v>
      </c>
      <c r="H85" s="1">
        <v>1483856</v>
      </c>
      <c r="I85" s="1">
        <v>3007744</v>
      </c>
      <c r="J85" s="7">
        <v>0.49299999999999999</v>
      </c>
      <c r="K85" s="1" t="s">
        <v>21</v>
      </c>
      <c r="L85" s="1" t="s">
        <v>21</v>
      </c>
      <c r="M85" s="1" t="s">
        <v>21</v>
      </c>
      <c r="N85" s="1" t="s">
        <v>22</v>
      </c>
    </row>
    <row r="86" spans="1:14" x14ac:dyDescent="0.25">
      <c r="A86" s="1">
        <v>85</v>
      </c>
      <c r="B86" s="2" t="str">
        <f>HYPERLINK("https://leetcode.com/problems/maximal-rectangle/", "Maximal Rectangle")</f>
        <v>Maximal Rectangle</v>
      </c>
      <c r="C86" s="1">
        <v>12013</v>
      </c>
      <c r="D86" s="1">
        <v>226</v>
      </c>
      <c r="E86" s="3">
        <f>IF(INDEX(C:C, ROW())+INDEX(D:D, ROW())=0, 0, INDEX(C:C, ROW())/(INDEX(C:C, ROW())+INDEX(D:D, ROW())))</f>
        <v>0.98153443908816085</v>
      </c>
      <c r="F86" s="1" t="s">
        <v>108</v>
      </c>
      <c r="G86" s="1" t="s">
        <v>28</v>
      </c>
      <c r="H86" s="1">
        <v>776858</v>
      </c>
      <c r="I86" s="1">
        <v>1337309</v>
      </c>
      <c r="J86" s="7">
        <v>0.58099999999999996</v>
      </c>
      <c r="K86" s="1" t="s">
        <v>21</v>
      </c>
      <c r="L86" s="1" t="s">
        <v>21</v>
      </c>
      <c r="M86" s="1" t="s">
        <v>29</v>
      </c>
      <c r="N86" s="1" t="s">
        <v>22</v>
      </c>
    </row>
    <row r="87" spans="1:14" x14ac:dyDescent="0.25">
      <c r="A87" s="1">
        <v>86</v>
      </c>
      <c r="B87" s="2" t="str">
        <f>HYPERLINK("https://leetcode.com/problems/partition-list/", "Partition List")</f>
        <v>Partition List</v>
      </c>
      <c r="C87" s="1">
        <v>7994</v>
      </c>
      <c r="D87" s="1">
        <v>983</v>
      </c>
      <c r="E87" s="3">
        <f>IF(INDEX(C:C, ROW())+INDEX(D:D, ROW())=0, 0, INDEX(C:C, ROW())/(INDEX(C:C, ROW())+INDEX(D:D, ROW())))</f>
        <v>0.8904979391778991</v>
      </c>
      <c r="F87" s="1" t="s">
        <v>53</v>
      </c>
      <c r="G87" s="1" t="s">
        <v>24</v>
      </c>
      <c r="H87" s="1">
        <v>878541</v>
      </c>
      <c r="I87" s="1">
        <v>1449804</v>
      </c>
      <c r="J87" s="7">
        <v>0.60599999999999998</v>
      </c>
      <c r="K87" s="1" t="s">
        <v>21</v>
      </c>
      <c r="L87" s="1" t="s">
        <v>21</v>
      </c>
      <c r="M87" s="1" t="s">
        <v>29</v>
      </c>
      <c r="N87" s="1" t="s">
        <v>22</v>
      </c>
    </row>
    <row r="88" spans="1:14" x14ac:dyDescent="0.25">
      <c r="A88" s="1">
        <v>87</v>
      </c>
      <c r="B88" s="2" t="str">
        <f>HYPERLINK("https://leetcode.com/problems/scramble-string/", "Scramble String")</f>
        <v>Scramble String</v>
      </c>
      <c r="C88" s="1">
        <v>3612</v>
      </c>
      <c r="D88" s="1">
        <v>1311</v>
      </c>
      <c r="E88" s="3">
        <f>IF(INDEX(C:C, ROW())+INDEX(D:D, ROW())=0, 0, INDEX(C:C, ROW())/(INDEX(C:C, ROW())+INDEX(D:D, ROW())))</f>
        <v>0.73369896404631318</v>
      </c>
      <c r="F88" s="1" t="s">
        <v>82</v>
      </c>
      <c r="G88" s="1" t="s">
        <v>28</v>
      </c>
      <c r="H88" s="1">
        <v>305044</v>
      </c>
      <c r="I88" s="1">
        <v>695010</v>
      </c>
      <c r="J88" s="7">
        <v>0.439</v>
      </c>
      <c r="K88" s="1" t="s">
        <v>21</v>
      </c>
      <c r="L88" s="1" t="s">
        <v>21</v>
      </c>
      <c r="M88" s="1" t="s">
        <v>29</v>
      </c>
      <c r="N88" s="1" t="s">
        <v>22</v>
      </c>
    </row>
    <row r="89" spans="1:14" x14ac:dyDescent="0.25">
      <c r="A89" s="1">
        <v>88</v>
      </c>
      <c r="B89" s="2" t="str">
        <f>HYPERLINK("https://leetcode.com/problems/merge-sorted-array/", "Merge Sorted Array")</f>
        <v>Merge Sorted Array</v>
      </c>
      <c r="C89" s="1">
        <v>18723</v>
      </c>
      <c r="D89" s="1">
        <v>2617</v>
      </c>
      <c r="E89" s="3">
        <f>IF(INDEX(C:C, ROW())+INDEX(D:D, ROW())=0, 0, INDEX(C:C, ROW())/(INDEX(C:C, ROW())+INDEX(D:D, ROW())))</f>
        <v>0.87736644798500474</v>
      </c>
      <c r="F89" s="1" t="s">
        <v>31</v>
      </c>
      <c r="G89" s="1" t="s">
        <v>20</v>
      </c>
      <c r="H89" s="1">
        <v>5463410</v>
      </c>
      <c r="I89" s="1">
        <v>10045634</v>
      </c>
      <c r="J89" s="7">
        <v>0.54400000000000004</v>
      </c>
      <c r="K89" s="1" t="s">
        <v>21</v>
      </c>
      <c r="L89" s="1" t="s">
        <v>21</v>
      </c>
      <c r="M89" s="1" t="s">
        <v>21</v>
      </c>
      <c r="N89" s="1" t="s">
        <v>22</v>
      </c>
    </row>
    <row r="90" spans="1:14" x14ac:dyDescent="0.25">
      <c r="A90" s="1">
        <v>89</v>
      </c>
      <c r="B90" s="2" t="str">
        <f>HYPERLINK("https://leetcode.com/problems/gray-code/", "Gray Code")</f>
        <v>Gray Code</v>
      </c>
      <c r="C90" s="1">
        <v>2518</v>
      </c>
      <c r="D90" s="1">
        <v>2832</v>
      </c>
      <c r="E90" s="3">
        <f>IF(INDEX(C:C, ROW())+INDEX(D:D, ROW())=0, 0, INDEX(C:C, ROW())/(INDEX(C:C, ROW())+INDEX(D:D, ROW())))</f>
        <v>0.47065420560747662</v>
      </c>
      <c r="F90" s="1" t="s">
        <v>421</v>
      </c>
      <c r="G90" s="1" t="s">
        <v>24</v>
      </c>
      <c r="H90" s="1">
        <v>406253</v>
      </c>
      <c r="I90" s="1">
        <v>633966</v>
      </c>
      <c r="J90" s="7">
        <v>0.64100000000000001</v>
      </c>
      <c r="K90" s="1" t="s">
        <v>21</v>
      </c>
      <c r="L90" s="1" t="s">
        <v>21</v>
      </c>
      <c r="M90" s="1" t="s">
        <v>29</v>
      </c>
      <c r="N90" s="1" t="s">
        <v>22</v>
      </c>
    </row>
    <row r="91" spans="1:14" x14ac:dyDescent="0.25">
      <c r="A91" s="1">
        <v>90</v>
      </c>
      <c r="B91" s="2" t="str">
        <f>HYPERLINK("https://leetcode.com/problems/subsets-ii/", "Subsets II")</f>
        <v>Subsets II</v>
      </c>
      <c r="C91" s="1">
        <v>10853</v>
      </c>
      <c r="D91" s="1">
        <v>408</v>
      </c>
      <c r="E91" s="3">
        <f>IF(INDEX(C:C, ROW())+INDEX(D:D, ROW())=0, 0, INDEX(C:C, ROW())/(INDEX(C:C, ROW())+INDEX(D:D, ROW())))</f>
        <v>0.96376875943521889</v>
      </c>
      <c r="F91" s="1" t="s">
        <v>63</v>
      </c>
      <c r="G91" s="1" t="s">
        <v>24</v>
      </c>
      <c r="H91" s="1">
        <v>1438632</v>
      </c>
      <c r="I91" s="1">
        <v>2363046</v>
      </c>
      <c r="J91" s="7">
        <v>0.60899999999999999</v>
      </c>
      <c r="K91" s="1" t="s">
        <v>21</v>
      </c>
      <c r="L91" s="1" t="s">
        <v>21</v>
      </c>
      <c r="M91" s="1" t="s">
        <v>29</v>
      </c>
      <c r="N91" s="1" t="s">
        <v>22</v>
      </c>
    </row>
    <row r="92" spans="1:14" x14ac:dyDescent="0.25">
      <c r="A92" s="1">
        <v>91</v>
      </c>
      <c r="B92" s="2" t="str">
        <f>HYPERLINK("https://leetcode.com/problems/decode-ways/", "Decode Ways")</f>
        <v>Decode Ways</v>
      </c>
      <c r="C92" s="1">
        <v>12819</v>
      </c>
      <c r="D92" s="1">
        <v>4609</v>
      </c>
      <c r="E92" s="3">
        <f>IF(INDEX(C:C, ROW())+INDEX(D:D, ROW())=0, 0, INDEX(C:C, ROW())/(INDEX(C:C, ROW())+INDEX(D:D, ROW())))</f>
        <v>0.73554050952490246</v>
      </c>
      <c r="F92" s="1" t="s">
        <v>82</v>
      </c>
      <c r="G92" s="1" t="s">
        <v>24</v>
      </c>
      <c r="H92" s="1">
        <v>1617990</v>
      </c>
      <c r="I92" s="1">
        <v>4300863</v>
      </c>
      <c r="J92" s="7">
        <v>0.376</v>
      </c>
      <c r="K92" s="1" t="s">
        <v>21</v>
      </c>
      <c r="L92" s="1" t="s">
        <v>21</v>
      </c>
      <c r="M92" s="1" t="s">
        <v>21</v>
      </c>
      <c r="N92" s="1" t="s">
        <v>22</v>
      </c>
    </row>
    <row r="93" spans="1:14" x14ac:dyDescent="0.25">
      <c r="A93" s="1">
        <v>92</v>
      </c>
      <c r="B93" s="2" t="str">
        <f>HYPERLINK("https://leetcode.com/problems/reverse-linked-list-ii/", "Reverse Linked List II")</f>
        <v>Reverse Linked List II</v>
      </c>
      <c r="C93" s="1">
        <v>12854</v>
      </c>
      <c r="D93" s="1">
        <v>779</v>
      </c>
      <c r="E93" s="3">
        <f>IF(INDEX(C:C, ROW())+INDEX(D:D, ROW())=0, 0, INDEX(C:C, ROW())/(INDEX(C:C, ROW())+INDEX(D:D, ROW())))</f>
        <v>0.94285923861219101</v>
      </c>
      <c r="F93" s="1" t="s">
        <v>104</v>
      </c>
      <c r="G93" s="1" t="s">
        <v>24</v>
      </c>
      <c r="H93" s="1">
        <v>1267588</v>
      </c>
      <c r="I93" s="1">
        <v>2485715</v>
      </c>
      <c r="J93" s="7">
        <v>0.51</v>
      </c>
      <c r="K93" s="1" t="s">
        <v>21</v>
      </c>
      <c r="L93" s="1" t="s">
        <v>21</v>
      </c>
      <c r="M93" s="1" t="s">
        <v>21</v>
      </c>
      <c r="N93" s="1" t="s">
        <v>22</v>
      </c>
    </row>
    <row r="94" spans="1:14" x14ac:dyDescent="0.25">
      <c r="A94" s="1">
        <v>93</v>
      </c>
      <c r="B94" s="2" t="str">
        <f>HYPERLINK("https://leetcode.com/problems/restore-ip-addresses/", "Restore IP Addresses")</f>
        <v>Restore IP Addresses</v>
      </c>
      <c r="C94" s="1">
        <v>5627</v>
      </c>
      <c r="D94" s="1">
        <v>820</v>
      </c>
      <c r="E94" s="3">
        <f>IF(INDEX(C:C, ROW())+INDEX(D:D, ROW())=0, 0, INDEX(C:C, ROW())/(INDEX(C:C, ROW())+INDEX(D:D, ROW())))</f>
        <v>0.8728090584768109</v>
      </c>
      <c r="F94" s="1" t="s">
        <v>238</v>
      </c>
      <c r="G94" s="1" t="s">
        <v>24</v>
      </c>
      <c r="H94" s="1">
        <v>607361</v>
      </c>
      <c r="I94" s="1">
        <v>1098266</v>
      </c>
      <c r="J94" s="7">
        <v>0.55300000000000005</v>
      </c>
      <c r="K94" s="1" t="s">
        <v>21</v>
      </c>
      <c r="L94" s="1" t="s">
        <v>21</v>
      </c>
      <c r="M94" s="1" t="s">
        <v>29</v>
      </c>
      <c r="N94" s="1" t="s">
        <v>22</v>
      </c>
    </row>
    <row r="95" spans="1:14" x14ac:dyDescent="0.25">
      <c r="A95" s="1">
        <v>94</v>
      </c>
      <c r="B95" s="2" t="str">
        <f>HYPERLINK("https://leetcode.com/problems/binary-tree-inorder-traversal/", "Binary Tree Inorder Traversal")</f>
        <v>Binary Tree Inorder Traversal</v>
      </c>
      <c r="C95" s="1">
        <v>14810</v>
      </c>
      <c r="D95" s="1">
        <v>894</v>
      </c>
      <c r="E95" s="3">
        <f>IF(INDEX(C:C, ROW())+INDEX(D:D, ROW())=0, 0, INDEX(C:C, ROW())/(INDEX(C:C, ROW())+INDEX(D:D, ROW())))</f>
        <v>0.94307182883341822</v>
      </c>
      <c r="F95" s="1" t="s">
        <v>87</v>
      </c>
      <c r="G95" s="1" t="s">
        <v>20</v>
      </c>
      <c r="H95" s="1">
        <v>3583093</v>
      </c>
      <c r="I95" s="1">
        <v>4494424</v>
      </c>
      <c r="J95" s="7">
        <v>0.79700000000000004</v>
      </c>
      <c r="K95" s="1" t="s">
        <v>21</v>
      </c>
      <c r="L95" s="1" t="s">
        <v>21</v>
      </c>
      <c r="M95" s="1" t="s">
        <v>29</v>
      </c>
      <c r="N95" s="1" t="s">
        <v>22</v>
      </c>
    </row>
    <row r="96" spans="1:14" x14ac:dyDescent="0.25">
      <c r="A96" s="1">
        <v>95</v>
      </c>
      <c r="B96" s="2" t="str">
        <f>HYPERLINK("https://leetcode.com/problems/unique-binary-search-trees-ii/", "Unique Binary Search Trees II")</f>
        <v>Unique Binary Search Trees II</v>
      </c>
      <c r="C96" s="1">
        <v>7936</v>
      </c>
      <c r="D96" s="1">
        <v>582</v>
      </c>
      <c r="E96" s="3">
        <f>IF(INDEX(C:C, ROW())+INDEX(D:D, ROW())=0, 0, INDEX(C:C, ROW())/(INDEX(C:C, ROW())+INDEX(D:D, ROW())))</f>
        <v>0.93167410190185485</v>
      </c>
      <c r="F96" s="1" t="s">
        <v>173</v>
      </c>
      <c r="G96" s="1" t="s">
        <v>24</v>
      </c>
      <c r="H96" s="1">
        <v>566195</v>
      </c>
      <c r="I96" s="1">
        <v>913902</v>
      </c>
      <c r="J96" s="7">
        <v>0.62</v>
      </c>
      <c r="K96" s="1" t="s">
        <v>21</v>
      </c>
      <c r="L96" s="1" t="s">
        <v>21</v>
      </c>
      <c r="M96" s="1" t="s">
        <v>29</v>
      </c>
      <c r="N96" s="1" t="s">
        <v>22</v>
      </c>
    </row>
    <row r="97" spans="1:14" x14ac:dyDescent="0.25">
      <c r="A97" s="1">
        <v>96</v>
      </c>
      <c r="B97" s="2" t="str">
        <f>HYPERLINK("https://leetcode.com/problems/unique-binary-search-trees/", "Unique Binary Search Trees")</f>
        <v>Unique Binary Search Trees</v>
      </c>
      <c r="C97" s="1">
        <v>10969</v>
      </c>
      <c r="D97" s="1">
        <v>446</v>
      </c>
      <c r="E97" s="3">
        <f>IF(INDEX(C:C, ROW())+INDEX(D:D, ROW())=0, 0, INDEX(C:C, ROW())/(INDEX(C:C, ROW())+INDEX(D:D, ROW())))</f>
        <v>0.96092860271572489</v>
      </c>
      <c r="F97" s="1" t="s">
        <v>124</v>
      </c>
      <c r="G97" s="1" t="s">
        <v>24</v>
      </c>
      <c r="H97" s="1">
        <v>842321</v>
      </c>
      <c r="I97" s="1">
        <v>1330404</v>
      </c>
      <c r="J97" s="7">
        <v>0.63300000000000001</v>
      </c>
      <c r="K97" s="1" t="s">
        <v>21</v>
      </c>
      <c r="L97" s="1" t="s">
        <v>21</v>
      </c>
      <c r="M97" s="1" t="s">
        <v>29</v>
      </c>
      <c r="N97" s="1" t="s">
        <v>22</v>
      </c>
    </row>
    <row r="98" spans="1:14" x14ac:dyDescent="0.25">
      <c r="A98" s="1">
        <v>97</v>
      </c>
      <c r="B98" s="2" t="str">
        <f>HYPERLINK("https://leetcode.com/problems/interleaving-string/", "Interleaving String")</f>
        <v>Interleaving String</v>
      </c>
      <c r="C98" s="1">
        <v>8803</v>
      </c>
      <c r="D98" s="1">
        <v>551</v>
      </c>
      <c r="E98" s="3">
        <f>IF(INDEX(C:C, ROW())+INDEX(D:D, ROW())=0, 0, INDEX(C:C, ROW())/(INDEX(C:C, ROW())+INDEX(D:D, ROW())))</f>
        <v>0.94109471883686124</v>
      </c>
      <c r="F98" s="1" t="s">
        <v>82</v>
      </c>
      <c r="G98" s="1" t="s">
        <v>24</v>
      </c>
      <c r="H98" s="1">
        <v>758819</v>
      </c>
      <c r="I98" s="1">
        <v>1743725</v>
      </c>
      <c r="J98" s="7">
        <v>0.435</v>
      </c>
      <c r="K98" s="1" t="s">
        <v>21</v>
      </c>
      <c r="L98" s="1" t="s">
        <v>21</v>
      </c>
      <c r="M98" s="1" t="s">
        <v>29</v>
      </c>
      <c r="N98" s="1" t="s">
        <v>22</v>
      </c>
    </row>
    <row r="99" spans="1:14" x14ac:dyDescent="0.25">
      <c r="A99" s="1">
        <v>98</v>
      </c>
      <c r="B99" s="2" t="str">
        <f>HYPERLINK("https://leetcode.com/problems/validate-binary-search-tree/", "Validate Binary Search Tree")</f>
        <v>Validate Binary Search Tree</v>
      </c>
      <c r="C99" s="1">
        <v>18264</v>
      </c>
      <c r="D99" s="1">
        <v>1447</v>
      </c>
      <c r="E99" s="3">
        <f>IF(INDEX(C:C, ROW())+INDEX(D:D, ROW())=0, 0, INDEX(C:C, ROW())/(INDEX(C:C, ROW())+INDEX(D:D, ROW())))</f>
        <v>0.92658921414438633</v>
      </c>
      <c r="F99" s="1" t="s">
        <v>69</v>
      </c>
      <c r="G99" s="1" t="s">
        <v>24</v>
      </c>
      <c r="H99" s="1">
        <v>3237571</v>
      </c>
      <c r="I99" s="1">
        <v>9154578</v>
      </c>
      <c r="J99" s="7">
        <v>0.35399999999999998</v>
      </c>
      <c r="K99" s="1" t="s">
        <v>21</v>
      </c>
      <c r="L99" s="1" t="s">
        <v>21</v>
      </c>
      <c r="M99" s="1" t="s">
        <v>21</v>
      </c>
      <c r="N99" s="1" t="s">
        <v>22</v>
      </c>
    </row>
    <row r="100" spans="1:14" x14ac:dyDescent="0.25">
      <c r="A100" s="1">
        <v>99</v>
      </c>
      <c r="B100" s="2" t="str">
        <f>HYPERLINK("https://leetcode.com/problems/recover-binary-search-tree/", "Recover Binary Search Tree")</f>
        <v>Recover Binary Search Tree</v>
      </c>
      <c r="C100" s="1">
        <v>8552</v>
      </c>
      <c r="D100" s="1">
        <v>288</v>
      </c>
      <c r="E100" s="3">
        <f>IF(INDEX(C:C, ROW())+INDEX(D:D, ROW())=0, 0, INDEX(C:C, ROW())/(INDEX(C:C, ROW())+INDEX(D:D, ROW())))</f>
        <v>0.96742081447963801</v>
      </c>
      <c r="F100" s="1" t="s">
        <v>69</v>
      </c>
      <c r="G100" s="1" t="s">
        <v>24</v>
      </c>
      <c r="H100" s="1">
        <v>638769</v>
      </c>
      <c r="I100" s="1">
        <v>1086873</v>
      </c>
      <c r="J100" s="7">
        <v>0.58799999999999997</v>
      </c>
      <c r="K100" s="1" t="s">
        <v>21</v>
      </c>
      <c r="L100" s="1" t="s">
        <v>21</v>
      </c>
      <c r="M100" s="1" t="s">
        <v>29</v>
      </c>
      <c r="N100" s="1" t="s">
        <v>22</v>
      </c>
    </row>
    <row r="101" spans="1:14" x14ac:dyDescent="0.25">
      <c r="A101" s="1">
        <v>100</v>
      </c>
      <c r="B101" s="2" t="str">
        <f>HYPERLINK("https://leetcode.com/problems/same-tree/", "Same Tree")</f>
        <v>Same Tree</v>
      </c>
      <c r="C101" s="1">
        <v>12793</v>
      </c>
      <c r="D101" s="1">
        <v>299</v>
      </c>
      <c r="E101" s="3">
        <f>IF(INDEX(C:C, ROW())+INDEX(D:D, ROW())=0, 0, INDEX(C:C, ROW())/(INDEX(C:C, ROW())+INDEX(D:D, ROW())))</f>
        <v>0.97716162542010387</v>
      </c>
      <c r="F101" s="1" t="s">
        <v>80</v>
      </c>
      <c r="G101" s="1" t="s">
        <v>20</v>
      </c>
      <c r="H101" s="1">
        <v>3289020</v>
      </c>
      <c r="I101" s="1">
        <v>4935857</v>
      </c>
      <c r="J101" s="7">
        <v>0.66600000000000004</v>
      </c>
      <c r="K101" s="1" t="s">
        <v>21</v>
      </c>
      <c r="L101" s="1" t="s">
        <v>21</v>
      </c>
      <c r="M101" s="1" t="s">
        <v>21</v>
      </c>
      <c r="N101" s="1" t="s">
        <v>22</v>
      </c>
    </row>
    <row r="102" spans="1:14" x14ac:dyDescent="0.25">
      <c r="A102" s="1">
        <v>101</v>
      </c>
      <c r="B102" s="2" t="str">
        <f>HYPERLINK("https://leetcode.com/problems/symmetric-tree/", "Symmetric Tree")</f>
        <v>Symmetric Tree</v>
      </c>
      <c r="C102" s="1">
        <v>16739</v>
      </c>
      <c r="D102" s="1">
        <v>454</v>
      </c>
      <c r="E102" s="3">
        <f>IF(INDEX(C:C, ROW())+INDEX(D:D, ROW())=0, 0, INDEX(C:C, ROW())/(INDEX(C:C, ROW())+INDEX(D:D, ROW())))</f>
        <v>0.97359390449601579</v>
      </c>
      <c r="F102" s="1" t="s">
        <v>80</v>
      </c>
      <c r="G102" s="1" t="s">
        <v>20</v>
      </c>
      <c r="H102" s="1">
        <v>2787944</v>
      </c>
      <c r="I102" s="1">
        <v>4591183</v>
      </c>
      <c r="J102" s="7">
        <v>0.60699999999999998</v>
      </c>
      <c r="K102" s="1" t="s">
        <v>21</v>
      </c>
      <c r="L102" s="1" t="s">
        <v>21</v>
      </c>
      <c r="M102" s="1" t="s">
        <v>21</v>
      </c>
      <c r="N102" s="1" t="s">
        <v>22</v>
      </c>
    </row>
    <row r="103" spans="1:14" x14ac:dyDescent="0.25">
      <c r="A103" s="1">
        <v>102</v>
      </c>
      <c r="B103" s="2" t="str">
        <f>HYPERLINK("https://leetcode.com/problems/binary-tree-level-order-traversal/", "Binary Tree Level Order Traversal")</f>
        <v>Binary Tree Level Order Traversal</v>
      </c>
      <c r="C103" s="1">
        <v>16930</v>
      </c>
      <c r="D103" s="1">
        <v>369</v>
      </c>
      <c r="E103" s="3">
        <f>IF(INDEX(C:C, ROW())+INDEX(D:D, ROW())=0, 0, INDEX(C:C, ROW())/(INDEX(C:C, ROW())+INDEX(D:D, ROW())))</f>
        <v>0.97866928724203717</v>
      </c>
      <c r="F103" s="1" t="s">
        <v>79</v>
      </c>
      <c r="G103" s="1" t="s">
        <v>24</v>
      </c>
      <c r="H103" s="1">
        <v>3285192</v>
      </c>
      <c r="I103" s="1">
        <v>4551623</v>
      </c>
      <c r="J103" s="7">
        <v>0.72199999999999998</v>
      </c>
      <c r="K103" s="1" t="s">
        <v>21</v>
      </c>
      <c r="L103" s="1" t="s">
        <v>21</v>
      </c>
      <c r="M103" s="1" t="s">
        <v>29</v>
      </c>
      <c r="N103" s="1" t="s">
        <v>22</v>
      </c>
    </row>
    <row r="104" spans="1:14" x14ac:dyDescent="0.25">
      <c r="A104" s="1">
        <v>103</v>
      </c>
      <c r="B104" s="2" t="str">
        <f>HYPERLINK("https://leetcode.com/problems/binary-tree-zigzag-level-order-traversal/", "Binary Tree Zigzag Level Order Traversal")</f>
        <v>Binary Tree Zigzag Level Order Traversal</v>
      </c>
      <c r="C104" s="1">
        <v>11967</v>
      </c>
      <c r="D104" s="1">
        <v>355</v>
      </c>
      <c r="E104" s="3">
        <f>IF(INDEX(C:C, ROW())+INDEX(D:D, ROW())=0, 0, INDEX(C:C, ROW())/(INDEX(C:C, ROW())+INDEX(D:D, ROW())))</f>
        <v>0.97118974192501217</v>
      </c>
      <c r="F104" s="1" t="s">
        <v>79</v>
      </c>
      <c r="G104" s="1" t="s">
        <v>24</v>
      </c>
      <c r="H104" s="1">
        <v>1718421</v>
      </c>
      <c r="I104" s="1">
        <v>2720334</v>
      </c>
      <c r="J104" s="7">
        <v>0.63200000000000001</v>
      </c>
      <c r="K104" s="1" t="s">
        <v>21</v>
      </c>
      <c r="L104" s="1" t="s">
        <v>21</v>
      </c>
      <c r="M104" s="1" t="s">
        <v>29</v>
      </c>
      <c r="N104" s="1" t="s">
        <v>22</v>
      </c>
    </row>
    <row r="105" spans="1:14" x14ac:dyDescent="0.25">
      <c r="A105" s="1">
        <v>104</v>
      </c>
      <c r="B105" s="2" t="str">
        <f>HYPERLINK("https://leetcode.com/problems/maximum-depth-of-binary-tree/", "Maximum Depth of Binary Tree")</f>
        <v>Maximum Depth of Binary Tree</v>
      </c>
      <c r="C105" s="1">
        <v>14212</v>
      </c>
      <c r="D105" s="1">
        <v>286</v>
      </c>
      <c r="E105" s="3">
        <f>IF(INDEX(C:C, ROW())+INDEX(D:D, ROW())=0, 0, INDEX(C:C, ROW())/(INDEX(C:C, ROW())+INDEX(D:D, ROW())))</f>
        <v>0.98027314112291353</v>
      </c>
      <c r="F105" s="1" t="s">
        <v>80</v>
      </c>
      <c r="G105" s="1" t="s">
        <v>20</v>
      </c>
      <c r="H105" s="1">
        <v>4615252</v>
      </c>
      <c r="I105" s="1">
        <v>5922769</v>
      </c>
      <c r="J105" s="7">
        <v>0.77900000000000003</v>
      </c>
      <c r="K105" s="1" t="s">
        <v>21</v>
      </c>
      <c r="L105" s="1" t="s">
        <v>21</v>
      </c>
      <c r="M105" s="1" t="s">
        <v>21</v>
      </c>
      <c r="N105" s="1" t="s">
        <v>22</v>
      </c>
    </row>
    <row r="106" spans="1:14" x14ac:dyDescent="0.25">
      <c r="A106" s="1">
        <v>105</v>
      </c>
      <c r="B106" s="2" t="str">
        <f>HYPERLINK("https://leetcode.com/problems/construct-binary-tree-from-preorder-and-inorder-traversal/", "Construct Binary Tree from Preorder and Inorder Traversal")</f>
        <v>Construct Binary Tree from Preorder and Inorder Traversal</v>
      </c>
      <c r="C106" s="1">
        <v>16545</v>
      </c>
      <c r="D106" s="1">
        <v>623</v>
      </c>
      <c r="E106" s="3">
        <f>IF(INDEX(C:C, ROW())+INDEX(D:D, ROW())=0, 0, INDEX(C:C, ROW())/(INDEX(C:C, ROW())+INDEX(D:D, ROW())))</f>
        <v>0.96371155638397021</v>
      </c>
      <c r="F106" s="1" t="s">
        <v>81</v>
      </c>
      <c r="G106" s="1" t="s">
        <v>24</v>
      </c>
      <c r="H106" s="1">
        <v>1808340</v>
      </c>
      <c r="I106" s="1">
        <v>2645817</v>
      </c>
      <c r="J106" s="7">
        <v>0.68300000000000005</v>
      </c>
      <c r="K106" s="1" t="s">
        <v>21</v>
      </c>
      <c r="L106" s="1" t="s">
        <v>21</v>
      </c>
      <c r="M106" s="1" t="s">
        <v>29</v>
      </c>
      <c r="N106" s="1" t="s">
        <v>22</v>
      </c>
    </row>
    <row r="107" spans="1:14" x14ac:dyDescent="0.25">
      <c r="A107" s="1">
        <v>106</v>
      </c>
      <c r="B107" s="2" t="str">
        <f>HYPERLINK("https://leetcode.com/problems/construct-binary-tree-from-inorder-and-postorder-traversal/", "Construct Binary Tree from Inorder and Postorder Traversal")</f>
        <v>Construct Binary Tree from Inorder and Postorder Traversal</v>
      </c>
      <c r="C107" s="1">
        <v>8661</v>
      </c>
      <c r="D107" s="1">
        <v>157</v>
      </c>
      <c r="E107" s="3">
        <f>IF(INDEX(C:C, ROW())+INDEX(D:D, ROW())=0, 0, INDEX(C:C, ROW())/(INDEX(C:C, ROW())+INDEX(D:D, ROW())))</f>
        <v>0.98219550918575638</v>
      </c>
      <c r="F107" s="1" t="s">
        <v>81</v>
      </c>
      <c r="G107" s="1" t="s">
        <v>24</v>
      </c>
      <c r="H107" s="1">
        <v>924319</v>
      </c>
      <c r="I107" s="1">
        <v>1358355</v>
      </c>
      <c r="J107" s="7">
        <v>0.68</v>
      </c>
      <c r="K107" s="1" t="s">
        <v>21</v>
      </c>
      <c r="L107" s="1" t="s">
        <v>21</v>
      </c>
      <c r="M107" s="1" t="s">
        <v>29</v>
      </c>
      <c r="N107" s="1" t="s">
        <v>22</v>
      </c>
    </row>
    <row r="108" spans="1:14" x14ac:dyDescent="0.25">
      <c r="A108" s="1">
        <v>107</v>
      </c>
      <c r="B108" s="2" t="str">
        <f>HYPERLINK("https://leetcode.com/problems/binary-tree-level-order-traversal-ii/", "Binary Tree Level Order Traversal II")</f>
        <v>Binary Tree Level Order Traversal II</v>
      </c>
      <c r="C108" s="1">
        <v>5148</v>
      </c>
      <c r="D108" s="1">
        <v>334</v>
      </c>
      <c r="E108" s="3">
        <f>IF(INDEX(C:C, ROW())+INDEX(D:D, ROW())=0, 0, INDEX(C:C, ROW())/(INDEX(C:C, ROW())+INDEX(D:D, ROW())))</f>
        <v>0.93907333090113099</v>
      </c>
      <c r="F108" s="1" t="s">
        <v>79</v>
      </c>
      <c r="G108" s="1" t="s">
        <v>24</v>
      </c>
      <c r="H108" s="1">
        <v>811741</v>
      </c>
      <c r="I108" s="1">
        <v>1199961</v>
      </c>
      <c r="J108" s="7">
        <v>0.67600000000000005</v>
      </c>
      <c r="K108" s="1" t="s">
        <v>21</v>
      </c>
      <c r="L108" s="1" t="s">
        <v>21</v>
      </c>
      <c r="M108" s="1" t="s">
        <v>29</v>
      </c>
      <c r="N108" s="1" t="s">
        <v>22</v>
      </c>
    </row>
    <row r="109" spans="1:14" x14ac:dyDescent="0.25">
      <c r="A109" s="1">
        <v>108</v>
      </c>
      <c r="B109" s="2" t="str">
        <f>HYPERLINK("https://leetcode.com/problems/convert-sorted-array-to-binary-search-tree/", "Convert Sorted Array to Binary Search Tree")</f>
        <v>Convert Sorted Array to Binary Search Tree</v>
      </c>
      <c r="C109" s="1">
        <v>11857</v>
      </c>
      <c r="D109" s="1">
        <v>639</v>
      </c>
      <c r="E109" s="3">
        <f>IF(INDEX(C:C, ROW())+INDEX(D:D, ROW())=0, 0, INDEX(C:C, ROW())/(INDEX(C:C, ROW())+INDEX(D:D, ROW())))</f>
        <v>0.94886363636363635</v>
      </c>
      <c r="F109" s="1" t="s">
        <v>110</v>
      </c>
      <c r="G109" s="1" t="s">
        <v>20</v>
      </c>
      <c r="H109" s="1">
        <v>1678350</v>
      </c>
      <c r="I109" s="1">
        <v>2231798</v>
      </c>
      <c r="J109" s="7">
        <v>0.752</v>
      </c>
      <c r="K109" s="1" t="s">
        <v>21</v>
      </c>
      <c r="L109" s="1" t="s">
        <v>21</v>
      </c>
      <c r="M109" s="1" t="s">
        <v>21</v>
      </c>
      <c r="N109" s="1" t="s">
        <v>22</v>
      </c>
    </row>
    <row r="110" spans="1:14" x14ac:dyDescent="0.25">
      <c r="A110" s="1">
        <v>109</v>
      </c>
      <c r="B110" s="2" t="str">
        <f>HYPERLINK("https://leetcode.com/problems/convert-sorted-list-to-binary-search-tree/", "Convert Sorted List to Binary Search Tree")</f>
        <v>Convert Sorted List to Binary Search Tree</v>
      </c>
      <c r="C110" s="1">
        <v>7852</v>
      </c>
      <c r="D110" s="1">
        <v>173</v>
      </c>
      <c r="E110" s="3">
        <f>IF(INDEX(C:C, ROW())+INDEX(D:D, ROW())=0, 0, INDEX(C:C, ROW())/(INDEX(C:C, ROW())+INDEX(D:D, ROW())))</f>
        <v>0.97844236760124614</v>
      </c>
      <c r="F110" s="1" t="s">
        <v>176</v>
      </c>
      <c r="G110" s="1" t="s">
        <v>24</v>
      </c>
      <c r="H110" s="1">
        <v>668757</v>
      </c>
      <c r="I110" s="1">
        <v>1013828</v>
      </c>
      <c r="J110" s="7">
        <v>0.66</v>
      </c>
      <c r="K110" s="1" t="s">
        <v>21</v>
      </c>
      <c r="L110" s="1" t="s">
        <v>21</v>
      </c>
      <c r="M110" s="1" t="s">
        <v>21</v>
      </c>
      <c r="N110" s="1" t="s">
        <v>22</v>
      </c>
    </row>
    <row r="111" spans="1:14" x14ac:dyDescent="0.25">
      <c r="A111" s="1">
        <v>110</v>
      </c>
      <c r="B111" s="2" t="str">
        <f>HYPERLINK("https://leetcode.com/problems/balanced-binary-tree/", "Balanced Binary Tree")</f>
        <v>Balanced Binary Tree</v>
      </c>
      <c r="C111" s="1">
        <v>12116</v>
      </c>
      <c r="D111" s="1">
        <v>838</v>
      </c>
      <c r="E111" s="3">
        <f>IF(INDEX(C:C, ROW())+INDEX(D:D, ROW())=0, 0, INDEX(C:C, ROW())/(INDEX(C:C, ROW())+INDEX(D:D, ROW())))</f>
        <v>0.93530955689362361</v>
      </c>
      <c r="F111" s="1" t="s">
        <v>67</v>
      </c>
      <c r="G111" s="1" t="s">
        <v>20</v>
      </c>
      <c r="H111" s="1">
        <v>2387135</v>
      </c>
      <c r="I111" s="1">
        <v>4126169</v>
      </c>
      <c r="J111" s="7">
        <v>0.57899999999999996</v>
      </c>
      <c r="K111" s="1" t="s">
        <v>21</v>
      </c>
      <c r="L111" s="1" t="s">
        <v>21</v>
      </c>
      <c r="M111" s="1" t="s">
        <v>29</v>
      </c>
      <c r="N111" s="1" t="s">
        <v>22</v>
      </c>
    </row>
    <row r="112" spans="1:14" x14ac:dyDescent="0.25">
      <c r="A112" s="1">
        <v>111</v>
      </c>
      <c r="B112" s="2" t="str">
        <f>HYPERLINK("https://leetcode.com/problems/minimum-depth-of-binary-tree/", "Minimum Depth of Binary Tree")</f>
        <v>Minimum Depth of Binary Tree</v>
      </c>
      <c r="C112" s="1">
        <v>7806</v>
      </c>
      <c r="D112" s="1">
        <v>1365</v>
      </c>
      <c r="E112" s="3">
        <f>IF(INDEX(C:C, ROW())+INDEX(D:D, ROW())=0, 0, INDEX(C:C, ROW())/(INDEX(C:C, ROW())+INDEX(D:D, ROW())))</f>
        <v>0.8511612692181878</v>
      </c>
      <c r="F112" s="1" t="s">
        <v>80</v>
      </c>
      <c r="G112" s="1" t="s">
        <v>20</v>
      </c>
      <c r="H112" s="1">
        <v>1624926</v>
      </c>
      <c r="I112" s="1">
        <v>3104023</v>
      </c>
      <c r="J112" s="7">
        <v>0.52300000000000002</v>
      </c>
      <c r="K112" s="1" t="s">
        <v>21</v>
      </c>
      <c r="L112" s="1" t="s">
        <v>21</v>
      </c>
      <c r="M112" s="1" t="s">
        <v>29</v>
      </c>
      <c r="N112" s="1" t="s">
        <v>22</v>
      </c>
    </row>
    <row r="113" spans="1:14" x14ac:dyDescent="0.25">
      <c r="A113" s="1">
        <v>112</v>
      </c>
      <c r="B113" s="2" t="str">
        <f>HYPERLINK("https://leetcode.com/problems/path-sum/", "Path Sum")</f>
        <v>Path Sum</v>
      </c>
      <c r="C113" s="1">
        <v>10648</v>
      </c>
      <c r="D113" s="1">
        <v>1213</v>
      </c>
      <c r="E113" s="3">
        <f>IF(INDEX(C:C, ROW())+INDEX(D:D, ROW())=0, 0, INDEX(C:C, ROW())/(INDEX(C:C, ROW())+INDEX(D:D, ROW())))</f>
        <v>0.89773206306382258</v>
      </c>
      <c r="F113" s="1" t="s">
        <v>80</v>
      </c>
      <c r="G113" s="1" t="s">
        <v>20</v>
      </c>
      <c r="H113" s="1">
        <v>2073719</v>
      </c>
      <c r="I113" s="1">
        <v>3810629</v>
      </c>
      <c r="J113" s="7">
        <v>0.54400000000000004</v>
      </c>
      <c r="K113" s="1" t="s">
        <v>21</v>
      </c>
      <c r="L113" s="1" t="s">
        <v>21</v>
      </c>
      <c r="M113" s="1" t="s">
        <v>29</v>
      </c>
      <c r="N113" s="1" t="s">
        <v>22</v>
      </c>
    </row>
    <row r="114" spans="1:14" x14ac:dyDescent="0.25">
      <c r="A114" s="1">
        <v>113</v>
      </c>
      <c r="B114" s="2" t="str">
        <f>HYPERLINK("https://leetcode.com/problems/path-sum-ii/", "Path Sum II")</f>
        <v>Path Sum II</v>
      </c>
      <c r="C114" s="1">
        <v>8581</v>
      </c>
      <c r="D114" s="1">
        <v>170</v>
      </c>
      <c r="E114" s="3">
        <f>IF(INDEX(C:C, ROW())+INDEX(D:D, ROW())=0, 0, INDEX(C:C, ROW())/(INDEX(C:C, ROW())+INDEX(D:D, ROW())))</f>
        <v>0.98057364872585995</v>
      </c>
      <c r="F114" s="1" t="s">
        <v>164</v>
      </c>
      <c r="G114" s="1" t="s">
        <v>24</v>
      </c>
      <c r="H114" s="1">
        <v>1141659</v>
      </c>
      <c r="I114" s="1">
        <v>1848757</v>
      </c>
      <c r="J114" s="7">
        <v>0.61799999999999999</v>
      </c>
      <c r="K114" s="1" t="s">
        <v>21</v>
      </c>
      <c r="L114" s="1" t="s">
        <v>21</v>
      </c>
      <c r="M114" s="1" t="s">
        <v>29</v>
      </c>
      <c r="N114" s="1" t="s">
        <v>22</v>
      </c>
    </row>
    <row r="115" spans="1:14" x14ac:dyDescent="0.25">
      <c r="A115" s="1">
        <v>114</v>
      </c>
      <c r="B115" s="2" t="str">
        <f>HYPERLINK("https://leetcode.com/problems/flatten-binary-tree-to-linked-list/", "Flatten Binary Tree to Linked List")</f>
        <v>Flatten Binary Tree to Linked List</v>
      </c>
      <c r="C115" s="1">
        <v>13600</v>
      </c>
      <c r="D115" s="1">
        <v>599</v>
      </c>
      <c r="E115" s="3">
        <f>IF(INDEX(C:C, ROW())+INDEX(D:D, ROW())=0, 0, INDEX(C:C, ROW())/(INDEX(C:C, ROW())+INDEX(D:D, ROW())))</f>
        <v>0.95781393055849007</v>
      </c>
      <c r="F115" s="1" t="s">
        <v>93</v>
      </c>
      <c r="G115" s="1" t="s">
        <v>24</v>
      </c>
      <c r="H115" s="1">
        <v>1355743</v>
      </c>
      <c r="I115" s="1">
        <v>1931123</v>
      </c>
      <c r="J115" s="7">
        <v>0.70199999999999996</v>
      </c>
      <c r="K115" s="1" t="s">
        <v>21</v>
      </c>
      <c r="L115" s="1" t="s">
        <v>21</v>
      </c>
      <c r="M115" s="1" t="s">
        <v>29</v>
      </c>
      <c r="N115" s="1" t="s">
        <v>22</v>
      </c>
    </row>
    <row r="116" spans="1:14" x14ac:dyDescent="0.25">
      <c r="A116" s="1">
        <v>115</v>
      </c>
      <c r="B116" s="2" t="str">
        <f>HYPERLINK("https://leetcode.com/problems/distinct-subsequences/", "Distinct Subsequences")</f>
        <v>Distinct Subsequences</v>
      </c>
      <c r="C116" s="1">
        <v>7358</v>
      </c>
      <c r="D116" s="1">
        <v>321</v>
      </c>
      <c r="E116" s="3">
        <f>IF(INDEX(C:C, ROW())+INDEX(D:D, ROW())=0, 0, INDEX(C:C, ROW())/(INDEX(C:C, ROW())+INDEX(D:D, ROW())))</f>
        <v>0.95819768198984245</v>
      </c>
      <c r="F116" s="1" t="s">
        <v>82</v>
      </c>
      <c r="G116" s="1" t="s">
        <v>28</v>
      </c>
      <c r="H116" s="1">
        <v>663634</v>
      </c>
      <c r="I116" s="1">
        <v>1288711</v>
      </c>
      <c r="J116" s="7">
        <v>0.51500000000000001</v>
      </c>
      <c r="K116" s="1" t="s">
        <v>21</v>
      </c>
      <c r="L116" s="1" t="s">
        <v>21</v>
      </c>
      <c r="M116" s="1" t="s">
        <v>29</v>
      </c>
      <c r="N116" s="1" t="s">
        <v>22</v>
      </c>
    </row>
    <row r="117" spans="1:14" x14ac:dyDescent="0.25">
      <c r="A117" s="1">
        <v>116</v>
      </c>
      <c r="B117" s="2" t="str">
        <f>HYPERLINK("https://leetcode.com/problems/populating-next-right-pointers-in-each-node/", "Populating Next Right Pointers in Each Node")</f>
        <v>Populating Next Right Pointers in Each Node</v>
      </c>
      <c r="C117" s="1">
        <v>10384</v>
      </c>
      <c r="D117" s="1">
        <v>327</v>
      </c>
      <c r="E117" s="3">
        <f>IF(INDEX(C:C, ROW())+INDEX(D:D, ROW())=0, 0, INDEX(C:C, ROW())/(INDEX(C:C, ROW())+INDEX(D:D, ROW())))</f>
        <v>0.96947063766221642</v>
      </c>
      <c r="F117" s="1" t="s">
        <v>132</v>
      </c>
      <c r="G117" s="1" t="s">
        <v>24</v>
      </c>
      <c r="H117" s="1">
        <v>1314137</v>
      </c>
      <c r="I117" s="1">
        <v>1966284</v>
      </c>
      <c r="J117" s="7">
        <v>0.66800000000000004</v>
      </c>
      <c r="K117" s="1" t="s">
        <v>21</v>
      </c>
      <c r="L117" s="1" t="s">
        <v>21</v>
      </c>
      <c r="M117" s="1" t="s">
        <v>29</v>
      </c>
      <c r="N117" s="1" t="s">
        <v>22</v>
      </c>
    </row>
    <row r="118" spans="1:14" x14ac:dyDescent="0.25">
      <c r="A118" s="1">
        <v>117</v>
      </c>
      <c r="B118" s="2" t="str">
        <f>HYPERLINK("https://leetcode.com/problems/populating-next-right-pointers-in-each-node-ii/", "Populating Next Right Pointers in Each Node II")</f>
        <v>Populating Next Right Pointers in Each Node II</v>
      </c>
      <c r="C118" s="1">
        <v>6181</v>
      </c>
      <c r="D118" s="1">
        <v>343</v>
      </c>
      <c r="E118" s="3">
        <f>IF(INDEX(C:C, ROW())+INDEX(D:D, ROW())=0, 0, INDEX(C:C, ROW())/(INDEX(C:C, ROW())+INDEX(D:D, ROW())))</f>
        <v>0.94742489270386265</v>
      </c>
      <c r="F118" s="1" t="s">
        <v>132</v>
      </c>
      <c r="G118" s="1" t="s">
        <v>24</v>
      </c>
      <c r="H118" s="1">
        <v>827195</v>
      </c>
      <c r="I118" s="1">
        <v>1448264</v>
      </c>
      <c r="J118" s="7">
        <v>0.57099999999999995</v>
      </c>
      <c r="K118" s="1" t="s">
        <v>21</v>
      </c>
      <c r="L118" s="1" t="s">
        <v>21</v>
      </c>
      <c r="M118" s="1" t="s">
        <v>29</v>
      </c>
      <c r="N118" s="1" t="s">
        <v>22</v>
      </c>
    </row>
    <row r="119" spans="1:14" x14ac:dyDescent="0.25">
      <c r="A119" s="1">
        <v>118</v>
      </c>
      <c r="B119" s="2" t="str">
        <f>HYPERLINK("https://leetcode.com/problems/pascals-triangle/", "Pascal's Triangle")</f>
        <v>Pascal's Triangle</v>
      </c>
      <c r="C119" s="1">
        <v>14842</v>
      </c>
      <c r="D119" s="1">
        <v>561</v>
      </c>
      <c r="E119" s="3">
        <f>IF(INDEX(C:C, ROW())+INDEX(D:D, ROW())=0, 0, INDEX(C:C, ROW())/(INDEX(C:C, ROW())+INDEX(D:D, ROW())))</f>
        <v>0.96357852366422125</v>
      </c>
      <c r="F119" s="1" t="s">
        <v>30</v>
      </c>
      <c r="G119" s="1" t="s">
        <v>20</v>
      </c>
      <c r="H119" s="1">
        <v>2587592</v>
      </c>
      <c r="I119" s="1">
        <v>3289207</v>
      </c>
      <c r="J119" s="7">
        <v>0.78700000000000003</v>
      </c>
      <c r="K119" s="1" t="s">
        <v>21</v>
      </c>
      <c r="L119" s="1" t="s">
        <v>21</v>
      </c>
      <c r="M119" s="1" t="s">
        <v>21</v>
      </c>
      <c r="N119" s="1" t="s">
        <v>22</v>
      </c>
    </row>
    <row r="120" spans="1:14" x14ac:dyDescent="0.25">
      <c r="A120" s="1">
        <v>119</v>
      </c>
      <c r="B120" s="2" t="str">
        <f>HYPERLINK("https://leetcode.com/problems/pascals-triangle-ii/", "Pascal's Triangle II")</f>
        <v>Pascal's Triangle II</v>
      </c>
      <c r="C120" s="1">
        <v>5281</v>
      </c>
      <c r="D120" s="1">
        <v>368</v>
      </c>
      <c r="E120" s="3">
        <f>IF(INDEX(C:C, ROW())+INDEX(D:D, ROW())=0, 0, INDEX(C:C, ROW())/(INDEX(C:C, ROW())+INDEX(D:D, ROW())))</f>
        <v>0.934855726677288</v>
      </c>
      <c r="F120" s="1" t="s">
        <v>30</v>
      </c>
      <c r="G120" s="1" t="s">
        <v>20</v>
      </c>
      <c r="H120" s="1">
        <v>1190224</v>
      </c>
      <c r="I120" s="1">
        <v>1773583</v>
      </c>
      <c r="J120" s="7">
        <v>0.67100000000000004</v>
      </c>
      <c r="K120" s="1" t="s">
        <v>21</v>
      </c>
      <c r="L120" s="1" t="s">
        <v>21</v>
      </c>
      <c r="M120" s="1" t="s">
        <v>29</v>
      </c>
      <c r="N120" s="1" t="s">
        <v>22</v>
      </c>
    </row>
    <row r="121" spans="1:14" x14ac:dyDescent="0.25">
      <c r="A121" s="1">
        <v>120</v>
      </c>
      <c r="B121" s="2" t="str">
        <f>HYPERLINK("https://leetcode.com/problems/triangle/", "Triangle")</f>
        <v>Triangle</v>
      </c>
      <c r="C121" s="1">
        <v>10802</v>
      </c>
      <c r="D121" s="1">
        <v>609</v>
      </c>
      <c r="E121" s="3">
        <f>IF(INDEX(C:C, ROW())+INDEX(D:D, ROW())=0, 0, INDEX(C:C, ROW())/(INDEX(C:C, ROW())+INDEX(D:D, ROW())))</f>
        <v>0.94663044430812371</v>
      </c>
      <c r="F121" s="1" t="s">
        <v>30</v>
      </c>
      <c r="G121" s="1" t="s">
        <v>24</v>
      </c>
      <c r="H121" s="1">
        <v>1255691</v>
      </c>
      <c r="I121" s="1">
        <v>2098122</v>
      </c>
      <c r="J121" s="7">
        <v>0.59799999999999998</v>
      </c>
      <c r="K121" s="1" t="s">
        <v>21</v>
      </c>
      <c r="L121" s="1" t="s">
        <v>21</v>
      </c>
      <c r="M121" s="1" t="s">
        <v>29</v>
      </c>
      <c r="N121" s="1" t="s">
        <v>22</v>
      </c>
    </row>
    <row r="122" spans="1:14" x14ac:dyDescent="0.25">
      <c r="A122" s="1">
        <v>121</v>
      </c>
      <c r="B122" s="2" t="str">
        <f>HYPERLINK("https://leetcode.com/problems/best-time-to-buy-and-sell-stock/", "Best Time to Buy and Sell Stock")</f>
        <v>Best Time to Buy and Sell Stock</v>
      </c>
      <c r="C122" s="1">
        <v>35361</v>
      </c>
      <c r="D122" s="1">
        <v>1406</v>
      </c>
      <c r="E122" s="3">
        <f>IF(INDEX(C:C, ROW())+INDEX(D:D, ROW())=0, 0, INDEX(C:C, ROW())/(INDEX(C:C, ROW())+INDEX(D:D, ROW())))</f>
        <v>0.96175918622677947</v>
      </c>
      <c r="F122" s="1" t="s">
        <v>30</v>
      </c>
      <c r="G122" s="1" t="s">
        <v>20</v>
      </c>
      <c r="H122" s="1">
        <v>7650570</v>
      </c>
      <c r="I122" s="1">
        <v>13566047</v>
      </c>
      <c r="J122" s="7">
        <v>0.56399999999999995</v>
      </c>
      <c r="K122" s="1" t="s">
        <v>21</v>
      </c>
      <c r="L122" s="1" t="s">
        <v>21</v>
      </c>
      <c r="M122" s="1" t="s">
        <v>21</v>
      </c>
      <c r="N122" s="1" t="s">
        <v>22</v>
      </c>
    </row>
    <row r="123" spans="1:14" x14ac:dyDescent="0.25">
      <c r="A123" s="1">
        <v>122</v>
      </c>
      <c r="B123" s="2" t="str">
        <f>HYPERLINK("https://leetcode.com/problems/best-time-to-buy-and-sell-stock-ii/", "Best Time to Buy and Sell Stock II")</f>
        <v>Best Time to Buy and Sell Stock II</v>
      </c>
      <c r="C123" s="1">
        <v>15276</v>
      </c>
      <c r="D123" s="1">
        <v>2811</v>
      </c>
      <c r="E123" s="3">
        <f>IF(INDEX(C:C, ROW())+INDEX(D:D, ROW())=0, 0, INDEX(C:C, ROW())/(INDEX(C:C, ROW())+INDEX(D:D, ROW())))</f>
        <v>0.84458450821031683</v>
      </c>
      <c r="F123" s="1" t="s">
        <v>50</v>
      </c>
      <c r="G123" s="1" t="s">
        <v>24</v>
      </c>
      <c r="H123" s="1">
        <v>2931675</v>
      </c>
      <c r="I123" s="1">
        <v>4145037</v>
      </c>
      <c r="J123" s="7">
        <v>0.70699999999999996</v>
      </c>
      <c r="K123" s="1" t="s">
        <v>21</v>
      </c>
      <c r="L123" s="1" t="s">
        <v>21</v>
      </c>
      <c r="M123" s="1" t="s">
        <v>21</v>
      </c>
      <c r="N123" s="1" t="s">
        <v>22</v>
      </c>
    </row>
    <row r="124" spans="1:14" x14ac:dyDescent="0.25">
      <c r="A124" s="1">
        <v>123</v>
      </c>
      <c r="B124" s="2" t="str">
        <f>HYPERLINK("https://leetcode.com/problems/best-time-to-buy-and-sell-stock-iii/", "Best Time to Buy and Sell Stock III")</f>
        <v>Best Time to Buy and Sell Stock III</v>
      </c>
      <c r="C124" s="1">
        <v>10530</v>
      </c>
      <c r="D124" s="1">
        <v>225</v>
      </c>
      <c r="E124" s="3">
        <f>IF(INDEX(C:C, ROW())+INDEX(D:D, ROW())=0, 0, INDEX(C:C, ROW())/(INDEX(C:C, ROW())+INDEX(D:D, ROW())))</f>
        <v>0.97907949790794979</v>
      </c>
      <c r="F124" s="1" t="s">
        <v>30</v>
      </c>
      <c r="G124" s="1" t="s">
        <v>28</v>
      </c>
      <c r="H124" s="1">
        <v>926615</v>
      </c>
      <c r="I124" s="1">
        <v>1743539</v>
      </c>
      <c r="J124" s="7">
        <v>0.53100000000000003</v>
      </c>
      <c r="K124" s="1" t="s">
        <v>21</v>
      </c>
      <c r="L124" s="1" t="s">
        <v>21</v>
      </c>
      <c r="M124" s="1" t="s">
        <v>29</v>
      </c>
      <c r="N124" s="1" t="s">
        <v>22</v>
      </c>
    </row>
    <row r="125" spans="1:14" x14ac:dyDescent="0.25">
      <c r="A125" s="1">
        <v>124</v>
      </c>
      <c r="B125" s="2" t="str">
        <f>HYPERLINK("https://leetcode.com/problems/binary-tree-maximum-path-sum/", "Binary Tree Maximum Path Sum")</f>
        <v>Binary Tree Maximum Path Sum</v>
      </c>
      <c r="C125" s="1">
        <v>18331</v>
      </c>
      <c r="D125" s="1">
        <v>785</v>
      </c>
      <c r="E125" s="3">
        <f>IF(INDEX(C:C, ROW())+INDEX(D:D, ROW())=0, 0, INDEX(C:C, ROW())/(INDEX(C:C, ROW())+INDEX(D:D, ROW())))</f>
        <v>0.95893492362418919</v>
      </c>
      <c r="F125" s="1" t="s">
        <v>68</v>
      </c>
      <c r="G125" s="1" t="s">
        <v>28</v>
      </c>
      <c r="H125" s="1">
        <v>1837977</v>
      </c>
      <c r="I125" s="1">
        <v>4374663</v>
      </c>
      <c r="J125" s="7">
        <v>0.42</v>
      </c>
      <c r="K125" s="1" t="s">
        <v>21</v>
      </c>
      <c r="L125" s="1" t="s">
        <v>21</v>
      </c>
      <c r="M125" s="1" t="s">
        <v>29</v>
      </c>
      <c r="N125" s="1" t="s">
        <v>22</v>
      </c>
    </row>
    <row r="126" spans="1:14" x14ac:dyDescent="0.25">
      <c r="A126" s="1">
        <v>125</v>
      </c>
      <c r="B126" s="2" t="str">
        <f>HYPERLINK("https://leetcode.com/problems/valid-palindrome/", "Valid Palindrome")</f>
        <v>Valid Palindrome</v>
      </c>
      <c r="C126" s="1">
        <v>11437</v>
      </c>
      <c r="D126" s="1">
        <v>8628</v>
      </c>
      <c r="E126" s="3">
        <f>IF(INDEX(C:C, ROW())+INDEX(D:D, ROW())=0, 0, INDEX(C:C, ROW())/(INDEX(C:C, ROW())+INDEX(D:D, ROW())))</f>
        <v>0.56999750809867933</v>
      </c>
      <c r="F126" s="1" t="s">
        <v>117</v>
      </c>
      <c r="G126" s="1" t="s">
        <v>20</v>
      </c>
      <c r="H126" s="1">
        <v>5188097</v>
      </c>
      <c r="I126" s="1">
        <v>9829313</v>
      </c>
      <c r="J126" s="7">
        <v>0.52800000000000002</v>
      </c>
      <c r="K126" s="1" t="s">
        <v>21</v>
      </c>
      <c r="L126" s="1" t="s">
        <v>21</v>
      </c>
      <c r="M126" s="1" t="s">
        <v>29</v>
      </c>
      <c r="N126" s="1" t="s">
        <v>22</v>
      </c>
    </row>
    <row r="127" spans="1:14" x14ac:dyDescent="0.25">
      <c r="A127" s="1">
        <v>126</v>
      </c>
      <c r="B127" s="2" t="str">
        <f>HYPERLINK("https://leetcode.com/problems/word-ladder-ii/", "Word Ladder II")</f>
        <v>Word Ladder II</v>
      </c>
      <c r="C127" s="1">
        <v>6528</v>
      </c>
      <c r="D127" s="1">
        <v>834</v>
      </c>
      <c r="E127" s="3">
        <f>IF(INDEX(C:C, ROW())+INDEX(D:D, ROW())=0, 0, INDEX(C:C, ROW())/(INDEX(C:C, ROW())+INDEX(D:D, ROW())))</f>
        <v>0.88671556642216787</v>
      </c>
      <c r="F127" s="1" t="s">
        <v>214</v>
      </c>
      <c r="G127" s="1" t="s">
        <v>28</v>
      </c>
      <c r="H127" s="1">
        <v>451810</v>
      </c>
      <c r="I127" s="1">
        <v>1641387</v>
      </c>
      <c r="J127" s="7">
        <v>0.27500000000000002</v>
      </c>
      <c r="K127" s="1" t="s">
        <v>21</v>
      </c>
      <c r="L127" s="1" t="s">
        <v>21</v>
      </c>
      <c r="M127" s="1" t="s">
        <v>29</v>
      </c>
      <c r="N127" s="1" t="s">
        <v>22</v>
      </c>
    </row>
    <row r="128" spans="1:14" x14ac:dyDescent="0.25">
      <c r="A128" s="1">
        <v>127</v>
      </c>
      <c r="B128" s="2" t="str">
        <f>HYPERLINK("https://leetcode.com/problems/word-ladder/", "Word Ladder")</f>
        <v>Word Ladder</v>
      </c>
      <c r="C128" s="1">
        <v>13420</v>
      </c>
      <c r="D128" s="1">
        <v>1961</v>
      </c>
      <c r="E128" s="3">
        <f>IF(INDEX(C:C, ROW())+INDEX(D:D, ROW())=0, 0, INDEX(C:C, ROW())/(INDEX(C:C, ROW())+INDEX(D:D, ROW())))</f>
        <v>0.87250503868409079</v>
      </c>
      <c r="F128" s="1" t="s">
        <v>95</v>
      </c>
      <c r="G128" s="1" t="s">
        <v>28</v>
      </c>
      <c r="H128" s="1">
        <v>1566050</v>
      </c>
      <c r="I128" s="1">
        <v>3487559</v>
      </c>
      <c r="J128" s="7">
        <v>0.44900000000000001</v>
      </c>
      <c r="K128" s="1" t="s">
        <v>21</v>
      </c>
      <c r="L128" s="1" t="s">
        <v>21</v>
      </c>
      <c r="M128" s="1" t="s">
        <v>21</v>
      </c>
      <c r="N128" s="1" t="s">
        <v>22</v>
      </c>
    </row>
    <row r="129" spans="1:14" x14ac:dyDescent="0.25">
      <c r="A129" s="1">
        <v>128</v>
      </c>
      <c r="B129" s="2" t="str">
        <f>HYPERLINK("https://leetcode.com/problems/longest-consecutive-sequence/", "Longest Consecutive Sequence")</f>
        <v>Longest Consecutive Sequence</v>
      </c>
      <c r="C129" s="1">
        <v>22713</v>
      </c>
      <c r="D129" s="1">
        <v>1228</v>
      </c>
      <c r="E129" s="3">
        <f>IF(INDEX(C:C, ROW())+INDEX(D:D, ROW())=0, 0, INDEX(C:C, ROW())/(INDEX(C:C, ROW())+INDEX(D:D, ROW())))</f>
        <v>0.94870723862829454</v>
      </c>
      <c r="F129" s="1" t="s">
        <v>46</v>
      </c>
      <c r="G129" s="1" t="s">
        <v>24</v>
      </c>
      <c r="H129" s="1">
        <v>3158412</v>
      </c>
      <c r="I129" s="1">
        <v>6719151</v>
      </c>
      <c r="J129" s="7">
        <v>0.47</v>
      </c>
      <c r="K129" s="1" t="s">
        <v>21</v>
      </c>
      <c r="L129" s="1" t="s">
        <v>21</v>
      </c>
      <c r="M129" s="1" t="s">
        <v>29</v>
      </c>
      <c r="N129" s="1" t="s">
        <v>22</v>
      </c>
    </row>
    <row r="130" spans="1:14" x14ac:dyDescent="0.25">
      <c r="A130" s="1">
        <v>129</v>
      </c>
      <c r="B130" s="2" t="str">
        <f>HYPERLINK("https://leetcode.com/problems/sum-root-to-leaf-numbers/", "Sum Root to Leaf Numbers")</f>
        <v>Sum Root to Leaf Numbers</v>
      </c>
      <c r="C130" s="1">
        <v>8620</v>
      </c>
      <c r="D130" s="1">
        <v>158</v>
      </c>
      <c r="E130" s="3">
        <f>IF(INDEX(C:C, ROW())+INDEX(D:D, ROW())=0, 0, INDEX(C:C, ROW())/(INDEX(C:C, ROW())+INDEX(D:D, ROW())))</f>
        <v>0.98200045568466621</v>
      </c>
      <c r="F130" s="1" t="s">
        <v>67</v>
      </c>
      <c r="G130" s="1" t="s">
        <v>24</v>
      </c>
      <c r="H130" s="1">
        <v>1243657</v>
      </c>
      <c r="I130" s="1">
        <v>1787715</v>
      </c>
      <c r="J130" s="7">
        <v>0.69599999999999995</v>
      </c>
      <c r="K130" s="1" t="s">
        <v>21</v>
      </c>
      <c r="L130" s="1" t="s">
        <v>21</v>
      </c>
      <c r="M130" s="1" t="s">
        <v>29</v>
      </c>
      <c r="N130" s="1" t="s">
        <v>22</v>
      </c>
    </row>
    <row r="131" spans="1:14" x14ac:dyDescent="0.25">
      <c r="A131" s="1">
        <v>130</v>
      </c>
      <c r="B131" s="2" t="str">
        <f>HYPERLINK("https://leetcode.com/problems/surrounded-regions/", "Surrounded Regions")</f>
        <v>Surrounded Regions</v>
      </c>
      <c r="C131" s="1">
        <v>9797</v>
      </c>
      <c r="D131" s="1">
        <v>2224</v>
      </c>
      <c r="E131" s="3">
        <f>IF(INDEX(C:C, ROW())+INDEX(D:D, ROW())=0, 0, INDEX(C:C, ROW())/(INDEX(C:C, ROW())+INDEX(D:D, ROW())))</f>
        <v>0.81499043340820232</v>
      </c>
      <c r="F131" s="1" t="s">
        <v>40</v>
      </c>
      <c r="G131" s="1" t="s">
        <v>24</v>
      </c>
      <c r="H131" s="1">
        <v>1145955</v>
      </c>
      <c r="I131" s="1">
        <v>2560825</v>
      </c>
      <c r="J131" s="7">
        <v>0.44700000000000001</v>
      </c>
      <c r="K131" s="1" t="s">
        <v>21</v>
      </c>
      <c r="L131" s="1" t="s">
        <v>21</v>
      </c>
      <c r="M131" s="1" t="s">
        <v>29</v>
      </c>
      <c r="N131" s="1" t="s">
        <v>22</v>
      </c>
    </row>
    <row r="132" spans="1:14" x14ac:dyDescent="0.25">
      <c r="A132" s="1">
        <v>131</v>
      </c>
      <c r="B132" s="2" t="str">
        <f>HYPERLINK("https://leetcode.com/problems/palindrome-partitioning/", "Palindrome Partitioning")</f>
        <v>Palindrome Partitioning</v>
      </c>
      <c r="C132" s="1">
        <v>14187</v>
      </c>
      <c r="D132" s="1">
        <v>569</v>
      </c>
      <c r="E132" s="3">
        <f>IF(INDEX(C:C, ROW())+INDEX(D:D, ROW())=0, 0, INDEX(C:C, ROW())/(INDEX(C:C, ROW())+INDEX(D:D, ROW())))</f>
        <v>0.96143941447546766</v>
      </c>
      <c r="F132" s="1" t="s">
        <v>44</v>
      </c>
      <c r="G132" s="1" t="s">
        <v>24</v>
      </c>
      <c r="H132" s="1">
        <v>1302444</v>
      </c>
      <c r="I132" s="1">
        <v>1767547</v>
      </c>
      <c r="J132" s="7">
        <v>0.73699999999999999</v>
      </c>
      <c r="K132" s="1" t="s">
        <v>21</v>
      </c>
      <c r="L132" s="1" t="s">
        <v>21</v>
      </c>
      <c r="M132" s="1" t="s">
        <v>29</v>
      </c>
      <c r="N132" s="1" t="s">
        <v>22</v>
      </c>
    </row>
    <row r="133" spans="1:14" x14ac:dyDescent="0.25">
      <c r="A133" s="1">
        <v>132</v>
      </c>
      <c r="B133" s="2" t="str">
        <f>HYPERLINK("https://leetcode.com/problems/palindrome-partitioning-ii/", "Palindrome Partitioning II")</f>
        <v>Palindrome Partitioning II</v>
      </c>
      <c r="C133" s="1">
        <v>5905</v>
      </c>
      <c r="D133" s="1">
        <v>156</v>
      </c>
      <c r="E133" s="3">
        <f>IF(INDEX(C:C, ROW())+INDEX(D:D, ROW())=0, 0, INDEX(C:C, ROW())/(INDEX(C:C, ROW())+INDEX(D:D, ROW())))</f>
        <v>0.97426167299125555</v>
      </c>
      <c r="F133" s="1" t="s">
        <v>82</v>
      </c>
      <c r="G133" s="1" t="s">
        <v>28</v>
      </c>
      <c r="H133" s="1">
        <v>395473</v>
      </c>
      <c r="I133" s="1">
        <v>1081246</v>
      </c>
      <c r="J133" s="7">
        <v>0.36599999999999999</v>
      </c>
      <c r="K133" s="1" t="s">
        <v>21</v>
      </c>
      <c r="L133" s="1" t="s">
        <v>21</v>
      </c>
      <c r="M133" s="1" t="s">
        <v>29</v>
      </c>
      <c r="N133" s="1" t="s">
        <v>22</v>
      </c>
    </row>
    <row r="134" spans="1:14" x14ac:dyDescent="0.25">
      <c r="A134" s="1">
        <v>133</v>
      </c>
      <c r="B134" s="2" t="str">
        <f>HYPERLINK("https://leetcode.com/problems/clone-graph/", "Clone Graph")</f>
        <v>Clone Graph</v>
      </c>
      <c r="C134" s="1">
        <v>10525</v>
      </c>
      <c r="D134" s="1">
        <v>4179</v>
      </c>
      <c r="E134" s="3">
        <f>IF(INDEX(C:C, ROW())+INDEX(D:D, ROW())=0, 0, INDEX(C:C, ROW())/(INDEX(C:C, ROW())+INDEX(D:D, ROW())))</f>
        <v>0.71579162132752994</v>
      </c>
      <c r="F134" s="1" t="s">
        <v>128</v>
      </c>
      <c r="G134" s="1" t="s">
        <v>24</v>
      </c>
      <c r="H134" s="1">
        <v>1841943</v>
      </c>
      <c r="I134" s="1">
        <v>2847214</v>
      </c>
      <c r="J134" s="7">
        <v>0.64700000000000002</v>
      </c>
      <c r="K134" s="1" t="s">
        <v>21</v>
      </c>
      <c r="L134" s="1" t="s">
        <v>21</v>
      </c>
      <c r="M134" s="1" t="s">
        <v>29</v>
      </c>
      <c r="N134" s="1" t="s">
        <v>22</v>
      </c>
    </row>
    <row r="135" spans="1:14" x14ac:dyDescent="0.25">
      <c r="A135" s="1">
        <v>134</v>
      </c>
      <c r="B135" s="2" t="str">
        <f>HYPERLINK("https://leetcode.com/problems/gas-station/", "Gas Station")</f>
        <v>Gas Station</v>
      </c>
      <c r="C135" s="1">
        <v>13406</v>
      </c>
      <c r="D135" s="1">
        <v>1374</v>
      </c>
      <c r="E135" s="3">
        <f>IF(INDEX(C:C, ROW())+INDEX(D:D, ROW())=0, 0, INDEX(C:C, ROW())/(INDEX(C:C, ROW())+INDEX(D:D, ROW())))</f>
        <v>0.90703653585926924</v>
      </c>
      <c r="F135" s="1" t="s">
        <v>96</v>
      </c>
      <c r="G135" s="1" t="s">
        <v>24</v>
      </c>
      <c r="H135" s="1">
        <v>1297232</v>
      </c>
      <c r="I135" s="1">
        <v>2730350</v>
      </c>
      <c r="J135" s="7">
        <v>0.47499999999999998</v>
      </c>
      <c r="K135" s="1" t="s">
        <v>21</v>
      </c>
      <c r="L135" s="1" t="s">
        <v>21</v>
      </c>
      <c r="M135" s="1" t="s">
        <v>29</v>
      </c>
      <c r="N135" s="1" t="s">
        <v>22</v>
      </c>
    </row>
    <row r="136" spans="1:14" x14ac:dyDescent="0.25">
      <c r="A136" s="1">
        <v>135</v>
      </c>
      <c r="B136" s="2" t="str">
        <f>HYPERLINK("https://leetcode.com/problems/candy/", "Candy")</f>
        <v>Candy</v>
      </c>
      <c r="C136" s="1">
        <v>9268</v>
      </c>
      <c r="D136" s="1">
        <v>842</v>
      </c>
      <c r="E136" s="3">
        <f>IF(INDEX(C:C, ROW())+INDEX(D:D, ROW())=0, 0, INDEX(C:C, ROW())/(INDEX(C:C, ROW())+INDEX(D:D, ROW())))</f>
        <v>0.91671612265084079</v>
      </c>
      <c r="F136" s="1" t="s">
        <v>96</v>
      </c>
      <c r="G136" s="1" t="s">
        <v>28</v>
      </c>
      <c r="H136" s="1">
        <v>1003817</v>
      </c>
      <c r="I136" s="1">
        <v>2093218</v>
      </c>
      <c r="J136" s="7">
        <v>0.48</v>
      </c>
      <c r="K136" s="1" t="s">
        <v>21</v>
      </c>
      <c r="L136" s="1" t="s">
        <v>21</v>
      </c>
      <c r="M136" s="1" t="s">
        <v>29</v>
      </c>
      <c r="N136" s="1" t="s">
        <v>22</v>
      </c>
    </row>
    <row r="137" spans="1:14" x14ac:dyDescent="0.25">
      <c r="A137" s="1">
        <v>136</v>
      </c>
      <c r="B137" s="2" t="str">
        <f>HYPERLINK("https://leetcode.com/problems/single-number/", "Single Number")</f>
        <v>Single Number</v>
      </c>
      <c r="C137" s="1">
        <v>18657</v>
      </c>
      <c r="D137" s="1">
        <v>888</v>
      </c>
      <c r="E137" s="3">
        <f>IF(INDEX(C:C, ROW())+INDEX(D:D, ROW())=0, 0, INDEX(C:C, ROW())/(INDEX(C:C, ROW())+INDEX(D:D, ROW())))</f>
        <v>0.95456638526477355</v>
      </c>
      <c r="F137" s="1" t="s">
        <v>65</v>
      </c>
      <c r="G137" s="1" t="s">
        <v>20</v>
      </c>
      <c r="H137" s="1">
        <v>4396693</v>
      </c>
      <c r="I137" s="1">
        <v>5685331</v>
      </c>
      <c r="J137" s="7">
        <v>0.77300000000000002</v>
      </c>
      <c r="K137" s="1" t="s">
        <v>21</v>
      </c>
      <c r="L137" s="1" t="s">
        <v>21</v>
      </c>
      <c r="M137" s="1" t="s">
        <v>29</v>
      </c>
      <c r="N137" s="1" t="s">
        <v>22</v>
      </c>
    </row>
    <row r="138" spans="1:14" x14ac:dyDescent="0.25">
      <c r="A138" s="1">
        <v>137</v>
      </c>
      <c r="B138" s="2" t="str">
        <f>HYPERLINK("https://leetcode.com/problems/single-number-ii/", "Single Number II")</f>
        <v>Single Number II</v>
      </c>
      <c r="C138" s="1">
        <v>8625</v>
      </c>
      <c r="D138" s="1">
        <v>750</v>
      </c>
      <c r="E138" s="3">
        <f>IF(INDEX(C:C, ROW())+INDEX(D:D, ROW())=0, 0, INDEX(C:C, ROW())/(INDEX(C:C, ROW())+INDEX(D:D, ROW())))</f>
        <v>0.92</v>
      </c>
      <c r="F138" s="1" t="s">
        <v>65</v>
      </c>
      <c r="G138" s="1" t="s">
        <v>24</v>
      </c>
      <c r="H138" s="1">
        <v>857847</v>
      </c>
      <c r="I138" s="1">
        <v>1286407</v>
      </c>
      <c r="J138" s="7">
        <v>0.66700000000000004</v>
      </c>
      <c r="K138" s="1" t="s">
        <v>21</v>
      </c>
      <c r="L138" s="1" t="s">
        <v>21</v>
      </c>
      <c r="M138" s="1" t="s">
        <v>29</v>
      </c>
      <c r="N138" s="1" t="s">
        <v>22</v>
      </c>
    </row>
    <row r="139" spans="1:14" x14ac:dyDescent="0.25">
      <c r="A139" s="1">
        <v>138</v>
      </c>
      <c r="B139" s="2" t="str">
        <f>HYPERLINK("https://leetcode.com/problems/copy-list-with-random-pointer/", "Copy List with Random Pointer")</f>
        <v>Copy List with Random Pointer</v>
      </c>
      <c r="C139" s="1">
        <v>15436</v>
      </c>
      <c r="D139" s="1">
        <v>1671</v>
      </c>
      <c r="E139" s="3">
        <f>IF(INDEX(C:C, ROW())+INDEX(D:D, ROW())=0, 0, INDEX(C:C, ROW())/(INDEX(C:C, ROW())+INDEX(D:D, ROW())))</f>
        <v>0.90232068743789096</v>
      </c>
      <c r="F139" s="1" t="s">
        <v>85</v>
      </c>
      <c r="G139" s="1" t="s">
        <v>24</v>
      </c>
      <c r="H139" s="1">
        <v>1848159</v>
      </c>
      <c r="I139" s="1">
        <v>2962320</v>
      </c>
      <c r="J139" s="7">
        <v>0.624</v>
      </c>
      <c r="K139" s="1" t="s">
        <v>21</v>
      </c>
      <c r="L139" s="1" t="s">
        <v>21</v>
      </c>
      <c r="M139" s="1" t="s">
        <v>29</v>
      </c>
      <c r="N139" s="1" t="s">
        <v>22</v>
      </c>
    </row>
    <row r="140" spans="1:14" x14ac:dyDescent="0.25">
      <c r="A140" s="1">
        <v>139</v>
      </c>
      <c r="B140" s="2" t="str">
        <f>HYPERLINK("https://leetcode.com/problems/word-break/", "Word Break")</f>
        <v>Word Break</v>
      </c>
      <c r="C140" s="1">
        <v>18597</v>
      </c>
      <c r="D140" s="1">
        <v>897</v>
      </c>
      <c r="E140" s="3">
        <f>IF(INDEX(C:C, ROW())+INDEX(D:D, ROW())=0, 0, INDEX(C:C, ROW())/(INDEX(C:C, ROW())+INDEX(D:D, ROW())))</f>
        <v>0.95398584179747614</v>
      </c>
      <c r="F140" s="1" t="s">
        <v>66</v>
      </c>
      <c r="G140" s="1" t="s">
        <v>24</v>
      </c>
      <c r="H140" s="1">
        <v>2317833</v>
      </c>
      <c r="I140" s="1">
        <v>4717568</v>
      </c>
      <c r="J140" s="7">
        <v>0.49099999999999999</v>
      </c>
      <c r="K140" s="1" t="s">
        <v>21</v>
      </c>
      <c r="L140" s="1" t="s">
        <v>21</v>
      </c>
      <c r="M140" s="1" t="s">
        <v>21</v>
      </c>
      <c r="N140" s="1" t="s">
        <v>22</v>
      </c>
    </row>
    <row r="141" spans="1:14" x14ac:dyDescent="0.25">
      <c r="A141" s="1">
        <v>140</v>
      </c>
      <c r="B141" s="2" t="str">
        <f>HYPERLINK("https://leetcode.com/problems/word-break-ii/", "Word Break II")</f>
        <v>Word Break II</v>
      </c>
      <c r="C141" s="1">
        <v>7538</v>
      </c>
      <c r="D141" s="1">
        <v>548</v>
      </c>
      <c r="E141" s="3">
        <f>IF(INDEX(C:C, ROW())+INDEX(D:D, ROW())=0, 0, INDEX(C:C, ROW())/(INDEX(C:C, ROW())+INDEX(D:D, ROW())))</f>
        <v>0.932228543161019</v>
      </c>
      <c r="F141" s="1" t="s">
        <v>182</v>
      </c>
      <c r="G141" s="1" t="s">
        <v>28</v>
      </c>
      <c r="H141" s="1">
        <v>804072</v>
      </c>
      <c r="I141" s="1">
        <v>1459542</v>
      </c>
      <c r="J141" s="7">
        <v>0.55100000000000005</v>
      </c>
      <c r="K141" s="1" t="s">
        <v>21</v>
      </c>
      <c r="L141" s="1" t="s">
        <v>21</v>
      </c>
      <c r="M141" s="1" t="s">
        <v>29</v>
      </c>
      <c r="N141" s="1" t="s">
        <v>22</v>
      </c>
    </row>
    <row r="142" spans="1:14" x14ac:dyDescent="0.25">
      <c r="A142" s="1">
        <v>141</v>
      </c>
      <c r="B142" s="2" t="str">
        <f>HYPERLINK("https://leetcode.com/problems/linked-list-cycle/", "Linked List Cycle")</f>
        <v>Linked List Cycle</v>
      </c>
      <c r="C142" s="1">
        <v>17384</v>
      </c>
      <c r="D142" s="1">
        <v>1573</v>
      </c>
      <c r="E142" s="3">
        <f>IF(INDEX(C:C, ROW())+INDEX(D:D, ROW())=0, 0, INDEX(C:C, ROW())/(INDEX(C:C, ROW())+INDEX(D:D, ROW())))</f>
        <v>0.91702273566492587</v>
      </c>
      <c r="F142" s="1" t="s">
        <v>76</v>
      </c>
      <c r="G142" s="1" t="s">
        <v>20</v>
      </c>
      <c r="H142" s="1">
        <v>4700902</v>
      </c>
      <c r="I142" s="1">
        <v>8723986</v>
      </c>
      <c r="J142" s="7">
        <v>0.53900000000000003</v>
      </c>
      <c r="K142" s="1" t="s">
        <v>21</v>
      </c>
      <c r="L142" s="1" t="s">
        <v>21</v>
      </c>
      <c r="M142" s="1" t="s">
        <v>21</v>
      </c>
      <c r="N142" s="1" t="s">
        <v>22</v>
      </c>
    </row>
    <row r="143" spans="1:14" x14ac:dyDescent="0.25">
      <c r="A143" s="1">
        <v>142</v>
      </c>
      <c r="B143" s="2" t="str">
        <f>HYPERLINK("https://leetcode.com/problems/linked-list-cycle-ii/", "Linked List Cycle II")</f>
        <v>Linked List Cycle II</v>
      </c>
      <c r="C143" s="1">
        <v>15058</v>
      </c>
      <c r="D143" s="1">
        <v>1081</v>
      </c>
      <c r="E143" s="3">
        <f>IF(INDEX(C:C, ROW())+INDEX(D:D, ROW())=0, 0, INDEX(C:C, ROW())/(INDEX(C:C, ROW())+INDEX(D:D, ROW())))</f>
        <v>0.93301939401449907</v>
      </c>
      <c r="F143" s="1" t="s">
        <v>76</v>
      </c>
      <c r="G143" s="1" t="s">
        <v>24</v>
      </c>
      <c r="H143" s="1">
        <v>1940451</v>
      </c>
      <c r="I143" s="1">
        <v>3390253</v>
      </c>
      <c r="J143" s="7">
        <v>0.57199999999999995</v>
      </c>
      <c r="K143" s="1" t="s">
        <v>21</v>
      </c>
      <c r="L143" s="1" t="s">
        <v>21</v>
      </c>
      <c r="M143" s="1" t="s">
        <v>29</v>
      </c>
      <c r="N143" s="1" t="s">
        <v>22</v>
      </c>
    </row>
    <row r="144" spans="1:14" x14ac:dyDescent="0.25">
      <c r="A144" s="1">
        <v>143</v>
      </c>
      <c r="B144" s="2" t="str">
        <f>HYPERLINK("https://leetcode.com/problems/reorder-list/", "Reorder List")</f>
        <v>Reorder List</v>
      </c>
      <c r="C144" s="1">
        <v>12439</v>
      </c>
      <c r="D144" s="1">
        <v>511</v>
      </c>
      <c r="E144" s="3">
        <f>IF(INDEX(C:C, ROW())+INDEX(D:D, ROW())=0, 0, INDEX(C:C, ROW())/(INDEX(C:C, ROW())+INDEX(D:D, ROW())))</f>
        <v>0.9605405405405405</v>
      </c>
      <c r="F144" s="1" t="s">
        <v>71</v>
      </c>
      <c r="G144" s="1" t="s">
        <v>24</v>
      </c>
      <c r="H144" s="1">
        <v>1455293</v>
      </c>
      <c r="I144" s="1">
        <v>2253035</v>
      </c>
      <c r="J144" s="7">
        <v>0.64600000000000002</v>
      </c>
      <c r="K144" s="1" t="s">
        <v>21</v>
      </c>
      <c r="L144" s="1" t="s">
        <v>21</v>
      </c>
      <c r="M144" s="1" t="s">
        <v>29</v>
      </c>
      <c r="N144" s="1" t="s">
        <v>22</v>
      </c>
    </row>
    <row r="145" spans="1:14" x14ac:dyDescent="0.25">
      <c r="A145" s="1">
        <v>144</v>
      </c>
      <c r="B145" s="2" t="str">
        <f>HYPERLINK("https://leetcode.com/problems/binary-tree-preorder-traversal/", "Binary Tree Preorder Traversal")</f>
        <v>Binary Tree Preorder Traversal</v>
      </c>
      <c r="C145" s="1">
        <v>8818</v>
      </c>
      <c r="D145" s="1">
        <v>234</v>
      </c>
      <c r="E145" s="3">
        <f>IF(INDEX(C:C, ROW())+INDEX(D:D, ROW())=0, 0, INDEX(C:C, ROW())/(INDEX(C:C, ROW())+INDEX(D:D, ROW())))</f>
        <v>0.97414935925762258</v>
      </c>
      <c r="F145" s="1" t="s">
        <v>87</v>
      </c>
      <c r="G145" s="1" t="s">
        <v>20</v>
      </c>
      <c r="H145" s="1">
        <v>2357061</v>
      </c>
      <c r="I145" s="1">
        <v>3135681</v>
      </c>
      <c r="J145" s="7">
        <v>0.752</v>
      </c>
      <c r="K145" s="1" t="s">
        <v>21</v>
      </c>
      <c r="L145" s="1" t="s">
        <v>21</v>
      </c>
      <c r="M145" s="1" t="s">
        <v>29</v>
      </c>
      <c r="N145" s="1" t="s">
        <v>22</v>
      </c>
    </row>
    <row r="146" spans="1:14" x14ac:dyDescent="0.25">
      <c r="A146" s="1">
        <v>145</v>
      </c>
      <c r="B146" s="2" t="str">
        <f>HYPERLINK("https://leetcode.com/problems/binary-tree-postorder-traversal/", "Binary Tree Postorder Traversal")</f>
        <v>Binary Tree Postorder Traversal</v>
      </c>
      <c r="C146" s="1">
        <v>7743</v>
      </c>
      <c r="D146" s="1">
        <v>223</v>
      </c>
      <c r="E146" s="3">
        <f>IF(INDEX(C:C, ROW())+INDEX(D:D, ROW())=0, 0, INDEX(C:C, ROW())/(INDEX(C:C, ROW())+INDEX(D:D, ROW())))</f>
        <v>0.97200602560883753</v>
      </c>
      <c r="F146" s="1" t="s">
        <v>87</v>
      </c>
      <c r="G146" s="1" t="s">
        <v>20</v>
      </c>
      <c r="H146" s="1">
        <v>1899477</v>
      </c>
      <c r="I146" s="1">
        <v>2447538</v>
      </c>
      <c r="J146" s="7">
        <v>0.77600000000000002</v>
      </c>
      <c r="K146" s="1" t="s">
        <v>21</v>
      </c>
      <c r="L146" s="1" t="s">
        <v>21</v>
      </c>
      <c r="M146" s="1" t="s">
        <v>29</v>
      </c>
      <c r="N146" s="1" t="s">
        <v>22</v>
      </c>
    </row>
    <row r="147" spans="1:14" x14ac:dyDescent="0.25">
      <c r="A147" s="1">
        <v>146</v>
      </c>
      <c r="B147" s="2" t="str">
        <f>HYPERLINK("https://leetcode.com/problems/lru-cache/", "LRU Cache")</f>
        <v>LRU Cache</v>
      </c>
      <c r="C147" s="1">
        <v>22914</v>
      </c>
      <c r="D147" s="1">
        <v>1225</v>
      </c>
      <c r="E147" s="3">
        <f>IF(INDEX(C:C, ROW())+INDEX(D:D, ROW())=0, 0, INDEX(C:C, ROW())/(INDEX(C:C, ROW())+INDEX(D:D, ROW())))</f>
        <v>0.94925224740047232</v>
      </c>
      <c r="F147" s="1" t="s">
        <v>45</v>
      </c>
      <c r="G147" s="1" t="s">
        <v>24</v>
      </c>
      <c r="H147" s="1">
        <v>2481798</v>
      </c>
      <c r="I147" s="1">
        <v>5300690</v>
      </c>
      <c r="J147" s="7">
        <v>0.46800000000000003</v>
      </c>
      <c r="K147" s="1" t="s">
        <v>21</v>
      </c>
      <c r="L147" s="1" t="s">
        <v>21</v>
      </c>
      <c r="M147" s="1" t="s">
        <v>29</v>
      </c>
      <c r="N147" s="1" t="s">
        <v>22</v>
      </c>
    </row>
    <row r="148" spans="1:14" x14ac:dyDescent="0.25">
      <c r="A148" s="1">
        <v>147</v>
      </c>
      <c r="B148" s="2" t="str">
        <f>HYPERLINK("https://leetcode.com/problems/insertion-sort-list/", "Insertion Sort List")</f>
        <v>Insertion Sort List</v>
      </c>
      <c r="C148" s="1">
        <v>3387</v>
      </c>
      <c r="D148" s="1">
        <v>882</v>
      </c>
      <c r="E148" s="3">
        <f>IF(INDEX(C:C, ROW())+INDEX(D:D, ROW())=0, 0, INDEX(C:C, ROW())/(INDEX(C:C, ROW())+INDEX(D:D, ROW())))</f>
        <v>0.79339423752635274</v>
      </c>
      <c r="F148" s="1" t="s">
        <v>355</v>
      </c>
      <c r="G148" s="1" t="s">
        <v>24</v>
      </c>
      <c r="H148" s="1">
        <v>478410</v>
      </c>
      <c r="I148" s="1">
        <v>818038</v>
      </c>
      <c r="J148" s="7">
        <v>0.58499999999999996</v>
      </c>
      <c r="K148" s="1" t="s">
        <v>21</v>
      </c>
      <c r="L148" s="1" t="s">
        <v>21</v>
      </c>
      <c r="M148" s="1" t="s">
        <v>21</v>
      </c>
      <c r="N148" s="1" t="s">
        <v>22</v>
      </c>
    </row>
    <row r="149" spans="1:14" x14ac:dyDescent="0.25">
      <c r="A149" s="1">
        <v>148</v>
      </c>
      <c r="B149" s="2" t="str">
        <f>HYPERLINK("https://leetcode.com/problems/sort-list/", "Sort List")</f>
        <v>Sort List</v>
      </c>
      <c r="C149" s="1">
        <v>12941</v>
      </c>
      <c r="D149" s="1">
        <v>414</v>
      </c>
      <c r="E149" s="3">
        <f>IF(INDEX(C:C, ROW())+INDEX(D:D, ROW())=0, 0, INDEX(C:C, ROW())/(INDEX(C:C, ROW())+INDEX(D:D, ROW())))</f>
        <v>0.96900037439161357</v>
      </c>
      <c r="F149" s="1" t="s">
        <v>102</v>
      </c>
      <c r="G149" s="1" t="s">
        <v>24</v>
      </c>
      <c r="H149" s="1">
        <v>1230574</v>
      </c>
      <c r="I149" s="1">
        <v>1926998</v>
      </c>
      <c r="J149" s="7">
        <v>0.63900000000000001</v>
      </c>
      <c r="K149" s="1" t="s">
        <v>21</v>
      </c>
      <c r="L149" s="1" t="s">
        <v>21</v>
      </c>
      <c r="M149" s="1" t="s">
        <v>29</v>
      </c>
      <c r="N149" s="1" t="s">
        <v>22</v>
      </c>
    </row>
    <row r="150" spans="1:14" x14ac:dyDescent="0.25">
      <c r="A150" s="1">
        <v>149</v>
      </c>
      <c r="B150" s="2" t="str">
        <f>HYPERLINK("https://leetcode.com/problems/max-points-on-a-line/", "Max Points on a Line")</f>
        <v>Max Points on a Line</v>
      </c>
      <c r="C150" s="1">
        <v>4499</v>
      </c>
      <c r="D150" s="1">
        <v>581</v>
      </c>
      <c r="E150" s="3">
        <f>IF(INDEX(C:C, ROW())+INDEX(D:D, ROW())=0, 0, INDEX(C:C, ROW())/(INDEX(C:C, ROW())+INDEX(D:D, ROW())))</f>
        <v>0.88562992125984252</v>
      </c>
      <c r="F150" s="1" t="s">
        <v>286</v>
      </c>
      <c r="G150" s="1" t="s">
        <v>28</v>
      </c>
      <c r="H150" s="1">
        <v>512963</v>
      </c>
      <c r="I150" s="1">
        <v>1694869</v>
      </c>
      <c r="J150" s="7">
        <v>0.30299999999999999</v>
      </c>
      <c r="K150" s="1" t="s">
        <v>21</v>
      </c>
      <c r="L150" s="1" t="s">
        <v>21</v>
      </c>
      <c r="M150" s="1" t="s">
        <v>29</v>
      </c>
      <c r="N150" s="1" t="s">
        <v>22</v>
      </c>
    </row>
    <row r="151" spans="1:14" x14ac:dyDescent="0.25">
      <c r="A151" s="1">
        <v>150</v>
      </c>
      <c r="B151" s="2" t="str">
        <f>HYPERLINK("https://leetcode.com/problems/evaluate-reverse-polish-notation/", "Evaluate Reverse Polish Notation")</f>
        <v>Evaluate Reverse Polish Notation</v>
      </c>
      <c r="C151" s="1">
        <v>8636</v>
      </c>
      <c r="D151" s="1">
        <v>1178</v>
      </c>
      <c r="E151" s="3">
        <f>IF(INDEX(C:C, ROW())+INDEX(D:D, ROW())=0, 0, INDEX(C:C, ROW())/(INDEX(C:C, ROW())+INDEX(D:D, ROW())))</f>
        <v>0.87996739351946196</v>
      </c>
      <c r="F151" s="1" t="s">
        <v>162</v>
      </c>
      <c r="G151" s="1" t="s">
        <v>24</v>
      </c>
      <c r="H151" s="1">
        <v>1670025</v>
      </c>
      <c r="I151" s="1">
        <v>2928624</v>
      </c>
      <c r="J151" s="7">
        <v>0.56999999999999995</v>
      </c>
      <c r="K151" s="1" t="s">
        <v>21</v>
      </c>
      <c r="L151" s="1" t="s">
        <v>21</v>
      </c>
      <c r="M151" s="1" t="s">
        <v>29</v>
      </c>
      <c r="N151" s="1" t="s">
        <v>22</v>
      </c>
    </row>
    <row r="152" spans="1:14" x14ac:dyDescent="0.25">
      <c r="A152" s="1">
        <v>151</v>
      </c>
      <c r="B152" s="2" t="str">
        <f>HYPERLINK("https://leetcode.com/problems/reverse-words-in-a-string/", "Reverse Words in a String")</f>
        <v>Reverse Words in a String</v>
      </c>
      <c r="C152" s="1">
        <v>10401</v>
      </c>
      <c r="D152" s="1">
        <v>5560</v>
      </c>
      <c r="E152" s="3">
        <f>IF(INDEX(C:C, ROW())+INDEX(D:D, ROW())=0, 0, INDEX(C:C, ROW())/(INDEX(C:C, ROW())+INDEX(D:D, ROW())))</f>
        <v>0.65165089906647455</v>
      </c>
      <c r="F152" s="1" t="s">
        <v>117</v>
      </c>
      <c r="G152" s="1" t="s">
        <v>24</v>
      </c>
      <c r="H152" s="1">
        <v>2877895</v>
      </c>
      <c r="I152" s="1">
        <v>5182953</v>
      </c>
      <c r="J152" s="7">
        <v>0.55500000000000005</v>
      </c>
      <c r="K152" s="1" t="s">
        <v>21</v>
      </c>
      <c r="L152" s="1" t="s">
        <v>21</v>
      </c>
      <c r="M152" s="1" t="s">
        <v>29</v>
      </c>
      <c r="N152" s="1" t="s">
        <v>22</v>
      </c>
    </row>
    <row r="153" spans="1:14" x14ac:dyDescent="0.25">
      <c r="A153" s="1">
        <v>152</v>
      </c>
      <c r="B153" s="2" t="str">
        <f>HYPERLINK("https://leetcode.com/problems/maximum-product-subarray/", "Maximum Product Subarray")</f>
        <v>Maximum Product Subarray</v>
      </c>
      <c r="C153" s="1">
        <v>20264</v>
      </c>
      <c r="D153" s="1">
        <v>825</v>
      </c>
      <c r="E153" s="3">
        <f>IF(INDEX(C:C, ROW())+INDEX(D:D, ROW())=0, 0, INDEX(C:C, ROW())/(INDEX(C:C, ROW())+INDEX(D:D, ROW())))</f>
        <v>0.9608800796623832</v>
      </c>
      <c r="F153" s="1" t="s">
        <v>30</v>
      </c>
      <c r="G153" s="1" t="s">
        <v>24</v>
      </c>
      <c r="H153" s="1">
        <v>1943458</v>
      </c>
      <c r="I153" s="1">
        <v>5399307</v>
      </c>
      <c r="J153" s="7">
        <v>0.36</v>
      </c>
      <c r="K153" s="1" t="s">
        <v>21</v>
      </c>
      <c r="L153" s="1" t="s">
        <v>21</v>
      </c>
      <c r="M153" s="1" t="s">
        <v>29</v>
      </c>
      <c r="N153" s="1" t="s">
        <v>22</v>
      </c>
    </row>
    <row r="154" spans="1:14" x14ac:dyDescent="0.25">
      <c r="A154" s="1">
        <v>153</v>
      </c>
      <c r="B154" s="2" t="str">
        <f>HYPERLINK("https://leetcode.com/problems/find-minimum-in-rotated-sorted-array/", "Find Minimum in Rotated Sorted Array")</f>
        <v>Find Minimum in Rotated Sorted Array</v>
      </c>
      <c r="C154" s="1">
        <v>15118</v>
      </c>
      <c r="D154" s="1">
        <v>659</v>
      </c>
      <c r="E154" s="3">
        <f>IF(INDEX(C:C, ROW())+INDEX(D:D, ROW())=0, 0, INDEX(C:C, ROW())/(INDEX(C:C, ROW())+INDEX(D:D, ROW())))</f>
        <v>0.95823033529821888</v>
      </c>
      <c r="F154" s="1" t="s">
        <v>35</v>
      </c>
      <c r="G154" s="1" t="s">
        <v>24</v>
      </c>
      <c r="H154" s="1">
        <v>2896794</v>
      </c>
      <c r="I154" s="1">
        <v>5382645</v>
      </c>
      <c r="J154" s="7">
        <v>0.53800000000000003</v>
      </c>
      <c r="K154" s="1" t="s">
        <v>21</v>
      </c>
      <c r="L154" s="1" t="s">
        <v>21</v>
      </c>
      <c r="M154" s="1" t="s">
        <v>29</v>
      </c>
      <c r="N154" s="1" t="s">
        <v>22</v>
      </c>
    </row>
    <row r="155" spans="1:14" x14ac:dyDescent="0.25">
      <c r="A155" s="1">
        <v>154</v>
      </c>
      <c r="B155" s="2" t="str">
        <f>HYPERLINK("https://leetcode.com/problems/find-minimum-in-rotated-sorted-array-ii/", "Find Minimum in Rotated Sorted Array II")</f>
        <v>Find Minimum in Rotated Sorted Array II</v>
      </c>
      <c r="C155" s="1">
        <v>5063</v>
      </c>
      <c r="D155" s="1">
        <v>517</v>
      </c>
      <c r="E155" s="3">
        <f>IF(INDEX(C:C, ROW())+INDEX(D:D, ROW())=0, 0, INDEX(C:C, ROW())/(INDEX(C:C, ROW())+INDEX(D:D, ROW())))</f>
        <v>0.90734767025089602</v>
      </c>
      <c r="F155" s="1" t="s">
        <v>35</v>
      </c>
      <c r="G155" s="1" t="s">
        <v>28</v>
      </c>
      <c r="H155" s="1">
        <v>599393</v>
      </c>
      <c r="I155" s="1">
        <v>1342410</v>
      </c>
      <c r="J155" s="7">
        <v>0.44700000000000001</v>
      </c>
      <c r="K155" s="1" t="s">
        <v>21</v>
      </c>
      <c r="L155" s="1" t="s">
        <v>21</v>
      </c>
      <c r="M155" s="1" t="s">
        <v>29</v>
      </c>
      <c r="N155" s="1" t="s">
        <v>22</v>
      </c>
    </row>
    <row r="156" spans="1:14" x14ac:dyDescent="0.25">
      <c r="A156" s="1">
        <v>155</v>
      </c>
      <c r="B156" s="2" t="str">
        <f>HYPERLINK("https://leetcode.com/problems/min-stack/", "Min Stack")</f>
        <v>Min Stack</v>
      </c>
      <c r="C156" s="1">
        <v>15861</v>
      </c>
      <c r="D156" s="1">
        <v>989</v>
      </c>
      <c r="E156" s="3">
        <f>IF(INDEX(C:C, ROW())+INDEX(D:D, ROW())=0, 0, INDEX(C:C, ROW())/(INDEX(C:C, ROW())+INDEX(D:D, ROW())))</f>
        <v>0.9413056379821958</v>
      </c>
      <c r="F156" s="1" t="s">
        <v>83</v>
      </c>
      <c r="G156" s="1" t="s">
        <v>24</v>
      </c>
      <c r="H156" s="1">
        <v>2610687</v>
      </c>
      <c r="I156" s="1">
        <v>4523229</v>
      </c>
      <c r="J156" s="7">
        <v>0.57699999999999996</v>
      </c>
      <c r="K156" s="1" t="s">
        <v>21</v>
      </c>
      <c r="L156" s="1" t="s">
        <v>21</v>
      </c>
      <c r="M156" s="1" t="s">
        <v>29</v>
      </c>
      <c r="N156" s="1" t="s">
        <v>22</v>
      </c>
    </row>
    <row r="157" spans="1:14" x14ac:dyDescent="0.25">
      <c r="A157" s="1">
        <v>156</v>
      </c>
      <c r="B157" s="2" t="str">
        <f>HYPERLINK("https://leetcode.com/problems/binary-tree-upside-down/", "Binary Tree Upside Down")</f>
        <v>Binary Tree Upside Down</v>
      </c>
      <c r="C157" s="1">
        <v>302</v>
      </c>
      <c r="D157" s="1">
        <v>389</v>
      </c>
      <c r="E157" s="3">
        <f>IF(INDEX(C:C, ROW())+INDEX(D:D, ROW())=0, 0, INDEX(C:C, ROW())/(INDEX(C:C, ROW())+INDEX(D:D, ROW())))</f>
        <v>0.43704775687409553</v>
      </c>
      <c r="F157" s="1" t="s">
        <v>67</v>
      </c>
      <c r="G157" s="1" t="s">
        <v>24</v>
      </c>
      <c r="H157" s="1">
        <v>118428</v>
      </c>
      <c r="I157" s="1">
        <v>181250</v>
      </c>
      <c r="J157" s="7">
        <v>0.65300000000000002</v>
      </c>
      <c r="K157" s="1" t="s">
        <v>29</v>
      </c>
      <c r="L157" s="1" t="s">
        <v>29</v>
      </c>
      <c r="M157" s="1" t="s">
        <v>29</v>
      </c>
      <c r="N157" s="1" t="s">
        <v>22</v>
      </c>
    </row>
    <row r="158" spans="1:14" x14ac:dyDescent="0.25">
      <c r="A158" s="1">
        <v>157</v>
      </c>
      <c r="B158" s="2" t="str">
        <f>HYPERLINK("https://leetcode.com/problems/read-n-characters-given-read4/", "Read N Characters Given Read4")</f>
        <v>Read N Characters Given Read4</v>
      </c>
      <c r="C158" s="1">
        <v>604</v>
      </c>
      <c r="D158" s="1">
        <v>3601</v>
      </c>
      <c r="E158" s="3">
        <f>IF(INDEX(C:C, ROW())+INDEX(D:D, ROW())=0, 0, INDEX(C:C, ROW())/(INDEX(C:C, ROW())+INDEX(D:D, ROW())))</f>
        <v>0.1436385255648038</v>
      </c>
      <c r="F158" s="1" t="s">
        <v>744</v>
      </c>
      <c r="G158" s="1" t="s">
        <v>20</v>
      </c>
      <c r="H158" s="1">
        <v>208484</v>
      </c>
      <c r="I158" s="1">
        <v>490412</v>
      </c>
      <c r="J158" s="7">
        <v>0.42499999999999999</v>
      </c>
      <c r="K158" s="1" t="s">
        <v>29</v>
      </c>
      <c r="L158" s="1" t="s">
        <v>21</v>
      </c>
      <c r="M158" s="1" t="s">
        <v>29</v>
      </c>
      <c r="N158" s="1" t="s">
        <v>22</v>
      </c>
    </row>
    <row r="159" spans="1:14" x14ac:dyDescent="0.25">
      <c r="A159" s="1">
        <v>158</v>
      </c>
      <c r="B159" s="2" t="str">
        <f>HYPERLINK("https://leetcode.com/problems/read-n-characters-given-read4-ii-call-multiple-times/", "Read N Characters Given read4 II - Call Multiple Times")</f>
        <v>Read N Characters Given read4 II - Call Multiple Times</v>
      </c>
      <c r="C159" s="1">
        <v>886</v>
      </c>
      <c r="D159" s="1">
        <v>1820</v>
      </c>
      <c r="E159" s="3">
        <f>IF(INDEX(C:C, ROW())+INDEX(D:D, ROW())=0, 0, INDEX(C:C, ROW())/(INDEX(C:C, ROW())+INDEX(D:D, ROW())))</f>
        <v>0.32742054693274203</v>
      </c>
      <c r="F159" s="1" t="s">
        <v>744</v>
      </c>
      <c r="G159" s="1" t="s">
        <v>28</v>
      </c>
      <c r="H159" s="1">
        <v>196183</v>
      </c>
      <c r="I159" s="1">
        <v>453943</v>
      </c>
      <c r="J159" s="7">
        <v>0.432</v>
      </c>
      <c r="K159" s="1" t="s">
        <v>29</v>
      </c>
      <c r="L159" s="1" t="s">
        <v>29</v>
      </c>
      <c r="M159" s="1" t="s">
        <v>29</v>
      </c>
      <c r="N159" s="1" t="s">
        <v>22</v>
      </c>
    </row>
    <row r="160" spans="1:14" x14ac:dyDescent="0.25">
      <c r="A160" s="1">
        <v>159</v>
      </c>
      <c r="B160" s="2" t="str">
        <f>HYPERLINK("https://leetcode.com/problems/longest-substring-with-at-most-two-distinct-characters/", "Longest Substring with At Most Two Distinct Characters")</f>
        <v>Longest Substring with At Most Two Distinct Characters</v>
      </c>
      <c r="C160" s="1">
        <v>2269</v>
      </c>
      <c r="D160" s="1">
        <v>40</v>
      </c>
      <c r="E160" s="3">
        <f>IF(INDEX(C:C, ROW())+INDEX(D:D, ROW())=0, 0, INDEX(C:C, ROW())/(INDEX(C:C, ROW())+INDEX(D:D, ROW())))</f>
        <v>0.98267648332611524</v>
      </c>
      <c r="F160" s="1" t="s">
        <v>23</v>
      </c>
      <c r="G160" s="1" t="s">
        <v>24</v>
      </c>
      <c r="H160" s="1">
        <v>300025</v>
      </c>
      <c r="I160" s="1">
        <v>526715</v>
      </c>
      <c r="J160" s="7">
        <v>0.56999999999999995</v>
      </c>
      <c r="K160" s="1" t="s">
        <v>29</v>
      </c>
      <c r="L160" s="1" t="s">
        <v>21</v>
      </c>
      <c r="M160" s="1" t="s">
        <v>21</v>
      </c>
      <c r="N160" s="1" t="s">
        <v>22</v>
      </c>
    </row>
    <row r="161" spans="1:14" x14ac:dyDescent="0.25">
      <c r="A161" s="1">
        <v>160</v>
      </c>
      <c r="B161" s="2" t="str">
        <f>HYPERLINK("https://leetcode.com/problems/intersection-of-two-linked-lists/", "Intersection of Two Linked Lists")</f>
        <v>Intersection of Two Linked Lists</v>
      </c>
      <c r="C161" s="1">
        <v>16491</v>
      </c>
      <c r="D161" s="1">
        <v>1490</v>
      </c>
      <c r="E161" s="3">
        <f>IF(INDEX(C:C, ROW())+INDEX(D:D, ROW())=0, 0, INDEX(C:C, ROW())/(INDEX(C:C, ROW())+INDEX(D:D, ROW())))</f>
        <v>0.91713475335075911</v>
      </c>
      <c r="F161" s="1" t="s">
        <v>76</v>
      </c>
      <c r="G161" s="1" t="s">
        <v>20</v>
      </c>
      <c r="H161" s="1">
        <v>2306878</v>
      </c>
      <c r="I161" s="1">
        <v>3650629</v>
      </c>
      <c r="J161" s="7">
        <v>0.63200000000000001</v>
      </c>
      <c r="K161" s="1" t="s">
        <v>21</v>
      </c>
      <c r="L161" s="1" t="s">
        <v>21</v>
      </c>
      <c r="M161" s="1" t="s">
        <v>21</v>
      </c>
      <c r="N161" s="1" t="s">
        <v>22</v>
      </c>
    </row>
    <row r="162" spans="1:14" x14ac:dyDescent="0.25">
      <c r="A162" s="1">
        <v>161</v>
      </c>
      <c r="B162" s="2" t="str">
        <f>HYPERLINK("https://leetcode.com/problems/one-edit-distance/", "One Edit Distance")</f>
        <v>One Edit Distance</v>
      </c>
      <c r="C162" s="1">
        <v>1445</v>
      </c>
      <c r="D162" s="1">
        <v>194</v>
      </c>
      <c r="E162" s="3">
        <f>IF(INDEX(C:C, ROW())+INDEX(D:D, ROW())=0, 0, INDEX(C:C, ROW())/(INDEX(C:C, ROW())+INDEX(D:D, ROW())))</f>
        <v>0.88163514338010984</v>
      </c>
      <c r="F162" s="1" t="s">
        <v>117</v>
      </c>
      <c r="G162" s="1" t="s">
        <v>24</v>
      </c>
      <c r="H162" s="1">
        <v>235242</v>
      </c>
      <c r="I162" s="1">
        <v>680917</v>
      </c>
      <c r="J162" s="7">
        <v>0.34499999999999997</v>
      </c>
      <c r="K162" s="1" t="s">
        <v>29</v>
      </c>
      <c r="L162" s="1" t="s">
        <v>21</v>
      </c>
      <c r="M162" s="1" t="s">
        <v>29</v>
      </c>
      <c r="N162" s="1" t="s">
        <v>22</v>
      </c>
    </row>
    <row r="163" spans="1:14" x14ac:dyDescent="0.25">
      <c r="A163" s="1">
        <v>162</v>
      </c>
      <c r="B163" s="2" t="str">
        <f>HYPERLINK("https://leetcode.com/problems/find-peak-element/", "Find Peak Element")</f>
        <v>Find Peak Element</v>
      </c>
      <c r="C163" s="1">
        <v>14454</v>
      </c>
      <c r="D163" s="1">
        <v>4939</v>
      </c>
      <c r="E163" s="3">
        <f>IF(INDEX(C:C, ROW())+INDEX(D:D, ROW())=0, 0, INDEX(C:C, ROW())/(INDEX(C:C, ROW())+INDEX(D:D, ROW())))</f>
        <v>0.74532047646057853</v>
      </c>
      <c r="F163" s="1" t="s">
        <v>35</v>
      </c>
      <c r="G163" s="1" t="s">
        <v>24</v>
      </c>
      <c r="H163" s="1">
        <v>2322367</v>
      </c>
      <c r="I163" s="1">
        <v>4962766</v>
      </c>
      <c r="J163" s="7">
        <v>0.46800000000000003</v>
      </c>
      <c r="K163" s="1" t="s">
        <v>21</v>
      </c>
      <c r="L163" s="1" t="s">
        <v>21</v>
      </c>
      <c r="M163" s="1" t="s">
        <v>21</v>
      </c>
      <c r="N163" s="1" t="s">
        <v>22</v>
      </c>
    </row>
    <row r="164" spans="1:14" x14ac:dyDescent="0.25">
      <c r="A164" s="1">
        <v>163</v>
      </c>
      <c r="B164" s="2" t="str">
        <f>HYPERLINK("https://leetcode.com/problems/missing-ranges/", "Missing Ranges")</f>
        <v>Missing Ranges</v>
      </c>
      <c r="C164" s="1">
        <v>1181</v>
      </c>
      <c r="D164" s="1">
        <v>3021</v>
      </c>
      <c r="E164" s="3">
        <f>IF(INDEX(C:C, ROW())+INDEX(D:D, ROW())=0, 0, INDEX(C:C, ROW())/(INDEX(C:C, ROW())+INDEX(D:D, ROW())))</f>
        <v>0.28105663969538314</v>
      </c>
      <c r="F164" s="1" t="s">
        <v>113</v>
      </c>
      <c r="G164" s="1" t="s">
        <v>20</v>
      </c>
      <c r="H164" s="1">
        <v>307094</v>
      </c>
      <c r="I164" s="1">
        <v>864213</v>
      </c>
      <c r="J164" s="7">
        <v>0.35499999999999998</v>
      </c>
      <c r="K164" s="1" t="s">
        <v>29</v>
      </c>
      <c r="L164" s="1" t="s">
        <v>21</v>
      </c>
      <c r="M164" s="1" t="s">
        <v>29</v>
      </c>
      <c r="N164" s="1" t="s">
        <v>22</v>
      </c>
    </row>
    <row r="165" spans="1:14" x14ac:dyDescent="0.25">
      <c r="A165" s="1">
        <v>164</v>
      </c>
      <c r="B165" s="2" t="str">
        <f>HYPERLINK("https://leetcode.com/problems/maximum-gap/", "Maximum Gap")</f>
        <v>Maximum Gap</v>
      </c>
      <c r="C165" s="1">
        <v>3546</v>
      </c>
      <c r="D165" s="1">
        <v>439</v>
      </c>
      <c r="E165" s="3">
        <f>IF(INDEX(C:C, ROW())+INDEX(D:D, ROW())=0, 0, INDEX(C:C, ROW())/(INDEX(C:C, ROW())+INDEX(D:D, ROW())))</f>
        <v>0.88983688833124219</v>
      </c>
      <c r="F165" s="1" t="s">
        <v>346</v>
      </c>
      <c r="G165" s="1" t="s">
        <v>24</v>
      </c>
      <c r="H165" s="1">
        <v>327924</v>
      </c>
      <c r="I165" s="1">
        <v>638030</v>
      </c>
      <c r="J165" s="7">
        <v>0.51400000000000001</v>
      </c>
      <c r="K165" s="1" t="s">
        <v>21</v>
      </c>
      <c r="L165" s="1" t="s">
        <v>21</v>
      </c>
      <c r="M165" s="1" t="s">
        <v>29</v>
      </c>
      <c r="N165" s="1" t="s">
        <v>22</v>
      </c>
    </row>
    <row r="166" spans="1:14" x14ac:dyDescent="0.25">
      <c r="A166" s="1">
        <v>165</v>
      </c>
      <c r="B166" s="2" t="str">
        <f>HYPERLINK("https://leetcode.com/problems/compare-version-numbers/", "Compare Version Numbers")</f>
        <v>Compare Version Numbers</v>
      </c>
      <c r="C166" s="1">
        <v>3159</v>
      </c>
      <c r="D166" s="1">
        <v>2796</v>
      </c>
      <c r="E166" s="3">
        <f>IF(INDEX(C:C, ROW())+INDEX(D:D, ROW())=0, 0, INDEX(C:C, ROW())/(INDEX(C:C, ROW())+INDEX(D:D, ROW())))</f>
        <v>0.53047858942065496</v>
      </c>
      <c r="F166" s="1" t="s">
        <v>117</v>
      </c>
      <c r="G166" s="1" t="s">
        <v>24</v>
      </c>
      <c r="H166" s="1">
        <v>694344</v>
      </c>
      <c r="I166" s="1">
        <v>1505361</v>
      </c>
      <c r="J166" s="7">
        <v>0.46100000000000002</v>
      </c>
      <c r="K166" s="1" t="s">
        <v>21</v>
      </c>
      <c r="L166" s="1" t="s">
        <v>21</v>
      </c>
      <c r="M166" s="1" t="s">
        <v>29</v>
      </c>
      <c r="N166" s="1" t="s">
        <v>22</v>
      </c>
    </row>
    <row r="167" spans="1:14" x14ac:dyDescent="0.25">
      <c r="A167" s="1">
        <v>166</v>
      </c>
      <c r="B167" s="2" t="str">
        <f>HYPERLINK("https://leetcode.com/problems/fraction-to-recurring-decimal/", "Fraction to Recurring Decimal")</f>
        <v>Fraction to Recurring Decimal</v>
      </c>
      <c r="C167" s="1">
        <v>2582</v>
      </c>
      <c r="D167" s="1">
        <v>3859</v>
      </c>
      <c r="E167" s="3">
        <f>IF(INDEX(C:C, ROW())+INDEX(D:D, ROW())=0, 0, INDEX(C:C, ROW())/(INDEX(C:C, ROW())+INDEX(D:D, ROW())))</f>
        <v>0.40086943021269988</v>
      </c>
      <c r="F167" s="1" t="s">
        <v>75</v>
      </c>
      <c r="G167" s="1" t="s">
        <v>24</v>
      </c>
      <c r="H167" s="1">
        <v>356139</v>
      </c>
      <c r="I167" s="1">
        <v>1165401</v>
      </c>
      <c r="J167" s="7">
        <v>0.30599999999999999</v>
      </c>
      <c r="K167" s="1" t="s">
        <v>21</v>
      </c>
      <c r="L167" s="1" t="s">
        <v>21</v>
      </c>
      <c r="M167" s="1" t="s">
        <v>29</v>
      </c>
      <c r="N167" s="1" t="s">
        <v>22</v>
      </c>
    </row>
    <row r="168" spans="1:14" x14ac:dyDescent="0.25">
      <c r="A168" s="1">
        <v>167</v>
      </c>
      <c r="B168" s="2" t="str">
        <f>HYPERLINK("https://leetcode.com/problems/two-sum-ii-input-array-is-sorted/", "Two Sum II - Input Array Is Sorted")</f>
        <v>Two Sum II - Input Array Is Sorted</v>
      </c>
      <c r="C168" s="1">
        <v>13358</v>
      </c>
      <c r="D168" s="1">
        <v>1525</v>
      </c>
      <c r="E168" s="3">
        <f>IF(INDEX(C:C, ROW())+INDEX(D:D, ROW())=0, 0, INDEX(C:C, ROW())/(INDEX(C:C, ROW())+INDEX(D:D, ROW())))</f>
        <v>0.89753409930793526</v>
      </c>
      <c r="F168" s="1" t="s">
        <v>97</v>
      </c>
      <c r="G168" s="1" t="s">
        <v>24</v>
      </c>
      <c r="H168" s="1">
        <v>3238891</v>
      </c>
      <c r="I168" s="1">
        <v>5012369</v>
      </c>
      <c r="J168" s="7">
        <v>0.64600000000000002</v>
      </c>
      <c r="K168" s="1" t="s">
        <v>21</v>
      </c>
      <c r="L168" s="1" t="s">
        <v>21</v>
      </c>
      <c r="M168" s="1" t="s">
        <v>29</v>
      </c>
      <c r="N168" s="1" t="s">
        <v>22</v>
      </c>
    </row>
    <row r="169" spans="1:14" x14ac:dyDescent="0.25">
      <c r="A169" s="1">
        <v>168</v>
      </c>
      <c r="B169" s="2" t="str">
        <f>HYPERLINK("https://leetcode.com/problems/excel-sheet-column-title/", "Excel Sheet Column Title")</f>
        <v>Excel Sheet Column Title</v>
      </c>
      <c r="C169" s="1">
        <v>6045</v>
      </c>
      <c r="D169" s="1">
        <v>917</v>
      </c>
      <c r="E169" s="3">
        <f>IF(INDEX(C:C, ROW())+INDEX(D:D, ROW())=0, 0, INDEX(C:C, ROW())/(INDEX(C:C, ROW())+INDEX(D:D, ROW())))</f>
        <v>0.86828497558172935</v>
      </c>
      <c r="F169" s="1" t="s">
        <v>228</v>
      </c>
      <c r="G169" s="1" t="s">
        <v>20</v>
      </c>
      <c r="H169" s="1">
        <v>720420</v>
      </c>
      <c r="I169" s="1">
        <v>1574851</v>
      </c>
      <c r="J169" s="7">
        <v>0.45700000000000002</v>
      </c>
      <c r="K169" s="1" t="s">
        <v>21</v>
      </c>
      <c r="L169" s="1" t="s">
        <v>21</v>
      </c>
      <c r="M169" s="1" t="s">
        <v>29</v>
      </c>
      <c r="N169" s="1" t="s">
        <v>22</v>
      </c>
    </row>
    <row r="170" spans="1:14" x14ac:dyDescent="0.25">
      <c r="A170" s="1">
        <v>169</v>
      </c>
      <c r="B170" s="2" t="str">
        <f>HYPERLINK("https://leetcode.com/problems/majority-element/", "Majority Element")</f>
        <v>Majority Element</v>
      </c>
      <c r="C170" s="1">
        <v>22554</v>
      </c>
      <c r="D170" s="1">
        <v>805</v>
      </c>
      <c r="E170" s="3">
        <f>IF(INDEX(C:C, ROW())+INDEX(D:D, ROW())=0, 0, INDEX(C:C, ROW())/(INDEX(C:C, ROW())+INDEX(D:D, ROW())))</f>
        <v>0.96553790830086905</v>
      </c>
      <c r="F170" s="1" t="s">
        <v>48</v>
      </c>
      <c r="G170" s="1" t="s">
        <v>20</v>
      </c>
      <c r="H170" s="1">
        <v>5245885</v>
      </c>
      <c r="I170" s="1">
        <v>7934465</v>
      </c>
      <c r="J170" s="7">
        <v>0.66100000000000003</v>
      </c>
      <c r="K170" s="1" t="s">
        <v>21</v>
      </c>
      <c r="L170" s="1" t="s">
        <v>21</v>
      </c>
      <c r="M170" s="1" t="s">
        <v>29</v>
      </c>
      <c r="N170" s="1" t="s">
        <v>22</v>
      </c>
    </row>
    <row r="171" spans="1:14" x14ac:dyDescent="0.25">
      <c r="A171" s="1">
        <v>170</v>
      </c>
      <c r="B171" s="2" t="str">
        <f>HYPERLINK("https://leetcode.com/problems/two-sum-iii-data-structure-design/", "Two Sum III - Data structure design")</f>
        <v>Two Sum III - Data structure design</v>
      </c>
      <c r="C171" s="1">
        <v>711</v>
      </c>
      <c r="D171" s="1">
        <v>462</v>
      </c>
      <c r="E171" s="3">
        <f>IF(INDEX(C:C, ROW())+INDEX(D:D, ROW())=0, 0, INDEX(C:C, ROW())/(INDEX(C:C, ROW())+INDEX(D:D, ROW())))</f>
        <v>0.60613810741687979</v>
      </c>
      <c r="F171" s="1" t="s">
        <v>797</v>
      </c>
      <c r="G171" s="1" t="s">
        <v>20</v>
      </c>
      <c r="H171" s="1">
        <v>180932</v>
      </c>
      <c r="I171" s="1">
        <v>462666</v>
      </c>
      <c r="J171" s="7">
        <v>0.39100000000000001</v>
      </c>
      <c r="K171" s="1" t="s">
        <v>29</v>
      </c>
      <c r="L171" s="1" t="s">
        <v>21</v>
      </c>
      <c r="M171" s="1" t="s">
        <v>29</v>
      </c>
      <c r="N171" s="1" t="s">
        <v>22</v>
      </c>
    </row>
    <row r="172" spans="1:14" x14ac:dyDescent="0.25">
      <c r="A172" s="1">
        <v>171</v>
      </c>
      <c r="B172" s="2" t="str">
        <f>HYPERLINK("https://leetcode.com/problems/excel-sheet-column-number/", "Excel Sheet Column Number")</f>
        <v>Excel Sheet Column Number</v>
      </c>
      <c r="C172" s="1">
        <v>5075</v>
      </c>
      <c r="D172" s="1">
        <v>399</v>
      </c>
      <c r="E172" s="3">
        <f>IF(INDEX(C:C, ROW())+INDEX(D:D, ROW())=0, 0, INDEX(C:C, ROW())/(INDEX(C:C, ROW())+INDEX(D:D, ROW())))</f>
        <v>0.92710997442455245</v>
      </c>
      <c r="F172" s="1" t="s">
        <v>228</v>
      </c>
      <c r="G172" s="1" t="s">
        <v>20</v>
      </c>
      <c r="H172" s="1">
        <v>882387</v>
      </c>
      <c r="I172" s="1">
        <v>1311994</v>
      </c>
      <c r="J172" s="7">
        <v>0.67300000000000004</v>
      </c>
      <c r="K172" s="1" t="s">
        <v>21</v>
      </c>
      <c r="L172" s="1" t="s">
        <v>21</v>
      </c>
      <c r="M172" s="1" t="s">
        <v>29</v>
      </c>
      <c r="N172" s="1" t="s">
        <v>22</v>
      </c>
    </row>
    <row r="173" spans="1:14" x14ac:dyDescent="0.25">
      <c r="A173" s="1">
        <v>172</v>
      </c>
      <c r="B173" s="2" t="str">
        <f>HYPERLINK("https://leetcode.com/problems/factorial-trailing-zeroes/", "Factorial Trailing Zeroes")</f>
        <v>Factorial Trailing Zeroes</v>
      </c>
      <c r="C173" s="1">
        <v>3507</v>
      </c>
      <c r="D173" s="1">
        <v>1991</v>
      </c>
      <c r="E173" s="3">
        <f>IF(INDEX(C:C, ROW())+INDEX(D:D, ROW())=0, 0, INDEX(C:C, ROW())/(INDEX(C:C, ROW())+INDEX(D:D, ROW())))</f>
        <v>0.6378683157511823</v>
      </c>
      <c r="F173" s="1" t="s">
        <v>84</v>
      </c>
      <c r="G173" s="1" t="s">
        <v>24</v>
      </c>
      <c r="H173" s="1">
        <v>643098</v>
      </c>
      <c r="I173" s="1">
        <v>1393540</v>
      </c>
      <c r="J173" s="7">
        <v>0.46100000000000002</v>
      </c>
      <c r="K173" s="1" t="s">
        <v>21</v>
      </c>
      <c r="L173" s="1" t="s">
        <v>21</v>
      </c>
      <c r="M173" s="1" t="s">
        <v>29</v>
      </c>
      <c r="N173" s="1" t="s">
        <v>22</v>
      </c>
    </row>
    <row r="174" spans="1:14" x14ac:dyDescent="0.25">
      <c r="A174" s="1">
        <v>173</v>
      </c>
      <c r="B174" s="2" t="str">
        <f>HYPERLINK("https://leetcode.com/problems/binary-search-tree-iterator/", "Binary Search Tree Iterator")</f>
        <v>Binary Search Tree Iterator</v>
      </c>
      <c r="C174" s="1">
        <v>9185</v>
      </c>
      <c r="D174" s="1">
        <v>586</v>
      </c>
      <c r="E174" s="3">
        <f>IF(INDEX(C:C, ROW())+INDEX(D:D, ROW())=0, 0, INDEX(C:C, ROW())/(INDEX(C:C, ROW())+INDEX(D:D, ROW())))</f>
        <v>0.94002660935421145</v>
      </c>
      <c r="F174" s="1" t="s">
        <v>149</v>
      </c>
      <c r="G174" s="1" t="s">
        <v>24</v>
      </c>
      <c r="H174" s="1">
        <v>1071195</v>
      </c>
      <c r="I174" s="1">
        <v>1406773</v>
      </c>
      <c r="J174" s="7">
        <v>0.76100000000000001</v>
      </c>
      <c r="K174" s="1" t="s">
        <v>21</v>
      </c>
      <c r="L174" s="1" t="s">
        <v>21</v>
      </c>
      <c r="M174" s="1" t="s">
        <v>29</v>
      </c>
      <c r="N174" s="1" t="s">
        <v>22</v>
      </c>
    </row>
    <row r="175" spans="1:14" x14ac:dyDescent="0.25">
      <c r="A175" s="1">
        <v>174</v>
      </c>
      <c r="B175" s="2" t="str">
        <f>HYPERLINK("https://leetcode.com/problems/dungeon-game/", "Dungeon Game")</f>
        <v>Dungeon Game</v>
      </c>
      <c r="C175" s="1">
        <v>6230</v>
      </c>
      <c r="D175" s="1">
        <v>118</v>
      </c>
      <c r="E175" s="3">
        <f>IF(INDEX(C:C, ROW())+INDEX(D:D, ROW())=0, 0, INDEX(C:C, ROW())/(INDEX(C:C, ROW())+INDEX(D:D, ROW())))</f>
        <v>0.98141146817895397</v>
      </c>
      <c r="F175" s="1" t="s">
        <v>94</v>
      </c>
      <c r="G175" s="1" t="s">
        <v>28</v>
      </c>
      <c r="H175" s="1">
        <v>292714</v>
      </c>
      <c r="I175" s="1">
        <v>716478</v>
      </c>
      <c r="J175" s="7">
        <v>0.40899999999999997</v>
      </c>
      <c r="K175" s="1" t="s">
        <v>21</v>
      </c>
      <c r="L175" s="1" t="s">
        <v>21</v>
      </c>
      <c r="M175" s="1" t="s">
        <v>29</v>
      </c>
      <c r="N175" s="1" t="s">
        <v>22</v>
      </c>
    </row>
    <row r="176" spans="1:14" x14ac:dyDescent="0.25">
      <c r="A176" s="1">
        <v>175</v>
      </c>
      <c r="B176" s="2" t="str">
        <f>HYPERLINK("https://leetcode.com/problems/combine-two-tables/", "Combine Two Tables")</f>
        <v>Combine Two Tables</v>
      </c>
      <c r="C176" s="1">
        <v>4273</v>
      </c>
      <c r="D176" s="1">
        <v>254</v>
      </c>
      <c r="E176" s="3">
        <f>IF(INDEX(C:C, ROW())+INDEX(D:D, ROW())=0, 0, INDEX(C:C, ROW())/(INDEX(C:C, ROW())+INDEX(D:D, ROW())))</f>
        <v>0.9438922023415065</v>
      </c>
      <c r="F176" s="1" t="s">
        <v>297</v>
      </c>
      <c r="G176" s="1" t="s">
        <v>20</v>
      </c>
      <c r="H176" s="1">
        <v>1705692</v>
      </c>
      <c r="I176" s="1">
        <v>2152993</v>
      </c>
      <c r="J176" s="7">
        <v>0.79200000000000004</v>
      </c>
      <c r="K176" s="1" t="s">
        <v>21</v>
      </c>
      <c r="L176" s="1" t="s">
        <v>21</v>
      </c>
      <c r="M176" s="1" t="s">
        <v>29</v>
      </c>
      <c r="N176" s="1" t="s">
        <v>297</v>
      </c>
    </row>
    <row r="177" spans="1:14" x14ac:dyDescent="0.25">
      <c r="A177" s="1">
        <v>176</v>
      </c>
      <c r="B177" s="2" t="str">
        <f>HYPERLINK("https://leetcode.com/problems/second-highest-salary/", "Second Highest Salary")</f>
        <v>Second Highest Salary</v>
      </c>
      <c r="C177" s="1">
        <v>4198</v>
      </c>
      <c r="D177" s="1">
        <v>1011</v>
      </c>
      <c r="E177" s="3">
        <f>IF(INDEX(C:C, ROW())+INDEX(D:D, ROW())=0, 0, INDEX(C:C, ROW())/(INDEX(C:C, ROW())+INDEX(D:D, ROW())))</f>
        <v>0.80591284315607603</v>
      </c>
      <c r="F177" s="1" t="s">
        <v>297</v>
      </c>
      <c r="G177" s="1" t="s">
        <v>24</v>
      </c>
      <c r="H177" s="1">
        <v>1463200</v>
      </c>
      <c r="I177" s="1">
        <v>3158026</v>
      </c>
      <c r="J177" s="7">
        <v>0.46300000000000002</v>
      </c>
      <c r="K177" s="1" t="s">
        <v>21</v>
      </c>
      <c r="L177" s="1" t="s">
        <v>21</v>
      </c>
      <c r="M177" s="1" t="s">
        <v>29</v>
      </c>
      <c r="N177" s="1" t="s">
        <v>297</v>
      </c>
    </row>
    <row r="178" spans="1:14" x14ac:dyDescent="0.25">
      <c r="A178" s="1">
        <v>177</v>
      </c>
      <c r="B178" s="2" t="str">
        <f>HYPERLINK("https://leetcode.com/problems/nth-highest-salary/", "Nth Highest Salary")</f>
        <v>Nth Highest Salary</v>
      </c>
      <c r="C178" s="1">
        <v>2281</v>
      </c>
      <c r="D178" s="1">
        <v>1116</v>
      </c>
      <c r="E178" s="3">
        <f>IF(INDEX(C:C, ROW())+INDEX(D:D, ROW())=0, 0, INDEX(C:C, ROW())/(INDEX(C:C, ROW())+INDEX(D:D, ROW())))</f>
        <v>0.67147483073299974</v>
      </c>
      <c r="F178" s="1" t="s">
        <v>297</v>
      </c>
      <c r="G178" s="1" t="s">
        <v>24</v>
      </c>
      <c r="H178" s="1">
        <v>631659</v>
      </c>
      <c r="I178" s="1">
        <v>1626835</v>
      </c>
      <c r="J178" s="7">
        <v>0.38800000000000001</v>
      </c>
      <c r="K178" s="1" t="s">
        <v>21</v>
      </c>
      <c r="L178" s="1" t="s">
        <v>21</v>
      </c>
      <c r="M178" s="1" t="s">
        <v>29</v>
      </c>
      <c r="N178" s="1" t="s">
        <v>297</v>
      </c>
    </row>
    <row r="179" spans="1:14" x14ac:dyDescent="0.25">
      <c r="A179" s="1">
        <v>178</v>
      </c>
      <c r="B179" s="2" t="str">
        <f>HYPERLINK("https://leetcode.com/problems/rank-scores/", "Rank Scores")</f>
        <v>Rank Scores</v>
      </c>
      <c r="C179" s="1">
        <v>2472</v>
      </c>
      <c r="D179" s="1">
        <v>303</v>
      </c>
      <c r="E179" s="3">
        <f>IF(INDEX(C:C, ROW())+INDEX(D:D, ROW())=0, 0, INDEX(C:C, ROW())/(INDEX(C:C, ROW())+INDEX(D:D, ROW())))</f>
        <v>0.89081081081081082</v>
      </c>
      <c r="F179" s="1" t="s">
        <v>297</v>
      </c>
      <c r="G179" s="1" t="s">
        <v>24</v>
      </c>
      <c r="H179" s="1">
        <v>647169</v>
      </c>
      <c r="I179" s="1">
        <v>963652</v>
      </c>
      <c r="J179" s="7">
        <v>0.67200000000000004</v>
      </c>
      <c r="K179" s="1" t="s">
        <v>21</v>
      </c>
      <c r="L179" s="1" t="s">
        <v>21</v>
      </c>
      <c r="M179" s="1" t="s">
        <v>29</v>
      </c>
      <c r="N179" s="1" t="s">
        <v>297</v>
      </c>
    </row>
    <row r="180" spans="1:14" x14ac:dyDescent="0.25">
      <c r="A180" s="1">
        <v>179</v>
      </c>
      <c r="B180" s="2" t="str">
        <f>HYPERLINK("https://leetcode.com/problems/largest-number/", "Largest Number")</f>
        <v>Largest Number</v>
      </c>
      <c r="C180" s="1">
        <v>9416</v>
      </c>
      <c r="D180" s="1">
        <v>800</v>
      </c>
      <c r="E180" s="3">
        <f>IF(INDEX(C:C, ROW())+INDEX(D:D, ROW())=0, 0, INDEX(C:C, ROW())/(INDEX(C:C, ROW())+INDEX(D:D, ROW())))</f>
        <v>0.92169146436961624</v>
      </c>
      <c r="F180" s="1" t="s">
        <v>142</v>
      </c>
      <c r="G180" s="1" t="s">
        <v>24</v>
      </c>
      <c r="H180" s="1">
        <v>804337</v>
      </c>
      <c r="I180" s="1">
        <v>1888482</v>
      </c>
      <c r="J180" s="7">
        <v>0.42599999999999999</v>
      </c>
      <c r="K180" s="1" t="s">
        <v>21</v>
      </c>
      <c r="L180" s="1" t="s">
        <v>21</v>
      </c>
      <c r="M180" s="1" t="s">
        <v>29</v>
      </c>
      <c r="N180" s="1" t="s">
        <v>22</v>
      </c>
    </row>
    <row r="181" spans="1:14" x14ac:dyDescent="0.25">
      <c r="A181" s="1">
        <v>180</v>
      </c>
      <c r="B181" s="2" t="str">
        <f>HYPERLINK("https://leetcode.com/problems/consecutive-numbers/", "Consecutive Numbers")</f>
        <v>Consecutive Numbers</v>
      </c>
      <c r="C181" s="1">
        <v>2697</v>
      </c>
      <c r="D181" s="1">
        <v>361</v>
      </c>
      <c r="E181" s="3">
        <f>IF(INDEX(C:C, ROW())+INDEX(D:D, ROW())=0, 0, INDEX(C:C, ROW())/(INDEX(C:C, ROW())+INDEX(D:D, ROW())))</f>
        <v>0.88194898626553297</v>
      </c>
      <c r="F181" s="1" t="s">
        <v>297</v>
      </c>
      <c r="G181" s="1" t="s">
        <v>24</v>
      </c>
      <c r="H181" s="1">
        <v>727816</v>
      </c>
      <c r="I181" s="1">
        <v>1521294</v>
      </c>
      <c r="J181" s="7">
        <v>0.47799999999999998</v>
      </c>
      <c r="K181" s="1" t="s">
        <v>21</v>
      </c>
      <c r="L181" s="1" t="s">
        <v>21</v>
      </c>
      <c r="M181" s="1" t="s">
        <v>29</v>
      </c>
      <c r="N181" s="1" t="s">
        <v>297</v>
      </c>
    </row>
    <row r="182" spans="1:14" x14ac:dyDescent="0.25">
      <c r="A182" s="1">
        <v>181</v>
      </c>
      <c r="B182" s="2" t="str">
        <f>HYPERLINK("https://leetcode.com/problems/employees-earning-more-than-their-managers/", "Employees Earning More Than Their Managers")</f>
        <v>Employees Earning More Than Their Managers</v>
      </c>
      <c r="C182" s="1">
        <v>3098</v>
      </c>
      <c r="D182" s="1">
        <v>298</v>
      </c>
      <c r="E182" s="3">
        <f>IF(INDEX(C:C, ROW())+INDEX(D:D, ROW())=0, 0, INDEX(C:C, ROW())/(INDEX(C:C, ROW())+INDEX(D:D, ROW())))</f>
        <v>0.91224970553592466</v>
      </c>
      <c r="F182" s="1" t="s">
        <v>297</v>
      </c>
      <c r="G182" s="1" t="s">
        <v>20</v>
      </c>
      <c r="H182" s="1">
        <v>1091392</v>
      </c>
      <c r="I182" s="1">
        <v>1498147</v>
      </c>
      <c r="J182" s="7">
        <v>0.72799999999999998</v>
      </c>
      <c r="K182" s="1" t="s">
        <v>21</v>
      </c>
      <c r="L182" s="1" t="s">
        <v>21</v>
      </c>
      <c r="M182" s="1" t="s">
        <v>29</v>
      </c>
      <c r="N182" s="1" t="s">
        <v>297</v>
      </c>
    </row>
    <row r="183" spans="1:14" x14ac:dyDescent="0.25">
      <c r="A183" s="1">
        <v>182</v>
      </c>
      <c r="B183" s="2" t="str">
        <f>HYPERLINK("https://leetcode.com/problems/duplicate-emails/", "Duplicate Emails")</f>
        <v>Duplicate Emails</v>
      </c>
      <c r="C183" s="1">
        <v>2423</v>
      </c>
      <c r="D183" s="1">
        <v>86</v>
      </c>
      <c r="E183" s="3">
        <f>IF(INDEX(C:C, ROW())+INDEX(D:D, ROW())=0, 0, INDEX(C:C, ROW())/(INDEX(C:C, ROW())+INDEX(D:D, ROW())))</f>
        <v>0.96572339577520927</v>
      </c>
      <c r="F183" s="1" t="s">
        <v>297</v>
      </c>
      <c r="G183" s="1" t="s">
        <v>20</v>
      </c>
      <c r="H183" s="1">
        <v>1098913</v>
      </c>
      <c r="I183" s="1">
        <v>1496819</v>
      </c>
      <c r="J183" s="7">
        <v>0.73399999999999999</v>
      </c>
      <c r="K183" s="1" t="s">
        <v>21</v>
      </c>
      <c r="L183" s="1" t="s">
        <v>21</v>
      </c>
      <c r="M183" s="1" t="s">
        <v>29</v>
      </c>
      <c r="N183" s="1" t="s">
        <v>297</v>
      </c>
    </row>
    <row r="184" spans="1:14" x14ac:dyDescent="0.25">
      <c r="A184" s="1">
        <v>183</v>
      </c>
      <c r="B184" s="2" t="str">
        <f>HYPERLINK("https://leetcode.com/problems/customers-who-never-order/", "Customers Who Never Order")</f>
        <v>Customers Who Never Order</v>
      </c>
      <c r="C184" s="1">
        <v>3035</v>
      </c>
      <c r="D184" s="1">
        <v>156</v>
      </c>
      <c r="E184" s="3">
        <f>IF(INDEX(C:C, ROW())+INDEX(D:D, ROW())=0, 0, INDEX(C:C, ROW())/(INDEX(C:C, ROW())+INDEX(D:D, ROW())))</f>
        <v>0.95111250391726732</v>
      </c>
      <c r="F184" s="1" t="s">
        <v>297</v>
      </c>
      <c r="G184" s="1" t="s">
        <v>20</v>
      </c>
      <c r="H184" s="1">
        <v>1251088</v>
      </c>
      <c r="I184" s="1">
        <v>1750519</v>
      </c>
      <c r="J184" s="7">
        <v>0.71499999999999997</v>
      </c>
      <c r="K184" s="1" t="s">
        <v>21</v>
      </c>
      <c r="L184" s="1" t="s">
        <v>21</v>
      </c>
      <c r="M184" s="1" t="s">
        <v>29</v>
      </c>
      <c r="N184" s="1" t="s">
        <v>297</v>
      </c>
    </row>
    <row r="185" spans="1:14" x14ac:dyDescent="0.25">
      <c r="A185" s="1">
        <v>184</v>
      </c>
      <c r="B185" s="2" t="str">
        <f>HYPERLINK("https://leetcode.com/problems/department-highest-salary/", "Department Highest Salary")</f>
        <v>Department Highest Salary</v>
      </c>
      <c r="C185" s="1">
        <v>2366</v>
      </c>
      <c r="D185" s="1">
        <v>209</v>
      </c>
      <c r="E185" s="3">
        <f>IF(INDEX(C:C, ROW())+INDEX(D:D, ROW())=0, 0, INDEX(C:C, ROW())/(INDEX(C:C, ROW())+INDEX(D:D, ROW())))</f>
        <v>0.91883495145631067</v>
      </c>
      <c r="F185" s="1" t="s">
        <v>297</v>
      </c>
      <c r="G185" s="1" t="s">
        <v>24</v>
      </c>
      <c r="H185" s="1">
        <v>635070</v>
      </c>
      <c r="I185" s="1">
        <v>1108467</v>
      </c>
      <c r="J185" s="7">
        <v>0.57299999999999995</v>
      </c>
      <c r="K185" s="1" t="s">
        <v>21</v>
      </c>
      <c r="L185" s="1" t="s">
        <v>21</v>
      </c>
      <c r="M185" s="1" t="s">
        <v>29</v>
      </c>
      <c r="N185" s="1" t="s">
        <v>297</v>
      </c>
    </row>
    <row r="186" spans="1:14" x14ac:dyDescent="0.25">
      <c r="A186" s="1">
        <v>185</v>
      </c>
      <c r="B186" s="2" t="str">
        <f>HYPERLINK("https://leetcode.com/problems/department-top-three-salaries/", "Department Top Three Salaries")</f>
        <v>Department Top Three Salaries</v>
      </c>
      <c r="C186" s="1">
        <v>2557</v>
      </c>
      <c r="D186" s="1">
        <v>279</v>
      </c>
      <c r="E186" s="3">
        <f>IF(INDEX(C:C, ROW())+INDEX(D:D, ROW())=0, 0, INDEX(C:C, ROW())/(INDEX(C:C, ROW())+INDEX(D:D, ROW())))</f>
        <v>0.90162200282087446</v>
      </c>
      <c r="F186" s="1" t="s">
        <v>297</v>
      </c>
      <c r="G186" s="1" t="s">
        <v>28</v>
      </c>
      <c r="H186" s="1">
        <v>626232</v>
      </c>
      <c r="I186" s="1">
        <v>1046822</v>
      </c>
      <c r="J186" s="7">
        <v>0.59799999999999998</v>
      </c>
      <c r="K186" s="1" t="s">
        <v>21</v>
      </c>
      <c r="L186" s="1" t="s">
        <v>21</v>
      </c>
      <c r="M186" s="1" t="s">
        <v>29</v>
      </c>
      <c r="N186" s="1" t="s">
        <v>297</v>
      </c>
    </row>
    <row r="187" spans="1:14" x14ac:dyDescent="0.25">
      <c r="A187" s="1">
        <v>186</v>
      </c>
      <c r="B187" s="2" t="str">
        <f>HYPERLINK("https://leetcode.com/problems/reverse-words-in-a-string-ii/", "Reverse Words in a String II")</f>
        <v>Reverse Words in a String II</v>
      </c>
      <c r="C187" s="1">
        <v>1116</v>
      </c>
      <c r="D187" s="1">
        <v>146</v>
      </c>
      <c r="E187" s="3">
        <f>IF(INDEX(C:C, ROW())+INDEX(D:D, ROW())=0, 0, INDEX(C:C, ROW())/(INDEX(C:C, ROW())+INDEX(D:D, ROW())))</f>
        <v>0.88431061806656097</v>
      </c>
      <c r="F187" s="1" t="s">
        <v>117</v>
      </c>
      <c r="G187" s="1" t="s">
        <v>24</v>
      </c>
      <c r="H187" s="1">
        <v>180016</v>
      </c>
      <c r="I187" s="1">
        <v>318109</v>
      </c>
      <c r="J187" s="7">
        <v>0.56599999999999995</v>
      </c>
      <c r="K187" s="1" t="s">
        <v>29</v>
      </c>
      <c r="L187" s="1" t="s">
        <v>21</v>
      </c>
      <c r="M187" s="1" t="s">
        <v>21</v>
      </c>
      <c r="N187" s="1" t="s">
        <v>22</v>
      </c>
    </row>
    <row r="188" spans="1:14" x14ac:dyDescent="0.25">
      <c r="A188" s="1">
        <v>187</v>
      </c>
      <c r="B188" s="2" t="str">
        <f>HYPERLINK("https://leetcode.com/problems/repeated-dna-sequences/", "Repeated DNA Sequences")</f>
        <v>Repeated DNA Sequences</v>
      </c>
      <c r="C188" s="1">
        <v>3606</v>
      </c>
      <c r="D188" s="1">
        <v>569</v>
      </c>
      <c r="E188" s="3">
        <f>IF(INDEX(C:C, ROW())+INDEX(D:D, ROW())=0, 0, INDEX(C:C, ROW())/(INDEX(C:C, ROW())+INDEX(D:D, ROW())))</f>
        <v>0.8637125748502994</v>
      </c>
      <c r="F188" s="1" t="s">
        <v>337</v>
      </c>
      <c r="G188" s="1" t="s">
        <v>24</v>
      </c>
      <c r="H188" s="1">
        <v>516166</v>
      </c>
      <c r="I188" s="1">
        <v>976202</v>
      </c>
      <c r="J188" s="7">
        <v>0.52900000000000003</v>
      </c>
      <c r="K188" s="1" t="s">
        <v>21</v>
      </c>
      <c r="L188" s="1" t="s">
        <v>21</v>
      </c>
      <c r="M188" s="1" t="s">
        <v>29</v>
      </c>
      <c r="N188" s="1" t="s">
        <v>22</v>
      </c>
    </row>
    <row r="189" spans="1:14" x14ac:dyDescent="0.25">
      <c r="A189" s="1">
        <v>188</v>
      </c>
      <c r="B189" s="2" t="str">
        <f>HYPERLINK("https://leetcode.com/problems/best-time-to-buy-and-sell-stock-iv/", "Best Time to Buy and Sell Stock IV")</f>
        <v>Best Time to Buy and Sell Stock IV</v>
      </c>
      <c r="C189" s="1">
        <v>7973</v>
      </c>
      <c r="D189" s="1">
        <v>225</v>
      </c>
      <c r="E189" s="3">
        <f>IF(INDEX(C:C, ROW())+INDEX(D:D, ROW())=0, 0, INDEX(C:C, ROW())/(INDEX(C:C, ROW())+INDEX(D:D, ROW())))</f>
        <v>0.97255428153208101</v>
      </c>
      <c r="F189" s="1" t="s">
        <v>30</v>
      </c>
      <c r="G189" s="1" t="s">
        <v>28</v>
      </c>
      <c r="H189" s="1">
        <v>693618</v>
      </c>
      <c r="I189" s="1">
        <v>1400916</v>
      </c>
      <c r="J189" s="7">
        <v>0.495</v>
      </c>
      <c r="K189" s="1" t="s">
        <v>21</v>
      </c>
      <c r="L189" s="1" t="s">
        <v>21</v>
      </c>
      <c r="M189" s="1" t="s">
        <v>29</v>
      </c>
      <c r="N189" s="1" t="s">
        <v>22</v>
      </c>
    </row>
    <row r="190" spans="1:14" x14ac:dyDescent="0.25">
      <c r="A190" s="1">
        <v>189</v>
      </c>
      <c r="B190" s="2" t="str">
        <f>HYPERLINK("https://leetcode.com/problems/rotate-array/", "Rotate Array")</f>
        <v>Rotate Array</v>
      </c>
      <c r="C190" s="1">
        <v>20861</v>
      </c>
      <c r="D190" s="1">
        <v>2174</v>
      </c>
      <c r="E190" s="3">
        <f>IF(INDEX(C:C, ROW())+INDEX(D:D, ROW())=0, 0, INDEX(C:C, ROW())/(INDEX(C:C, ROW())+INDEX(D:D, ROW())))</f>
        <v>0.90562187974820929</v>
      </c>
      <c r="F190" s="1" t="s">
        <v>55</v>
      </c>
      <c r="G190" s="1" t="s">
        <v>24</v>
      </c>
      <c r="H190" s="1">
        <v>3781135</v>
      </c>
      <c r="I190" s="1">
        <v>8503491</v>
      </c>
      <c r="J190" s="7">
        <v>0.44500000000000001</v>
      </c>
      <c r="K190" s="1" t="s">
        <v>21</v>
      </c>
      <c r="L190" s="1" t="s">
        <v>21</v>
      </c>
      <c r="M190" s="1" t="s">
        <v>29</v>
      </c>
      <c r="N190" s="1" t="s">
        <v>22</v>
      </c>
    </row>
    <row r="191" spans="1:14" x14ac:dyDescent="0.25">
      <c r="A191" s="1">
        <v>190</v>
      </c>
      <c r="B191" s="2" t="str">
        <f>HYPERLINK("https://leetcode.com/problems/reverse-bits/", "Reverse Bits")</f>
        <v>Reverse Bits</v>
      </c>
      <c r="C191" s="1">
        <v>5864</v>
      </c>
      <c r="D191" s="1">
        <v>1675</v>
      </c>
      <c r="E191" s="3">
        <f>IF(INDEX(C:C, ROW())+INDEX(D:D, ROW())=0, 0, INDEX(C:C, ROW())/(INDEX(C:C, ROW())+INDEX(D:D, ROW())))</f>
        <v>0.77782199230667193</v>
      </c>
      <c r="F191" s="1" t="s">
        <v>195</v>
      </c>
      <c r="G191" s="1" t="s">
        <v>20</v>
      </c>
      <c r="H191" s="1">
        <v>1297558</v>
      </c>
      <c r="I191" s="1">
        <v>1915516</v>
      </c>
      <c r="J191" s="7">
        <v>0.67700000000000005</v>
      </c>
      <c r="K191" s="1" t="s">
        <v>21</v>
      </c>
      <c r="L191" s="1" t="s">
        <v>21</v>
      </c>
      <c r="M191" s="1" t="s">
        <v>29</v>
      </c>
      <c r="N191" s="1" t="s">
        <v>22</v>
      </c>
    </row>
    <row r="192" spans="1:14" x14ac:dyDescent="0.25">
      <c r="A192" s="1">
        <v>191</v>
      </c>
      <c r="B192" s="2" t="str">
        <f>HYPERLINK("https://leetcode.com/problems/number-of-1-bits/", "Number of 1 Bits")</f>
        <v>Number of 1 Bits</v>
      </c>
      <c r="C192" s="1">
        <v>7144</v>
      </c>
      <c r="D192" s="1">
        <v>1370</v>
      </c>
      <c r="E192" s="3">
        <f>IF(INDEX(C:C, ROW())+INDEX(D:D, ROW())=0, 0, INDEX(C:C, ROW())/(INDEX(C:C, ROW())+INDEX(D:D, ROW())))</f>
        <v>0.83908856001879262</v>
      </c>
      <c r="F192" s="1" t="s">
        <v>195</v>
      </c>
      <c r="G192" s="1" t="s">
        <v>20</v>
      </c>
      <c r="H192" s="1">
        <v>2060439</v>
      </c>
      <c r="I192" s="1">
        <v>2699027</v>
      </c>
      <c r="J192" s="7">
        <v>0.76300000000000001</v>
      </c>
      <c r="K192" s="1" t="s">
        <v>21</v>
      </c>
      <c r="L192" s="1" t="s">
        <v>21</v>
      </c>
      <c r="M192" s="1" t="s">
        <v>29</v>
      </c>
      <c r="N192" s="1" t="s">
        <v>22</v>
      </c>
    </row>
    <row r="193" spans="1:14" x14ac:dyDescent="0.25">
      <c r="A193" s="1">
        <v>192</v>
      </c>
      <c r="B193" s="2" t="str">
        <f>HYPERLINK("https://leetcode.com/problems/word-frequency/", "Word Frequency")</f>
        <v>Word Frequency</v>
      </c>
      <c r="C193" s="1">
        <v>581</v>
      </c>
      <c r="D193" s="1">
        <v>311</v>
      </c>
      <c r="E193" s="3">
        <f>IF(INDEX(C:C, ROW())+INDEX(D:D, ROW())=0, 0, INDEX(C:C, ROW())/(INDEX(C:C, ROW())+INDEX(D:D, ROW())))</f>
        <v>0.65134529147982068</v>
      </c>
      <c r="F193" s="1" t="s">
        <v>860</v>
      </c>
      <c r="G193" s="1" t="s">
        <v>24</v>
      </c>
      <c r="H193" s="1">
        <v>74162</v>
      </c>
      <c r="I193" s="1">
        <v>261301</v>
      </c>
      <c r="J193" s="7">
        <v>0.28399999999999997</v>
      </c>
      <c r="K193" s="1" t="s">
        <v>21</v>
      </c>
      <c r="L193" s="1" t="s">
        <v>29</v>
      </c>
      <c r="M193" s="1" t="s">
        <v>29</v>
      </c>
      <c r="N193" s="1" t="s">
        <v>860</v>
      </c>
    </row>
    <row r="194" spans="1:14" x14ac:dyDescent="0.25">
      <c r="A194" s="1">
        <v>193</v>
      </c>
      <c r="B194" s="2" t="str">
        <f>HYPERLINK("https://leetcode.com/problems/valid-phone-numbers/", "Valid Phone Numbers")</f>
        <v>Valid Phone Numbers</v>
      </c>
      <c r="C194" s="1">
        <v>480</v>
      </c>
      <c r="D194" s="1">
        <v>983</v>
      </c>
      <c r="E194" s="3">
        <f>IF(INDEX(C:C, ROW())+INDEX(D:D, ROW())=0, 0, INDEX(C:C, ROW())/(INDEX(C:C, ROW())+INDEX(D:D, ROW())))</f>
        <v>0.32809295967190705</v>
      </c>
      <c r="F194" s="1" t="s">
        <v>860</v>
      </c>
      <c r="G194" s="1" t="s">
        <v>20</v>
      </c>
      <c r="H194" s="1">
        <v>124114</v>
      </c>
      <c r="I194" s="1">
        <v>428777</v>
      </c>
      <c r="J194" s="7">
        <v>0.28899999999999998</v>
      </c>
      <c r="K194" s="1" t="s">
        <v>21</v>
      </c>
      <c r="L194" s="1" t="s">
        <v>29</v>
      </c>
      <c r="M194" s="1" t="s">
        <v>29</v>
      </c>
      <c r="N194" s="1" t="s">
        <v>860</v>
      </c>
    </row>
    <row r="195" spans="1:14" x14ac:dyDescent="0.25">
      <c r="A195" s="1">
        <v>194</v>
      </c>
      <c r="B195" s="2" t="str">
        <f>HYPERLINK("https://leetcode.com/problems/transpose-file/", "Transpose File")</f>
        <v>Transpose File</v>
      </c>
      <c r="C195" s="1">
        <v>164</v>
      </c>
      <c r="D195" s="1">
        <v>290</v>
      </c>
      <c r="E195" s="3">
        <f>IF(INDEX(C:C, ROW())+INDEX(D:D, ROW())=0, 0, INDEX(C:C, ROW())/(INDEX(C:C, ROW())+INDEX(D:D, ROW())))</f>
        <v>0.36123348017621143</v>
      </c>
      <c r="F195" s="1" t="s">
        <v>860</v>
      </c>
      <c r="G195" s="1" t="s">
        <v>24</v>
      </c>
      <c r="H195" s="1">
        <v>40567</v>
      </c>
      <c r="I195" s="1">
        <v>132465</v>
      </c>
      <c r="J195" s="7">
        <v>0.30599999999999999</v>
      </c>
      <c r="K195" s="1" t="s">
        <v>21</v>
      </c>
      <c r="L195" s="1" t="s">
        <v>29</v>
      </c>
      <c r="M195" s="1" t="s">
        <v>29</v>
      </c>
      <c r="N195" s="1" t="s">
        <v>860</v>
      </c>
    </row>
    <row r="196" spans="1:14" x14ac:dyDescent="0.25">
      <c r="A196" s="1">
        <v>195</v>
      </c>
      <c r="B196" s="2" t="str">
        <f>HYPERLINK("https://leetcode.com/problems/tenth-line/", "Tenth Line")</f>
        <v>Tenth Line</v>
      </c>
      <c r="C196" s="1">
        <v>422</v>
      </c>
      <c r="D196" s="1">
        <v>486</v>
      </c>
      <c r="E196" s="3">
        <f>IF(INDEX(C:C, ROW())+INDEX(D:D, ROW())=0, 0, INDEX(C:C, ROW())/(INDEX(C:C, ROW())+INDEX(D:D, ROW())))</f>
        <v>0.46475770925110133</v>
      </c>
      <c r="F196" s="1" t="s">
        <v>860</v>
      </c>
      <c r="G196" s="1" t="s">
        <v>20</v>
      </c>
      <c r="H196" s="1">
        <v>154560</v>
      </c>
      <c r="I196" s="1">
        <v>427762</v>
      </c>
      <c r="J196" s="7">
        <v>0.36099999999999999</v>
      </c>
      <c r="K196" s="1" t="s">
        <v>21</v>
      </c>
      <c r="L196" s="1" t="s">
        <v>29</v>
      </c>
      <c r="M196" s="1" t="s">
        <v>29</v>
      </c>
      <c r="N196" s="1" t="s">
        <v>860</v>
      </c>
    </row>
    <row r="197" spans="1:14" x14ac:dyDescent="0.25">
      <c r="A197" s="1">
        <v>196</v>
      </c>
      <c r="B197" s="2" t="str">
        <f>HYPERLINK("https://leetcode.com/problems/delete-duplicate-emails/", "Delete Duplicate Emails")</f>
        <v>Delete Duplicate Emails</v>
      </c>
      <c r="C197" s="1">
        <v>2050</v>
      </c>
      <c r="D197" s="1">
        <v>421</v>
      </c>
      <c r="E197" s="3">
        <f>IF(INDEX(C:C, ROW())+INDEX(D:D, ROW())=0, 0, INDEX(C:C, ROW())/(INDEX(C:C, ROW())+INDEX(D:D, ROW())))</f>
        <v>0.8296236341562121</v>
      </c>
      <c r="F197" s="1" t="s">
        <v>297</v>
      </c>
      <c r="G197" s="1" t="s">
        <v>20</v>
      </c>
      <c r="H197" s="1">
        <v>922236</v>
      </c>
      <c r="I197" s="1">
        <v>1406109</v>
      </c>
      <c r="J197" s="7">
        <v>0.65600000000000003</v>
      </c>
      <c r="K197" s="1" t="s">
        <v>21</v>
      </c>
      <c r="L197" s="1" t="s">
        <v>21</v>
      </c>
      <c r="M197" s="1" t="s">
        <v>29</v>
      </c>
      <c r="N197" s="1" t="s">
        <v>297</v>
      </c>
    </row>
    <row r="198" spans="1:14" x14ac:dyDescent="0.25">
      <c r="A198" s="1">
        <v>197</v>
      </c>
      <c r="B198" s="2" t="str">
        <f>HYPERLINK("https://leetcode.com/problems/rising-temperature/", "Rising Temperature")</f>
        <v>Rising Temperature</v>
      </c>
      <c r="C198" s="1">
        <v>4169</v>
      </c>
      <c r="D198" s="1">
        <v>740</v>
      </c>
      <c r="E198" s="3">
        <f>IF(INDEX(C:C, ROW())+INDEX(D:D, ROW())=0, 0, INDEX(C:C, ROW())/(INDEX(C:C, ROW())+INDEX(D:D, ROW())))</f>
        <v>0.84925646771236507</v>
      </c>
      <c r="F198" s="1" t="s">
        <v>297</v>
      </c>
      <c r="G198" s="1" t="s">
        <v>20</v>
      </c>
      <c r="H198" s="1">
        <v>1426565</v>
      </c>
      <c r="I198" s="1">
        <v>2795815</v>
      </c>
      <c r="J198" s="7">
        <v>0.51</v>
      </c>
      <c r="K198" s="1" t="s">
        <v>21</v>
      </c>
      <c r="L198" s="1" t="s">
        <v>21</v>
      </c>
      <c r="M198" s="1" t="s">
        <v>29</v>
      </c>
      <c r="N198" s="1" t="s">
        <v>297</v>
      </c>
    </row>
    <row r="199" spans="1:14" x14ac:dyDescent="0.25">
      <c r="A199" s="1">
        <v>198</v>
      </c>
      <c r="B199" s="2" t="str">
        <f>HYPERLINK("https://leetcode.com/problems/house-robber/", "House Robber")</f>
        <v>House Robber</v>
      </c>
      <c r="C199" s="1">
        <v>23299</v>
      </c>
      <c r="D199" s="1">
        <v>507</v>
      </c>
      <c r="E199" s="3">
        <f>IF(INDEX(C:C, ROW())+INDEX(D:D, ROW())=0, 0, INDEX(C:C, ROW())/(INDEX(C:C, ROW())+INDEX(D:D, ROW())))</f>
        <v>0.9787028480215072</v>
      </c>
      <c r="F199" s="1" t="s">
        <v>30</v>
      </c>
      <c r="G199" s="1" t="s">
        <v>24</v>
      </c>
      <c r="H199" s="1">
        <v>3411962</v>
      </c>
      <c r="I199" s="1">
        <v>6445555</v>
      </c>
      <c r="J199" s="7">
        <v>0.52900000000000003</v>
      </c>
      <c r="K199" s="1" t="s">
        <v>21</v>
      </c>
      <c r="L199" s="1" t="s">
        <v>21</v>
      </c>
      <c r="M199" s="1" t="s">
        <v>29</v>
      </c>
      <c r="N199" s="1" t="s">
        <v>22</v>
      </c>
    </row>
    <row r="200" spans="1:14" x14ac:dyDescent="0.25">
      <c r="A200" s="1">
        <v>199</v>
      </c>
      <c r="B200" s="2" t="str">
        <f>HYPERLINK("https://leetcode.com/problems/binary-tree-right-side-view/", "Binary Tree Right Side View")</f>
        <v>Binary Tree Right Side View</v>
      </c>
      <c r="C200" s="1">
        <v>13335</v>
      </c>
      <c r="D200" s="1">
        <v>1084</v>
      </c>
      <c r="E200" s="3">
        <f>IF(INDEX(C:C, ROW())+INDEX(D:D, ROW())=0, 0, INDEX(C:C, ROW())/(INDEX(C:C, ROW())+INDEX(D:D, ROW())))</f>
        <v>0.92482141618697555</v>
      </c>
      <c r="F200" s="1" t="s">
        <v>80</v>
      </c>
      <c r="G200" s="1" t="s">
        <v>24</v>
      </c>
      <c r="H200" s="1">
        <v>2149502</v>
      </c>
      <c r="I200" s="1">
        <v>3093078</v>
      </c>
      <c r="J200" s="7">
        <v>0.69499999999999995</v>
      </c>
      <c r="K200" s="1" t="s">
        <v>21</v>
      </c>
      <c r="L200" s="1" t="s">
        <v>21</v>
      </c>
      <c r="M200" s="1" t="s">
        <v>21</v>
      </c>
      <c r="N200" s="1" t="s">
        <v>22</v>
      </c>
    </row>
    <row r="201" spans="1:14" x14ac:dyDescent="0.25">
      <c r="A201" s="1">
        <v>200</v>
      </c>
      <c r="B201" s="2" t="str">
        <f>HYPERLINK("https://leetcode.com/problems/number-of-islands/", "Number of Islands")</f>
        <v>Number of Islands</v>
      </c>
      <c r="C201" s="1">
        <v>24794</v>
      </c>
      <c r="D201" s="1">
        <v>613</v>
      </c>
      <c r="E201" s="3">
        <f>IF(INDEX(C:C, ROW())+INDEX(D:D, ROW())=0, 0, INDEX(C:C, ROW())/(INDEX(C:C, ROW())+INDEX(D:D, ROW())))</f>
        <v>0.97587279096312041</v>
      </c>
      <c r="F201" s="1" t="s">
        <v>40</v>
      </c>
      <c r="G201" s="1" t="s">
        <v>24</v>
      </c>
      <c r="H201" s="1">
        <v>3991173</v>
      </c>
      <c r="I201" s="1">
        <v>6254085</v>
      </c>
      <c r="J201" s="7">
        <v>0.63800000000000001</v>
      </c>
      <c r="K201" s="1" t="s">
        <v>21</v>
      </c>
      <c r="L201" s="1" t="s">
        <v>21</v>
      </c>
      <c r="M201" s="1" t="s">
        <v>21</v>
      </c>
      <c r="N201" s="1" t="s">
        <v>22</v>
      </c>
    </row>
    <row r="202" spans="1:14" x14ac:dyDescent="0.25">
      <c r="A202" s="1">
        <v>201</v>
      </c>
      <c r="B202" s="2" t="str">
        <f>HYPERLINK("https://leetcode.com/problems/bitwise-and-of-numbers-range/", "Bitwise AND of Numbers Range")</f>
        <v>Bitwise AND of Numbers Range</v>
      </c>
      <c r="C202" s="1">
        <v>4262</v>
      </c>
      <c r="D202" s="1">
        <v>318</v>
      </c>
      <c r="E202" s="3">
        <f>IF(INDEX(C:C, ROW())+INDEX(D:D, ROW())=0, 0, INDEX(C:C, ROW())/(INDEX(C:C, ROW())+INDEX(D:D, ROW())))</f>
        <v>0.93056768558951963</v>
      </c>
      <c r="F202" s="1" t="s">
        <v>298</v>
      </c>
      <c r="G202" s="1" t="s">
        <v>24</v>
      </c>
      <c r="H202" s="1">
        <v>502869</v>
      </c>
      <c r="I202" s="1">
        <v>1033425</v>
      </c>
      <c r="J202" s="7">
        <v>0.48699999999999999</v>
      </c>
      <c r="K202" s="1" t="s">
        <v>21</v>
      </c>
      <c r="L202" s="1" t="s">
        <v>21</v>
      </c>
      <c r="M202" s="1" t="s">
        <v>29</v>
      </c>
      <c r="N202" s="1" t="s">
        <v>22</v>
      </c>
    </row>
    <row r="203" spans="1:14" x14ac:dyDescent="0.25">
      <c r="A203" s="1">
        <v>202</v>
      </c>
      <c r="B203" s="2" t="str">
        <f>HYPERLINK("https://leetcode.com/problems/happy-number/", "Happy Number")</f>
        <v>Happy Number</v>
      </c>
      <c r="C203" s="1">
        <v>11834</v>
      </c>
      <c r="D203" s="1">
        <v>1632</v>
      </c>
      <c r="E203" s="3">
        <f>IF(INDEX(C:C, ROW())+INDEX(D:D, ROW())=0, 0, INDEX(C:C, ROW())/(INDEX(C:C, ROW())+INDEX(D:D, ROW())))</f>
        <v>0.87880588147928118</v>
      </c>
      <c r="F203" s="1" t="s">
        <v>111</v>
      </c>
      <c r="G203" s="1" t="s">
        <v>20</v>
      </c>
      <c r="H203" s="1">
        <v>2187998</v>
      </c>
      <c r="I203" s="1">
        <v>3694054</v>
      </c>
      <c r="J203" s="7">
        <v>0.59199999999999997</v>
      </c>
      <c r="K203" s="1" t="s">
        <v>21</v>
      </c>
      <c r="L203" s="1" t="s">
        <v>21</v>
      </c>
      <c r="M203" s="1" t="s">
        <v>29</v>
      </c>
      <c r="N203" s="1" t="s">
        <v>22</v>
      </c>
    </row>
    <row r="204" spans="1:14" x14ac:dyDescent="0.25">
      <c r="A204" s="1">
        <v>203</v>
      </c>
      <c r="B204" s="2" t="str">
        <f>HYPERLINK("https://leetcode.com/problems/remove-linked-list-elements/", "Remove Linked List Elements")</f>
        <v>Remove Linked List Elements</v>
      </c>
      <c r="C204" s="1">
        <v>8986</v>
      </c>
      <c r="D204" s="1">
        <v>289</v>
      </c>
      <c r="E204" s="3">
        <f>IF(INDEX(C:C, ROW())+INDEX(D:D, ROW())=0, 0, INDEX(C:C, ROW())/(INDEX(C:C, ROW())+INDEX(D:D, ROW())))</f>
        <v>0.96884097035040428</v>
      </c>
      <c r="F204" s="1" t="s">
        <v>41</v>
      </c>
      <c r="G204" s="1" t="s">
        <v>20</v>
      </c>
      <c r="H204" s="1">
        <v>1553386</v>
      </c>
      <c r="I204" s="1">
        <v>2884421</v>
      </c>
      <c r="J204" s="7">
        <v>0.53900000000000003</v>
      </c>
      <c r="K204" s="1" t="s">
        <v>21</v>
      </c>
      <c r="L204" s="1" t="s">
        <v>21</v>
      </c>
      <c r="M204" s="1" t="s">
        <v>29</v>
      </c>
      <c r="N204" s="1" t="s">
        <v>22</v>
      </c>
    </row>
    <row r="205" spans="1:14" x14ac:dyDescent="0.25">
      <c r="A205" s="1">
        <v>204</v>
      </c>
      <c r="B205" s="2" t="str">
        <f>HYPERLINK("https://leetcode.com/problems/count-primes/", "Count Primes")</f>
        <v>Count Primes</v>
      </c>
      <c r="C205" s="1">
        <v>8759</v>
      </c>
      <c r="D205" s="1">
        <v>1575</v>
      </c>
      <c r="E205" s="3">
        <f>IF(INDEX(C:C, ROW())+INDEX(D:D, ROW())=0, 0, INDEX(C:C, ROW())/(INDEX(C:C, ROW())+INDEX(D:D, ROW())))</f>
        <v>0.84759047803367527</v>
      </c>
      <c r="F205" s="1" t="s">
        <v>161</v>
      </c>
      <c r="G205" s="1" t="s">
        <v>24</v>
      </c>
      <c r="H205" s="1">
        <v>1227218</v>
      </c>
      <c r="I205" s="1">
        <v>3432741</v>
      </c>
      <c r="J205" s="7">
        <v>0.35799999999999998</v>
      </c>
      <c r="K205" s="1" t="s">
        <v>21</v>
      </c>
      <c r="L205" s="1" t="s">
        <v>21</v>
      </c>
      <c r="M205" s="1" t="s">
        <v>29</v>
      </c>
      <c r="N205" s="1" t="s">
        <v>22</v>
      </c>
    </row>
    <row r="206" spans="1:14" x14ac:dyDescent="0.25">
      <c r="A206" s="1">
        <v>205</v>
      </c>
      <c r="B206" s="2" t="str">
        <f>HYPERLINK("https://leetcode.com/problems/isomorphic-strings/", "Isomorphic Strings")</f>
        <v>Isomorphic Strings</v>
      </c>
      <c r="C206" s="1">
        <v>10445</v>
      </c>
      <c r="D206" s="1">
        <v>2277</v>
      </c>
      <c r="E206" s="3">
        <f>IF(INDEX(C:C, ROW())+INDEX(D:D, ROW())=0, 0, INDEX(C:C, ROW())/(INDEX(C:C, ROW())+INDEX(D:D, ROW())))</f>
        <v>0.82101870775035368</v>
      </c>
      <c r="F206" s="1" t="s">
        <v>131</v>
      </c>
      <c r="G206" s="1" t="s">
        <v>20</v>
      </c>
      <c r="H206" s="1">
        <v>2092771</v>
      </c>
      <c r="I206" s="1">
        <v>4357269</v>
      </c>
      <c r="J206" s="7">
        <v>0.48</v>
      </c>
      <c r="K206" s="1" t="s">
        <v>21</v>
      </c>
      <c r="L206" s="1" t="s">
        <v>21</v>
      </c>
      <c r="M206" s="1" t="s">
        <v>29</v>
      </c>
      <c r="N206" s="1" t="s">
        <v>22</v>
      </c>
    </row>
    <row r="207" spans="1:14" x14ac:dyDescent="0.25">
      <c r="A207" s="1">
        <v>206</v>
      </c>
      <c r="B207" s="2" t="str">
        <f>HYPERLINK("https://leetcode.com/problems/reverse-linked-list/", "Reverse Linked List")</f>
        <v>Reverse Linked List</v>
      </c>
      <c r="C207" s="1">
        <v>24291</v>
      </c>
      <c r="D207" s="1">
        <v>567</v>
      </c>
      <c r="E207" s="3">
        <f>IF(INDEX(C:C, ROW())+INDEX(D:D, ROW())=0, 0, INDEX(C:C, ROW())/(INDEX(C:C, ROW())+INDEX(D:D, ROW())))</f>
        <v>0.97719044170890657</v>
      </c>
      <c r="F207" s="1" t="s">
        <v>41</v>
      </c>
      <c r="G207" s="1" t="s">
        <v>20</v>
      </c>
      <c r="H207" s="1">
        <v>6087934</v>
      </c>
      <c r="I207" s="1">
        <v>7584898</v>
      </c>
      <c r="J207" s="7">
        <v>0.80300000000000005</v>
      </c>
      <c r="K207" s="1" t="s">
        <v>21</v>
      </c>
      <c r="L207" s="1" t="s">
        <v>21</v>
      </c>
      <c r="M207" s="1" t="s">
        <v>21</v>
      </c>
      <c r="N207" s="1" t="s">
        <v>22</v>
      </c>
    </row>
    <row r="208" spans="1:14" x14ac:dyDescent="0.25">
      <c r="A208" s="1">
        <v>207</v>
      </c>
      <c r="B208" s="2" t="str">
        <f>HYPERLINK("https://leetcode.com/problems/course-schedule/", "Course Schedule")</f>
        <v>Course Schedule</v>
      </c>
      <c r="C208" s="1">
        <v>17846</v>
      </c>
      <c r="D208" s="1">
        <v>864</v>
      </c>
      <c r="E208" s="3">
        <f>IF(INDEX(C:C, ROW())+INDEX(D:D, ROW())=0, 0, INDEX(C:C, ROW())/(INDEX(C:C, ROW())+INDEX(D:D, ROW())))</f>
        <v>0.9538214858364511</v>
      </c>
      <c r="F208" s="1" t="s">
        <v>72</v>
      </c>
      <c r="G208" s="1" t="s">
        <v>24</v>
      </c>
      <c r="H208" s="1">
        <v>2474911</v>
      </c>
      <c r="I208" s="1">
        <v>4870181</v>
      </c>
      <c r="J208" s="7">
        <v>0.50800000000000001</v>
      </c>
      <c r="K208" s="1" t="s">
        <v>21</v>
      </c>
      <c r="L208" s="1" t="s">
        <v>21</v>
      </c>
      <c r="M208" s="1" t="s">
        <v>29</v>
      </c>
      <c r="N208" s="1" t="s">
        <v>22</v>
      </c>
    </row>
    <row r="209" spans="1:14" x14ac:dyDescent="0.25">
      <c r="A209" s="1">
        <v>208</v>
      </c>
      <c r="B209" s="2" t="str">
        <f>HYPERLINK("https://leetcode.com/problems/implement-trie-prefix-tree/", "Implement Trie (Prefix Tree)")</f>
        <v>Implement Trie (Prefix Tree)</v>
      </c>
      <c r="C209" s="1">
        <v>12389</v>
      </c>
      <c r="D209" s="1">
        <v>163</v>
      </c>
      <c r="E209" s="3">
        <f>IF(INDEX(C:C, ROW())+INDEX(D:D, ROW())=0, 0, INDEX(C:C, ROW())/(INDEX(C:C, ROW())+INDEX(D:D, ROW())))</f>
        <v>0.98701402166985341</v>
      </c>
      <c r="F209" s="1" t="s">
        <v>105</v>
      </c>
      <c r="G209" s="1" t="s">
        <v>24</v>
      </c>
      <c r="H209" s="1">
        <v>1498743</v>
      </c>
      <c r="I209" s="1">
        <v>2166661</v>
      </c>
      <c r="J209" s="7">
        <v>0.69199999999999995</v>
      </c>
      <c r="K209" s="1" t="s">
        <v>21</v>
      </c>
      <c r="L209" s="1" t="s">
        <v>21</v>
      </c>
      <c r="M209" s="1" t="s">
        <v>29</v>
      </c>
      <c r="N209" s="1" t="s">
        <v>22</v>
      </c>
    </row>
    <row r="210" spans="1:14" x14ac:dyDescent="0.25">
      <c r="A210" s="1">
        <v>209</v>
      </c>
      <c r="B210" s="2" t="str">
        <f>HYPERLINK("https://leetcode.com/problems/minimum-size-subarray-sum/", "Minimum Size Subarray Sum")</f>
        <v>Minimum Size Subarray Sum</v>
      </c>
      <c r="C210" s="1">
        <v>14256</v>
      </c>
      <c r="D210" s="1">
        <v>534</v>
      </c>
      <c r="E210" s="3">
        <f>IF(INDEX(C:C, ROW())+INDEX(D:D, ROW())=0, 0, INDEX(C:C, ROW())/(INDEX(C:C, ROW())+INDEX(D:D, ROW())))</f>
        <v>0.96389452332657199</v>
      </c>
      <c r="F210" s="1" t="s">
        <v>88</v>
      </c>
      <c r="G210" s="1" t="s">
        <v>24</v>
      </c>
      <c r="H210" s="1">
        <v>1784097</v>
      </c>
      <c r="I210" s="1">
        <v>3496341</v>
      </c>
      <c r="J210" s="7">
        <v>0.51</v>
      </c>
      <c r="K210" s="1" t="s">
        <v>21</v>
      </c>
      <c r="L210" s="1" t="s">
        <v>21</v>
      </c>
      <c r="M210" s="1" t="s">
        <v>29</v>
      </c>
      <c r="N210" s="1" t="s">
        <v>22</v>
      </c>
    </row>
    <row r="211" spans="1:14" x14ac:dyDescent="0.25">
      <c r="A211" s="1">
        <v>210</v>
      </c>
      <c r="B211" s="2" t="str">
        <f>HYPERLINK("https://leetcode.com/problems/course-schedule-ii/", "Course Schedule II")</f>
        <v>Course Schedule II</v>
      </c>
      <c r="C211" s="1">
        <v>11873</v>
      </c>
      <c r="D211" s="1">
        <v>378</v>
      </c>
      <c r="E211" s="3">
        <f>IF(INDEX(C:C, ROW())+INDEX(D:D, ROW())=0, 0, INDEX(C:C, ROW())/(INDEX(C:C, ROW())+INDEX(D:D, ROW())))</f>
        <v>0.96914537588768268</v>
      </c>
      <c r="F211" s="1" t="s">
        <v>72</v>
      </c>
      <c r="G211" s="1" t="s">
        <v>24</v>
      </c>
      <c r="H211" s="1">
        <v>1637142</v>
      </c>
      <c r="I211" s="1">
        <v>2977308</v>
      </c>
      <c r="J211" s="7">
        <v>0.55000000000000004</v>
      </c>
      <c r="K211" s="1" t="s">
        <v>21</v>
      </c>
      <c r="L211" s="1" t="s">
        <v>21</v>
      </c>
      <c r="M211" s="1" t="s">
        <v>21</v>
      </c>
      <c r="N211" s="1" t="s">
        <v>22</v>
      </c>
    </row>
    <row r="212" spans="1:14" x14ac:dyDescent="0.25">
      <c r="A212" s="1">
        <v>211</v>
      </c>
      <c r="B212" s="2" t="str">
        <f>HYPERLINK("https://leetcode.com/problems/design-add-and-search-words-data-structure/", "Design Add and Search Words Data Structure")</f>
        <v>Design Add and Search Words Data Structure</v>
      </c>
      <c r="C212" s="1">
        <v>8057</v>
      </c>
      <c r="D212" s="1">
        <v>491</v>
      </c>
      <c r="E212" s="3">
        <f>IF(INDEX(C:C, ROW())+INDEX(D:D, ROW())=0, 0, INDEX(C:C, ROW())/(INDEX(C:C, ROW())+INDEX(D:D, ROW())))</f>
        <v>0.94255966307908279</v>
      </c>
      <c r="F212" s="1" t="s">
        <v>168</v>
      </c>
      <c r="G212" s="1" t="s">
        <v>24</v>
      </c>
      <c r="H212" s="1">
        <v>865013</v>
      </c>
      <c r="I212" s="1">
        <v>1796612</v>
      </c>
      <c r="J212" s="7">
        <v>0.48099999999999998</v>
      </c>
      <c r="K212" s="1" t="s">
        <v>21</v>
      </c>
      <c r="L212" s="1" t="s">
        <v>21</v>
      </c>
      <c r="M212" s="1" t="s">
        <v>29</v>
      </c>
      <c r="N212" s="1" t="s">
        <v>22</v>
      </c>
    </row>
    <row r="213" spans="1:14" x14ac:dyDescent="0.25">
      <c r="A213" s="1">
        <v>212</v>
      </c>
      <c r="B213" s="2" t="str">
        <f>HYPERLINK("https://leetcode.com/problems/word-search-ii/", "Word Search II")</f>
        <v>Word Search II</v>
      </c>
      <c r="C213" s="1">
        <v>10124</v>
      </c>
      <c r="D213" s="1">
        <v>506</v>
      </c>
      <c r="E213" s="3">
        <f>IF(INDEX(C:C, ROW())+INDEX(D:D, ROW())=0, 0, INDEX(C:C, ROW())/(INDEX(C:C, ROW())+INDEX(D:D, ROW())))</f>
        <v>0.95239887111947319</v>
      </c>
      <c r="F213" s="1" t="s">
        <v>135</v>
      </c>
      <c r="G213" s="1" t="s">
        <v>28</v>
      </c>
      <c r="H213" s="1">
        <v>883281</v>
      </c>
      <c r="I213" s="1">
        <v>2317314</v>
      </c>
      <c r="J213" s="7">
        <v>0.38100000000000001</v>
      </c>
      <c r="K213" s="1" t="s">
        <v>21</v>
      </c>
      <c r="L213" s="1" t="s">
        <v>21</v>
      </c>
      <c r="M213" s="1" t="s">
        <v>21</v>
      </c>
      <c r="N213" s="1" t="s">
        <v>22</v>
      </c>
    </row>
    <row r="214" spans="1:14" x14ac:dyDescent="0.25">
      <c r="A214" s="1">
        <v>213</v>
      </c>
      <c r="B214" s="2" t="str">
        <f>HYPERLINK("https://leetcode.com/problems/house-robber-ii/", "House Robber II")</f>
        <v>House Robber II</v>
      </c>
      <c r="C214" s="1">
        <v>10994</v>
      </c>
      <c r="D214" s="1">
        <v>188</v>
      </c>
      <c r="E214" s="3">
        <f>IF(INDEX(C:C, ROW())+INDEX(D:D, ROW())=0, 0, INDEX(C:C, ROW())/(INDEX(C:C, ROW())+INDEX(D:D, ROW())))</f>
        <v>0.9831872652477196</v>
      </c>
      <c r="F214" s="1" t="s">
        <v>30</v>
      </c>
      <c r="G214" s="1" t="s">
        <v>24</v>
      </c>
      <c r="H214" s="1">
        <v>1204998</v>
      </c>
      <c r="I214" s="1">
        <v>2701886</v>
      </c>
      <c r="J214" s="7">
        <v>0.44600000000000001</v>
      </c>
      <c r="K214" s="1" t="s">
        <v>21</v>
      </c>
      <c r="L214" s="1" t="s">
        <v>21</v>
      </c>
      <c r="M214" s="1" t="s">
        <v>29</v>
      </c>
      <c r="N214" s="1" t="s">
        <v>22</v>
      </c>
    </row>
    <row r="215" spans="1:14" x14ac:dyDescent="0.25">
      <c r="A215" s="1">
        <v>214</v>
      </c>
      <c r="B215" s="2" t="str">
        <f>HYPERLINK("https://leetcode.com/problems/shortest-palindrome/", "Shortest Palindrome")</f>
        <v>Shortest Palindrome</v>
      </c>
      <c r="C215" s="1">
        <v>4545</v>
      </c>
      <c r="D215" s="1">
        <v>292</v>
      </c>
      <c r="E215" s="3">
        <f>IF(INDEX(C:C, ROW())+INDEX(D:D, ROW())=0, 0, INDEX(C:C, ROW())/(INDEX(C:C, ROW())+INDEX(D:D, ROW())))</f>
        <v>0.93963200330783547</v>
      </c>
      <c r="F215" s="1" t="s">
        <v>283</v>
      </c>
      <c r="G215" s="1" t="s">
        <v>28</v>
      </c>
      <c r="H215" s="1">
        <v>345546</v>
      </c>
      <c r="I215" s="1">
        <v>825140</v>
      </c>
      <c r="J215" s="7">
        <v>0.41899999999999998</v>
      </c>
      <c r="K215" s="1" t="s">
        <v>21</v>
      </c>
      <c r="L215" s="1" t="s">
        <v>21</v>
      </c>
      <c r="M215" s="1" t="s">
        <v>29</v>
      </c>
      <c r="N215" s="1" t="s">
        <v>22</v>
      </c>
    </row>
    <row r="216" spans="1:14" x14ac:dyDescent="0.25">
      <c r="A216" s="1">
        <v>215</v>
      </c>
      <c r="B216" s="2" t="str">
        <f>HYPERLINK("https://leetcode.com/problems/kth-largest-element-in-an-array/", "Kth Largest Element in an Array")</f>
        <v>Kth Largest Element in an Array</v>
      </c>
      <c r="C216" s="1">
        <v>18666</v>
      </c>
      <c r="D216" s="1">
        <v>968</v>
      </c>
      <c r="E216" s="3">
        <f>IF(INDEX(C:C, ROW())+INDEX(D:D, ROW())=0, 0, INDEX(C:C, ROW())/(INDEX(C:C, ROW())+INDEX(D:D, ROW())))</f>
        <v>0.9506977691759193</v>
      </c>
      <c r="F216" s="1" t="s">
        <v>64</v>
      </c>
      <c r="G216" s="1" t="s">
        <v>24</v>
      </c>
      <c r="H216" s="1">
        <v>3493850</v>
      </c>
      <c r="I216" s="1">
        <v>5079898</v>
      </c>
      <c r="J216" s="7">
        <v>0.68799999999999994</v>
      </c>
      <c r="K216" s="1" t="s">
        <v>21</v>
      </c>
      <c r="L216" s="1" t="s">
        <v>21</v>
      </c>
      <c r="M216" s="1" t="s">
        <v>21</v>
      </c>
      <c r="N216" s="1" t="s">
        <v>22</v>
      </c>
    </row>
    <row r="217" spans="1:14" x14ac:dyDescent="0.25">
      <c r="A217" s="1">
        <v>216</v>
      </c>
      <c r="B217" s="2" t="str">
        <f>HYPERLINK("https://leetcode.com/problems/combination-sum-iii/", "Combination Sum III")</f>
        <v>Combination Sum III</v>
      </c>
      <c r="C217" s="1">
        <v>6607</v>
      </c>
      <c r="D217" s="1">
        <v>122</v>
      </c>
      <c r="E217" s="3">
        <f>IF(INDEX(C:C, ROW())+INDEX(D:D, ROW())=0, 0, INDEX(C:C, ROW())/(INDEX(C:C, ROW())+INDEX(D:D, ROW())))</f>
        <v>0.98186951998811112</v>
      </c>
      <c r="F217" s="1" t="s">
        <v>56</v>
      </c>
      <c r="G217" s="1" t="s">
        <v>24</v>
      </c>
      <c r="H217" s="1">
        <v>777493</v>
      </c>
      <c r="I217" s="1">
        <v>1065980</v>
      </c>
      <c r="J217" s="7">
        <v>0.72899999999999998</v>
      </c>
      <c r="K217" s="1" t="s">
        <v>21</v>
      </c>
      <c r="L217" s="1" t="s">
        <v>21</v>
      </c>
      <c r="M217" s="1" t="s">
        <v>29</v>
      </c>
      <c r="N217" s="1" t="s">
        <v>22</v>
      </c>
    </row>
    <row r="218" spans="1:14" x14ac:dyDescent="0.25">
      <c r="A218" s="1">
        <v>217</v>
      </c>
      <c r="B218" s="2" t="str">
        <f>HYPERLINK("https://leetcode.com/problems/contains-duplicate/", "Contains Duplicate")</f>
        <v>Contains Duplicate</v>
      </c>
      <c r="C218" s="1">
        <v>13789</v>
      </c>
      <c r="D218" s="1">
        <v>1361</v>
      </c>
      <c r="E218" s="3">
        <f>IF(INDEX(C:C, ROW())+INDEX(D:D, ROW())=0, 0, INDEX(C:C, ROW())/(INDEX(C:C, ROW())+INDEX(D:D, ROW())))</f>
        <v>0.91016501650165016</v>
      </c>
      <c r="F218" s="1" t="s">
        <v>92</v>
      </c>
      <c r="G218" s="1" t="s">
        <v>20</v>
      </c>
      <c r="H218" s="1">
        <v>6139108</v>
      </c>
      <c r="I218" s="1">
        <v>9582261</v>
      </c>
      <c r="J218" s="7">
        <v>0.64100000000000001</v>
      </c>
      <c r="K218" s="1" t="s">
        <v>21</v>
      </c>
      <c r="L218" s="1" t="s">
        <v>21</v>
      </c>
      <c r="M218" s="1" t="s">
        <v>29</v>
      </c>
      <c r="N218" s="1" t="s">
        <v>22</v>
      </c>
    </row>
    <row r="219" spans="1:14" x14ac:dyDescent="0.25">
      <c r="A219" s="1">
        <v>218</v>
      </c>
      <c r="B219" s="2" t="str">
        <f>HYPERLINK("https://leetcode.com/problems/the-skyline-problem/", "The Skyline Problem")</f>
        <v>The Skyline Problem</v>
      </c>
      <c r="C219" s="1">
        <v>6202</v>
      </c>
      <c r="D219" s="1">
        <v>285</v>
      </c>
      <c r="E219" s="3">
        <f>IF(INDEX(C:C, ROW())+INDEX(D:D, ROW())=0, 0, INDEX(C:C, ROW())/(INDEX(C:C, ROW())+INDEX(D:D, ROW())))</f>
        <v>0.95606597811006633</v>
      </c>
      <c r="F219" s="1" t="s">
        <v>220</v>
      </c>
      <c r="G219" s="1" t="s">
        <v>28</v>
      </c>
      <c r="H219" s="1">
        <v>345701</v>
      </c>
      <c r="I219" s="1">
        <v>768743</v>
      </c>
      <c r="J219" s="7">
        <v>0.45</v>
      </c>
      <c r="K219" s="1" t="s">
        <v>21</v>
      </c>
      <c r="L219" s="1" t="s">
        <v>21</v>
      </c>
      <c r="M219" s="1" t="s">
        <v>29</v>
      </c>
      <c r="N219" s="1" t="s">
        <v>22</v>
      </c>
    </row>
    <row r="220" spans="1:14" x14ac:dyDescent="0.25">
      <c r="A220" s="1">
        <v>219</v>
      </c>
      <c r="B220" s="2" t="str">
        <f>HYPERLINK("https://leetcode.com/problems/contains-duplicate-ii/", "Contains Duplicate II")</f>
        <v>Contains Duplicate II</v>
      </c>
      <c r="C220" s="1">
        <v>7415</v>
      </c>
      <c r="D220" s="1">
        <v>3308</v>
      </c>
      <c r="E220" s="3">
        <f>IF(INDEX(C:C, ROW())+INDEX(D:D, ROW())=0, 0, INDEX(C:C, ROW())/(INDEX(C:C, ROW())+INDEX(D:D, ROW())))</f>
        <v>0.69150424321551807</v>
      </c>
      <c r="F220" s="1" t="s">
        <v>185</v>
      </c>
      <c r="G220" s="1" t="s">
        <v>20</v>
      </c>
      <c r="H220" s="1">
        <v>1692028</v>
      </c>
      <c r="I220" s="1">
        <v>3331619</v>
      </c>
      <c r="J220" s="7">
        <v>0.50800000000000001</v>
      </c>
      <c r="K220" s="1" t="s">
        <v>21</v>
      </c>
      <c r="L220" s="1" t="s">
        <v>21</v>
      </c>
      <c r="M220" s="1" t="s">
        <v>29</v>
      </c>
      <c r="N220" s="1" t="s">
        <v>22</v>
      </c>
    </row>
    <row r="221" spans="1:14" x14ac:dyDescent="0.25">
      <c r="A221" s="1">
        <v>220</v>
      </c>
      <c r="B221" s="2" t="str">
        <f>HYPERLINK("https://leetcode.com/problems/contains-duplicate-iii/", "Contains Duplicate III")</f>
        <v>Contains Duplicate III</v>
      </c>
      <c r="C221" s="1">
        <v>1287</v>
      </c>
      <c r="D221" s="1">
        <v>143</v>
      </c>
      <c r="E221" s="3">
        <f>IF(INDEX(C:C, ROW())+INDEX(D:D, ROW())=0, 0, INDEX(C:C, ROW())/(INDEX(C:C, ROW())+INDEX(D:D, ROW())))</f>
        <v>0.9</v>
      </c>
      <c r="F221" s="1" t="s">
        <v>642</v>
      </c>
      <c r="G221" s="1" t="s">
        <v>28</v>
      </c>
      <c r="H221" s="1">
        <v>309953</v>
      </c>
      <c r="I221" s="1">
        <v>1267280</v>
      </c>
      <c r="J221" s="7">
        <v>0.245</v>
      </c>
      <c r="K221" s="1" t="s">
        <v>21</v>
      </c>
      <c r="L221" s="1" t="s">
        <v>21</v>
      </c>
      <c r="M221" s="1" t="s">
        <v>29</v>
      </c>
      <c r="N221" s="1" t="s">
        <v>22</v>
      </c>
    </row>
    <row r="222" spans="1:14" x14ac:dyDescent="0.25">
      <c r="A222" s="1">
        <v>221</v>
      </c>
      <c r="B222" s="2" t="str">
        <f>HYPERLINK("https://leetcode.com/problems/maximal-square/", "Maximal Square")</f>
        <v>Maximal Square</v>
      </c>
      <c r="C222" s="1">
        <v>10970</v>
      </c>
      <c r="D222" s="1">
        <v>260</v>
      </c>
      <c r="E222" s="3">
        <f>IF(INDEX(C:C, ROW())+INDEX(D:D, ROW())=0, 0, INDEX(C:C, ROW())/(INDEX(C:C, ROW())+INDEX(D:D, ROW())))</f>
        <v>0.97684772929652719</v>
      </c>
      <c r="F222" s="1" t="s">
        <v>94</v>
      </c>
      <c r="G222" s="1" t="s">
        <v>24</v>
      </c>
      <c r="H222" s="1">
        <v>909026</v>
      </c>
      <c r="I222" s="1">
        <v>1818354</v>
      </c>
      <c r="J222" s="7">
        <v>0.5</v>
      </c>
      <c r="K222" s="1" t="s">
        <v>21</v>
      </c>
      <c r="L222" s="1" t="s">
        <v>21</v>
      </c>
      <c r="M222" s="1" t="s">
        <v>29</v>
      </c>
      <c r="N222" s="1" t="s">
        <v>22</v>
      </c>
    </row>
    <row r="223" spans="1:14" x14ac:dyDescent="0.25">
      <c r="A223" s="1">
        <v>222</v>
      </c>
      <c r="B223" s="2" t="str">
        <f>HYPERLINK("https://leetcode.com/problems/count-complete-tree-nodes/", "Count Complete Tree Nodes")</f>
        <v>Count Complete Tree Nodes</v>
      </c>
      <c r="C223" s="1">
        <v>9439</v>
      </c>
      <c r="D223" s="1">
        <v>609</v>
      </c>
      <c r="E223" s="3">
        <f>IF(INDEX(C:C, ROW())+INDEX(D:D, ROW())=0, 0, INDEX(C:C, ROW())/(INDEX(C:C, ROW())+INDEX(D:D, ROW())))</f>
        <v>0.93939092356687903</v>
      </c>
      <c r="F223" s="1" t="s">
        <v>141</v>
      </c>
      <c r="G223" s="1" t="s">
        <v>20</v>
      </c>
      <c r="H223" s="1">
        <v>1131132</v>
      </c>
      <c r="I223" s="1">
        <v>1570240</v>
      </c>
      <c r="J223" s="7">
        <v>0.72</v>
      </c>
      <c r="K223" s="1" t="s">
        <v>21</v>
      </c>
      <c r="L223" s="1" t="s">
        <v>21</v>
      </c>
      <c r="M223" s="1" t="s">
        <v>29</v>
      </c>
      <c r="N223" s="1" t="s">
        <v>22</v>
      </c>
    </row>
    <row r="224" spans="1:14" x14ac:dyDescent="0.25">
      <c r="A224" s="1">
        <v>223</v>
      </c>
      <c r="B224" s="2" t="str">
        <f>HYPERLINK("https://leetcode.com/problems/rectangle-area/", "Rectangle Area")</f>
        <v>Rectangle Area</v>
      </c>
      <c r="C224" s="1">
        <v>2146</v>
      </c>
      <c r="D224" s="1">
        <v>1668</v>
      </c>
      <c r="E224" s="3">
        <f>IF(INDEX(C:C, ROW())+INDEX(D:D, ROW())=0, 0, INDEX(C:C, ROW())/(INDEX(C:C, ROW())+INDEX(D:D, ROW())))</f>
        <v>0.56266386995280548</v>
      </c>
      <c r="F224" s="1" t="s">
        <v>477</v>
      </c>
      <c r="G224" s="1" t="s">
        <v>24</v>
      </c>
      <c r="H224" s="1">
        <v>278063</v>
      </c>
      <c r="I224" s="1">
        <v>568057</v>
      </c>
      <c r="J224" s="7">
        <v>0.48899999999999999</v>
      </c>
      <c r="K224" s="1" t="s">
        <v>21</v>
      </c>
      <c r="L224" s="1" t="s">
        <v>21</v>
      </c>
      <c r="M224" s="1" t="s">
        <v>29</v>
      </c>
      <c r="N224" s="1" t="s">
        <v>22</v>
      </c>
    </row>
    <row r="225" spans="1:14" x14ac:dyDescent="0.25">
      <c r="A225" s="1">
        <v>224</v>
      </c>
      <c r="B225" s="2" t="str">
        <f>HYPERLINK("https://leetcode.com/problems/basic-calculator/", "Basic Calculator")</f>
        <v>Basic Calculator</v>
      </c>
      <c r="C225" s="1">
        <v>6928</v>
      </c>
      <c r="D225" s="1">
        <v>556</v>
      </c>
      <c r="E225" s="3">
        <f>IF(INDEX(C:C, ROW())+INDEX(D:D, ROW())=0, 0, INDEX(C:C, ROW())/(INDEX(C:C, ROW())+INDEX(D:D, ROW())))</f>
        <v>0.9257081774452165</v>
      </c>
      <c r="F225" s="1" t="s">
        <v>200</v>
      </c>
      <c r="G225" s="1" t="s">
        <v>28</v>
      </c>
      <c r="H225" s="1">
        <v>680836</v>
      </c>
      <c r="I225" s="1">
        <v>1463104</v>
      </c>
      <c r="J225" s="7">
        <v>0.46500000000000002</v>
      </c>
      <c r="K225" s="1" t="s">
        <v>21</v>
      </c>
      <c r="L225" s="1" t="s">
        <v>21</v>
      </c>
      <c r="M225" s="1" t="s">
        <v>29</v>
      </c>
      <c r="N225" s="1" t="s">
        <v>22</v>
      </c>
    </row>
    <row r="226" spans="1:14" x14ac:dyDescent="0.25">
      <c r="A226" s="1">
        <v>225</v>
      </c>
      <c r="B226" s="2" t="str">
        <f>HYPERLINK("https://leetcode.com/problems/implement-stack-using-queues/", "Implement Stack using Queues")</f>
        <v>Implement Stack using Queues</v>
      </c>
      <c r="C226" s="1">
        <v>6889</v>
      </c>
      <c r="D226" s="1">
        <v>1283</v>
      </c>
      <c r="E226" s="3">
        <f>IF(INDEX(C:C, ROW())+INDEX(D:D, ROW())=0, 0, INDEX(C:C, ROW())/(INDEX(C:C, ROW())+INDEX(D:D, ROW())))</f>
        <v>0.84300048947626038</v>
      </c>
      <c r="F226" s="1" t="s">
        <v>165</v>
      </c>
      <c r="G226" s="1" t="s">
        <v>20</v>
      </c>
      <c r="H226" s="1">
        <v>1101839</v>
      </c>
      <c r="I226" s="1">
        <v>1589640</v>
      </c>
      <c r="J226" s="7">
        <v>0.69299999999999995</v>
      </c>
      <c r="K226" s="1" t="s">
        <v>21</v>
      </c>
      <c r="L226" s="1" t="s">
        <v>21</v>
      </c>
      <c r="M226" s="1" t="s">
        <v>29</v>
      </c>
      <c r="N226" s="1" t="s">
        <v>22</v>
      </c>
    </row>
    <row r="227" spans="1:14" x14ac:dyDescent="0.25">
      <c r="A227" s="1">
        <v>226</v>
      </c>
      <c r="B227" s="2" t="str">
        <f>HYPERLINK("https://leetcode.com/problems/invert-binary-tree/", "Invert Binary Tree")</f>
        <v>Invert Binary Tree</v>
      </c>
      <c r="C227" s="1">
        <v>15142</v>
      </c>
      <c r="D227" s="1">
        <v>252</v>
      </c>
      <c r="E227" s="3">
        <f>IF(INDEX(C:C, ROW())+INDEX(D:D, ROW())=0, 0, INDEX(C:C, ROW())/(INDEX(C:C, ROW())+INDEX(D:D, ROW())))</f>
        <v>0.98362998570871774</v>
      </c>
      <c r="F227" s="1" t="s">
        <v>80</v>
      </c>
      <c r="G227" s="1" t="s">
        <v>20</v>
      </c>
      <c r="H227" s="1">
        <v>2949171</v>
      </c>
      <c r="I227" s="1">
        <v>3694164</v>
      </c>
      <c r="J227" s="7">
        <v>0.79800000000000004</v>
      </c>
      <c r="K227" s="1" t="s">
        <v>21</v>
      </c>
      <c r="L227" s="1" t="s">
        <v>21</v>
      </c>
      <c r="M227" s="1" t="s">
        <v>21</v>
      </c>
      <c r="N227" s="1" t="s">
        <v>22</v>
      </c>
    </row>
    <row r="228" spans="1:14" x14ac:dyDescent="0.25">
      <c r="A228" s="1">
        <v>227</v>
      </c>
      <c r="B228" s="2" t="str">
        <f>HYPERLINK("https://leetcode.com/problems/basic-calculator-ii/", "Basic Calculator II")</f>
        <v>Basic Calculator II</v>
      </c>
      <c r="C228" s="1">
        <v>6580</v>
      </c>
      <c r="D228" s="1">
        <v>948</v>
      </c>
      <c r="E228" s="3">
        <f>IF(INDEX(C:C, ROW())+INDEX(D:D, ROW())=0, 0, INDEX(C:C, ROW())/(INDEX(C:C, ROW())+INDEX(D:D, ROW())))</f>
        <v>0.87407013815090329</v>
      </c>
      <c r="F228" s="1" t="s">
        <v>213</v>
      </c>
      <c r="G228" s="1" t="s">
        <v>24</v>
      </c>
      <c r="H228" s="1">
        <v>929769</v>
      </c>
      <c r="I228" s="1">
        <v>1992895</v>
      </c>
      <c r="J228" s="7">
        <v>0.46700000000000003</v>
      </c>
      <c r="K228" s="1" t="s">
        <v>21</v>
      </c>
      <c r="L228" s="1" t="s">
        <v>21</v>
      </c>
      <c r="M228" s="1" t="s">
        <v>29</v>
      </c>
      <c r="N228" s="1" t="s">
        <v>22</v>
      </c>
    </row>
    <row r="229" spans="1:14" x14ac:dyDescent="0.25">
      <c r="A229" s="1">
        <v>228</v>
      </c>
      <c r="B229" s="2" t="str">
        <f>HYPERLINK("https://leetcode.com/problems/summary-ranges/", "Summary Ranges")</f>
        <v>Summary Ranges</v>
      </c>
      <c r="C229" s="1">
        <v>4503</v>
      </c>
      <c r="D229" s="1">
        <v>2379</v>
      </c>
      <c r="E229" s="3">
        <f>IF(INDEX(C:C, ROW())+INDEX(D:D, ROW())=0, 0, INDEX(C:C, ROW())/(INDEX(C:C, ROW())+INDEX(D:D, ROW())))</f>
        <v>0.65431560592850913</v>
      </c>
      <c r="F229" s="1" t="s">
        <v>113</v>
      </c>
      <c r="G229" s="1" t="s">
        <v>20</v>
      </c>
      <c r="H229" s="1">
        <v>915101</v>
      </c>
      <c r="I229" s="1">
        <v>1696812</v>
      </c>
      <c r="J229" s="7">
        <v>0.53900000000000003</v>
      </c>
      <c r="K229" s="1" t="s">
        <v>21</v>
      </c>
      <c r="L229" s="1" t="s">
        <v>21</v>
      </c>
      <c r="M229" s="1" t="s">
        <v>29</v>
      </c>
      <c r="N229" s="1" t="s">
        <v>22</v>
      </c>
    </row>
    <row r="230" spans="1:14" x14ac:dyDescent="0.25">
      <c r="A230" s="1">
        <v>229</v>
      </c>
      <c r="B230" s="2" t="str">
        <f>HYPERLINK("https://leetcode.com/problems/majority-element-ii/", "Majority Element II")</f>
        <v>Majority Element II</v>
      </c>
      <c r="C230" s="1">
        <v>10925</v>
      </c>
      <c r="D230" s="1">
        <v>495</v>
      </c>
      <c r="E230" s="3">
        <f>IF(INDEX(C:C, ROW())+INDEX(D:D, ROW())=0, 0, INDEX(C:C, ROW())/(INDEX(C:C, ROW())+INDEX(D:D, ROW())))</f>
        <v>0.95665499124343256</v>
      </c>
      <c r="F230" s="1" t="s">
        <v>125</v>
      </c>
      <c r="G230" s="1" t="s">
        <v>24</v>
      </c>
      <c r="H230" s="1">
        <v>1209850</v>
      </c>
      <c r="I230" s="1">
        <v>2168100</v>
      </c>
      <c r="J230" s="7">
        <v>0.55800000000000005</v>
      </c>
      <c r="K230" s="1" t="s">
        <v>21</v>
      </c>
      <c r="L230" s="1" t="s">
        <v>21</v>
      </c>
      <c r="M230" s="1" t="s">
        <v>29</v>
      </c>
      <c r="N230" s="1" t="s">
        <v>22</v>
      </c>
    </row>
    <row r="231" spans="1:14" x14ac:dyDescent="0.25">
      <c r="A231" s="1">
        <v>230</v>
      </c>
      <c r="B231" s="2" t="str">
        <f>HYPERLINK("https://leetcode.com/problems/kth-smallest-element-in-a-bst/", "Kth Smallest Element in a BST")</f>
        <v>Kth Smallest Element in a BST</v>
      </c>
      <c r="C231" s="1">
        <v>12620</v>
      </c>
      <c r="D231" s="1">
        <v>260</v>
      </c>
      <c r="E231" s="3">
        <f>IF(INDEX(C:C, ROW())+INDEX(D:D, ROW())=0, 0, INDEX(C:C, ROW())/(INDEX(C:C, ROW())+INDEX(D:D, ROW())))</f>
        <v>0.97981366459627328</v>
      </c>
      <c r="F231" s="1" t="s">
        <v>69</v>
      </c>
      <c r="G231" s="1" t="s">
        <v>24</v>
      </c>
      <c r="H231" s="1">
        <v>2175483</v>
      </c>
      <c r="I231" s="1">
        <v>2844460</v>
      </c>
      <c r="J231" s="7">
        <v>0.76500000000000001</v>
      </c>
      <c r="K231" s="1" t="s">
        <v>21</v>
      </c>
      <c r="L231" s="1" t="s">
        <v>21</v>
      </c>
      <c r="M231" s="1" t="s">
        <v>29</v>
      </c>
      <c r="N231" s="1" t="s">
        <v>22</v>
      </c>
    </row>
    <row r="232" spans="1:14" x14ac:dyDescent="0.25">
      <c r="A232" s="1">
        <v>231</v>
      </c>
      <c r="B232" s="2" t="str">
        <f>HYPERLINK("https://leetcode.com/problems/power-of-two/", "Power of Two")</f>
        <v>Power of Two</v>
      </c>
      <c r="C232" s="1">
        <v>7976</v>
      </c>
      <c r="D232" s="1">
        <v>502</v>
      </c>
      <c r="E232" s="3">
        <f>IF(INDEX(C:C, ROW())+INDEX(D:D, ROW())=0, 0, INDEX(C:C, ROW())/(INDEX(C:C, ROW())+INDEX(D:D, ROW())))</f>
        <v>0.94078792167964143</v>
      </c>
      <c r="F232" s="1" t="s">
        <v>172</v>
      </c>
      <c r="G232" s="1" t="s">
        <v>20</v>
      </c>
      <c r="H232" s="1">
        <v>2144578</v>
      </c>
      <c r="I232" s="1">
        <v>4302387</v>
      </c>
      <c r="J232" s="7">
        <v>0.498</v>
      </c>
      <c r="K232" s="1" t="s">
        <v>21</v>
      </c>
      <c r="L232" s="1" t="s">
        <v>21</v>
      </c>
      <c r="M232" s="1" t="s">
        <v>29</v>
      </c>
      <c r="N232" s="1" t="s">
        <v>22</v>
      </c>
    </row>
    <row r="233" spans="1:14" x14ac:dyDescent="0.25">
      <c r="A233" s="1">
        <v>232</v>
      </c>
      <c r="B233" s="2" t="str">
        <f>HYPERLINK("https://leetcode.com/problems/implement-queue-using-stacks/", "Implement Queue using Stacks")</f>
        <v>Implement Queue using Stacks</v>
      </c>
      <c r="C233" s="1">
        <v>8562</v>
      </c>
      <c r="D233" s="1">
        <v>483</v>
      </c>
      <c r="E233" s="3">
        <f>IF(INDEX(C:C, ROW())+INDEX(D:D, ROW())=0, 0, INDEX(C:C, ROW())/(INDEX(C:C, ROW())+INDEX(D:D, ROW())))</f>
        <v>0.9466003316749585</v>
      </c>
      <c r="F233" s="1" t="s">
        <v>165</v>
      </c>
      <c r="G233" s="1" t="s">
        <v>20</v>
      </c>
      <c r="H233" s="1">
        <v>1422898</v>
      </c>
      <c r="I233" s="1">
        <v>2052555</v>
      </c>
      <c r="J233" s="7">
        <v>0.69299999999999995</v>
      </c>
      <c r="K233" s="1" t="s">
        <v>21</v>
      </c>
      <c r="L233" s="1" t="s">
        <v>21</v>
      </c>
      <c r="M233" s="1" t="s">
        <v>29</v>
      </c>
      <c r="N233" s="1" t="s">
        <v>22</v>
      </c>
    </row>
    <row r="234" spans="1:14" x14ac:dyDescent="0.25">
      <c r="A234" s="1">
        <v>233</v>
      </c>
      <c r="B234" s="2" t="str">
        <f>HYPERLINK("https://leetcode.com/problems/number-of-digit-one/", "Number of Digit One")</f>
        <v>Number of Digit One</v>
      </c>
      <c r="C234" s="1">
        <v>1817</v>
      </c>
      <c r="D234" s="1">
        <v>1552</v>
      </c>
      <c r="E234" s="3">
        <f>IF(INDEX(C:C, ROW())+INDEX(D:D, ROW())=0, 0, INDEX(C:C, ROW())/(INDEX(C:C, ROW())+INDEX(D:D, ROW())))</f>
        <v>0.53932917779756606</v>
      </c>
      <c r="F234" s="1" t="s">
        <v>534</v>
      </c>
      <c r="G234" s="1" t="s">
        <v>28</v>
      </c>
      <c r="H234" s="1">
        <v>136710</v>
      </c>
      <c r="I234" s="1">
        <v>362622</v>
      </c>
      <c r="J234" s="7">
        <v>0.377</v>
      </c>
      <c r="K234" s="1" t="s">
        <v>21</v>
      </c>
      <c r="L234" s="1" t="s">
        <v>21</v>
      </c>
      <c r="M234" s="1" t="s">
        <v>29</v>
      </c>
      <c r="N234" s="1" t="s">
        <v>22</v>
      </c>
    </row>
    <row r="235" spans="1:14" x14ac:dyDescent="0.25">
      <c r="A235" s="1">
        <v>234</v>
      </c>
      <c r="B235" s="2" t="str">
        <f>HYPERLINK("https://leetcode.com/problems/palindrome-linked-list/", "Palindrome Linked List")</f>
        <v>Palindrome Linked List</v>
      </c>
      <c r="C235" s="1">
        <v>18203</v>
      </c>
      <c r="D235" s="1">
        <v>974</v>
      </c>
      <c r="E235" s="3">
        <f>IF(INDEX(C:C, ROW())+INDEX(D:D, ROW())=0, 0, INDEX(C:C, ROW())/(INDEX(C:C, ROW())+INDEX(D:D, ROW())))</f>
        <v>0.94920999113521409</v>
      </c>
      <c r="F235" s="1" t="s">
        <v>71</v>
      </c>
      <c r="G235" s="1" t="s">
        <v>20</v>
      </c>
      <c r="H235" s="1">
        <v>2800559</v>
      </c>
      <c r="I235" s="1">
        <v>4877176</v>
      </c>
      <c r="J235" s="7">
        <v>0.57399999999999995</v>
      </c>
      <c r="K235" s="1" t="s">
        <v>21</v>
      </c>
      <c r="L235" s="1" t="s">
        <v>21</v>
      </c>
      <c r="M235" s="1" t="s">
        <v>21</v>
      </c>
      <c r="N235" s="1" t="s">
        <v>22</v>
      </c>
    </row>
    <row r="236" spans="1:14" x14ac:dyDescent="0.25">
      <c r="A236" s="1">
        <v>235</v>
      </c>
      <c r="B236" s="2" t="str">
        <f>HYPERLINK("https://leetcode.com/problems/lowest-common-ancestor-of-a-binary-search-tree/", "Lowest Common Ancestor of a Binary Search Tree")</f>
        <v>Lowest Common Ancestor of a Binary Search Tree</v>
      </c>
      <c r="C236" s="1">
        <v>12202</v>
      </c>
      <c r="D236" s="1">
        <v>357</v>
      </c>
      <c r="E236" s="3">
        <f>IF(INDEX(C:C, ROW())+INDEX(D:D, ROW())=0, 0, INDEX(C:C, ROW())/(INDEX(C:C, ROW())+INDEX(D:D, ROW())))</f>
        <v>0.97157416991798706</v>
      </c>
      <c r="F236" s="1" t="s">
        <v>69</v>
      </c>
      <c r="G236" s="1" t="s">
        <v>24</v>
      </c>
      <c r="H236" s="1">
        <v>2193901</v>
      </c>
      <c r="I236" s="1">
        <v>3131075</v>
      </c>
      <c r="J236" s="7">
        <v>0.70099999999999996</v>
      </c>
      <c r="K236" s="1" t="s">
        <v>21</v>
      </c>
      <c r="L236" s="1" t="s">
        <v>21</v>
      </c>
      <c r="M236" s="1" t="s">
        <v>29</v>
      </c>
      <c r="N236" s="1" t="s">
        <v>22</v>
      </c>
    </row>
    <row r="237" spans="1:14" x14ac:dyDescent="0.25">
      <c r="A237" s="1">
        <v>236</v>
      </c>
      <c r="B237" s="2" t="str">
        <f>HYPERLINK("https://leetcode.com/problems/lowest-common-ancestor-of-a-binary-tree/", "Lowest Common Ancestor of a Binary Tree")</f>
        <v>Lowest Common Ancestor of a Binary Tree</v>
      </c>
      <c r="C237" s="1">
        <v>18537</v>
      </c>
      <c r="D237" s="1">
        <v>487</v>
      </c>
      <c r="E237" s="3">
        <f>IF(INDEX(C:C, ROW())+INDEX(D:D, ROW())=0, 0, INDEX(C:C, ROW())/(INDEX(C:C, ROW())+INDEX(D:D, ROW())))</f>
        <v>0.97440075693860384</v>
      </c>
      <c r="F237" s="1" t="s">
        <v>67</v>
      </c>
      <c r="G237" s="1" t="s">
        <v>24</v>
      </c>
      <c r="H237" s="1">
        <v>2505725</v>
      </c>
      <c r="I237" s="1">
        <v>3645139</v>
      </c>
      <c r="J237" s="7">
        <v>0.68700000000000006</v>
      </c>
      <c r="K237" s="1" t="s">
        <v>21</v>
      </c>
      <c r="L237" s="1" t="s">
        <v>21</v>
      </c>
      <c r="M237" s="1" t="s">
        <v>29</v>
      </c>
      <c r="N237" s="1" t="s">
        <v>22</v>
      </c>
    </row>
    <row r="238" spans="1:14" x14ac:dyDescent="0.25">
      <c r="A238" s="1">
        <v>237</v>
      </c>
      <c r="B238" s="2" t="str">
        <f>HYPERLINK("https://leetcode.com/problems/delete-node-in-a-linked-list/", "Delete Node in a Linked List")</f>
        <v>Delete Node in a Linked List</v>
      </c>
      <c r="C238" s="1">
        <v>6239</v>
      </c>
      <c r="D238" s="1">
        <v>1777</v>
      </c>
      <c r="E238" s="3">
        <f>IF(INDEX(C:C, ROW())+INDEX(D:D, ROW())=0, 0, INDEX(C:C, ROW())/(INDEX(C:C, ROW())+INDEX(D:D, ROW())))</f>
        <v>0.77831836327345305</v>
      </c>
      <c r="F238" s="1" t="s">
        <v>104</v>
      </c>
      <c r="G238" s="1" t="s">
        <v>24</v>
      </c>
      <c r="H238" s="1">
        <v>1970472</v>
      </c>
      <c r="I238" s="1">
        <v>2357815</v>
      </c>
      <c r="J238" s="7">
        <v>0.83599999999999997</v>
      </c>
      <c r="K238" s="1" t="s">
        <v>21</v>
      </c>
      <c r="L238" s="1" t="s">
        <v>21</v>
      </c>
      <c r="M238" s="1" t="s">
        <v>29</v>
      </c>
      <c r="N238" s="1" t="s">
        <v>22</v>
      </c>
    </row>
    <row r="239" spans="1:14" x14ac:dyDescent="0.25">
      <c r="A239" s="1">
        <v>238</v>
      </c>
      <c r="B239" s="2" t="str">
        <f>HYPERLINK("https://leetcode.com/problems/product-of-array-except-self/", "Product of Array Except Self")</f>
        <v>Product of Array Except Self</v>
      </c>
      <c r="C239" s="1">
        <v>25688</v>
      </c>
      <c r="D239" s="1">
        <v>1684</v>
      </c>
      <c r="E239" s="3">
        <f>IF(INDEX(C:C, ROW())+INDEX(D:D, ROW())=0, 0, INDEX(C:C, ROW())/(INDEX(C:C, ROW())+INDEX(D:D, ROW())))</f>
        <v>0.93847727604851672</v>
      </c>
      <c r="F239" s="1" t="s">
        <v>37</v>
      </c>
      <c r="G239" s="1" t="s">
        <v>24</v>
      </c>
      <c r="H239" s="1">
        <v>4348406</v>
      </c>
      <c r="I239" s="1">
        <v>6339741</v>
      </c>
      <c r="J239" s="7">
        <v>0.68600000000000005</v>
      </c>
      <c r="K239" s="1" t="s">
        <v>21</v>
      </c>
      <c r="L239" s="1" t="s">
        <v>21</v>
      </c>
      <c r="M239" s="1" t="s">
        <v>21</v>
      </c>
      <c r="N239" s="1" t="s">
        <v>22</v>
      </c>
    </row>
    <row r="240" spans="1:14" x14ac:dyDescent="0.25">
      <c r="A240" s="1">
        <v>239</v>
      </c>
      <c r="B240" s="2" t="str">
        <f>HYPERLINK("https://leetcode.com/problems/sliding-window-maximum/", "Sliding Window Maximum")</f>
        <v>Sliding Window Maximum</v>
      </c>
      <c r="C240" s="1">
        <v>20262</v>
      </c>
      <c r="D240" s="1">
        <v>829</v>
      </c>
      <c r="E240" s="3">
        <f>IF(INDEX(C:C, ROW())+INDEX(D:D, ROW())=0, 0, INDEX(C:C, ROW())/(INDEX(C:C, ROW())+INDEX(D:D, ROW())))</f>
        <v>0.96069413493907352</v>
      </c>
      <c r="F240" s="1" t="s">
        <v>59</v>
      </c>
      <c r="G240" s="1" t="s">
        <v>28</v>
      </c>
      <c r="H240" s="1">
        <v>1598385</v>
      </c>
      <c r="I240" s="1">
        <v>3299365</v>
      </c>
      <c r="J240" s="7">
        <v>0.48399999999999999</v>
      </c>
      <c r="K240" s="1" t="s">
        <v>21</v>
      </c>
      <c r="L240" s="1" t="s">
        <v>21</v>
      </c>
      <c r="M240" s="1" t="s">
        <v>29</v>
      </c>
      <c r="N240" s="1" t="s">
        <v>22</v>
      </c>
    </row>
    <row r="241" spans="1:14" x14ac:dyDescent="0.25">
      <c r="A241" s="1">
        <v>240</v>
      </c>
      <c r="B241" s="2" t="str">
        <f>HYPERLINK("https://leetcode.com/problems/search-a-2d-matrix-ii/", "Search a 2D Matrix II")</f>
        <v>Search a 2D Matrix II</v>
      </c>
      <c r="C241" s="1">
        <v>13052</v>
      </c>
      <c r="D241" s="1">
        <v>230</v>
      </c>
      <c r="E241" s="3">
        <f>IF(INDEX(C:C, ROW())+INDEX(D:D, ROW())=0, 0, INDEX(C:C, ROW())/(INDEX(C:C, ROW())+INDEX(D:D, ROW())))</f>
        <v>0.9826833308236711</v>
      </c>
      <c r="F241" s="1" t="s">
        <v>101</v>
      </c>
      <c r="G241" s="1" t="s">
        <v>24</v>
      </c>
      <c r="H241" s="1">
        <v>1331228</v>
      </c>
      <c r="I241" s="1">
        <v>2342572</v>
      </c>
      <c r="J241" s="7">
        <v>0.56799999999999995</v>
      </c>
      <c r="K241" s="1" t="s">
        <v>21</v>
      </c>
      <c r="L241" s="1" t="s">
        <v>21</v>
      </c>
      <c r="M241" s="1" t="s">
        <v>21</v>
      </c>
      <c r="N241" s="1" t="s">
        <v>22</v>
      </c>
    </row>
    <row r="242" spans="1:14" x14ac:dyDescent="0.25">
      <c r="A242" s="1">
        <v>241</v>
      </c>
      <c r="B242" s="2" t="str">
        <f>HYPERLINK("https://leetcode.com/problems/different-ways-to-add-parentheses/", "Different Ways to Add Parentheses")</f>
        <v>Different Ways to Add Parentheses</v>
      </c>
      <c r="C242" s="1">
        <v>6309</v>
      </c>
      <c r="D242" s="1">
        <v>399</v>
      </c>
      <c r="E242" s="3">
        <f>IF(INDEX(C:C, ROW())+INDEX(D:D, ROW())=0, 0, INDEX(C:C, ROW())/(INDEX(C:C, ROW())+INDEX(D:D, ROW())))</f>
        <v>0.94051878354203933</v>
      </c>
      <c r="F242" s="1" t="s">
        <v>218</v>
      </c>
      <c r="G242" s="1" t="s">
        <v>24</v>
      </c>
      <c r="H242" s="1">
        <v>372951</v>
      </c>
      <c r="I242" s="1">
        <v>510451</v>
      </c>
      <c r="J242" s="7">
        <v>0.73099999999999998</v>
      </c>
      <c r="K242" s="1" t="s">
        <v>21</v>
      </c>
      <c r="L242" s="1" t="s">
        <v>21</v>
      </c>
      <c r="M242" s="1" t="s">
        <v>29</v>
      </c>
      <c r="N242" s="1" t="s">
        <v>22</v>
      </c>
    </row>
    <row r="243" spans="1:14" x14ac:dyDescent="0.25">
      <c r="A243" s="1">
        <v>242</v>
      </c>
      <c r="B243" s="2" t="str">
        <f>HYPERLINK("https://leetcode.com/problems/valid-anagram/", "Valid Anagram")</f>
        <v>Valid Anagram</v>
      </c>
      <c r="C243" s="1">
        <v>14157</v>
      </c>
      <c r="D243" s="1">
        <v>471</v>
      </c>
      <c r="E243" s="3">
        <f>IF(INDEX(C:C, ROW())+INDEX(D:D, ROW())=0, 0, INDEX(C:C, ROW())/(INDEX(C:C, ROW())+INDEX(D:D, ROW())))</f>
        <v>0.96780147662018046</v>
      </c>
      <c r="F243" s="1" t="s">
        <v>90</v>
      </c>
      <c r="G243" s="1" t="s">
        <v>20</v>
      </c>
      <c r="H243" s="1">
        <v>5859610</v>
      </c>
      <c r="I243" s="1">
        <v>8645878</v>
      </c>
      <c r="J243" s="7">
        <v>0.67800000000000005</v>
      </c>
      <c r="K243" s="1" t="s">
        <v>21</v>
      </c>
      <c r="L243" s="1" t="s">
        <v>21</v>
      </c>
      <c r="M243" s="1" t="s">
        <v>21</v>
      </c>
      <c r="N243" s="1" t="s">
        <v>22</v>
      </c>
    </row>
    <row r="244" spans="1:14" x14ac:dyDescent="0.25">
      <c r="A244" s="1">
        <v>243</v>
      </c>
      <c r="B244" s="2" t="str">
        <f>HYPERLINK("https://leetcode.com/problems/shortest-word-distance/", "Shortest Word Distance")</f>
        <v>Shortest Word Distance</v>
      </c>
      <c r="C244" s="1">
        <v>1290</v>
      </c>
      <c r="D244" s="1">
        <v>129</v>
      </c>
      <c r="E244" s="3">
        <f>IF(INDEX(C:C, ROW())+INDEX(D:D, ROW())=0, 0, INDEX(C:C, ROW())/(INDEX(C:C, ROW())+INDEX(D:D, ROW())))</f>
        <v>0.90909090909090906</v>
      </c>
      <c r="F244" s="1" t="s">
        <v>369</v>
      </c>
      <c r="G244" s="1" t="s">
        <v>20</v>
      </c>
      <c r="H244" s="1">
        <v>242935</v>
      </c>
      <c r="I244" s="1">
        <v>366843</v>
      </c>
      <c r="J244" s="7">
        <v>0.66200000000000003</v>
      </c>
      <c r="K244" s="1" t="s">
        <v>29</v>
      </c>
      <c r="L244" s="1" t="s">
        <v>21</v>
      </c>
      <c r="M244" s="1" t="s">
        <v>29</v>
      </c>
      <c r="N244" s="1" t="s">
        <v>22</v>
      </c>
    </row>
    <row r="245" spans="1:14" x14ac:dyDescent="0.25">
      <c r="A245" s="1">
        <v>244</v>
      </c>
      <c r="B245" s="2" t="str">
        <f>HYPERLINK("https://leetcode.com/problems/shortest-word-distance-ii/", "Shortest Word Distance II")</f>
        <v>Shortest Word Distance II</v>
      </c>
      <c r="C245" s="1">
        <v>1084</v>
      </c>
      <c r="D245" s="1">
        <v>399</v>
      </c>
      <c r="E245" s="3">
        <f>IF(INDEX(C:C, ROW())+INDEX(D:D, ROW())=0, 0, INDEX(C:C, ROW())/(INDEX(C:C, ROW())+INDEX(D:D, ROW())))</f>
        <v>0.73095077545515841</v>
      </c>
      <c r="F245" s="1" t="s">
        <v>692</v>
      </c>
      <c r="G245" s="1" t="s">
        <v>24</v>
      </c>
      <c r="H245" s="1">
        <v>178006</v>
      </c>
      <c r="I245" s="1">
        <v>283816</v>
      </c>
      <c r="J245" s="7">
        <v>0.627</v>
      </c>
      <c r="K245" s="1" t="s">
        <v>29</v>
      </c>
      <c r="L245" s="1" t="s">
        <v>21</v>
      </c>
      <c r="M245" s="1" t="s">
        <v>21</v>
      </c>
      <c r="N245" s="1" t="s">
        <v>22</v>
      </c>
    </row>
    <row r="246" spans="1:14" x14ac:dyDescent="0.25">
      <c r="A246" s="1">
        <v>245</v>
      </c>
      <c r="B246" s="2" t="str">
        <f>HYPERLINK("https://leetcode.com/problems/shortest-word-distance-iii/", "Shortest Word Distance III")</f>
        <v>Shortest Word Distance III</v>
      </c>
      <c r="C246" s="1">
        <v>516</v>
      </c>
      <c r="D246" s="1">
        <v>101</v>
      </c>
      <c r="E246" s="3">
        <f>IF(INDEX(C:C, ROW())+INDEX(D:D, ROW())=0, 0, INDEX(C:C, ROW())/(INDEX(C:C, ROW())+INDEX(D:D, ROW())))</f>
        <v>0.83630470016207459</v>
      </c>
      <c r="F246" s="1" t="s">
        <v>369</v>
      </c>
      <c r="G246" s="1" t="s">
        <v>24</v>
      </c>
      <c r="H246" s="1">
        <v>93683</v>
      </c>
      <c r="I246" s="1">
        <v>157730</v>
      </c>
      <c r="J246" s="7">
        <v>0.59399999999999997</v>
      </c>
      <c r="K246" s="1" t="s">
        <v>29</v>
      </c>
      <c r="L246" s="1" t="s">
        <v>21</v>
      </c>
      <c r="M246" s="1" t="s">
        <v>29</v>
      </c>
      <c r="N246" s="1" t="s">
        <v>22</v>
      </c>
    </row>
    <row r="247" spans="1:14" x14ac:dyDescent="0.25">
      <c r="A247" s="1">
        <v>246</v>
      </c>
      <c r="B247" s="2" t="str">
        <f>HYPERLINK("https://leetcode.com/problems/strobogrammatic-number/", "Strobogrammatic Number")</f>
        <v>Strobogrammatic Number</v>
      </c>
      <c r="C247" s="1">
        <v>631</v>
      </c>
      <c r="D247" s="1">
        <v>1052</v>
      </c>
      <c r="E247" s="3">
        <f>IF(INDEX(C:C, ROW())+INDEX(D:D, ROW())=0, 0, INDEX(C:C, ROW())/(INDEX(C:C, ROW())+INDEX(D:D, ROW())))</f>
        <v>0.37492572786690431</v>
      </c>
      <c r="F247" s="1" t="s">
        <v>832</v>
      </c>
      <c r="G247" s="1" t="s">
        <v>20</v>
      </c>
      <c r="H247" s="1">
        <v>210645</v>
      </c>
      <c r="I247" s="1">
        <v>443034</v>
      </c>
      <c r="J247" s="7">
        <v>0.47499999999999998</v>
      </c>
      <c r="K247" s="1" t="s">
        <v>29</v>
      </c>
      <c r="L247" s="1" t="s">
        <v>21</v>
      </c>
      <c r="M247" s="1" t="s">
        <v>21</v>
      </c>
      <c r="N247" s="1" t="s">
        <v>22</v>
      </c>
    </row>
    <row r="248" spans="1:14" x14ac:dyDescent="0.25">
      <c r="A248" s="1">
        <v>247</v>
      </c>
      <c r="B248" s="2" t="str">
        <f>HYPERLINK("https://leetcode.com/problems/strobogrammatic-number-ii/", "Strobogrammatic Number II")</f>
        <v>Strobogrammatic Number II</v>
      </c>
      <c r="C248" s="1">
        <v>959</v>
      </c>
      <c r="D248" s="1">
        <v>263</v>
      </c>
      <c r="E248" s="3">
        <f>IF(INDEX(C:C, ROW())+INDEX(D:D, ROW())=0, 0, INDEX(C:C, ROW())/(INDEX(C:C, ROW())+INDEX(D:D, ROW())))</f>
        <v>0.78477905073649756</v>
      </c>
      <c r="F248" s="1" t="s">
        <v>721</v>
      </c>
      <c r="G248" s="1" t="s">
        <v>24</v>
      </c>
      <c r="H248" s="1">
        <v>161479</v>
      </c>
      <c r="I248" s="1">
        <v>301952</v>
      </c>
      <c r="J248" s="7">
        <v>0.53500000000000003</v>
      </c>
      <c r="K248" s="1" t="s">
        <v>29</v>
      </c>
      <c r="L248" s="1" t="s">
        <v>21</v>
      </c>
      <c r="M248" s="1" t="s">
        <v>29</v>
      </c>
      <c r="N248" s="1" t="s">
        <v>22</v>
      </c>
    </row>
    <row r="249" spans="1:14" x14ac:dyDescent="0.25">
      <c r="A249" s="1">
        <v>248</v>
      </c>
      <c r="B249" s="2" t="str">
        <f>HYPERLINK("https://leetcode.com/problems/strobogrammatic-number-iii/", "Strobogrammatic Number III")</f>
        <v>Strobogrammatic Number III</v>
      </c>
      <c r="C249" s="1">
        <v>307</v>
      </c>
      <c r="D249" s="1">
        <v>193</v>
      </c>
      <c r="E249" s="3">
        <f>IF(INDEX(C:C, ROW())+INDEX(D:D, ROW())=0, 0, INDEX(C:C, ROW())/(INDEX(C:C, ROW())+INDEX(D:D, ROW())))</f>
        <v>0.61399999999999999</v>
      </c>
      <c r="F249" s="1" t="s">
        <v>721</v>
      </c>
      <c r="G249" s="1" t="s">
        <v>28</v>
      </c>
      <c r="H249" s="1">
        <v>38280</v>
      </c>
      <c r="I249" s="1">
        <v>89721</v>
      </c>
      <c r="J249" s="7">
        <v>0.42699999999999999</v>
      </c>
      <c r="K249" s="1" t="s">
        <v>29</v>
      </c>
      <c r="L249" s="1" t="s">
        <v>29</v>
      </c>
      <c r="M249" s="1" t="s">
        <v>29</v>
      </c>
      <c r="N249" s="1" t="s">
        <v>22</v>
      </c>
    </row>
    <row r="250" spans="1:14" x14ac:dyDescent="0.25">
      <c r="A250" s="1">
        <v>249</v>
      </c>
      <c r="B250" s="2" t="str">
        <f>HYPERLINK("https://leetcode.com/problems/group-shifted-strings/", "Group Shifted Strings")</f>
        <v>Group Shifted Strings</v>
      </c>
      <c r="C250" s="1">
        <v>1781</v>
      </c>
      <c r="D250" s="1">
        <v>445</v>
      </c>
      <c r="E250" s="3">
        <f>IF(INDEX(C:C, ROW())+INDEX(D:D, ROW())=0, 0, INDEX(C:C, ROW())/(INDEX(C:C, ROW())+INDEX(D:D, ROW())))</f>
        <v>0.80008984725965859</v>
      </c>
      <c r="F250" s="1" t="s">
        <v>258</v>
      </c>
      <c r="G250" s="1" t="s">
        <v>24</v>
      </c>
      <c r="H250" s="1">
        <v>313570</v>
      </c>
      <c r="I250" s="1">
        <v>462988</v>
      </c>
      <c r="J250" s="7">
        <v>0.67700000000000005</v>
      </c>
      <c r="K250" s="1" t="s">
        <v>29</v>
      </c>
      <c r="L250" s="1" t="s">
        <v>21</v>
      </c>
      <c r="M250" s="1" t="s">
        <v>21</v>
      </c>
      <c r="N250" s="1" t="s">
        <v>22</v>
      </c>
    </row>
    <row r="251" spans="1:14" x14ac:dyDescent="0.25">
      <c r="A251" s="1">
        <v>250</v>
      </c>
      <c r="B251" s="2" t="str">
        <f>HYPERLINK("https://leetcode.com/problems/count-univalue-subtrees/", "Count Univalue Subtrees")</f>
        <v>Count Univalue Subtrees</v>
      </c>
      <c r="C251" s="1">
        <v>1245</v>
      </c>
      <c r="D251" s="1">
        <v>455</v>
      </c>
      <c r="E251" s="3">
        <f>IF(INDEX(C:C, ROW())+INDEX(D:D, ROW())=0, 0, INDEX(C:C, ROW())/(INDEX(C:C, ROW())+INDEX(D:D, ROW())))</f>
        <v>0.73235294117647054</v>
      </c>
      <c r="F251" s="1" t="s">
        <v>67</v>
      </c>
      <c r="G251" s="1" t="s">
        <v>24</v>
      </c>
      <c r="H251" s="1">
        <v>169737</v>
      </c>
      <c r="I251" s="1">
        <v>295410</v>
      </c>
      <c r="J251" s="7">
        <v>0.57499999999999996</v>
      </c>
      <c r="K251" s="1" t="s">
        <v>29</v>
      </c>
      <c r="L251" s="1" t="s">
        <v>21</v>
      </c>
      <c r="M251" s="1" t="s">
        <v>29</v>
      </c>
      <c r="N251" s="1" t="s">
        <v>22</v>
      </c>
    </row>
    <row r="252" spans="1:14" x14ac:dyDescent="0.25">
      <c r="A252" s="1">
        <v>251</v>
      </c>
      <c r="B252" s="2" t="str">
        <f>HYPERLINK("https://leetcode.com/problems/flatten-2d-vector/", "Flatten 2D Vector")</f>
        <v>Flatten 2D Vector</v>
      </c>
      <c r="C252" s="1">
        <v>739</v>
      </c>
      <c r="D252" s="1">
        <v>417</v>
      </c>
      <c r="E252" s="3">
        <f>IF(INDEX(C:C, ROW())+INDEX(D:D, ROW())=0, 0, INDEX(C:C, ROW())/(INDEX(C:C, ROW())+INDEX(D:D, ROW())))</f>
        <v>0.63927335640138405</v>
      </c>
      <c r="F252" s="1" t="s">
        <v>787</v>
      </c>
      <c r="G252" s="1" t="s">
        <v>24</v>
      </c>
      <c r="H252" s="1">
        <v>145141</v>
      </c>
      <c r="I252" s="1">
        <v>287712</v>
      </c>
      <c r="J252" s="7">
        <v>0.504</v>
      </c>
      <c r="K252" s="1" t="s">
        <v>29</v>
      </c>
      <c r="L252" s="1" t="s">
        <v>21</v>
      </c>
      <c r="M252" s="1" t="s">
        <v>29</v>
      </c>
      <c r="N252" s="1" t="s">
        <v>22</v>
      </c>
    </row>
    <row r="253" spans="1:14" x14ac:dyDescent="0.25">
      <c r="A253" s="1">
        <v>252</v>
      </c>
      <c r="B253" s="2" t="str">
        <f>HYPERLINK("https://leetcode.com/problems/meeting-rooms/", "Meeting Rooms")</f>
        <v>Meeting Rooms</v>
      </c>
      <c r="C253" s="1">
        <v>2117</v>
      </c>
      <c r="D253" s="1">
        <v>116</v>
      </c>
      <c r="E253" s="3">
        <f>IF(INDEX(C:C, ROW())+INDEX(D:D, ROW())=0, 0, INDEX(C:C, ROW())/(INDEX(C:C, ROW())+INDEX(D:D, ROW())))</f>
        <v>0.94805194805194803</v>
      </c>
      <c r="F253" s="1" t="s">
        <v>42</v>
      </c>
      <c r="G253" s="1" t="s">
        <v>20</v>
      </c>
      <c r="H253" s="1">
        <v>509264</v>
      </c>
      <c r="I253" s="1">
        <v>858457</v>
      </c>
      <c r="J253" s="7">
        <v>0.59299999999999997</v>
      </c>
      <c r="K253" s="1" t="s">
        <v>29</v>
      </c>
      <c r="L253" s="1" t="s">
        <v>21</v>
      </c>
      <c r="M253" s="1" t="s">
        <v>21</v>
      </c>
      <c r="N253" s="1" t="s">
        <v>22</v>
      </c>
    </row>
    <row r="254" spans="1:14" x14ac:dyDescent="0.25">
      <c r="A254" s="1">
        <v>253</v>
      </c>
      <c r="B254" s="2" t="str">
        <f>HYPERLINK("https://leetcode.com/problems/meeting-rooms-ii/", "Meeting Rooms II")</f>
        <v>Meeting Rooms II</v>
      </c>
      <c r="C254" s="1">
        <v>7237</v>
      </c>
      <c r="D254" s="1">
        <v>175</v>
      </c>
      <c r="E254" s="3">
        <f>IF(INDEX(C:C, ROW())+INDEX(D:D, ROW())=0, 0, INDEX(C:C, ROW())/(INDEX(C:C, ROW())+INDEX(D:D, ROW())))</f>
        <v>0.97638963842417703</v>
      </c>
      <c r="F254" s="1" t="s">
        <v>191</v>
      </c>
      <c r="G254" s="1" t="s">
        <v>24</v>
      </c>
      <c r="H254" s="1">
        <v>1148624</v>
      </c>
      <c r="I254" s="1">
        <v>2186141</v>
      </c>
      <c r="J254" s="7">
        <v>0.52500000000000002</v>
      </c>
      <c r="K254" s="1" t="s">
        <v>29</v>
      </c>
      <c r="L254" s="1" t="s">
        <v>21</v>
      </c>
      <c r="M254" s="1" t="s">
        <v>21</v>
      </c>
      <c r="N254" s="1" t="s">
        <v>22</v>
      </c>
    </row>
    <row r="255" spans="1:14" x14ac:dyDescent="0.25">
      <c r="A255" s="1">
        <v>254</v>
      </c>
      <c r="B255" s="2" t="str">
        <f>HYPERLINK("https://leetcode.com/problems/factor-combinations/", "Factor Combinations")</f>
        <v>Factor Combinations</v>
      </c>
      <c r="C255" s="1">
        <v>1177</v>
      </c>
      <c r="D255" s="1">
        <v>76</v>
      </c>
      <c r="E255" s="3">
        <f>IF(INDEX(C:C, ROW())+INDEX(D:D, ROW())=0, 0, INDEX(C:C, ROW())/(INDEX(C:C, ROW())+INDEX(D:D, ROW())))</f>
        <v>0.93934557063048685</v>
      </c>
      <c r="F255" s="1" t="s">
        <v>159</v>
      </c>
      <c r="G255" s="1" t="s">
        <v>24</v>
      </c>
      <c r="H255" s="1">
        <v>140529</v>
      </c>
      <c r="I255" s="1">
        <v>278285</v>
      </c>
      <c r="J255" s="7">
        <v>0.505</v>
      </c>
      <c r="K255" s="1" t="s">
        <v>29</v>
      </c>
      <c r="L255" s="1" t="s">
        <v>21</v>
      </c>
      <c r="M255" s="1" t="s">
        <v>29</v>
      </c>
      <c r="N255" s="1" t="s">
        <v>22</v>
      </c>
    </row>
    <row r="256" spans="1:14" x14ac:dyDescent="0.25">
      <c r="A256" s="1">
        <v>255</v>
      </c>
      <c r="B256" s="2" t="str">
        <f>HYPERLINK("https://leetcode.com/problems/verify-preorder-sequence-in-binary-search-tree/", "Verify Preorder Sequence in Binary Search Tree")</f>
        <v>Verify Preorder Sequence in Binary Search Tree</v>
      </c>
      <c r="C256" s="1">
        <v>1263</v>
      </c>
      <c r="D256" s="1">
        <v>90</v>
      </c>
      <c r="E256" s="3">
        <f>IF(INDEX(C:C, ROW())+INDEX(D:D, ROW())=0, 0, INDEX(C:C, ROW())/(INDEX(C:C, ROW())+INDEX(D:D, ROW())))</f>
        <v>0.93348115299334811</v>
      </c>
      <c r="F256" s="1" t="s">
        <v>646</v>
      </c>
      <c r="G256" s="1" t="s">
        <v>24</v>
      </c>
      <c r="H256" s="1">
        <v>93544</v>
      </c>
      <c r="I256" s="1">
        <v>180977</v>
      </c>
      <c r="J256" s="7">
        <v>0.51700000000000002</v>
      </c>
      <c r="K256" s="1" t="s">
        <v>29</v>
      </c>
      <c r="L256" s="1" t="s">
        <v>21</v>
      </c>
      <c r="M256" s="1" t="s">
        <v>29</v>
      </c>
      <c r="N256" s="1" t="s">
        <v>22</v>
      </c>
    </row>
    <row r="257" spans="1:14" x14ac:dyDescent="0.25">
      <c r="A257" s="1">
        <v>256</v>
      </c>
      <c r="B257" s="2" t="str">
        <f>HYPERLINK("https://leetcode.com/problems/paint-house/", "Paint House")</f>
        <v>Paint House</v>
      </c>
      <c r="C257" s="1">
        <v>2375</v>
      </c>
      <c r="D257" s="1">
        <v>134</v>
      </c>
      <c r="E257" s="3">
        <f>IF(INDEX(C:C, ROW())+INDEX(D:D, ROW())=0, 0, INDEX(C:C, ROW())/(INDEX(C:C, ROW())+INDEX(D:D, ROW())))</f>
        <v>0.9465922678357912</v>
      </c>
      <c r="F257" s="1" t="s">
        <v>30</v>
      </c>
      <c r="G257" s="1" t="s">
        <v>24</v>
      </c>
      <c r="H257" s="1">
        <v>243316</v>
      </c>
      <c r="I257" s="1">
        <v>378608</v>
      </c>
      <c r="J257" s="7">
        <v>0.64300000000000002</v>
      </c>
      <c r="K257" s="1" t="s">
        <v>29</v>
      </c>
      <c r="L257" s="1" t="s">
        <v>21</v>
      </c>
      <c r="M257" s="1" t="s">
        <v>29</v>
      </c>
      <c r="N257" s="1" t="s">
        <v>22</v>
      </c>
    </row>
    <row r="258" spans="1:14" x14ac:dyDescent="0.25">
      <c r="A258" s="1">
        <v>257</v>
      </c>
      <c r="B258" s="2" t="str">
        <f>HYPERLINK("https://leetcode.com/problems/binary-tree-paths/", "Binary Tree Paths")</f>
        <v>Binary Tree Paths</v>
      </c>
      <c r="C258" s="1">
        <v>7201</v>
      </c>
      <c r="D258" s="1">
        <v>346</v>
      </c>
      <c r="E258" s="3">
        <f>IF(INDEX(C:C, ROW())+INDEX(D:D, ROW())=0, 0, INDEX(C:C, ROW())/(INDEX(C:C, ROW())+INDEX(D:D, ROW())))</f>
        <v>0.95415396846429046</v>
      </c>
      <c r="F258" s="1" t="s">
        <v>192</v>
      </c>
      <c r="G258" s="1" t="s">
        <v>20</v>
      </c>
      <c r="H258" s="1">
        <v>988157</v>
      </c>
      <c r="I258" s="1">
        <v>1449228</v>
      </c>
      <c r="J258" s="7">
        <v>0.68200000000000005</v>
      </c>
      <c r="K258" s="1" t="s">
        <v>21</v>
      </c>
      <c r="L258" s="1" t="s">
        <v>21</v>
      </c>
      <c r="M258" s="1" t="s">
        <v>29</v>
      </c>
      <c r="N258" s="1" t="s">
        <v>22</v>
      </c>
    </row>
    <row r="259" spans="1:14" x14ac:dyDescent="0.25">
      <c r="A259" s="1">
        <v>258</v>
      </c>
      <c r="B259" s="2" t="str">
        <f>HYPERLINK("https://leetcode.com/problems/add-digits/", "Add Digits")</f>
        <v>Add Digits</v>
      </c>
      <c r="C259" s="1">
        <v>5460</v>
      </c>
      <c r="D259" s="1">
        <v>1978</v>
      </c>
      <c r="E259" s="3">
        <f>IF(INDEX(C:C, ROW())+INDEX(D:D, ROW())=0, 0, INDEX(C:C, ROW())/(INDEX(C:C, ROW())+INDEX(D:D, ROW())))</f>
        <v>0.73406829792955097</v>
      </c>
      <c r="F259" s="1" t="s">
        <v>242</v>
      </c>
      <c r="G259" s="1" t="s">
        <v>20</v>
      </c>
      <c r="H259" s="1">
        <v>1175186</v>
      </c>
      <c r="I259" s="1">
        <v>1712401</v>
      </c>
      <c r="J259" s="7">
        <v>0.68600000000000005</v>
      </c>
      <c r="K259" s="1" t="s">
        <v>21</v>
      </c>
      <c r="L259" s="1" t="s">
        <v>21</v>
      </c>
      <c r="M259" s="1" t="s">
        <v>29</v>
      </c>
      <c r="N259" s="1" t="s">
        <v>22</v>
      </c>
    </row>
    <row r="260" spans="1:14" x14ac:dyDescent="0.25">
      <c r="A260" s="1">
        <v>259</v>
      </c>
      <c r="B260" s="2" t="str">
        <f>HYPERLINK("https://leetcode.com/problems/3sum-smaller/", "3Sum Smaller")</f>
        <v>3Sum Smaller</v>
      </c>
      <c r="C260" s="1">
        <v>1630</v>
      </c>
      <c r="D260" s="1">
        <v>169</v>
      </c>
      <c r="E260" s="3">
        <f>IF(INDEX(C:C, ROW())+INDEX(D:D, ROW())=0, 0, INDEX(C:C, ROW())/(INDEX(C:C, ROW())+INDEX(D:D, ROW())))</f>
        <v>0.90605892162312396</v>
      </c>
      <c r="F260" s="1" t="s">
        <v>277</v>
      </c>
      <c r="G260" s="1" t="s">
        <v>24</v>
      </c>
      <c r="H260" s="1">
        <v>173717</v>
      </c>
      <c r="I260" s="1">
        <v>338514</v>
      </c>
      <c r="J260" s="7">
        <v>0.51300000000000001</v>
      </c>
      <c r="K260" s="1" t="s">
        <v>29</v>
      </c>
      <c r="L260" s="1" t="s">
        <v>21</v>
      </c>
      <c r="M260" s="1" t="s">
        <v>29</v>
      </c>
      <c r="N260" s="1" t="s">
        <v>22</v>
      </c>
    </row>
    <row r="261" spans="1:14" x14ac:dyDescent="0.25">
      <c r="A261" s="1">
        <v>260</v>
      </c>
      <c r="B261" s="2" t="str">
        <f>HYPERLINK("https://leetcode.com/problems/single-number-iii/", "Single Number III")</f>
        <v>Single Number III</v>
      </c>
      <c r="C261" s="1">
        <v>6776</v>
      </c>
      <c r="D261" s="1">
        <v>276</v>
      </c>
      <c r="E261" s="3">
        <f>IF(INDEX(C:C, ROW())+INDEX(D:D, ROW())=0, 0, INDEX(C:C, ROW())/(INDEX(C:C, ROW())+INDEX(D:D, ROW())))</f>
        <v>0.96086216676120251</v>
      </c>
      <c r="F261" s="1" t="s">
        <v>65</v>
      </c>
      <c r="G261" s="1" t="s">
        <v>24</v>
      </c>
      <c r="H261" s="1">
        <v>583895</v>
      </c>
      <c r="I261" s="1">
        <v>829346</v>
      </c>
      <c r="J261" s="7">
        <v>0.70399999999999996</v>
      </c>
      <c r="K261" s="1" t="s">
        <v>21</v>
      </c>
      <c r="L261" s="1" t="s">
        <v>21</v>
      </c>
      <c r="M261" s="1" t="s">
        <v>29</v>
      </c>
      <c r="N261" s="1" t="s">
        <v>22</v>
      </c>
    </row>
    <row r="262" spans="1:14" x14ac:dyDescent="0.25">
      <c r="A262" s="1">
        <v>261</v>
      </c>
      <c r="B262" s="2" t="str">
        <f>HYPERLINK("https://leetcode.com/problems/graph-valid-tree/", "Graph Valid Tree")</f>
        <v>Graph Valid Tree</v>
      </c>
      <c r="C262" s="1">
        <v>3453</v>
      </c>
      <c r="D262" s="1">
        <v>116</v>
      </c>
      <c r="E262" s="3">
        <f>IF(INDEX(C:C, ROW())+INDEX(D:D, ROW())=0, 0, INDEX(C:C, ROW())/(INDEX(C:C, ROW())+INDEX(D:D, ROW())))</f>
        <v>0.9674978985710283</v>
      </c>
      <c r="F262" s="1" t="s">
        <v>122</v>
      </c>
      <c r="G262" s="1" t="s">
        <v>24</v>
      </c>
      <c r="H262" s="1">
        <v>524371</v>
      </c>
      <c r="I262" s="1">
        <v>1052216</v>
      </c>
      <c r="J262" s="7">
        <v>0.498</v>
      </c>
      <c r="K262" s="1" t="s">
        <v>29</v>
      </c>
      <c r="L262" s="1" t="s">
        <v>21</v>
      </c>
      <c r="M262" s="1" t="s">
        <v>29</v>
      </c>
      <c r="N262" s="1" t="s">
        <v>22</v>
      </c>
    </row>
    <row r="263" spans="1:14" x14ac:dyDescent="0.25">
      <c r="A263" s="1">
        <v>262</v>
      </c>
      <c r="B263" s="2" t="str">
        <f>HYPERLINK("https://leetcode.com/problems/trips-and-users/", "Trips and Users")</f>
        <v>Trips and Users</v>
      </c>
      <c r="C263" s="1">
        <v>1422</v>
      </c>
      <c r="D263" s="1">
        <v>708</v>
      </c>
      <c r="E263" s="3">
        <f>IF(INDEX(C:C, ROW())+INDEX(D:D, ROW())=0, 0, INDEX(C:C, ROW())/(INDEX(C:C, ROW())+INDEX(D:D, ROW())))</f>
        <v>0.6676056338028169</v>
      </c>
      <c r="F263" s="1" t="s">
        <v>297</v>
      </c>
      <c r="G263" s="1" t="s">
        <v>28</v>
      </c>
      <c r="H263" s="1">
        <v>285133</v>
      </c>
      <c r="I263" s="1">
        <v>755942</v>
      </c>
      <c r="J263" s="7">
        <v>0.377</v>
      </c>
      <c r="K263" s="1" t="s">
        <v>21</v>
      </c>
      <c r="L263" s="1" t="s">
        <v>21</v>
      </c>
      <c r="M263" s="1" t="s">
        <v>29</v>
      </c>
      <c r="N263" s="1" t="s">
        <v>297</v>
      </c>
    </row>
    <row r="264" spans="1:14" x14ac:dyDescent="0.25">
      <c r="A264" s="1">
        <v>263</v>
      </c>
      <c r="B264" s="2" t="str">
        <f>HYPERLINK("https://leetcode.com/problems/ugly-number/", "Ugly Number")</f>
        <v>Ugly Number</v>
      </c>
      <c r="C264" s="1">
        <v>3813</v>
      </c>
      <c r="D264" s="1">
        <v>1791</v>
      </c>
      <c r="E264" s="3">
        <f>IF(INDEX(C:C, ROW())+INDEX(D:D, ROW())=0, 0, INDEX(C:C, ROW())/(INDEX(C:C, ROW())+INDEX(D:D, ROW())))</f>
        <v>0.68040685224839403</v>
      </c>
      <c r="F264" s="1" t="s">
        <v>84</v>
      </c>
      <c r="G264" s="1" t="s">
        <v>20</v>
      </c>
      <c r="H264" s="1">
        <v>748942</v>
      </c>
      <c r="I264" s="1">
        <v>1736373</v>
      </c>
      <c r="J264" s="7">
        <v>0.43099999999999999</v>
      </c>
      <c r="K264" s="1" t="s">
        <v>21</v>
      </c>
      <c r="L264" s="1" t="s">
        <v>21</v>
      </c>
      <c r="M264" s="1" t="s">
        <v>29</v>
      </c>
      <c r="N264" s="1" t="s">
        <v>22</v>
      </c>
    </row>
    <row r="265" spans="1:14" x14ac:dyDescent="0.25">
      <c r="A265" s="1">
        <v>264</v>
      </c>
      <c r="B265" s="2" t="str">
        <f>HYPERLINK("https://leetcode.com/problems/ugly-number-ii/", "Ugly Number II")</f>
        <v>Ugly Number II</v>
      </c>
      <c r="C265" s="1">
        <v>6846</v>
      </c>
      <c r="D265" s="1">
        <v>443</v>
      </c>
      <c r="E265" s="3">
        <f>IF(INDEX(C:C, ROW())+INDEX(D:D, ROW())=0, 0, INDEX(C:C, ROW())/(INDEX(C:C, ROW())+INDEX(D:D, ROW())))</f>
        <v>0.9392234874468377</v>
      </c>
      <c r="F265" s="1" t="s">
        <v>205</v>
      </c>
      <c r="G265" s="1" t="s">
        <v>24</v>
      </c>
      <c r="H265" s="1">
        <v>527882</v>
      </c>
      <c r="I265" s="1">
        <v>1066535</v>
      </c>
      <c r="J265" s="7">
        <v>0.495</v>
      </c>
      <c r="K265" s="1" t="s">
        <v>21</v>
      </c>
      <c r="L265" s="1" t="s">
        <v>21</v>
      </c>
      <c r="M265" s="1" t="s">
        <v>29</v>
      </c>
      <c r="N265" s="1" t="s">
        <v>22</v>
      </c>
    </row>
    <row r="266" spans="1:14" x14ac:dyDescent="0.25">
      <c r="A266" s="1">
        <v>265</v>
      </c>
      <c r="B266" s="2" t="str">
        <f>HYPERLINK("https://leetcode.com/problems/paint-house-ii/", "Paint House II")</f>
        <v>Paint House II</v>
      </c>
      <c r="C266" s="1">
        <v>1344</v>
      </c>
      <c r="D266" s="1">
        <v>39</v>
      </c>
      <c r="E266" s="3">
        <f>IF(INDEX(C:C, ROW())+INDEX(D:D, ROW())=0, 0, INDEX(C:C, ROW())/(INDEX(C:C, ROW())+INDEX(D:D, ROW())))</f>
        <v>0.97180043383947934</v>
      </c>
      <c r="F266" s="1" t="s">
        <v>30</v>
      </c>
      <c r="G266" s="1" t="s">
        <v>28</v>
      </c>
      <c r="H266" s="1">
        <v>143124</v>
      </c>
      <c r="I266" s="1">
        <v>251413</v>
      </c>
      <c r="J266" s="7">
        <v>0.56899999999999995</v>
      </c>
      <c r="K266" s="1" t="s">
        <v>29</v>
      </c>
      <c r="L266" s="1" t="s">
        <v>21</v>
      </c>
      <c r="M266" s="1" t="s">
        <v>29</v>
      </c>
      <c r="N266" s="1" t="s">
        <v>22</v>
      </c>
    </row>
    <row r="267" spans="1:14" x14ac:dyDescent="0.25">
      <c r="A267" s="1">
        <v>266</v>
      </c>
      <c r="B267" s="2" t="str">
        <f>HYPERLINK("https://leetcode.com/problems/palindrome-permutation/", "Palindrome Permutation")</f>
        <v>Palindrome Permutation</v>
      </c>
      <c r="C267" s="1">
        <v>1102</v>
      </c>
      <c r="D267" s="1">
        <v>75</v>
      </c>
      <c r="E267" s="3">
        <f>IF(INDEX(C:C, ROW())+INDEX(D:D, ROW())=0, 0, INDEX(C:C, ROW())/(INDEX(C:C, ROW())+INDEX(D:D, ROW())))</f>
        <v>0.93627867459643166</v>
      </c>
      <c r="F267" s="1" t="s">
        <v>686</v>
      </c>
      <c r="G267" s="1" t="s">
        <v>20</v>
      </c>
      <c r="H267" s="1">
        <v>233333</v>
      </c>
      <c r="I267" s="1">
        <v>340015</v>
      </c>
      <c r="J267" s="7">
        <v>0.68600000000000005</v>
      </c>
      <c r="K267" s="1" t="s">
        <v>29</v>
      </c>
      <c r="L267" s="1" t="s">
        <v>21</v>
      </c>
      <c r="M267" s="1" t="s">
        <v>29</v>
      </c>
      <c r="N267" s="1" t="s">
        <v>22</v>
      </c>
    </row>
    <row r="268" spans="1:14" x14ac:dyDescent="0.25">
      <c r="A268" s="1">
        <v>267</v>
      </c>
      <c r="B268" s="2" t="str">
        <f>HYPERLINK("https://leetcode.com/problems/palindrome-permutation-ii/", "Palindrome Permutation II")</f>
        <v>Palindrome Permutation II</v>
      </c>
      <c r="C268" s="1">
        <v>898</v>
      </c>
      <c r="D268" s="1">
        <v>98</v>
      </c>
      <c r="E268" s="3">
        <f>IF(INDEX(C:C, ROW())+INDEX(D:D, ROW())=0, 0, INDEX(C:C, ROW())/(INDEX(C:C, ROW())+INDEX(D:D, ROW())))</f>
        <v>0.90160642570281124</v>
      </c>
      <c r="F268" s="1" t="s">
        <v>58</v>
      </c>
      <c r="G268" s="1" t="s">
        <v>24</v>
      </c>
      <c r="H268" s="1">
        <v>75618</v>
      </c>
      <c r="I268" s="1">
        <v>178715</v>
      </c>
      <c r="J268" s="7">
        <v>0.42299999999999999</v>
      </c>
      <c r="K268" s="1" t="s">
        <v>29</v>
      </c>
      <c r="L268" s="1" t="s">
        <v>21</v>
      </c>
      <c r="M268" s="1" t="s">
        <v>29</v>
      </c>
      <c r="N268" s="1" t="s">
        <v>22</v>
      </c>
    </row>
    <row r="269" spans="1:14" x14ac:dyDescent="0.25">
      <c r="A269" s="1">
        <v>268</v>
      </c>
      <c r="B269" s="2" t="str">
        <f>HYPERLINK("https://leetcode.com/problems/missing-number/", "Missing Number")</f>
        <v>Missing Number</v>
      </c>
      <c r="C269" s="1">
        <v>14170</v>
      </c>
      <c r="D269" s="1">
        <v>3466</v>
      </c>
      <c r="E269" s="3">
        <f>IF(INDEX(C:C, ROW())+INDEX(D:D, ROW())=0, 0, INDEX(C:C, ROW())/(INDEX(C:C, ROW())+INDEX(D:D, ROW())))</f>
        <v>0.80347017464277615</v>
      </c>
      <c r="F269" s="1" t="s">
        <v>89</v>
      </c>
      <c r="G269" s="1" t="s">
        <v>20</v>
      </c>
      <c r="H269" s="1">
        <v>3743711</v>
      </c>
      <c r="I269" s="1">
        <v>5226353</v>
      </c>
      <c r="J269" s="7">
        <v>0.71599999999999997</v>
      </c>
      <c r="K269" s="1" t="s">
        <v>21</v>
      </c>
      <c r="L269" s="1" t="s">
        <v>21</v>
      </c>
      <c r="M269" s="1" t="s">
        <v>21</v>
      </c>
      <c r="N269" s="1" t="s">
        <v>22</v>
      </c>
    </row>
    <row r="270" spans="1:14" x14ac:dyDescent="0.25">
      <c r="A270" s="1">
        <v>269</v>
      </c>
      <c r="B270" s="2" t="str">
        <f>HYPERLINK("https://leetcode.com/problems/alien-dictionary/", "Alien Dictionary")</f>
        <v>Alien Dictionary</v>
      </c>
      <c r="C270" s="1">
        <v>4667</v>
      </c>
      <c r="D270" s="1">
        <v>1037</v>
      </c>
      <c r="E270" s="3">
        <f>IF(INDEX(C:C, ROW())+INDEX(D:D, ROW())=0, 0, INDEX(C:C, ROW())/(INDEX(C:C, ROW())+INDEX(D:D, ROW())))</f>
        <v>0.8181977559607293</v>
      </c>
      <c r="F270" s="1" t="s">
        <v>274</v>
      </c>
      <c r="G270" s="1" t="s">
        <v>28</v>
      </c>
      <c r="H270" s="1">
        <v>479087</v>
      </c>
      <c r="I270" s="1">
        <v>1292482</v>
      </c>
      <c r="J270" s="7">
        <v>0.371</v>
      </c>
      <c r="K270" s="1" t="s">
        <v>29</v>
      </c>
      <c r="L270" s="1" t="s">
        <v>21</v>
      </c>
      <c r="M270" s="1" t="s">
        <v>29</v>
      </c>
      <c r="N270" s="1" t="s">
        <v>22</v>
      </c>
    </row>
    <row r="271" spans="1:14" x14ac:dyDescent="0.25">
      <c r="A271" s="1">
        <v>270</v>
      </c>
      <c r="B271" s="2" t="str">
        <f>HYPERLINK("https://leetcode.com/problems/closest-binary-search-tree-value/", "Closest Binary Search Tree Value")</f>
        <v>Closest Binary Search Tree Value</v>
      </c>
      <c r="C271" s="1">
        <v>1897</v>
      </c>
      <c r="D271" s="1">
        <v>166</v>
      </c>
      <c r="E271" s="3">
        <f>IF(INDEX(C:C, ROW())+INDEX(D:D, ROW())=0, 0, INDEX(C:C, ROW())/(INDEX(C:C, ROW())+INDEX(D:D, ROW())))</f>
        <v>0.91953465826466307</v>
      </c>
      <c r="F271" s="1" t="s">
        <v>519</v>
      </c>
      <c r="G271" s="1" t="s">
        <v>20</v>
      </c>
      <c r="H271" s="1">
        <v>448903</v>
      </c>
      <c r="I271" s="1">
        <v>911114</v>
      </c>
      <c r="J271" s="7">
        <v>0.49299999999999999</v>
      </c>
      <c r="K271" s="1" t="s">
        <v>29</v>
      </c>
      <c r="L271" s="1" t="s">
        <v>21</v>
      </c>
      <c r="M271" s="1" t="s">
        <v>29</v>
      </c>
      <c r="N271" s="1" t="s">
        <v>22</v>
      </c>
    </row>
    <row r="272" spans="1:14" x14ac:dyDescent="0.25">
      <c r="A272" s="1">
        <v>271</v>
      </c>
      <c r="B272" s="2" t="str">
        <f>HYPERLINK("https://leetcode.com/problems/encode-and-decode-strings/", "Encode and Decode Strings")</f>
        <v>Encode and Decode Strings</v>
      </c>
      <c r="C272" s="1">
        <v>1571</v>
      </c>
      <c r="D272" s="1">
        <v>453</v>
      </c>
      <c r="E272" s="3">
        <f>IF(INDEX(C:C, ROW())+INDEX(D:D, ROW())=0, 0, INDEX(C:C, ROW())/(INDEX(C:C, ROW())+INDEX(D:D, ROW())))</f>
        <v>0.77618577075098816</v>
      </c>
      <c r="F272" s="1" t="s">
        <v>567</v>
      </c>
      <c r="G272" s="1" t="s">
        <v>24</v>
      </c>
      <c r="H272" s="1">
        <v>298055</v>
      </c>
      <c r="I272" s="1">
        <v>582215</v>
      </c>
      <c r="J272" s="7">
        <v>0.51200000000000001</v>
      </c>
      <c r="K272" s="1" t="s">
        <v>29</v>
      </c>
      <c r="L272" s="1" t="s">
        <v>21</v>
      </c>
      <c r="M272" s="1" t="s">
        <v>29</v>
      </c>
      <c r="N272" s="1" t="s">
        <v>22</v>
      </c>
    </row>
    <row r="273" spans="1:14" x14ac:dyDescent="0.25">
      <c r="A273" s="1">
        <v>272</v>
      </c>
      <c r="B273" s="2" t="str">
        <f>HYPERLINK("https://leetcode.com/problems/closest-binary-search-tree-value-ii/", "Closest Binary Search Tree Value II")</f>
        <v>Closest Binary Search Tree Value II</v>
      </c>
      <c r="C273" s="1">
        <v>1341</v>
      </c>
      <c r="D273" s="1">
        <v>51</v>
      </c>
      <c r="E273" s="3">
        <f>IF(INDEX(C:C, ROW())+INDEX(D:D, ROW())=0, 0, INDEX(C:C, ROW())/(INDEX(C:C, ROW())+INDEX(D:D, ROW())))</f>
        <v>0.96336206896551724</v>
      </c>
      <c r="F273" s="1" t="s">
        <v>624</v>
      </c>
      <c r="G273" s="1" t="s">
        <v>28</v>
      </c>
      <c r="H273" s="1">
        <v>138668</v>
      </c>
      <c r="I273" s="1">
        <v>227033</v>
      </c>
      <c r="J273" s="7">
        <v>0.61099999999999999</v>
      </c>
      <c r="K273" s="1" t="s">
        <v>29</v>
      </c>
      <c r="L273" s="1" t="s">
        <v>21</v>
      </c>
      <c r="M273" s="1" t="s">
        <v>29</v>
      </c>
      <c r="N273" s="1" t="s">
        <v>22</v>
      </c>
    </row>
    <row r="274" spans="1:14" x14ac:dyDescent="0.25">
      <c r="A274" s="1">
        <v>273</v>
      </c>
      <c r="B274" s="2" t="str">
        <f>HYPERLINK("https://leetcode.com/problems/integer-to-english-words/", "Integer to English Words")</f>
        <v>Integer to English Words</v>
      </c>
      <c r="C274" s="1">
        <v>3836</v>
      </c>
      <c r="D274" s="1">
        <v>6834</v>
      </c>
      <c r="E274" s="3">
        <f>IF(INDEX(C:C, ROW())+INDEX(D:D, ROW())=0, 0, INDEX(C:C, ROW())/(INDEX(C:C, ROW())+INDEX(D:D, ROW())))</f>
        <v>0.35951265229615748</v>
      </c>
      <c r="F274" s="1" t="s">
        <v>322</v>
      </c>
      <c r="G274" s="1" t="s">
        <v>28</v>
      </c>
      <c r="H274" s="1">
        <v>574799</v>
      </c>
      <c r="I274" s="1">
        <v>1651315</v>
      </c>
      <c r="J274" s="7">
        <v>0.34799999999999998</v>
      </c>
      <c r="K274" s="1" t="s">
        <v>21</v>
      </c>
      <c r="L274" s="1" t="s">
        <v>21</v>
      </c>
      <c r="M274" s="1" t="s">
        <v>29</v>
      </c>
      <c r="N274" s="1" t="s">
        <v>22</v>
      </c>
    </row>
    <row r="275" spans="1:14" x14ac:dyDescent="0.25">
      <c r="A275" s="1">
        <v>274</v>
      </c>
      <c r="B275" s="2" t="str">
        <f>HYPERLINK("https://leetcode.com/problems/h-index/", "H-Index")</f>
        <v>H-Index</v>
      </c>
      <c r="C275" s="1">
        <v>1876</v>
      </c>
      <c r="D275" s="1">
        <v>897</v>
      </c>
      <c r="E275" s="3">
        <f>IF(INDEX(C:C, ROW())+INDEX(D:D, ROW())=0, 0, INDEX(C:C, ROW())/(INDEX(C:C, ROW())+INDEX(D:D, ROW())))</f>
        <v>0.67652362062747928</v>
      </c>
      <c r="F275" s="1" t="s">
        <v>523</v>
      </c>
      <c r="G275" s="1" t="s">
        <v>24</v>
      </c>
      <c r="H275" s="1">
        <v>842706</v>
      </c>
      <c r="I275" s="1">
        <v>2048095</v>
      </c>
      <c r="J275" s="7">
        <v>0.41099999999999998</v>
      </c>
      <c r="K275" s="1" t="s">
        <v>21</v>
      </c>
      <c r="L275" s="1" t="s">
        <v>21</v>
      </c>
      <c r="M275" s="1" t="s">
        <v>29</v>
      </c>
      <c r="N275" s="1" t="s">
        <v>22</v>
      </c>
    </row>
    <row r="276" spans="1:14" x14ac:dyDescent="0.25">
      <c r="A276" s="1">
        <v>275</v>
      </c>
      <c r="B276" s="2" t="str">
        <f>HYPERLINK("https://leetcode.com/problems/h-index-ii/", "H-Index II")</f>
        <v>H-Index II</v>
      </c>
      <c r="C276" s="1">
        <v>528</v>
      </c>
      <c r="D276" s="1">
        <v>161</v>
      </c>
      <c r="E276" s="3">
        <f>IF(INDEX(C:C, ROW())+INDEX(D:D, ROW())=0, 0, INDEX(C:C, ROW())/(INDEX(C:C, ROW())+INDEX(D:D, ROW())))</f>
        <v>0.76632801161103048</v>
      </c>
      <c r="F276" s="1" t="s">
        <v>35</v>
      </c>
      <c r="G276" s="1" t="s">
        <v>24</v>
      </c>
      <c r="H276" s="1">
        <v>262063</v>
      </c>
      <c r="I276" s="1">
        <v>665637</v>
      </c>
      <c r="J276" s="7">
        <v>0.39400000000000002</v>
      </c>
      <c r="K276" s="1" t="s">
        <v>21</v>
      </c>
      <c r="L276" s="1" t="s">
        <v>21</v>
      </c>
      <c r="M276" s="1" t="s">
        <v>29</v>
      </c>
      <c r="N276" s="1" t="s">
        <v>22</v>
      </c>
    </row>
    <row r="277" spans="1:14" x14ac:dyDescent="0.25">
      <c r="A277" s="1">
        <v>276</v>
      </c>
      <c r="B277" s="2" t="str">
        <f>HYPERLINK("https://leetcode.com/problems/paint-fence/", "Paint Fence")</f>
        <v>Paint Fence</v>
      </c>
      <c r="C277" s="1">
        <v>1632</v>
      </c>
      <c r="D277" s="1">
        <v>397</v>
      </c>
      <c r="E277" s="3">
        <f>IF(INDEX(C:C, ROW())+INDEX(D:D, ROW())=0, 0, INDEX(C:C, ROW())/(INDEX(C:C, ROW())+INDEX(D:D, ROW())))</f>
        <v>0.80433711187777235</v>
      </c>
      <c r="F277" s="1" t="s">
        <v>251</v>
      </c>
      <c r="G277" s="1" t="s">
        <v>24</v>
      </c>
      <c r="H277" s="1">
        <v>128725</v>
      </c>
      <c r="I277" s="1">
        <v>266670</v>
      </c>
      <c r="J277" s="7">
        <v>0.48299999999999998</v>
      </c>
      <c r="K277" s="1" t="s">
        <v>29</v>
      </c>
      <c r="L277" s="1" t="s">
        <v>21</v>
      </c>
      <c r="M277" s="1" t="s">
        <v>29</v>
      </c>
      <c r="N277" s="1" t="s">
        <v>22</v>
      </c>
    </row>
    <row r="278" spans="1:14" x14ac:dyDescent="0.25">
      <c r="A278" s="1">
        <v>277</v>
      </c>
      <c r="B278" s="2" t="str">
        <f>HYPERLINK("https://leetcode.com/problems/find-the-celebrity/", "Find the Celebrity")</f>
        <v>Find the Celebrity</v>
      </c>
      <c r="C278" s="1">
        <v>2994</v>
      </c>
      <c r="D278" s="1">
        <v>322</v>
      </c>
      <c r="E278" s="3">
        <f>IF(INDEX(C:C, ROW())+INDEX(D:D, ROW())=0, 0, INDEX(C:C, ROW())/(INDEX(C:C, ROW())+INDEX(D:D, ROW())))</f>
        <v>0.90289505428226779</v>
      </c>
      <c r="F278" s="1" t="s">
        <v>378</v>
      </c>
      <c r="G278" s="1" t="s">
        <v>24</v>
      </c>
      <c r="H278" s="1">
        <v>321812</v>
      </c>
      <c r="I278" s="1">
        <v>658334</v>
      </c>
      <c r="J278" s="7">
        <v>0.48899999999999999</v>
      </c>
      <c r="K278" s="1" t="s">
        <v>29</v>
      </c>
      <c r="L278" s="1" t="s">
        <v>21</v>
      </c>
      <c r="M278" s="1" t="s">
        <v>21</v>
      </c>
      <c r="N278" s="1" t="s">
        <v>22</v>
      </c>
    </row>
    <row r="279" spans="1:14" x14ac:dyDescent="0.25">
      <c r="A279" s="1">
        <v>278</v>
      </c>
      <c r="B279" s="2" t="str">
        <f>HYPERLINK("https://leetcode.com/problems/first-bad-version/", "First Bad Version")</f>
        <v>First Bad Version</v>
      </c>
      <c r="C279" s="1">
        <v>8986</v>
      </c>
      <c r="D279" s="1">
        <v>3432</v>
      </c>
      <c r="E279" s="3">
        <f>IF(INDEX(C:C, ROW())+INDEX(D:D, ROW())=0, 0, INDEX(C:C, ROW())/(INDEX(C:C, ROW())+INDEX(D:D, ROW())))</f>
        <v>0.72362699307456912</v>
      </c>
      <c r="F279" s="1" t="s">
        <v>157</v>
      </c>
      <c r="G279" s="1" t="s">
        <v>20</v>
      </c>
      <c r="H279" s="1">
        <v>2117164</v>
      </c>
      <c r="I279" s="1">
        <v>4520488</v>
      </c>
      <c r="J279" s="7">
        <v>0.46800000000000003</v>
      </c>
      <c r="K279" s="1" t="s">
        <v>21</v>
      </c>
      <c r="L279" s="1" t="s">
        <v>21</v>
      </c>
      <c r="M279" s="1" t="s">
        <v>21</v>
      </c>
      <c r="N279" s="1" t="s">
        <v>22</v>
      </c>
    </row>
    <row r="280" spans="1:14" x14ac:dyDescent="0.25">
      <c r="A280" s="1">
        <v>279</v>
      </c>
      <c r="B280" s="2" t="str">
        <f>HYPERLINK("https://leetcode.com/problems/perfect-squares/", "Perfect Squares")</f>
        <v>Perfect Squares</v>
      </c>
      <c r="C280" s="1">
        <v>11792</v>
      </c>
      <c r="D280" s="1">
        <v>492</v>
      </c>
      <c r="E280" s="3">
        <f>IF(INDEX(C:C, ROW())+INDEX(D:D, ROW())=0, 0, INDEX(C:C, ROW())/(INDEX(C:C, ROW())+INDEX(D:D, ROW())))</f>
        <v>0.95994789970693584</v>
      </c>
      <c r="F280" s="1" t="s">
        <v>112</v>
      </c>
      <c r="G280" s="1" t="s">
        <v>24</v>
      </c>
      <c r="H280" s="1">
        <v>1039356</v>
      </c>
      <c r="I280" s="1">
        <v>1845954</v>
      </c>
      <c r="J280" s="7">
        <v>0.56299999999999994</v>
      </c>
      <c r="K280" s="1" t="s">
        <v>21</v>
      </c>
      <c r="L280" s="1" t="s">
        <v>21</v>
      </c>
      <c r="M280" s="1" t="s">
        <v>29</v>
      </c>
      <c r="N280" s="1" t="s">
        <v>22</v>
      </c>
    </row>
    <row r="281" spans="1:14" x14ac:dyDescent="0.25">
      <c r="A281" s="1">
        <v>280</v>
      </c>
      <c r="B281" s="2" t="str">
        <f>HYPERLINK("https://leetcode.com/problems/wiggle-sort/", "Wiggle Sort")</f>
        <v>Wiggle Sort</v>
      </c>
      <c r="C281" s="1">
        <v>1245</v>
      </c>
      <c r="D281" s="1">
        <v>103</v>
      </c>
      <c r="E281" s="3">
        <f>IF(INDEX(C:C, ROW())+INDEX(D:D, ROW())=0, 0, INDEX(C:C, ROW())/(INDEX(C:C, ROW())+INDEX(D:D, ROW())))</f>
        <v>0.92359050445103863</v>
      </c>
      <c r="F281" s="1" t="s">
        <v>169</v>
      </c>
      <c r="G281" s="1" t="s">
        <v>24</v>
      </c>
      <c r="H281" s="1">
        <v>157651</v>
      </c>
      <c r="I281" s="1">
        <v>230448</v>
      </c>
      <c r="J281" s="7">
        <v>0.68400000000000005</v>
      </c>
      <c r="K281" s="1" t="s">
        <v>29</v>
      </c>
      <c r="L281" s="1" t="s">
        <v>21</v>
      </c>
      <c r="M281" s="1" t="s">
        <v>21</v>
      </c>
      <c r="N281" s="1" t="s">
        <v>22</v>
      </c>
    </row>
    <row r="282" spans="1:14" x14ac:dyDescent="0.25">
      <c r="A282" s="1">
        <v>281</v>
      </c>
      <c r="B282" s="2" t="str">
        <f>HYPERLINK("https://leetcode.com/problems/zigzag-iterator/", "Zigzag Iterator")</f>
        <v>Zigzag Iterator</v>
      </c>
      <c r="C282" s="1">
        <v>710</v>
      </c>
      <c r="D282" s="1">
        <v>43</v>
      </c>
      <c r="E282" s="3">
        <f>IF(INDEX(C:C, ROW())+INDEX(D:D, ROW())=0, 0, INDEX(C:C, ROW())/(INDEX(C:C, ROW())+INDEX(D:D, ROW())))</f>
        <v>0.94289508632138119</v>
      </c>
      <c r="F282" s="1" t="s">
        <v>799</v>
      </c>
      <c r="G282" s="1" t="s">
        <v>24</v>
      </c>
      <c r="H282" s="1">
        <v>111180</v>
      </c>
      <c r="I282" s="1">
        <v>167299</v>
      </c>
      <c r="J282" s="7">
        <v>0.66500000000000004</v>
      </c>
      <c r="K282" s="1" t="s">
        <v>29</v>
      </c>
      <c r="L282" s="1" t="s">
        <v>21</v>
      </c>
      <c r="M282" s="1" t="s">
        <v>29</v>
      </c>
      <c r="N282" s="1" t="s">
        <v>22</v>
      </c>
    </row>
    <row r="283" spans="1:14" x14ac:dyDescent="0.25">
      <c r="A283" s="1">
        <v>282</v>
      </c>
      <c r="B283" s="2" t="str">
        <f>HYPERLINK("https://leetcode.com/problems/expression-add-operators/", "Expression Add Operators")</f>
        <v>Expression Add Operators</v>
      </c>
      <c r="C283" s="1">
        <v>3755</v>
      </c>
      <c r="D283" s="1">
        <v>722</v>
      </c>
      <c r="E283" s="3">
        <f>IF(INDEX(C:C, ROW())+INDEX(D:D, ROW())=0, 0, INDEX(C:C, ROW())/(INDEX(C:C, ROW())+INDEX(D:D, ROW())))</f>
        <v>0.83873129327674778</v>
      </c>
      <c r="F283" s="1" t="s">
        <v>328</v>
      </c>
      <c r="G283" s="1" t="s">
        <v>28</v>
      </c>
      <c r="H283" s="1">
        <v>309002</v>
      </c>
      <c r="I283" s="1">
        <v>722326</v>
      </c>
      <c r="J283" s="7">
        <v>0.42799999999999999</v>
      </c>
      <c r="K283" s="1" t="s">
        <v>21</v>
      </c>
      <c r="L283" s="1" t="s">
        <v>21</v>
      </c>
      <c r="M283" s="1" t="s">
        <v>29</v>
      </c>
      <c r="N283" s="1" t="s">
        <v>22</v>
      </c>
    </row>
    <row r="284" spans="1:14" x14ac:dyDescent="0.25">
      <c r="A284" s="1">
        <v>283</v>
      </c>
      <c r="B284" s="2" t="str">
        <f>HYPERLINK("https://leetcode.com/problems/move-zeroes/", "Move Zeroes")</f>
        <v>Move Zeroes</v>
      </c>
      <c r="C284" s="1">
        <v>19222</v>
      </c>
      <c r="D284" s="1">
        <v>587</v>
      </c>
      <c r="E284" s="3">
        <f>IF(INDEX(C:C, ROW())+INDEX(D:D, ROW())=0, 0, INDEX(C:C, ROW())/(INDEX(C:C, ROW())+INDEX(D:D, ROW())))</f>
        <v>0.97036700489676408</v>
      </c>
      <c r="F284" s="1" t="s">
        <v>51</v>
      </c>
      <c r="G284" s="1" t="s">
        <v>20</v>
      </c>
      <c r="H284" s="1">
        <v>4901227</v>
      </c>
      <c r="I284" s="1">
        <v>7712780</v>
      </c>
      <c r="J284" s="7">
        <v>0.63500000000000001</v>
      </c>
      <c r="K284" s="1" t="s">
        <v>21</v>
      </c>
      <c r="L284" s="1" t="s">
        <v>21</v>
      </c>
      <c r="M284" s="1" t="s">
        <v>21</v>
      </c>
      <c r="N284" s="1" t="s">
        <v>22</v>
      </c>
    </row>
    <row r="285" spans="1:14" x14ac:dyDescent="0.25">
      <c r="A285" s="1">
        <v>284</v>
      </c>
      <c r="B285" s="2" t="str">
        <f>HYPERLINK("https://leetcode.com/problems/peeking-iterator/", "Peeking Iterator")</f>
        <v>Peeking Iterator</v>
      </c>
      <c r="C285" s="1">
        <v>1908</v>
      </c>
      <c r="D285" s="1">
        <v>1052</v>
      </c>
      <c r="E285" s="3">
        <f>IF(INDEX(C:C, ROW())+INDEX(D:D, ROW())=0, 0, INDEX(C:C, ROW())/(INDEX(C:C, ROW())+INDEX(D:D, ROW())))</f>
        <v>0.64459459459459456</v>
      </c>
      <c r="F285" s="1" t="s">
        <v>516</v>
      </c>
      <c r="G285" s="1" t="s">
        <v>24</v>
      </c>
      <c r="H285" s="1">
        <v>253188</v>
      </c>
      <c r="I285" s="1">
        <v>413509</v>
      </c>
      <c r="J285" s="7">
        <v>0.61199999999999999</v>
      </c>
      <c r="K285" s="1" t="s">
        <v>21</v>
      </c>
      <c r="L285" s="1" t="s">
        <v>21</v>
      </c>
      <c r="M285" s="1" t="s">
        <v>29</v>
      </c>
      <c r="N285" s="1" t="s">
        <v>22</v>
      </c>
    </row>
    <row r="286" spans="1:14" x14ac:dyDescent="0.25">
      <c r="A286" s="1">
        <v>285</v>
      </c>
      <c r="B286" s="2" t="str">
        <f>HYPERLINK("https://leetcode.com/problems/inorder-successor-in-bst/", "Inorder Successor in BST")</f>
        <v>Inorder Successor in BST</v>
      </c>
      <c r="C286" s="1">
        <v>2647</v>
      </c>
      <c r="D286" s="1">
        <v>94</v>
      </c>
      <c r="E286" s="3">
        <f>IF(INDEX(C:C, ROW())+INDEX(D:D, ROW())=0, 0, INDEX(C:C, ROW())/(INDEX(C:C, ROW())+INDEX(D:D, ROW())))</f>
        <v>0.96570594673476828</v>
      </c>
      <c r="F286" s="1" t="s">
        <v>69</v>
      </c>
      <c r="G286" s="1" t="s">
        <v>24</v>
      </c>
      <c r="H286" s="1">
        <v>369838</v>
      </c>
      <c r="I286" s="1">
        <v>723289</v>
      </c>
      <c r="J286" s="7">
        <v>0.51100000000000001</v>
      </c>
      <c r="K286" s="1" t="s">
        <v>29</v>
      </c>
      <c r="L286" s="1" t="s">
        <v>21</v>
      </c>
      <c r="M286" s="1" t="s">
        <v>29</v>
      </c>
      <c r="N286" s="1" t="s">
        <v>22</v>
      </c>
    </row>
    <row r="287" spans="1:14" x14ac:dyDescent="0.25">
      <c r="A287" s="1">
        <v>286</v>
      </c>
      <c r="B287" s="2" t="str">
        <f>HYPERLINK("https://leetcode.com/problems/walls-and-gates/", "Walls and Gates")</f>
        <v>Walls and Gates</v>
      </c>
      <c r="C287" s="1">
        <v>3319</v>
      </c>
      <c r="D287" s="1">
        <v>72</v>
      </c>
      <c r="E287" s="3">
        <f>IF(INDEX(C:C, ROW())+INDEX(D:D, ROW())=0, 0, INDEX(C:C, ROW())/(INDEX(C:C, ROW())+INDEX(D:D, ROW())))</f>
        <v>0.97876732527278087</v>
      </c>
      <c r="F287" s="1" t="s">
        <v>86</v>
      </c>
      <c r="G287" s="1" t="s">
        <v>24</v>
      </c>
      <c r="H287" s="1">
        <v>420363</v>
      </c>
      <c r="I287" s="1">
        <v>659075</v>
      </c>
      <c r="J287" s="7">
        <v>0.63800000000000001</v>
      </c>
      <c r="K287" s="1" t="s">
        <v>29</v>
      </c>
      <c r="L287" s="1" t="s">
        <v>21</v>
      </c>
      <c r="M287" s="1" t="s">
        <v>29</v>
      </c>
      <c r="N287" s="1" t="s">
        <v>22</v>
      </c>
    </row>
    <row r="288" spans="1:14" x14ac:dyDescent="0.25">
      <c r="A288" s="1">
        <v>287</v>
      </c>
      <c r="B288" s="2" t="str">
        <f>HYPERLINK("https://leetcode.com/problems/find-the-duplicate-number/", "Find the Duplicate Number")</f>
        <v>Find the Duplicate Number</v>
      </c>
      <c r="C288" s="1">
        <v>25339</v>
      </c>
      <c r="D288" s="1">
        <v>5750</v>
      </c>
      <c r="E288" s="3">
        <f>IF(INDEX(C:C, ROW())+INDEX(D:D, ROW())=0, 0, INDEX(C:C, ROW())/(INDEX(C:C, ROW())+INDEX(D:D, ROW())))</f>
        <v>0.81504712277654479</v>
      </c>
      <c r="F288" s="1" t="s">
        <v>38</v>
      </c>
      <c r="G288" s="1" t="s">
        <v>24</v>
      </c>
      <c r="H288" s="1">
        <v>2483940</v>
      </c>
      <c r="I288" s="1">
        <v>3881750</v>
      </c>
      <c r="J288" s="7">
        <v>0.64</v>
      </c>
      <c r="K288" s="1" t="s">
        <v>21</v>
      </c>
      <c r="L288" s="1" t="s">
        <v>21</v>
      </c>
      <c r="M288" s="1" t="s">
        <v>29</v>
      </c>
      <c r="N288" s="1" t="s">
        <v>22</v>
      </c>
    </row>
    <row r="289" spans="1:14" x14ac:dyDescent="0.25">
      <c r="A289" s="1">
        <v>288</v>
      </c>
      <c r="B289" s="2" t="str">
        <f>HYPERLINK("https://leetcode.com/problems/unique-word-abbreviation/", "Unique Word Abbreviation")</f>
        <v>Unique Word Abbreviation</v>
      </c>
      <c r="C289" s="1">
        <v>219</v>
      </c>
      <c r="D289" s="1">
        <v>1856</v>
      </c>
      <c r="E289" s="3">
        <f>IF(INDEX(C:C, ROW())+INDEX(D:D, ROW())=0, 0, INDEX(C:C, ROW())/(INDEX(C:C, ROW())+INDEX(D:D, ROW())))</f>
        <v>0.10554216867469879</v>
      </c>
      <c r="F289" s="1" t="s">
        <v>843</v>
      </c>
      <c r="G289" s="1" t="s">
        <v>24</v>
      </c>
      <c r="H289" s="1">
        <v>79913</v>
      </c>
      <c r="I289" s="1">
        <v>291496</v>
      </c>
      <c r="J289" s="7">
        <v>0.27400000000000002</v>
      </c>
      <c r="K289" s="1" t="s">
        <v>29</v>
      </c>
      <c r="L289" s="1" t="s">
        <v>21</v>
      </c>
      <c r="M289" s="1" t="s">
        <v>29</v>
      </c>
      <c r="N289" s="1" t="s">
        <v>22</v>
      </c>
    </row>
    <row r="290" spans="1:14" x14ac:dyDescent="0.25">
      <c r="A290" s="1">
        <v>289</v>
      </c>
      <c r="B290" s="2" t="str">
        <f>HYPERLINK("https://leetcode.com/problems/game-of-life/", "Game of Life")</f>
        <v>Game of Life</v>
      </c>
      <c r="C290" s="1">
        <v>6798</v>
      </c>
      <c r="D290" s="1">
        <v>615</v>
      </c>
      <c r="E290" s="3">
        <f>IF(INDEX(C:C, ROW())+INDEX(D:D, ROW())=0, 0, INDEX(C:C, ROW())/(INDEX(C:C, ROW())+INDEX(D:D, ROW())))</f>
        <v>0.91703763658437876</v>
      </c>
      <c r="F290" s="1" t="s">
        <v>77</v>
      </c>
      <c r="G290" s="1" t="s">
        <v>24</v>
      </c>
      <c r="H290" s="1">
        <v>624719</v>
      </c>
      <c r="I290" s="1">
        <v>863546</v>
      </c>
      <c r="J290" s="7">
        <v>0.72299999999999998</v>
      </c>
      <c r="K290" s="1" t="s">
        <v>21</v>
      </c>
      <c r="L290" s="1" t="s">
        <v>21</v>
      </c>
      <c r="M290" s="1" t="s">
        <v>21</v>
      </c>
      <c r="N290" s="1" t="s">
        <v>22</v>
      </c>
    </row>
    <row r="291" spans="1:14" x14ac:dyDescent="0.25">
      <c r="A291" s="1">
        <v>290</v>
      </c>
      <c r="B291" s="2" t="str">
        <f>HYPERLINK("https://leetcode.com/problems/word-pattern/", "Word Pattern")</f>
        <v>Word Pattern</v>
      </c>
      <c r="C291" s="1">
        <v>7941</v>
      </c>
      <c r="D291" s="1">
        <v>1140</v>
      </c>
      <c r="E291" s="3">
        <f>IF(INDEX(C:C, ROW())+INDEX(D:D, ROW())=0, 0, INDEX(C:C, ROW())/(INDEX(C:C, ROW())+INDEX(D:D, ROW())))</f>
        <v>0.87446316484968611</v>
      </c>
      <c r="F291" s="1" t="s">
        <v>131</v>
      </c>
      <c r="G291" s="1" t="s">
        <v>20</v>
      </c>
      <c r="H291" s="1">
        <v>1078070</v>
      </c>
      <c r="I291" s="1">
        <v>2460917</v>
      </c>
      <c r="J291" s="7">
        <v>0.438</v>
      </c>
      <c r="K291" s="1" t="s">
        <v>21</v>
      </c>
      <c r="L291" s="1" t="s">
        <v>21</v>
      </c>
      <c r="M291" s="1" t="s">
        <v>29</v>
      </c>
      <c r="N291" s="1" t="s">
        <v>22</v>
      </c>
    </row>
    <row r="292" spans="1:14" x14ac:dyDescent="0.25">
      <c r="A292" s="1">
        <v>291</v>
      </c>
      <c r="B292" s="2" t="str">
        <f>HYPERLINK("https://leetcode.com/problems/word-pattern-ii/", "Word Pattern II")</f>
        <v>Word Pattern II</v>
      </c>
      <c r="C292" s="1">
        <v>943</v>
      </c>
      <c r="D292" s="1">
        <v>77</v>
      </c>
      <c r="E292" s="3">
        <f>IF(INDEX(C:C, ROW())+INDEX(D:D, ROW())=0, 0, INDEX(C:C, ROW())/(INDEX(C:C, ROW())+INDEX(D:D, ROW())))</f>
        <v>0.92450980392156867</v>
      </c>
      <c r="F292" s="1" t="s">
        <v>58</v>
      </c>
      <c r="G292" s="1" t="s">
        <v>24</v>
      </c>
      <c r="H292" s="1">
        <v>83306</v>
      </c>
      <c r="I292" s="1">
        <v>170759</v>
      </c>
      <c r="J292" s="7">
        <v>0.48799999999999999</v>
      </c>
      <c r="K292" s="1" t="s">
        <v>29</v>
      </c>
      <c r="L292" s="1" t="s">
        <v>21</v>
      </c>
      <c r="M292" s="1" t="s">
        <v>29</v>
      </c>
      <c r="N292" s="1" t="s">
        <v>22</v>
      </c>
    </row>
    <row r="293" spans="1:14" x14ac:dyDescent="0.25">
      <c r="A293" s="1">
        <v>292</v>
      </c>
      <c r="B293" s="2" t="str">
        <f>HYPERLINK("https://leetcode.com/problems/nim-game/", "Nim Game")</f>
        <v>Nim Game</v>
      </c>
      <c r="C293" s="1">
        <v>1992</v>
      </c>
      <c r="D293" s="1">
        <v>2749</v>
      </c>
      <c r="E293" s="3">
        <f>IF(INDEX(C:C, ROW())+INDEX(D:D, ROW())=0, 0, INDEX(C:C, ROW())/(INDEX(C:C, ROW())+INDEX(D:D, ROW())))</f>
        <v>0.4201645222526893</v>
      </c>
      <c r="F293" s="1" t="s">
        <v>502</v>
      </c>
      <c r="G293" s="1" t="s">
        <v>20</v>
      </c>
      <c r="H293" s="1">
        <v>526000</v>
      </c>
      <c r="I293" s="1">
        <v>888232</v>
      </c>
      <c r="J293" s="7">
        <v>0.59199999999999997</v>
      </c>
      <c r="K293" s="1" t="s">
        <v>21</v>
      </c>
      <c r="L293" s="1" t="s">
        <v>21</v>
      </c>
      <c r="M293" s="1" t="s">
        <v>29</v>
      </c>
      <c r="N293" s="1" t="s">
        <v>22</v>
      </c>
    </row>
    <row r="294" spans="1:14" x14ac:dyDescent="0.25">
      <c r="A294" s="1">
        <v>293</v>
      </c>
      <c r="B294" s="2" t="str">
        <f>HYPERLINK("https://leetcode.com/problems/flip-game/", "Flip Game")</f>
        <v>Flip Game</v>
      </c>
      <c r="C294" s="1">
        <v>232</v>
      </c>
      <c r="D294" s="1">
        <v>477</v>
      </c>
      <c r="E294" s="3">
        <f>IF(INDEX(C:C, ROW())+INDEX(D:D, ROW())=0, 0, INDEX(C:C, ROW())/(INDEX(C:C, ROW())+INDEX(D:D, ROW())))</f>
        <v>0.32722143864598024</v>
      </c>
      <c r="F294" s="1" t="s">
        <v>146</v>
      </c>
      <c r="G294" s="1" t="s">
        <v>20</v>
      </c>
      <c r="H294" s="1">
        <v>79025</v>
      </c>
      <c r="I294" s="1">
        <v>121538</v>
      </c>
      <c r="J294" s="7">
        <v>0.65</v>
      </c>
      <c r="K294" s="1" t="s">
        <v>29</v>
      </c>
      <c r="L294" s="1" t="s">
        <v>21</v>
      </c>
      <c r="M294" s="1" t="s">
        <v>29</v>
      </c>
      <c r="N294" s="1" t="s">
        <v>22</v>
      </c>
    </row>
    <row r="295" spans="1:14" x14ac:dyDescent="0.25">
      <c r="A295" s="1">
        <v>294</v>
      </c>
      <c r="B295" s="2" t="str">
        <f>HYPERLINK("https://leetcode.com/problems/flip-game-ii/", "Flip Game II")</f>
        <v>Flip Game II</v>
      </c>
      <c r="C295" s="1">
        <v>628</v>
      </c>
      <c r="D295" s="1">
        <v>68</v>
      </c>
      <c r="E295" s="3">
        <f>IF(INDEX(C:C, ROW())+INDEX(D:D, ROW())=0, 0, INDEX(C:C, ROW())/(INDEX(C:C, ROW())+INDEX(D:D, ROW())))</f>
        <v>0.9022988505747126</v>
      </c>
      <c r="F295" s="1" t="s">
        <v>834</v>
      </c>
      <c r="G295" s="1" t="s">
        <v>24</v>
      </c>
      <c r="H295" s="1">
        <v>75506</v>
      </c>
      <c r="I295" s="1">
        <v>144447</v>
      </c>
      <c r="J295" s="7">
        <v>0.52300000000000002</v>
      </c>
      <c r="K295" s="1" t="s">
        <v>29</v>
      </c>
      <c r="L295" s="1" t="s">
        <v>29</v>
      </c>
      <c r="M295" s="1" t="s">
        <v>29</v>
      </c>
      <c r="N295" s="1" t="s">
        <v>22</v>
      </c>
    </row>
    <row r="296" spans="1:14" x14ac:dyDescent="0.25">
      <c r="A296" s="1">
        <v>295</v>
      </c>
      <c r="B296" s="2" t="str">
        <f>HYPERLINK("https://leetcode.com/problems/find-median-from-data-stream/", "Find Median from Data Stream")</f>
        <v>Find Median from Data Stream</v>
      </c>
      <c r="C296" s="1">
        <v>13120</v>
      </c>
      <c r="D296" s="1">
        <v>283</v>
      </c>
      <c r="E296" s="3">
        <f>IF(INDEX(C:C, ROW())+INDEX(D:D, ROW())=0, 0, INDEX(C:C, ROW())/(INDEX(C:C, ROW())+INDEX(D:D, ROW())))</f>
        <v>0.97888532418115348</v>
      </c>
      <c r="F296" s="1" t="s">
        <v>100</v>
      </c>
      <c r="G296" s="1" t="s">
        <v>28</v>
      </c>
      <c r="H296" s="1">
        <v>1173846</v>
      </c>
      <c r="I296" s="1">
        <v>2166787</v>
      </c>
      <c r="J296" s="7">
        <v>0.54200000000000004</v>
      </c>
      <c r="K296" s="1" t="s">
        <v>21</v>
      </c>
      <c r="L296" s="1" t="s">
        <v>21</v>
      </c>
      <c r="M296" s="1" t="s">
        <v>29</v>
      </c>
      <c r="N296" s="1" t="s">
        <v>22</v>
      </c>
    </row>
    <row r="297" spans="1:14" x14ac:dyDescent="0.25">
      <c r="A297" s="1">
        <v>296</v>
      </c>
      <c r="B297" s="2" t="str">
        <f>HYPERLINK("https://leetcode.com/problems/best-meeting-point/", "Best Meeting Point")</f>
        <v>Best Meeting Point</v>
      </c>
      <c r="C297" s="1">
        <v>1214</v>
      </c>
      <c r="D297" s="1">
        <v>108</v>
      </c>
      <c r="E297" s="3">
        <f>IF(INDEX(C:C, ROW())+INDEX(D:D, ROW())=0, 0, INDEX(C:C, ROW())/(INDEX(C:C, ROW())+INDEX(D:D, ROW())))</f>
        <v>0.91830559757942509</v>
      </c>
      <c r="F297" s="1" t="s">
        <v>650</v>
      </c>
      <c r="G297" s="1" t="s">
        <v>28</v>
      </c>
      <c r="H297" s="1">
        <v>96673</v>
      </c>
      <c r="I297" s="1">
        <v>157499</v>
      </c>
      <c r="J297" s="7">
        <v>0.61399999999999999</v>
      </c>
      <c r="K297" s="1" t="s">
        <v>29</v>
      </c>
      <c r="L297" s="1" t="s">
        <v>21</v>
      </c>
      <c r="M297" s="1" t="s">
        <v>29</v>
      </c>
      <c r="N297" s="1" t="s">
        <v>22</v>
      </c>
    </row>
    <row r="298" spans="1:14" x14ac:dyDescent="0.25">
      <c r="A298" s="1">
        <v>297</v>
      </c>
      <c r="B298" s="2" t="str">
        <f>HYPERLINK("https://leetcode.com/problems/serialize-and-deserialize-binary-tree/", "Serialize and Deserialize Binary Tree")</f>
        <v>Serialize and Deserialize Binary Tree</v>
      </c>
      <c r="C298" s="1">
        <v>11086</v>
      </c>
      <c r="D298" s="1">
        <v>434</v>
      </c>
      <c r="E298" s="3">
        <f>IF(INDEX(C:C, ROW())+INDEX(D:D, ROW())=0, 0, INDEX(C:C, ROW())/(INDEX(C:C, ROW())+INDEX(D:D, ROW())))</f>
        <v>0.96232638888888888</v>
      </c>
      <c r="F298" s="1" t="s">
        <v>121</v>
      </c>
      <c r="G298" s="1" t="s">
        <v>28</v>
      </c>
      <c r="H298" s="1">
        <v>1168510</v>
      </c>
      <c r="I298" s="1">
        <v>1936342</v>
      </c>
      <c r="J298" s="7">
        <v>0.60299999999999998</v>
      </c>
      <c r="K298" s="1" t="s">
        <v>21</v>
      </c>
      <c r="L298" s="1" t="s">
        <v>21</v>
      </c>
      <c r="M298" s="1" t="s">
        <v>29</v>
      </c>
      <c r="N298" s="1" t="s">
        <v>22</v>
      </c>
    </row>
    <row r="299" spans="1:14" x14ac:dyDescent="0.25">
      <c r="A299" s="1">
        <v>298</v>
      </c>
      <c r="B299" s="2" t="str">
        <f>HYPERLINK("https://leetcode.com/problems/binary-tree-longest-consecutive-sequence/", "Binary Tree Longest Consecutive Sequence")</f>
        <v>Binary Tree Longest Consecutive Sequence</v>
      </c>
      <c r="C299" s="1">
        <v>1181</v>
      </c>
      <c r="D299" s="1">
        <v>238</v>
      </c>
      <c r="E299" s="3">
        <f>IF(INDEX(C:C, ROW())+INDEX(D:D, ROW())=0, 0, INDEX(C:C, ROW())/(INDEX(C:C, ROW())+INDEX(D:D, ROW())))</f>
        <v>0.83227625088090207</v>
      </c>
      <c r="F299" s="1" t="s">
        <v>67</v>
      </c>
      <c r="G299" s="1" t="s">
        <v>24</v>
      </c>
      <c r="H299" s="1">
        <v>164047</v>
      </c>
      <c r="I299" s="1">
        <v>300219</v>
      </c>
      <c r="J299" s="7">
        <v>0.54600000000000004</v>
      </c>
      <c r="K299" s="1" t="s">
        <v>29</v>
      </c>
      <c r="L299" s="1" t="s">
        <v>21</v>
      </c>
      <c r="M299" s="1" t="s">
        <v>29</v>
      </c>
      <c r="N299" s="1" t="s">
        <v>22</v>
      </c>
    </row>
    <row r="300" spans="1:14" x14ac:dyDescent="0.25">
      <c r="A300" s="1">
        <v>299</v>
      </c>
      <c r="B300" s="2" t="str">
        <f>HYPERLINK("https://leetcode.com/problems/bulls-and-cows/", "Bulls and Cows")</f>
        <v>Bulls and Cows</v>
      </c>
      <c r="C300" s="1">
        <v>2619</v>
      </c>
      <c r="D300" s="1">
        <v>1815</v>
      </c>
      <c r="E300" s="3">
        <f>IF(INDEX(C:C, ROW())+INDEX(D:D, ROW())=0, 0, INDEX(C:C, ROW())/(INDEX(C:C, ROW())+INDEX(D:D, ROW())))</f>
        <v>0.59066305818673881</v>
      </c>
      <c r="F300" s="1" t="s">
        <v>237</v>
      </c>
      <c r="G300" s="1" t="s">
        <v>24</v>
      </c>
      <c r="H300" s="1">
        <v>440149</v>
      </c>
      <c r="I300" s="1">
        <v>843468</v>
      </c>
      <c r="J300" s="7">
        <v>0.52200000000000002</v>
      </c>
      <c r="K300" s="1" t="s">
        <v>21</v>
      </c>
      <c r="L300" s="1" t="s">
        <v>21</v>
      </c>
      <c r="M300" s="1" t="s">
        <v>29</v>
      </c>
      <c r="N300" s="1" t="s">
        <v>22</v>
      </c>
    </row>
    <row r="301" spans="1:14" x14ac:dyDescent="0.25">
      <c r="A301" s="1">
        <v>300</v>
      </c>
      <c r="B301" s="2" t="str">
        <f>HYPERLINK("https://leetcode.com/problems/longest-increasing-subsequence/", "Longest Increasing Subsequence")</f>
        <v>Longest Increasing Subsequence</v>
      </c>
      <c r="C301" s="1">
        <v>22646</v>
      </c>
      <c r="D301" s="1">
        <v>511</v>
      </c>
      <c r="E301" s="3">
        <f>IF(INDEX(C:C, ROW())+INDEX(D:D, ROW())=0, 0, INDEX(C:C, ROW())/(INDEX(C:C, ROW())+INDEX(D:D, ROW())))</f>
        <v>0.97793323832966272</v>
      </c>
      <c r="F301" s="1" t="s">
        <v>47</v>
      </c>
      <c r="G301" s="1" t="s">
        <v>24</v>
      </c>
      <c r="H301" s="1">
        <v>2541337</v>
      </c>
      <c r="I301" s="1">
        <v>4302955</v>
      </c>
      <c r="J301" s="7">
        <v>0.59099999999999997</v>
      </c>
      <c r="K301" s="1" t="s">
        <v>21</v>
      </c>
      <c r="L301" s="1" t="s">
        <v>21</v>
      </c>
      <c r="M301" s="1" t="s">
        <v>29</v>
      </c>
      <c r="N301" s="1" t="s">
        <v>22</v>
      </c>
    </row>
    <row r="302" spans="1:14" x14ac:dyDescent="0.25">
      <c r="A302" s="1">
        <v>301</v>
      </c>
      <c r="B302" s="2" t="str">
        <f>HYPERLINK("https://leetcode.com/problems/remove-invalid-parentheses/", "Remove Invalid Parentheses")</f>
        <v>Remove Invalid Parentheses</v>
      </c>
      <c r="C302" s="1">
        <v>6060</v>
      </c>
      <c r="D302" s="1">
        <v>302</v>
      </c>
      <c r="E302" s="3">
        <f>IF(INDEX(C:C, ROW())+INDEX(D:D, ROW())=0, 0, INDEX(C:C, ROW())/(INDEX(C:C, ROW())+INDEX(D:D, ROW())))</f>
        <v>0.95253065073876142</v>
      </c>
      <c r="F302" s="1" t="s">
        <v>226</v>
      </c>
      <c r="G302" s="1" t="s">
        <v>28</v>
      </c>
      <c r="H302" s="1">
        <v>500658</v>
      </c>
      <c r="I302" s="1">
        <v>1006160</v>
      </c>
      <c r="J302" s="7">
        <v>0.498</v>
      </c>
      <c r="K302" s="1" t="s">
        <v>21</v>
      </c>
      <c r="L302" s="1" t="s">
        <v>21</v>
      </c>
      <c r="M302" s="1" t="s">
        <v>29</v>
      </c>
      <c r="N302" s="1" t="s">
        <v>22</v>
      </c>
    </row>
    <row r="303" spans="1:14" x14ac:dyDescent="0.25">
      <c r="A303" s="1">
        <v>302</v>
      </c>
      <c r="B303" s="2" t="str">
        <f>HYPERLINK("https://leetcode.com/problems/smallest-rectangle-enclosing-black-pixels/", "Smallest Rectangle Enclosing Black Pixels")</f>
        <v>Smallest Rectangle Enclosing Black Pixels</v>
      </c>
      <c r="C303" s="1">
        <v>563</v>
      </c>
      <c r="D303" s="1">
        <v>107</v>
      </c>
      <c r="E303" s="3">
        <f>IF(INDEX(C:C, ROW())+INDEX(D:D, ROW())=0, 0, INDEX(C:C, ROW())/(INDEX(C:C, ROW())+INDEX(D:D, ROW())))</f>
        <v>0.84029850746268653</v>
      </c>
      <c r="F303" s="1" t="s">
        <v>869</v>
      </c>
      <c r="G303" s="1" t="s">
        <v>28</v>
      </c>
      <c r="H303" s="1">
        <v>57031</v>
      </c>
      <c r="I303" s="1">
        <v>93742</v>
      </c>
      <c r="J303" s="7">
        <v>0.60799999999999998</v>
      </c>
      <c r="K303" s="1" t="s">
        <v>29</v>
      </c>
      <c r="L303" s="1" t="s">
        <v>21</v>
      </c>
      <c r="M303" s="1" t="s">
        <v>29</v>
      </c>
      <c r="N303" s="1" t="s">
        <v>22</v>
      </c>
    </row>
    <row r="304" spans="1:14" x14ac:dyDescent="0.25">
      <c r="A304" s="1">
        <v>303</v>
      </c>
      <c r="B304" s="2" t="str">
        <f>HYPERLINK("https://leetcode.com/problems/range-sum-query-immutable/", "Range Sum Query - Immutable")</f>
        <v>Range Sum Query - Immutable</v>
      </c>
      <c r="C304" s="1">
        <v>3795</v>
      </c>
      <c r="D304" s="1">
        <v>2014</v>
      </c>
      <c r="E304" s="3">
        <f>IF(INDEX(C:C, ROW())+INDEX(D:D, ROW())=0, 0, INDEX(C:C, ROW())/(INDEX(C:C, ROW())+INDEX(D:D, ROW())))</f>
        <v>0.65329660871062145</v>
      </c>
      <c r="F304" s="1" t="s">
        <v>326</v>
      </c>
      <c r="G304" s="1" t="s">
        <v>20</v>
      </c>
      <c r="H304" s="1">
        <v>881617</v>
      </c>
      <c r="I304" s="1">
        <v>1234725</v>
      </c>
      <c r="J304" s="7">
        <v>0.71399999999999997</v>
      </c>
      <c r="K304" s="1" t="s">
        <v>21</v>
      </c>
      <c r="L304" s="1" t="s">
        <v>21</v>
      </c>
      <c r="M304" s="1" t="s">
        <v>21</v>
      </c>
      <c r="N304" s="1" t="s">
        <v>22</v>
      </c>
    </row>
    <row r="305" spans="1:14" x14ac:dyDescent="0.25">
      <c r="A305" s="1">
        <v>304</v>
      </c>
      <c r="B305" s="2" t="str">
        <f>HYPERLINK("https://leetcode.com/problems/range-sum-query-2d-immutable/", "Range Sum Query 2D - Immutable")</f>
        <v>Range Sum Query 2D - Immutable</v>
      </c>
      <c r="C305" s="1">
        <v>5368</v>
      </c>
      <c r="D305" s="1">
        <v>371</v>
      </c>
      <c r="E305" s="3">
        <f>IF(INDEX(C:C, ROW())+INDEX(D:D, ROW())=0, 0, INDEX(C:C, ROW())/(INDEX(C:C, ROW())+INDEX(D:D, ROW())))</f>
        <v>0.93535459139222865</v>
      </c>
      <c r="F305" s="1" t="s">
        <v>249</v>
      </c>
      <c r="G305" s="1" t="s">
        <v>24</v>
      </c>
      <c r="H305" s="1">
        <v>468806</v>
      </c>
      <c r="I305" s="1">
        <v>810371</v>
      </c>
      <c r="J305" s="7">
        <v>0.57899999999999996</v>
      </c>
      <c r="K305" s="1" t="s">
        <v>21</v>
      </c>
      <c r="L305" s="1" t="s">
        <v>21</v>
      </c>
      <c r="M305" s="1" t="s">
        <v>21</v>
      </c>
      <c r="N305" s="1" t="s">
        <v>22</v>
      </c>
    </row>
    <row r="306" spans="1:14" x14ac:dyDescent="0.25">
      <c r="A306" s="1">
        <v>305</v>
      </c>
      <c r="B306" s="2" t="str">
        <f>HYPERLINK("https://leetcode.com/problems/number-of-islands-ii/", "Number of Islands II")</f>
        <v>Number of Islands II</v>
      </c>
      <c r="C306" s="1">
        <v>1982</v>
      </c>
      <c r="D306" s="1">
        <v>77</v>
      </c>
      <c r="E306" s="3">
        <f>IF(INDEX(C:C, ROW())+INDEX(D:D, ROW())=0, 0, INDEX(C:C, ROW())/(INDEX(C:C, ROW())+INDEX(D:D, ROW())))</f>
        <v>0.9626032054395337</v>
      </c>
      <c r="F306" s="1" t="s">
        <v>46</v>
      </c>
      <c r="G306" s="1" t="s">
        <v>28</v>
      </c>
      <c r="H306" s="1">
        <v>177340</v>
      </c>
      <c r="I306" s="1">
        <v>438939</v>
      </c>
      <c r="J306" s="7">
        <v>0.40400000000000003</v>
      </c>
      <c r="K306" s="1" t="s">
        <v>29</v>
      </c>
      <c r="L306" s="1" t="s">
        <v>21</v>
      </c>
      <c r="M306" s="1" t="s">
        <v>29</v>
      </c>
      <c r="N306" s="1" t="s">
        <v>22</v>
      </c>
    </row>
    <row r="307" spans="1:14" x14ac:dyDescent="0.25">
      <c r="A307" s="1">
        <v>306</v>
      </c>
      <c r="B307" s="2" t="str">
        <f>HYPERLINK("https://leetcode.com/problems/additive-number/", "Additive Number")</f>
        <v>Additive Number</v>
      </c>
      <c r="C307" s="1">
        <v>1273</v>
      </c>
      <c r="D307" s="1">
        <v>827</v>
      </c>
      <c r="E307" s="3">
        <f>IF(INDEX(C:C, ROW())+INDEX(D:D, ROW())=0, 0, INDEX(C:C, ROW())/(INDEX(C:C, ROW())+INDEX(D:D, ROW())))</f>
        <v>0.60619047619047617</v>
      </c>
      <c r="F307" s="1" t="s">
        <v>238</v>
      </c>
      <c r="G307" s="1" t="s">
        <v>24</v>
      </c>
      <c r="H307" s="1">
        <v>116545</v>
      </c>
      <c r="I307" s="1">
        <v>347961</v>
      </c>
      <c r="J307" s="7">
        <v>0.33500000000000002</v>
      </c>
      <c r="K307" s="1" t="s">
        <v>21</v>
      </c>
      <c r="L307" s="1" t="s">
        <v>29</v>
      </c>
      <c r="M307" s="1" t="s">
        <v>29</v>
      </c>
      <c r="N307" s="1" t="s">
        <v>22</v>
      </c>
    </row>
    <row r="308" spans="1:14" x14ac:dyDescent="0.25">
      <c r="A308" s="1">
        <v>307</v>
      </c>
      <c r="B308" s="2" t="str">
        <f>HYPERLINK("https://leetcode.com/problems/range-sum-query-mutable/", "Range Sum Query - Mutable")</f>
        <v>Range Sum Query - Mutable</v>
      </c>
      <c r="C308" s="1">
        <v>5110</v>
      </c>
      <c r="D308" s="1">
        <v>269</v>
      </c>
      <c r="E308" s="3">
        <f>IF(INDEX(C:C, ROW())+INDEX(D:D, ROW())=0, 0, INDEX(C:C, ROW())/(INDEX(C:C, ROW())+INDEX(D:D, ROW())))</f>
        <v>0.94999070459193158</v>
      </c>
      <c r="F308" s="1" t="s">
        <v>255</v>
      </c>
      <c r="G308" s="1" t="s">
        <v>24</v>
      </c>
      <c r="H308" s="1">
        <v>337426</v>
      </c>
      <c r="I308" s="1">
        <v>792360</v>
      </c>
      <c r="J308" s="7">
        <v>0.42599999999999999</v>
      </c>
      <c r="K308" s="1" t="s">
        <v>21</v>
      </c>
      <c r="L308" s="1" t="s">
        <v>21</v>
      </c>
      <c r="M308" s="1" t="s">
        <v>29</v>
      </c>
      <c r="N308" s="1" t="s">
        <v>22</v>
      </c>
    </row>
    <row r="309" spans="1:14" x14ac:dyDescent="0.25">
      <c r="A309" s="1">
        <v>308</v>
      </c>
      <c r="B309" s="2" t="str">
        <f>HYPERLINK("https://leetcode.com/problems/range-sum-query-2d-mutable/", "Range Sum Query 2D - Mutable")</f>
        <v>Range Sum Query 2D - Mutable</v>
      </c>
      <c r="C309" s="1">
        <v>821</v>
      </c>
      <c r="D309" s="1">
        <v>97</v>
      </c>
      <c r="E309" s="3">
        <f>IF(INDEX(C:C, ROW())+INDEX(D:D, ROW())=0, 0, INDEX(C:C, ROW())/(INDEX(C:C, ROW())+INDEX(D:D, ROW())))</f>
        <v>0.89433551198257077</v>
      </c>
      <c r="F309" s="1" t="s">
        <v>764</v>
      </c>
      <c r="G309" s="1" t="s">
        <v>24</v>
      </c>
      <c r="H309" s="1">
        <v>83406</v>
      </c>
      <c r="I309" s="1">
        <v>183696</v>
      </c>
      <c r="J309" s="7">
        <v>0.45400000000000001</v>
      </c>
      <c r="K309" s="1" t="s">
        <v>29</v>
      </c>
      <c r="L309" s="1" t="s">
        <v>21</v>
      </c>
      <c r="M309" s="1" t="s">
        <v>21</v>
      </c>
      <c r="N309" s="1" t="s">
        <v>22</v>
      </c>
    </row>
    <row r="310" spans="1:14" x14ac:dyDescent="0.25">
      <c r="A310" s="1">
        <v>309</v>
      </c>
      <c r="B310" s="2" t="str">
        <f>HYPERLINK("https://leetcode.com/problems/best-time-to-buy-and-sell-stock-with-cooldown/", "Best Time to Buy and Sell Stock with Cooldown")</f>
        <v>Best Time to Buy and Sell Stock with Cooldown</v>
      </c>
      <c r="C310" s="1">
        <v>10015</v>
      </c>
      <c r="D310" s="1">
        <v>348</v>
      </c>
      <c r="E310" s="3">
        <f>IF(INDEX(C:C, ROW())+INDEX(D:D, ROW())=0, 0, INDEX(C:C, ROW())/(INDEX(C:C, ROW())+INDEX(D:D, ROW())))</f>
        <v>0.9664189906397761</v>
      </c>
      <c r="F310" s="1" t="s">
        <v>30</v>
      </c>
      <c r="G310" s="1" t="s">
        <v>24</v>
      </c>
      <c r="H310" s="1">
        <v>744524</v>
      </c>
      <c r="I310" s="1">
        <v>1206345</v>
      </c>
      <c r="J310" s="7">
        <v>0.61699999999999999</v>
      </c>
      <c r="K310" s="1" t="s">
        <v>21</v>
      </c>
      <c r="L310" s="1" t="s">
        <v>21</v>
      </c>
      <c r="M310" s="1" t="s">
        <v>29</v>
      </c>
      <c r="N310" s="1" t="s">
        <v>22</v>
      </c>
    </row>
    <row r="311" spans="1:14" x14ac:dyDescent="0.25">
      <c r="A311" s="1">
        <v>310</v>
      </c>
      <c r="B311" s="2" t="str">
        <f>HYPERLINK("https://leetcode.com/problems/minimum-height-trees/", "Minimum Height Trees")</f>
        <v>Minimum Height Trees</v>
      </c>
      <c r="C311" s="1">
        <v>8879</v>
      </c>
      <c r="D311" s="1">
        <v>416</v>
      </c>
      <c r="E311" s="3">
        <f>IF(INDEX(C:C, ROW())+INDEX(D:D, ROW())=0, 0, INDEX(C:C, ROW())/(INDEX(C:C, ROW())+INDEX(D:D, ROW())))</f>
        <v>0.95524475524475527</v>
      </c>
      <c r="F311" s="1" t="s">
        <v>72</v>
      </c>
      <c r="G311" s="1" t="s">
        <v>24</v>
      </c>
      <c r="H311" s="1">
        <v>475014</v>
      </c>
      <c r="I311" s="1">
        <v>1120620</v>
      </c>
      <c r="J311" s="7">
        <v>0.42399999999999999</v>
      </c>
      <c r="K311" s="1" t="s">
        <v>21</v>
      </c>
      <c r="L311" s="1" t="s">
        <v>21</v>
      </c>
      <c r="M311" s="1" t="s">
        <v>29</v>
      </c>
      <c r="N311" s="1" t="s">
        <v>22</v>
      </c>
    </row>
    <row r="312" spans="1:14" x14ac:dyDescent="0.25">
      <c r="A312" s="1">
        <v>311</v>
      </c>
      <c r="B312" s="2" t="str">
        <f>HYPERLINK("https://leetcode.com/problems/sparse-matrix-multiplication/", "Sparse Matrix Multiplication")</f>
        <v>Sparse Matrix Multiplication</v>
      </c>
      <c r="C312" s="1">
        <v>1124</v>
      </c>
      <c r="D312" s="1">
        <v>374</v>
      </c>
      <c r="E312" s="3">
        <f>IF(INDEX(C:C, ROW())+INDEX(D:D, ROW())=0, 0, INDEX(C:C, ROW())/(INDEX(C:C, ROW())+INDEX(D:D, ROW())))</f>
        <v>0.75033377837116155</v>
      </c>
      <c r="F312" s="1" t="s">
        <v>78</v>
      </c>
      <c r="G312" s="1" t="s">
        <v>24</v>
      </c>
      <c r="H312" s="1">
        <v>220724</v>
      </c>
      <c r="I312" s="1">
        <v>318810</v>
      </c>
      <c r="J312" s="7">
        <v>0.69199999999999995</v>
      </c>
      <c r="K312" s="1" t="s">
        <v>29</v>
      </c>
      <c r="L312" s="1" t="s">
        <v>21</v>
      </c>
      <c r="M312" s="1" t="s">
        <v>29</v>
      </c>
      <c r="N312" s="1" t="s">
        <v>22</v>
      </c>
    </row>
    <row r="313" spans="1:14" x14ac:dyDescent="0.25">
      <c r="A313" s="1">
        <v>312</v>
      </c>
      <c r="B313" s="2" t="str">
        <f>HYPERLINK("https://leetcode.com/problems/burst-balloons/", "Burst Balloons")</f>
        <v>Burst Balloons</v>
      </c>
      <c r="C313" s="1">
        <v>9724</v>
      </c>
      <c r="D313" s="1">
        <v>285</v>
      </c>
      <c r="E313" s="3">
        <f>IF(INDEX(C:C, ROW())+INDEX(D:D, ROW())=0, 0, INDEX(C:C, ROW())/(INDEX(C:C, ROW())+INDEX(D:D, ROW())))</f>
        <v>0.97152562693575784</v>
      </c>
      <c r="F313" s="1" t="s">
        <v>30</v>
      </c>
      <c r="G313" s="1" t="s">
        <v>28</v>
      </c>
      <c r="H313" s="1">
        <v>427487</v>
      </c>
      <c r="I313" s="1">
        <v>678935</v>
      </c>
      <c r="J313" s="7">
        <v>0.63</v>
      </c>
      <c r="K313" s="1" t="s">
        <v>21</v>
      </c>
      <c r="L313" s="1" t="s">
        <v>21</v>
      </c>
      <c r="M313" s="1" t="s">
        <v>29</v>
      </c>
      <c r="N313" s="1" t="s">
        <v>22</v>
      </c>
    </row>
    <row r="314" spans="1:14" x14ac:dyDescent="0.25">
      <c r="A314" s="1">
        <v>313</v>
      </c>
      <c r="B314" s="2" t="str">
        <f>HYPERLINK("https://leetcode.com/problems/super-ugly-number/", "Super Ugly Number")</f>
        <v>Super Ugly Number</v>
      </c>
      <c r="C314" s="1">
        <v>2284</v>
      </c>
      <c r="D314" s="1">
        <v>408</v>
      </c>
      <c r="E314" s="3">
        <f>IF(INDEX(C:C, ROW())+INDEX(D:D, ROW())=0, 0, INDEX(C:C, ROW())/(INDEX(C:C, ROW())+INDEX(D:D, ROW())))</f>
        <v>0.84843982169390786</v>
      </c>
      <c r="F314" s="1" t="s">
        <v>457</v>
      </c>
      <c r="G314" s="1" t="s">
        <v>24</v>
      </c>
      <c r="H314" s="1">
        <v>157233</v>
      </c>
      <c r="I314" s="1">
        <v>342117</v>
      </c>
      <c r="J314" s="7">
        <v>0.46</v>
      </c>
      <c r="K314" s="1" t="s">
        <v>21</v>
      </c>
      <c r="L314" s="1" t="s">
        <v>29</v>
      </c>
      <c r="M314" s="1" t="s">
        <v>29</v>
      </c>
      <c r="N314" s="1" t="s">
        <v>22</v>
      </c>
    </row>
    <row r="315" spans="1:14" x14ac:dyDescent="0.25">
      <c r="A315" s="1">
        <v>314</v>
      </c>
      <c r="B315" s="2" t="str">
        <f>HYPERLINK("https://leetcode.com/problems/binary-tree-vertical-order-traversal/", "Binary Tree Vertical Order Traversal")</f>
        <v>Binary Tree Vertical Order Traversal</v>
      </c>
      <c r="C315" s="1">
        <v>3465</v>
      </c>
      <c r="D315" s="1">
        <v>354</v>
      </c>
      <c r="E315" s="3">
        <f>IF(INDEX(C:C, ROW())+INDEX(D:D, ROW())=0, 0, INDEX(C:C, ROW())/(INDEX(C:C, ROW())+INDEX(D:D, ROW())))</f>
        <v>0.90730557737627648</v>
      </c>
      <c r="F315" s="1" t="s">
        <v>163</v>
      </c>
      <c r="G315" s="1" t="s">
        <v>24</v>
      </c>
      <c r="H315" s="1">
        <v>590714</v>
      </c>
      <c r="I315" s="1">
        <v>1022937</v>
      </c>
      <c r="J315" s="7">
        <v>0.57699999999999996</v>
      </c>
      <c r="K315" s="1" t="s">
        <v>29</v>
      </c>
      <c r="L315" s="1" t="s">
        <v>21</v>
      </c>
      <c r="M315" s="1" t="s">
        <v>29</v>
      </c>
      <c r="N315" s="1" t="s">
        <v>22</v>
      </c>
    </row>
    <row r="316" spans="1:14" x14ac:dyDescent="0.25">
      <c r="A316" s="1">
        <v>315</v>
      </c>
      <c r="B316" s="2" t="str">
        <f>HYPERLINK("https://leetcode.com/problems/count-of-smaller-numbers-after-self/", "Count of Smaller Numbers After Self")</f>
        <v>Count of Smaller Numbers After Self</v>
      </c>
      <c r="C316" s="1">
        <v>9224</v>
      </c>
      <c r="D316" s="1">
        <v>252</v>
      </c>
      <c r="E316" s="3">
        <f>IF(INDEX(C:C, ROW())+INDEX(D:D, ROW())=0, 0, INDEX(C:C, ROW())/(INDEX(C:C, ROW())+INDEX(D:D, ROW())))</f>
        <v>0.97340650063317857</v>
      </c>
      <c r="F316" s="1" t="s">
        <v>147</v>
      </c>
      <c r="G316" s="1" t="s">
        <v>28</v>
      </c>
      <c r="H316" s="1">
        <v>381517</v>
      </c>
      <c r="I316" s="1">
        <v>881447</v>
      </c>
      <c r="J316" s="7">
        <v>0.433</v>
      </c>
      <c r="K316" s="1" t="s">
        <v>21</v>
      </c>
      <c r="L316" s="1" t="s">
        <v>21</v>
      </c>
      <c r="M316" s="1" t="s">
        <v>29</v>
      </c>
      <c r="N316" s="1" t="s">
        <v>22</v>
      </c>
    </row>
    <row r="317" spans="1:14" x14ac:dyDescent="0.25">
      <c r="A317" s="1">
        <v>316</v>
      </c>
      <c r="B317" s="2" t="str">
        <f>HYPERLINK("https://leetcode.com/problems/remove-duplicate-letters/", "Remove Duplicate Letters")</f>
        <v>Remove Duplicate Letters</v>
      </c>
      <c r="C317" s="1">
        <v>9271</v>
      </c>
      <c r="D317" s="1">
        <v>700</v>
      </c>
      <c r="E317" s="3">
        <f>IF(INDEX(C:C, ROW())+INDEX(D:D, ROW())=0, 0, INDEX(C:C, ROW())/(INDEX(C:C, ROW())+INDEX(D:D, ROW())))</f>
        <v>0.92979640958780463</v>
      </c>
      <c r="F317" s="1" t="s">
        <v>129</v>
      </c>
      <c r="G317" s="1" t="s">
        <v>24</v>
      </c>
      <c r="H317" s="1">
        <v>434921</v>
      </c>
      <c r="I317" s="1">
        <v>823713</v>
      </c>
      <c r="J317" s="7">
        <v>0.52800000000000002</v>
      </c>
      <c r="K317" s="1" t="s">
        <v>21</v>
      </c>
      <c r="L317" s="1" t="s">
        <v>21</v>
      </c>
      <c r="M317" s="1" t="s">
        <v>29</v>
      </c>
      <c r="N317" s="1" t="s">
        <v>22</v>
      </c>
    </row>
    <row r="318" spans="1:14" x14ac:dyDescent="0.25">
      <c r="A318" s="1">
        <v>317</v>
      </c>
      <c r="B318" s="2" t="str">
        <f>HYPERLINK("https://leetcode.com/problems/shortest-distance-from-all-buildings/", "Shortest Distance from All Buildings")</f>
        <v>Shortest Distance from All Buildings</v>
      </c>
      <c r="C318" s="1">
        <v>1987</v>
      </c>
      <c r="D318" s="1">
        <v>343</v>
      </c>
      <c r="E318" s="3">
        <f>IF(INDEX(C:C, ROW())+INDEX(D:D, ROW())=0, 0, INDEX(C:C, ROW())/(INDEX(C:C, ROW())+INDEX(D:D, ROW())))</f>
        <v>0.85278969957081541</v>
      </c>
      <c r="F318" s="1" t="s">
        <v>86</v>
      </c>
      <c r="G318" s="1" t="s">
        <v>28</v>
      </c>
      <c r="H318" s="1">
        <v>217833</v>
      </c>
      <c r="I318" s="1">
        <v>485734</v>
      </c>
      <c r="J318" s="7">
        <v>0.44800000000000001</v>
      </c>
      <c r="K318" s="1" t="s">
        <v>29</v>
      </c>
      <c r="L318" s="1" t="s">
        <v>21</v>
      </c>
      <c r="M318" s="1" t="s">
        <v>29</v>
      </c>
      <c r="N318" s="1" t="s">
        <v>22</v>
      </c>
    </row>
    <row r="319" spans="1:14" x14ac:dyDescent="0.25">
      <c r="A319" s="1">
        <v>318</v>
      </c>
      <c r="B319" s="2" t="str">
        <f>HYPERLINK("https://leetcode.com/problems/maximum-product-of-word-lengths/", "Maximum Product of Word Lengths")</f>
        <v>Maximum Product of Word Lengths</v>
      </c>
      <c r="C319" s="1">
        <v>3620</v>
      </c>
      <c r="D319" s="1">
        <v>146</v>
      </c>
      <c r="E319" s="3">
        <f>IF(INDEX(C:C, ROW())+INDEX(D:D, ROW())=0, 0, INDEX(C:C, ROW())/(INDEX(C:C, ROW())+INDEX(D:D, ROW())))</f>
        <v>0.96123207647371212</v>
      </c>
      <c r="F319" s="1" t="s">
        <v>336</v>
      </c>
      <c r="G319" s="1" t="s">
        <v>24</v>
      </c>
      <c r="H319" s="1">
        <v>249074</v>
      </c>
      <c r="I319" s="1">
        <v>408062</v>
      </c>
      <c r="J319" s="7">
        <v>0.61</v>
      </c>
      <c r="K319" s="1" t="s">
        <v>21</v>
      </c>
      <c r="L319" s="1" t="s">
        <v>21</v>
      </c>
      <c r="M319" s="1" t="s">
        <v>29</v>
      </c>
      <c r="N319" s="1" t="s">
        <v>22</v>
      </c>
    </row>
    <row r="320" spans="1:14" x14ac:dyDescent="0.25">
      <c r="A320" s="1">
        <v>319</v>
      </c>
      <c r="B320" s="2" t="str">
        <f>HYPERLINK("https://leetcode.com/problems/bulb-switcher/", "Bulb Switcher")</f>
        <v>Bulb Switcher</v>
      </c>
      <c r="C320" s="1">
        <v>2941</v>
      </c>
      <c r="D320" s="1">
        <v>3230</v>
      </c>
      <c r="E320" s="3">
        <f>IF(INDEX(C:C, ROW())+INDEX(D:D, ROW())=0, 0, INDEX(C:C, ROW())/(INDEX(C:C, ROW())+INDEX(D:D, ROW())))</f>
        <v>0.47658402203856748</v>
      </c>
      <c r="F320" s="1" t="s">
        <v>381</v>
      </c>
      <c r="G320" s="1" t="s">
        <v>24</v>
      </c>
      <c r="H320" s="1">
        <v>298680</v>
      </c>
      <c r="I320" s="1">
        <v>538080</v>
      </c>
      <c r="J320" s="7">
        <v>0.55500000000000005</v>
      </c>
      <c r="K320" s="1" t="s">
        <v>21</v>
      </c>
      <c r="L320" s="1" t="s">
        <v>21</v>
      </c>
      <c r="M320" s="1" t="s">
        <v>29</v>
      </c>
      <c r="N320" s="1" t="s">
        <v>22</v>
      </c>
    </row>
    <row r="321" spans="1:14" x14ac:dyDescent="0.25">
      <c r="A321" s="1">
        <v>320</v>
      </c>
      <c r="B321" s="2" t="str">
        <f>HYPERLINK("https://leetcode.com/problems/generalized-abbreviation/", "Generalized Abbreviation")</f>
        <v>Generalized Abbreviation</v>
      </c>
      <c r="C321" s="1">
        <v>712</v>
      </c>
      <c r="D321" s="1">
        <v>232</v>
      </c>
      <c r="E321" s="3">
        <f>IF(INDEX(C:C, ROW())+INDEX(D:D, ROW())=0, 0, INDEX(C:C, ROW())/(INDEX(C:C, ROW())+INDEX(D:D, ROW())))</f>
        <v>0.75423728813559321</v>
      </c>
      <c r="F321" s="1" t="s">
        <v>267</v>
      </c>
      <c r="G321" s="1" t="s">
        <v>24</v>
      </c>
      <c r="H321" s="1">
        <v>75583</v>
      </c>
      <c r="I321" s="1">
        <v>125244</v>
      </c>
      <c r="J321" s="7">
        <v>0.60299999999999998</v>
      </c>
      <c r="K321" s="1" t="s">
        <v>29</v>
      </c>
      <c r="L321" s="1" t="s">
        <v>21</v>
      </c>
      <c r="M321" s="1" t="s">
        <v>29</v>
      </c>
      <c r="N321" s="1" t="s">
        <v>22</v>
      </c>
    </row>
    <row r="322" spans="1:14" x14ac:dyDescent="0.25">
      <c r="A322" s="1">
        <v>321</v>
      </c>
      <c r="B322" s="2" t="str">
        <f>HYPERLINK("https://leetcode.com/problems/create-maximum-number/", "Create Maximum Number")</f>
        <v>Create Maximum Number</v>
      </c>
      <c r="C322" s="1">
        <v>2119</v>
      </c>
      <c r="D322" s="1">
        <v>375</v>
      </c>
      <c r="E322" s="3">
        <f>IF(INDEX(C:C, ROW())+INDEX(D:D, ROW())=0, 0, INDEX(C:C, ROW())/(INDEX(C:C, ROW())+INDEX(D:D, ROW())))</f>
        <v>0.84963913392141144</v>
      </c>
      <c r="F322" s="1" t="s">
        <v>483</v>
      </c>
      <c r="G322" s="1" t="s">
        <v>28</v>
      </c>
      <c r="H322" s="1">
        <v>82969</v>
      </c>
      <c r="I322" s="1">
        <v>239768</v>
      </c>
      <c r="J322" s="7">
        <v>0.34599999999999997</v>
      </c>
      <c r="K322" s="1" t="s">
        <v>21</v>
      </c>
      <c r="L322" s="1" t="s">
        <v>29</v>
      </c>
      <c r="M322" s="1" t="s">
        <v>29</v>
      </c>
      <c r="N322" s="1" t="s">
        <v>22</v>
      </c>
    </row>
    <row r="323" spans="1:14" x14ac:dyDescent="0.25">
      <c r="A323" s="1">
        <v>322</v>
      </c>
      <c r="B323" s="2" t="str">
        <f>HYPERLINK("https://leetcode.com/problems/coin-change/", "Coin Change")</f>
        <v>Coin Change</v>
      </c>
      <c r="C323" s="1">
        <v>20815</v>
      </c>
      <c r="D323" s="1">
        <v>538</v>
      </c>
      <c r="E323" s="3">
        <f>IF(INDEX(C:C, ROW())+INDEX(D:D, ROW())=0, 0, INDEX(C:C, ROW())/(INDEX(C:C, ROW())+INDEX(D:D, ROW())))</f>
        <v>0.9748044771226525</v>
      </c>
      <c r="F323" s="1" t="s">
        <v>57</v>
      </c>
      <c r="G323" s="1" t="s">
        <v>24</v>
      </c>
      <c r="H323" s="1">
        <v>2743184</v>
      </c>
      <c r="I323" s="1">
        <v>5721229</v>
      </c>
      <c r="J323" s="7">
        <v>0.47899999999999998</v>
      </c>
      <c r="K323" s="1" t="s">
        <v>21</v>
      </c>
      <c r="L323" s="1" t="s">
        <v>21</v>
      </c>
      <c r="M323" s="1" t="s">
        <v>21</v>
      </c>
      <c r="N323" s="1" t="s">
        <v>22</v>
      </c>
    </row>
    <row r="324" spans="1:14" x14ac:dyDescent="0.25">
      <c r="A324" s="1">
        <v>323</v>
      </c>
      <c r="B324" s="2" t="str">
        <f>HYPERLINK("https://leetcode.com/problems/number-of-connected-components-in-an-undirected-graph/", "Number of Connected Components in an Undirected Graph")</f>
        <v>Number of Connected Components in an Undirected Graph</v>
      </c>
      <c r="C324" s="1">
        <v>2801</v>
      </c>
      <c r="D324" s="1">
        <v>110</v>
      </c>
      <c r="E324" s="3">
        <f>IF(INDEX(C:C, ROW())+INDEX(D:D, ROW())=0, 0, INDEX(C:C, ROW())/(INDEX(C:C, ROW())+INDEX(D:D, ROW())))</f>
        <v>0.96221229817931986</v>
      </c>
      <c r="F324" s="1" t="s">
        <v>122</v>
      </c>
      <c r="G324" s="1" t="s">
        <v>24</v>
      </c>
      <c r="H324" s="1">
        <v>529047</v>
      </c>
      <c r="I324" s="1">
        <v>816579</v>
      </c>
      <c r="J324" s="7">
        <v>0.64800000000000002</v>
      </c>
      <c r="K324" s="1" t="s">
        <v>29</v>
      </c>
      <c r="L324" s="1" t="s">
        <v>21</v>
      </c>
      <c r="M324" s="1" t="s">
        <v>21</v>
      </c>
      <c r="N324" s="1" t="s">
        <v>22</v>
      </c>
    </row>
    <row r="325" spans="1:14" x14ac:dyDescent="0.25">
      <c r="A325" s="1">
        <v>324</v>
      </c>
      <c r="B325" s="2" t="str">
        <f>HYPERLINK("https://leetcode.com/problems/wiggle-sort-ii/", "Wiggle Sort II")</f>
        <v>Wiggle Sort II</v>
      </c>
      <c r="C325" s="1">
        <v>3241</v>
      </c>
      <c r="D325" s="1">
        <v>981</v>
      </c>
      <c r="E325" s="3">
        <f>IF(INDEX(C:C, ROW())+INDEX(D:D, ROW())=0, 0, INDEX(C:C, ROW())/(INDEX(C:C, ROW())+INDEX(D:D, ROW())))</f>
        <v>0.76764566556134528</v>
      </c>
      <c r="F325" s="1" t="s">
        <v>363</v>
      </c>
      <c r="G325" s="1" t="s">
        <v>24</v>
      </c>
      <c r="H325" s="1">
        <v>200112</v>
      </c>
      <c r="I325" s="1">
        <v>541600</v>
      </c>
      <c r="J325" s="7">
        <v>0.36899999999999999</v>
      </c>
      <c r="K325" s="1" t="s">
        <v>21</v>
      </c>
      <c r="L325" s="1" t="s">
        <v>29</v>
      </c>
      <c r="M325" s="1" t="s">
        <v>29</v>
      </c>
      <c r="N325" s="1" t="s">
        <v>22</v>
      </c>
    </row>
    <row r="326" spans="1:14" x14ac:dyDescent="0.25">
      <c r="A326" s="1">
        <v>325</v>
      </c>
      <c r="B326" s="2" t="str">
        <f>HYPERLINK("https://leetcode.com/problems/maximum-size-subarray-sum-equals-k/", "Maximum Size Subarray Sum Equals k")</f>
        <v>Maximum Size Subarray Sum Equals k</v>
      </c>
      <c r="C326" s="1">
        <v>2124</v>
      </c>
      <c r="D326" s="1">
        <v>66</v>
      </c>
      <c r="E326" s="3">
        <f>IF(INDEX(C:C, ROW())+INDEX(D:D, ROW())=0, 0, INDEX(C:C, ROW())/(INDEX(C:C, ROW())+INDEX(D:D, ROW())))</f>
        <v>0.96986301369863015</v>
      </c>
      <c r="F326" s="1" t="s">
        <v>39</v>
      </c>
      <c r="G326" s="1" t="s">
        <v>24</v>
      </c>
      <c r="H326" s="1">
        <v>219576</v>
      </c>
      <c r="I326" s="1">
        <v>432343</v>
      </c>
      <c r="J326" s="7">
        <v>0.50800000000000001</v>
      </c>
      <c r="K326" s="1" t="s">
        <v>29</v>
      </c>
      <c r="L326" s="1" t="s">
        <v>21</v>
      </c>
      <c r="M326" s="1" t="s">
        <v>29</v>
      </c>
      <c r="N326" s="1" t="s">
        <v>22</v>
      </c>
    </row>
    <row r="327" spans="1:14" x14ac:dyDescent="0.25">
      <c r="A327" s="1">
        <v>326</v>
      </c>
      <c r="B327" s="2" t="str">
        <f>HYPERLINK("https://leetcode.com/problems/power-of-three/", "Power of Three")</f>
        <v>Power of Three</v>
      </c>
      <c r="C327" s="1">
        <v>3691</v>
      </c>
      <c r="D327" s="1">
        <v>316</v>
      </c>
      <c r="E327" s="3">
        <f>IF(INDEX(C:C, ROW())+INDEX(D:D, ROW())=0, 0, INDEX(C:C, ROW())/(INDEX(C:C, ROW())+INDEX(D:D, ROW())))</f>
        <v>0.92113800848515104</v>
      </c>
      <c r="F327" s="1" t="s">
        <v>116</v>
      </c>
      <c r="G327" s="1" t="s">
        <v>20</v>
      </c>
      <c r="H327" s="1">
        <v>1347171</v>
      </c>
      <c r="I327" s="1">
        <v>2656694</v>
      </c>
      <c r="J327" s="7">
        <v>0.50700000000000001</v>
      </c>
      <c r="K327" s="1" t="s">
        <v>21</v>
      </c>
      <c r="L327" s="1" t="s">
        <v>21</v>
      </c>
      <c r="M327" s="1" t="s">
        <v>29</v>
      </c>
      <c r="N327" s="1" t="s">
        <v>22</v>
      </c>
    </row>
    <row r="328" spans="1:14" x14ac:dyDescent="0.25">
      <c r="A328" s="1">
        <v>327</v>
      </c>
      <c r="B328" s="2" t="str">
        <f>HYPERLINK("https://leetcode.com/problems/count-of-range-sum/", "Count of Range Sum")</f>
        <v>Count of Range Sum</v>
      </c>
      <c r="C328" s="1">
        <v>2493</v>
      </c>
      <c r="D328" s="1">
        <v>265</v>
      </c>
      <c r="E328" s="3">
        <f>IF(INDEX(C:C, ROW())+INDEX(D:D, ROW())=0, 0, INDEX(C:C, ROW())/(INDEX(C:C, ROW())+INDEX(D:D, ROW())))</f>
        <v>0.9039158810732415</v>
      </c>
      <c r="F328" s="1" t="s">
        <v>147</v>
      </c>
      <c r="G328" s="1" t="s">
        <v>28</v>
      </c>
      <c r="H328" s="1">
        <v>101721</v>
      </c>
      <c r="I328" s="1">
        <v>265552</v>
      </c>
      <c r="J328" s="7">
        <v>0.38300000000000001</v>
      </c>
      <c r="K328" s="1" t="s">
        <v>21</v>
      </c>
      <c r="L328" s="1" t="s">
        <v>29</v>
      </c>
      <c r="M328" s="1" t="s">
        <v>29</v>
      </c>
      <c r="N328" s="1" t="s">
        <v>22</v>
      </c>
    </row>
    <row r="329" spans="1:14" x14ac:dyDescent="0.25">
      <c r="A329" s="1">
        <v>328</v>
      </c>
      <c r="B329" s="2" t="str">
        <f>HYPERLINK("https://leetcode.com/problems/odd-even-linked-list/", "Odd Even Linked List")</f>
        <v>Odd Even Linked List</v>
      </c>
      <c r="C329" s="1">
        <v>11396</v>
      </c>
      <c r="D329" s="1">
        <v>591</v>
      </c>
      <c r="E329" s="3">
        <f>IF(INDEX(C:C, ROW())+INDEX(D:D, ROW())=0, 0, INDEX(C:C, ROW())/(INDEX(C:C, ROW())+INDEX(D:D, ROW())))</f>
        <v>0.95069658797030121</v>
      </c>
      <c r="F329" s="1" t="s">
        <v>104</v>
      </c>
      <c r="G329" s="1" t="s">
        <v>24</v>
      </c>
      <c r="H329" s="1">
        <v>1444039</v>
      </c>
      <c r="I329" s="1">
        <v>2317759</v>
      </c>
      <c r="J329" s="7">
        <v>0.623</v>
      </c>
      <c r="K329" s="1" t="s">
        <v>21</v>
      </c>
      <c r="L329" s="1" t="s">
        <v>21</v>
      </c>
      <c r="M329" s="1" t="s">
        <v>29</v>
      </c>
      <c r="N329" s="1" t="s">
        <v>22</v>
      </c>
    </row>
    <row r="330" spans="1:14" x14ac:dyDescent="0.25">
      <c r="A330" s="1">
        <v>329</v>
      </c>
      <c r="B330" s="2" t="str">
        <f>HYPERLINK("https://leetcode.com/problems/longest-increasing-path-in-a-matrix/", "Longest Increasing Path in a Matrix")</f>
        <v>Longest Increasing Path in a Matrix</v>
      </c>
      <c r="C330" s="1">
        <v>9483</v>
      </c>
      <c r="D330" s="1">
        <v>146</v>
      </c>
      <c r="E330" s="3">
        <f>IF(INDEX(C:C, ROW())+INDEX(D:D, ROW())=0, 0, INDEX(C:C, ROW())/(INDEX(C:C, ROW())+INDEX(D:D, ROW())))</f>
        <v>0.98483747014227851</v>
      </c>
      <c r="F330" s="1" t="s">
        <v>140</v>
      </c>
      <c r="G330" s="1" t="s">
        <v>28</v>
      </c>
      <c r="H330" s="1">
        <v>700193</v>
      </c>
      <c r="I330" s="1">
        <v>1243231</v>
      </c>
      <c r="J330" s="7">
        <v>0.56299999999999994</v>
      </c>
      <c r="K330" s="1" t="s">
        <v>21</v>
      </c>
      <c r="L330" s="1" t="s">
        <v>21</v>
      </c>
      <c r="M330" s="1" t="s">
        <v>29</v>
      </c>
      <c r="N330" s="1" t="s">
        <v>22</v>
      </c>
    </row>
    <row r="331" spans="1:14" x14ac:dyDescent="0.25">
      <c r="A331" s="1">
        <v>330</v>
      </c>
      <c r="B331" s="2" t="str">
        <f>HYPERLINK("https://leetcode.com/problems/patching-array/", "Patching Array")</f>
        <v>Patching Array</v>
      </c>
      <c r="C331" s="1">
        <v>2426</v>
      </c>
      <c r="D331" s="1">
        <v>202</v>
      </c>
      <c r="E331" s="3">
        <f>IF(INDEX(C:C, ROW())+INDEX(D:D, ROW())=0, 0, INDEX(C:C, ROW())/(INDEX(C:C, ROW())+INDEX(D:D, ROW())))</f>
        <v>0.92313546423135462</v>
      </c>
      <c r="F331" s="1" t="s">
        <v>96</v>
      </c>
      <c r="G331" s="1" t="s">
        <v>28</v>
      </c>
      <c r="H331" s="1">
        <v>180620</v>
      </c>
      <c r="I331" s="1">
        <v>334049</v>
      </c>
      <c r="J331" s="7">
        <v>0.54100000000000004</v>
      </c>
      <c r="K331" s="1" t="s">
        <v>21</v>
      </c>
      <c r="L331" s="1" t="s">
        <v>21</v>
      </c>
      <c r="M331" s="1" t="s">
        <v>29</v>
      </c>
      <c r="N331" s="1" t="s">
        <v>22</v>
      </c>
    </row>
    <row r="332" spans="1:14" x14ac:dyDescent="0.25">
      <c r="A332" s="1">
        <v>331</v>
      </c>
      <c r="B332" s="2" t="str">
        <f>HYPERLINK("https://leetcode.com/problems/verify-preorder-serialization-of-a-binary-tree/", "Verify Preorder Serialization of a Binary Tree")</f>
        <v>Verify Preorder Serialization of a Binary Tree</v>
      </c>
      <c r="C332" s="1">
        <v>2452</v>
      </c>
      <c r="D332" s="1">
        <v>132</v>
      </c>
      <c r="E332" s="3">
        <f>IF(INDEX(C:C, ROW())+INDEX(D:D, ROW())=0, 0, INDEX(C:C, ROW())/(INDEX(C:C, ROW())+INDEX(D:D, ROW())))</f>
        <v>0.94891640866873062</v>
      </c>
      <c r="F332" s="1" t="s">
        <v>436</v>
      </c>
      <c r="G332" s="1" t="s">
        <v>24</v>
      </c>
      <c r="H332" s="1">
        <v>165686</v>
      </c>
      <c r="I332" s="1">
        <v>351955</v>
      </c>
      <c r="J332" s="7">
        <v>0.47099999999999997</v>
      </c>
      <c r="K332" s="1" t="s">
        <v>21</v>
      </c>
      <c r="L332" s="1" t="s">
        <v>21</v>
      </c>
      <c r="M332" s="1" t="s">
        <v>29</v>
      </c>
      <c r="N332" s="1" t="s">
        <v>22</v>
      </c>
    </row>
    <row r="333" spans="1:14" x14ac:dyDescent="0.25">
      <c r="A333" s="1">
        <v>332</v>
      </c>
      <c r="B333" s="2" t="str">
        <f>HYPERLINK("https://leetcode.com/problems/reconstruct-itinerary/", "Reconstruct Itinerary")</f>
        <v>Reconstruct Itinerary</v>
      </c>
      <c r="C333" s="1">
        <v>6304</v>
      </c>
      <c r="D333" s="1">
        <v>1926</v>
      </c>
      <c r="E333" s="3">
        <f>IF(INDEX(C:C, ROW())+INDEX(D:D, ROW())=0, 0, INDEX(C:C, ROW())/(INDEX(C:C, ROW())+INDEX(D:D, ROW())))</f>
        <v>0.76597812879708382</v>
      </c>
      <c r="F333" s="1" t="s">
        <v>219</v>
      </c>
      <c r="G333" s="1" t="s">
        <v>28</v>
      </c>
      <c r="H333" s="1">
        <v>540762</v>
      </c>
      <c r="I333" s="1">
        <v>1221537</v>
      </c>
      <c r="J333" s="7">
        <v>0.443</v>
      </c>
      <c r="K333" s="1" t="s">
        <v>21</v>
      </c>
      <c r="L333" s="1" t="s">
        <v>29</v>
      </c>
      <c r="M333" s="1" t="s">
        <v>29</v>
      </c>
      <c r="N333" s="1" t="s">
        <v>22</v>
      </c>
    </row>
    <row r="334" spans="1:14" x14ac:dyDescent="0.25">
      <c r="A334" s="1">
        <v>333</v>
      </c>
      <c r="B334" s="2" t="str">
        <f>HYPERLINK("https://leetcode.com/problems/largest-bst-subtree/", "Largest BST Subtree")</f>
        <v>Largest BST Subtree</v>
      </c>
      <c r="C334" s="1">
        <v>1564</v>
      </c>
      <c r="D334" s="1">
        <v>148</v>
      </c>
      <c r="E334" s="3">
        <f>IF(INDEX(C:C, ROW())+INDEX(D:D, ROW())=0, 0, INDEX(C:C, ROW())/(INDEX(C:C, ROW())+INDEX(D:D, ROW())))</f>
        <v>0.91355140186915884</v>
      </c>
      <c r="F334" s="1" t="s">
        <v>379</v>
      </c>
      <c r="G334" s="1" t="s">
        <v>24</v>
      </c>
      <c r="H334" s="1">
        <v>128372</v>
      </c>
      <c r="I334" s="1">
        <v>280192</v>
      </c>
      <c r="J334" s="7">
        <v>0.45800000000000002</v>
      </c>
      <c r="K334" s="1" t="s">
        <v>29</v>
      </c>
      <c r="L334" s="1" t="s">
        <v>21</v>
      </c>
      <c r="M334" s="1" t="s">
        <v>29</v>
      </c>
      <c r="N334" s="1" t="s">
        <v>22</v>
      </c>
    </row>
    <row r="335" spans="1:14" x14ac:dyDescent="0.25">
      <c r="A335" s="1">
        <v>334</v>
      </c>
      <c r="B335" s="2" t="str">
        <f>HYPERLINK("https://leetcode.com/problems/increasing-triplet-subsequence/", "Increasing Triplet Subsequence")</f>
        <v>Increasing Triplet Subsequence</v>
      </c>
      <c r="C335" s="1">
        <v>8825</v>
      </c>
      <c r="D335" s="1">
        <v>691</v>
      </c>
      <c r="E335" s="3">
        <f>IF(INDEX(C:C, ROW())+INDEX(D:D, ROW())=0, 0, INDEX(C:C, ROW())/(INDEX(C:C, ROW())+INDEX(D:D, ROW())))</f>
        <v>0.92738545607398071</v>
      </c>
      <c r="F335" s="1" t="s">
        <v>96</v>
      </c>
      <c r="G335" s="1" t="s">
        <v>24</v>
      </c>
      <c r="H335" s="1">
        <v>904655</v>
      </c>
      <c r="I335" s="1">
        <v>2305596</v>
      </c>
      <c r="J335" s="7">
        <v>0.39200000000000002</v>
      </c>
      <c r="K335" s="1" t="s">
        <v>21</v>
      </c>
      <c r="L335" s="1" t="s">
        <v>21</v>
      </c>
      <c r="M335" s="1" t="s">
        <v>29</v>
      </c>
      <c r="N335" s="1" t="s">
        <v>22</v>
      </c>
    </row>
    <row r="336" spans="1:14" x14ac:dyDescent="0.25">
      <c r="A336" s="1">
        <v>335</v>
      </c>
      <c r="B336" s="2" t="str">
        <f>HYPERLINK("https://leetcode.com/problems/self-crossing/", "Self Crossing")</f>
        <v>Self Crossing</v>
      </c>
      <c r="C336" s="1">
        <v>416</v>
      </c>
      <c r="D336" s="1">
        <v>522</v>
      </c>
      <c r="E336" s="3">
        <f>IF(INDEX(C:C, ROW())+INDEX(D:D, ROW())=0, 0, INDEX(C:C, ROW())/(INDEX(C:C, ROW())+INDEX(D:D, ROW())))</f>
        <v>0.44349680170575695</v>
      </c>
      <c r="F336" s="1" t="s">
        <v>397</v>
      </c>
      <c r="G336" s="1" t="s">
        <v>28</v>
      </c>
      <c r="H336" s="1">
        <v>46394</v>
      </c>
      <c r="I336" s="1">
        <v>135783</v>
      </c>
      <c r="J336" s="7">
        <v>0.34200000000000003</v>
      </c>
      <c r="K336" s="1" t="s">
        <v>21</v>
      </c>
      <c r="L336" s="1" t="s">
        <v>29</v>
      </c>
      <c r="M336" s="1" t="s">
        <v>29</v>
      </c>
      <c r="N336" s="1" t="s">
        <v>22</v>
      </c>
    </row>
    <row r="337" spans="1:14" x14ac:dyDescent="0.25">
      <c r="A337" s="1">
        <v>336</v>
      </c>
      <c r="B337" s="2" t="str">
        <f>HYPERLINK("https://leetcode.com/problems/palindrome-pairs/", "Palindrome Pairs")</f>
        <v>Palindrome Pairs</v>
      </c>
      <c r="C337" s="1">
        <v>4624</v>
      </c>
      <c r="D337" s="1">
        <v>475</v>
      </c>
      <c r="E337" s="3">
        <f>IF(INDEX(C:C, ROW())+INDEX(D:D, ROW())=0, 0, INDEX(C:C, ROW())/(INDEX(C:C, ROW())+INDEX(D:D, ROW())))</f>
        <v>0.90684447930966861</v>
      </c>
      <c r="F337" s="1" t="s">
        <v>279</v>
      </c>
      <c r="G337" s="1" t="s">
        <v>28</v>
      </c>
      <c r="H337" s="1">
        <v>238002</v>
      </c>
      <c r="I337" s="1">
        <v>644039</v>
      </c>
      <c r="J337" s="7">
        <v>0.37</v>
      </c>
      <c r="K337" s="1" t="s">
        <v>21</v>
      </c>
      <c r="L337" s="1" t="s">
        <v>21</v>
      </c>
      <c r="M337" s="1" t="s">
        <v>29</v>
      </c>
      <c r="N337" s="1" t="s">
        <v>22</v>
      </c>
    </row>
    <row r="338" spans="1:14" x14ac:dyDescent="0.25">
      <c r="A338" s="1">
        <v>337</v>
      </c>
      <c r="B338" s="2" t="str">
        <f>HYPERLINK("https://leetcode.com/problems/house-robber-iii/", "House Robber III")</f>
        <v>House Robber III</v>
      </c>
      <c r="C338" s="1">
        <v>9071</v>
      </c>
      <c r="D338" s="1">
        <v>157</v>
      </c>
      <c r="E338" s="3">
        <f>IF(INDEX(C:C, ROW())+INDEX(D:D, ROW())=0, 0, INDEX(C:C, ROW())/(INDEX(C:C, ROW())+INDEX(D:D, ROW())))</f>
        <v>0.98298656263545725</v>
      </c>
      <c r="F338" s="1" t="s">
        <v>68</v>
      </c>
      <c r="G338" s="1" t="s">
        <v>24</v>
      </c>
      <c r="H338" s="1">
        <v>493040</v>
      </c>
      <c r="I338" s="1">
        <v>886314</v>
      </c>
      <c r="J338" s="7">
        <v>0.55600000000000005</v>
      </c>
      <c r="K338" s="1" t="s">
        <v>21</v>
      </c>
      <c r="L338" s="1" t="s">
        <v>21</v>
      </c>
      <c r="M338" s="1" t="s">
        <v>29</v>
      </c>
      <c r="N338" s="1" t="s">
        <v>22</v>
      </c>
    </row>
    <row r="339" spans="1:14" x14ac:dyDescent="0.25">
      <c r="A339" s="1">
        <v>338</v>
      </c>
      <c r="B339" s="2" t="str">
        <f>HYPERLINK("https://leetcode.com/problems/counting-bits/", "Counting Bits")</f>
        <v>Counting Bits</v>
      </c>
      <c r="C339" s="1">
        <v>11900</v>
      </c>
      <c r="D339" s="1">
        <v>610</v>
      </c>
      <c r="E339" s="3">
        <f>IF(INDEX(C:C, ROW())+INDEX(D:D, ROW())=0, 0, INDEX(C:C, ROW())/(INDEX(C:C, ROW())+INDEX(D:D, ROW())))</f>
        <v>0.95123900879296563</v>
      </c>
      <c r="F339" s="1" t="s">
        <v>109</v>
      </c>
      <c r="G339" s="1" t="s">
        <v>20</v>
      </c>
      <c r="H339" s="1">
        <v>1570875</v>
      </c>
      <c r="I339" s="1">
        <v>1953896</v>
      </c>
      <c r="J339" s="7">
        <v>0.80400000000000005</v>
      </c>
      <c r="K339" s="1" t="s">
        <v>21</v>
      </c>
      <c r="L339" s="1" t="s">
        <v>21</v>
      </c>
      <c r="M339" s="1" t="s">
        <v>29</v>
      </c>
      <c r="N339" s="1" t="s">
        <v>22</v>
      </c>
    </row>
    <row r="340" spans="1:14" x14ac:dyDescent="0.25">
      <c r="A340" s="1">
        <v>339</v>
      </c>
      <c r="B340" s="2" t="str">
        <f>HYPERLINK("https://leetcode.com/problems/nested-list-weight-sum/", "Nested List Weight Sum")</f>
        <v>Nested List Weight Sum</v>
      </c>
      <c r="C340" s="1">
        <v>1868</v>
      </c>
      <c r="D340" s="1">
        <v>486</v>
      </c>
      <c r="E340" s="3">
        <f>IF(INDEX(C:C, ROW())+INDEX(D:D, ROW())=0, 0, INDEX(C:C, ROW())/(INDEX(C:C, ROW())+INDEX(D:D, ROW())))</f>
        <v>0.79354290569243835</v>
      </c>
      <c r="F340" s="1" t="s">
        <v>525</v>
      </c>
      <c r="G340" s="1" t="s">
        <v>24</v>
      </c>
      <c r="H340" s="1">
        <v>411320</v>
      </c>
      <c r="I340" s="1">
        <v>478755</v>
      </c>
      <c r="J340" s="7">
        <v>0.85899999999999999</v>
      </c>
      <c r="K340" s="1" t="s">
        <v>29</v>
      </c>
      <c r="L340" s="1" t="s">
        <v>21</v>
      </c>
      <c r="M340" s="1" t="s">
        <v>21</v>
      </c>
      <c r="N340" s="1" t="s">
        <v>22</v>
      </c>
    </row>
    <row r="341" spans="1:14" x14ac:dyDescent="0.25">
      <c r="A341" s="1">
        <v>340</v>
      </c>
      <c r="B341" s="2" t="str">
        <f>HYPERLINK("https://leetcode.com/problems/longest-substring-with-at-most-k-distinct-characters/", "Longest Substring with At Most K Distinct Characters")</f>
        <v>Longest Substring with At Most K Distinct Characters</v>
      </c>
      <c r="C341" s="1">
        <v>2901</v>
      </c>
      <c r="D341" s="1">
        <v>81</v>
      </c>
      <c r="E341" s="3">
        <f>IF(INDEX(C:C, ROW())+INDEX(D:D, ROW())=0, 0, INDEX(C:C, ROW())/(INDEX(C:C, ROW())+INDEX(D:D, ROW())))</f>
        <v>0.97283702213279677</v>
      </c>
      <c r="F341" s="1" t="s">
        <v>23</v>
      </c>
      <c r="G341" s="1" t="s">
        <v>24</v>
      </c>
      <c r="H341" s="1">
        <v>396355</v>
      </c>
      <c r="I341" s="1">
        <v>794391</v>
      </c>
      <c r="J341" s="7">
        <v>0.499</v>
      </c>
      <c r="K341" s="1" t="s">
        <v>29</v>
      </c>
      <c r="L341" s="1" t="s">
        <v>21</v>
      </c>
      <c r="M341" s="1" t="s">
        <v>21</v>
      </c>
      <c r="N341" s="1" t="s">
        <v>22</v>
      </c>
    </row>
    <row r="342" spans="1:14" x14ac:dyDescent="0.25">
      <c r="A342" s="1">
        <v>341</v>
      </c>
      <c r="B342" s="2" t="str">
        <f>HYPERLINK("https://leetcode.com/problems/flatten-nested-list-iterator/", "Flatten Nested List Iterator")</f>
        <v>Flatten Nested List Iterator</v>
      </c>
      <c r="C342" s="1">
        <v>5065</v>
      </c>
      <c r="D342" s="1">
        <v>1795</v>
      </c>
      <c r="E342" s="3">
        <f>IF(INDEX(C:C, ROW())+INDEX(D:D, ROW())=0, 0, INDEX(C:C, ROW())/(INDEX(C:C, ROW())+INDEX(D:D, ROW())))</f>
        <v>0.73833819241982512</v>
      </c>
      <c r="F342" s="1" t="s">
        <v>259</v>
      </c>
      <c r="G342" s="1" t="s">
        <v>24</v>
      </c>
      <c r="H342" s="1">
        <v>529906</v>
      </c>
      <c r="I342" s="1">
        <v>807622</v>
      </c>
      <c r="J342" s="7">
        <v>0.65600000000000003</v>
      </c>
      <c r="K342" s="1" t="s">
        <v>21</v>
      </c>
      <c r="L342" s="1" t="s">
        <v>21</v>
      </c>
      <c r="M342" s="1" t="s">
        <v>29</v>
      </c>
      <c r="N342" s="1" t="s">
        <v>22</v>
      </c>
    </row>
    <row r="343" spans="1:14" x14ac:dyDescent="0.25">
      <c r="A343" s="1">
        <v>342</v>
      </c>
      <c r="B343" s="2" t="str">
        <f>HYPERLINK("https://leetcode.com/problems/power-of-four/", "Power of Four")</f>
        <v>Power of Four</v>
      </c>
      <c r="C343" s="1">
        <v>4453</v>
      </c>
      <c r="D343" s="1">
        <v>422</v>
      </c>
      <c r="E343" s="3">
        <f>IF(INDEX(C:C, ROW())+INDEX(D:D, ROW())=0, 0, INDEX(C:C, ROW())/(INDEX(C:C, ROW())+INDEX(D:D, ROW())))</f>
        <v>0.91343589743589748</v>
      </c>
      <c r="F343" s="1" t="s">
        <v>172</v>
      </c>
      <c r="G343" s="1" t="s">
        <v>20</v>
      </c>
      <c r="H343" s="1">
        <v>1071625</v>
      </c>
      <c r="I343" s="1">
        <v>2070787</v>
      </c>
      <c r="J343" s="7">
        <v>0.51700000000000002</v>
      </c>
      <c r="K343" s="1" t="s">
        <v>21</v>
      </c>
      <c r="L343" s="1" t="s">
        <v>21</v>
      </c>
      <c r="M343" s="1" t="s">
        <v>29</v>
      </c>
      <c r="N343" s="1" t="s">
        <v>22</v>
      </c>
    </row>
    <row r="344" spans="1:14" x14ac:dyDescent="0.25">
      <c r="A344" s="1">
        <v>343</v>
      </c>
      <c r="B344" s="2" t="str">
        <f>HYPERLINK("https://leetcode.com/problems/integer-break/", "Integer Break")</f>
        <v>Integer Break</v>
      </c>
      <c r="C344" s="1">
        <v>5360</v>
      </c>
      <c r="D344" s="1">
        <v>467</v>
      </c>
      <c r="E344" s="3">
        <f>IF(INDEX(C:C, ROW())+INDEX(D:D, ROW())=0, 0, INDEX(C:C, ROW())/(INDEX(C:C, ROW())+INDEX(D:D, ROW())))</f>
        <v>0.91985584348721472</v>
      </c>
      <c r="F344" s="1" t="s">
        <v>250</v>
      </c>
      <c r="G344" s="1" t="s">
        <v>24</v>
      </c>
      <c r="H344" s="1">
        <v>430819</v>
      </c>
      <c r="I344" s="1">
        <v>696284</v>
      </c>
      <c r="J344" s="7">
        <v>0.61899999999999999</v>
      </c>
      <c r="K344" s="1" t="s">
        <v>21</v>
      </c>
      <c r="L344" s="1" t="s">
        <v>21</v>
      </c>
      <c r="M344" s="1" t="s">
        <v>29</v>
      </c>
      <c r="N344" s="1" t="s">
        <v>22</v>
      </c>
    </row>
    <row r="345" spans="1:14" x14ac:dyDescent="0.25">
      <c r="A345" s="1">
        <v>344</v>
      </c>
      <c r="B345" s="2" t="str">
        <f>HYPERLINK("https://leetcode.com/problems/reverse-string/", "Reverse String")</f>
        <v>Reverse String</v>
      </c>
      <c r="C345" s="1">
        <v>9493</v>
      </c>
      <c r="D345" s="1">
        <v>1214</v>
      </c>
      <c r="E345" s="3">
        <f>IF(INDEX(C:C, ROW())+INDEX(D:D, ROW())=0, 0, INDEX(C:C, ROW())/(INDEX(C:C, ROW())+INDEX(D:D, ROW())))</f>
        <v>0.8866162323713459</v>
      </c>
      <c r="F345" s="1" t="s">
        <v>117</v>
      </c>
      <c r="G345" s="1" t="s">
        <v>20</v>
      </c>
      <c r="H345" s="1">
        <v>3700003</v>
      </c>
      <c r="I345" s="1">
        <v>4593462</v>
      </c>
      <c r="J345" s="7">
        <v>0.80500000000000005</v>
      </c>
      <c r="K345" s="1" t="s">
        <v>21</v>
      </c>
      <c r="L345" s="1" t="s">
        <v>21</v>
      </c>
      <c r="M345" s="1" t="s">
        <v>21</v>
      </c>
      <c r="N345" s="1" t="s">
        <v>22</v>
      </c>
    </row>
    <row r="346" spans="1:14" x14ac:dyDescent="0.25">
      <c r="A346" s="1">
        <v>345</v>
      </c>
      <c r="B346" s="2" t="str">
        <f>HYPERLINK("https://leetcode.com/problems/reverse-vowels-of-a-string/", "Reverse Vowels of a String")</f>
        <v>Reverse Vowels of a String</v>
      </c>
      <c r="C346" s="1">
        <v>5315</v>
      </c>
      <c r="D346" s="1">
        <v>2858</v>
      </c>
      <c r="E346" s="3">
        <f>IF(INDEX(C:C, ROW())+INDEX(D:D, ROW())=0, 0, INDEX(C:C, ROW())/(INDEX(C:C, ROW())+INDEX(D:D, ROW())))</f>
        <v>0.65031200293649827</v>
      </c>
      <c r="F346" s="1" t="s">
        <v>117</v>
      </c>
      <c r="G346" s="1" t="s">
        <v>20</v>
      </c>
      <c r="H346" s="1">
        <v>1534843</v>
      </c>
      <c r="I346" s="1">
        <v>2531487</v>
      </c>
      <c r="J346" s="7">
        <v>0.60599999999999998</v>
      </c>
      <c r="K346" s="1" t="s">
        <v>21</v>
      </c>
      <c r="L346" s="1" t="s">
        <v>21</v>
      </c>
      <c r="M346" s="1" t="s">
        <v>21</v>
      </c>
      <c r="N346" s="1" t="s">
        <v>22</v>
      </c>
    </row>
    <row r="347" spans="1:14" x14ac:dyDescent="0.25">
      <c r="A347" s="1">
        <v>346</v>
      </c>
      <c r="B347" s="2" t="str">
        <f>HYPERLINK("https://leetcode.com/problems/moving-average-from-data-stream/", "Moving Average from Data Stream")</f>
        <v>Moving Average from Data Stream</v>
      </c>
      <c r="C347" s="1">
        <v>1753</v>
      </c>
      <c r="D347" s="1">
        <v>192</v>
      </c>
      <c r="E347" s="3">
        <f>IF(INDEX(C:C, ROW())+INDEX(D:D, ROW())=0, 0, INDEX(C:C, ROW())/(INDEX(C:C, ROW())+INDEX(D:D, ROW())))</f>
        <v>0.90128534704370178</v>
      </c>
      <c r="F347" s="1" t="s">
        <v>541</v>
      </c>
      <c r="G347" s="1" t="s">
        <v>20</v>
      </c>
      <c r="H347" s="1">
        <v>526757</v>
      </c>
      <c r="I347" s="1">
        <v>656881</v>
      </c>
      <c r="J347" s="7">
        <v>0.80200000000000005</v>
      </c>
      <c r="K347" s="1" t="s">
        <v>29</v>
      </c>
      <c r="L347" s="1" t="s">
        <v>21</v>
      </c>
      <c r="M347" s="1" t="s">
        <v>21</v>
      </c>
      <c r="N347" s="1" t="s">
        <v>22</v>
      </c>
    </row>
    <row r="348" spans="1:14" x14ac:dyDescent="0.25">
      <c r="A348" s="1">
        <v>347</v>
      </c>
      <c r="B348" s="2" t="str">
        <f>HYPERLINK("https://leetcode.com/problems/top-k-frequent-elements/", "Top K Frequent Elements")</f>
        <v>Top K Frequent Elements</v>
      </c>
      <c r="C348" s="1">
        <v>19311</v>
      </c>
      <c r="D348" s="1">
        <v>852</v>
      </c>
      <c r="E348" s="3">
        <f>IF(INDEX(C:C, ROW())+INDEX(D:D, ROW())=0, 0, INDEX(C:C, ROW())/(INDEX(C:C, ROW())+INDEX(D:D, ROW())))</f>
        <v>0.95774438327629818</v>
      </c>
      <c r="F348" s="1" t="s">
        <v>62</v>
      </c>
      <c r="G348" s="1" t="s">
        <v>24</v>
      </c>
      <c r="H348" s="1">
        <v>3414249</v>
      </c>
      <c r="I348" s="1">
        <v>5183331</v>
      </c>
      <c r="J348" s="7">
        <v>0.65900000000000003</v>
      </c>
      <c r="K348" s="1" t="s">
        <v>21</v>
      </c>
      <c r="L348" s="1" t="s">
        <v>21</v>
      </c>
      <c r="M348" s="1" t="s">
        <v>21</v>
      </c>
      <c r="N348" s="1" t="s">
        <v>22</v>
      </c>
    </row>
    <row r="349" spans="1:14" x14ac:dyDescent="0.25">
      <c r="A349" s="1">
        <v>348</v>
      </c>
      <c r="B349" s="2" t="str">
        <f>HYPERLINK("https://leetcode.com/problems/design-tic-tac-toe/", "Design Tic-Tac-Toe")</f>
        <v>Design Tic-Tac-Toe</v>
      </c>
      <c r="C349" s="1">
        <v>2166</v>
      </c>
      <c r="D349" s="1">
        <v>120</v>
      </c>
      <c r="E349" s="3">
        <f>IF(INDEX(C:C, ROW())+INDEX(D:D, ROW())=0, 0, INDEX(C:C, ROW())/(INDEX(C:C, ROW())+INDEX(D:D, ROW())))</f>
        <v>0.94750656167978997</v>
      </c>
      <c r="F349" s="1" t="s">
        <v>475</v>
      </c>
      <c r="G349" s="1" t="s">
        <v>24</v>
      </c>
      <c r="H349" s="1">
        <v>312043</v>
      </c>
      <c r="I349" s="1">
        <v>531191</v>
      </c>
      <c r="J349" s="7">
        <v>0.58699999999999997</v>
      </c>
      <c r="K349" s="1" t="s">
        <v>29</v>
      </c>
      <c r="L349" s="1" t="s">
        <v>21</v>
      </c>
      <c r="M349" s="1" t="s">
        <v>29</v>
      </c>
      <c r="N349" s="1" t="s">
        <v>22</v>
      </c>
    </row>
    <row r="350" spans="1:14" x14ac:dyDescent="0.25">
      <c r="A350" s="1">
        <v>349</v>
      </c>
      <c r="B350" s="2" t="str">
        <f>HYPERLINK("https://leetcode.com/problems/intersection-of-two-arrays/", "Intersection of Two Arrays")</f>
        <v>Intersection of Two Arrays</v>
      </c>
      <c r="C350" s="1">
        <v>6852</v>
      </c>
      <c r="D350" s="1">
        <v>2344</v>
      </c>
      <c r="E350" s="3">
        <f>IF(INDEX(C:C, ROW())+INDEX(D:D, ROW())=0, 0, INDEX(C:C, ROW())/(INDEX(C:C, ROW())+INDEX(D:D, ROW())))</f>
        <v>0.74510656807307529</v>
      </c>
      <c r="F350" s="1" t="s">
        <v>167</v>
      </c>
      <c r="G350" s="1" t="s">
        <v>20</v>
      </c>
      <c r="H350" s="1">
        <v>1792400</v>
      </c>
      <c r="I350" s="1">
        <v>2313541</v>
      </c>
      <c r="J350" s="7">
        <v>0.77500000000000002</v>
      </c>
      <c r="K350" s="1" t="s">
        <v>21</v>
      </c>
      <c r="L350" s="1" t="s">
        <v>21</v>
      </c>
      <c r="M350" s="1" t="s">
        <v>29</v>
      </c>
      <c r="N350" s="1" t="s">
        <v>22</v>
      </c>
    </row>
    <row r="351" spans="1:14" x14ac:dyDescent="0.25">
      <c r="A351" s="1">
        <v>350</v>
      </c>
      <c r="B351" s="2" t="str">
        <f>HYPERLINK("https://leetcode.com/problems/intersection-of-two-arrays-ii/", "Intersection of Two Arrays II")</f>
        <v>Intersection of Two Arrays II</v>
      </c>
      <c r="C351" s="1">
        <v>8163</v>
      </c>
      <c r="D351" s="1">
        <v>1010</v>
      </c>
      <c r="E351" s="3">
        <f>IF(INDEX(C:C, ROW())+INDEX(D:D, ROW())=0, 0, INDEX(C:C, ROW())/(INDEX(C:C, ROW())+INDEX(D:D, ROW())))</f>
        <v>0.88989425487844764</v>
      </c>
      <c r="F351" s="1" t="s">
        <v>167</v>
      </c>
      <c r="G351" s="1" t="s">
        <v>20</v>
      </c>
      <c r="H351" s="1">
        <v>1705562</v>
      </c>
      <c r="I351" s="1">
        <v>2857798</v>
      </c>
      <c r="J351" s="7">
        <v>0.59699999999999998</v>
      </c>
      <c r="K351" s="1" t="s">
        <v>21</v>
      </c>
      <c r="L351" s="1" t="s">
        <v>21</v>
      </c>
      <c r="M351" s="1" t="s">
        <v>29</v>
      </c>
      <c r="N351" s="1" t="s">
        <v>22</v>
      </c>
    </row>
    <row r="352" spans="1:14" x14ac:dyDescent="0.25">
      <c r="A352" s="1">
        <v>351</v>
      </c>
      <c r="B352" s="2" t="str">
        <f>HYPERLINK("https://leetcode.com/problems/android-unlock-patterns/", "Android Unlock Patterns")</f>
        <v>Android Unlock Patterns</v>
      </c>
      <c r="C352" s="1">
        <v>210</v>
      </c>
      <c r="D352" s="1">
        <v>240</v>
      </c>
      <c r="E352" s="3">
        <f>IF(INDEX(C:C, ROW())+INDEX(D:D, ROW())=0, 0, INDEX(C:C, ROW())/(INDEX(C:C, ROW())+INDEX(D:D, ROW())))</f>
        <v>0.46666666666666667</v>
      </c>
      <c r="F352" s="1" t="s">
        <v>1086</v>
      </c>
      <c r="G352" s="1" t="s">
        <v>24</v>
      </c>
      <c r="H352" s="1">
        <v>83554</v>
      </c>
      <c r="I352" s="1">
        <v>155522</v>
      </c>
      <c r="J352" s="7">
        <v>0.53700000000000003</v>
      </c>
      <c r="K352" s="1" t="s">
        <v>29</v>
      </c>
      <c r="L352" s="1" t="s">
        <v>21</v>
      </c>
      <c r="M352" s="1" t="s">
        <v>29</v>
      </c>
      <c r="N352" s="1" t="s">
        <v>22</v>
      </c>
    </row>
    <row r="353" spans="1:14" x14ac:dyDescent="0.25">
      <c r="A353" s="1">
        <v>352</v>
      </c>
      <c r="B353" s="2" t="str">
        <f>HYPERLINK("https://leetcode.com/problems/data-stream-as-disjoint-intervals/", "Data Stream as Disjoint Intervals")</f>
        <v>Data Stream as Disjoint Intervals</v>
      </c>
      <c r="C353" s="1">
        <v>1815</v>
      </c>
      <c r="D353" s="1">
        <v>374</v>
      </c>
      <c r="E353" s="3">
        <f>IF(INDEX(C:C, ROW())+INDEX(D:D, ROW())=0, 0, INDEX(C:C, ROW())/(INDEX(C:C, ROW())+INDEX(D:D, ROW())))</f>
        <v>0.82914572864321612</v>
      </c>
      <c r="F353" s="1" t="s">
        <v>535</v>
      </c>
      <c r="G353" s="1" t="s">
        <v>28</v>
      </c>
      <c r="H353" s="1">
        <v>130765</v>
      </c>
      <c r="I353" s="1">
        <v>218093</v>
      </c>
      <c r="J353" s="7">
        <v>0.6</v>
      </c>
      <c r="K353" s="1" t="s">
        <v>21</v>
      </c>
      <c r="L353" s="1" t="s">
        <v>21</v>
      </c>
      <c r="M353" s="1" t="s">
        <v>29</v>
      </c>
      <c r="N353" s="1" t="s">
        <v>22</v>
      </c>
    </row>
    <row r="354" spans="1:14" x14ac:dyDescent="0.25">
      <c r="A354" s="1">
        <v>353</v>
      </c>
      <c r="B354" s="2" t="str">
        <f>HYPERLINK("https://leetcode.com/problems/design-snake-game/", "Design Snake Game")</f>
        <v>Design Snake Game</v>
      </c>
      <c r="C354" s="1">
        <v>1013</v>
      </c>
      <c r="D354" s="1">
        <v>353</v>
      </c>
      <c r="E354" s="3">
        <f>IF(INDEX(C:C, ROW())+INDEX(D:D, ROW())=0, 0, INDEX(C:C, ROW())/(INDEX(C:C, ROW())+INDEX(D:D, ROW())))</f>
        <v>0.74158125915080531</v>
      </c>
      <c r="F354" s="1" t="s">
        <v>711</v>
      </c>
      <c r="G354" s="1" t="s">
        <v>24</v>
      </c>
      <c r="H354" s="1">
        <v>105229</v>
      </c>
      <c r="I354" s="1">
        <v>263141</v>
      </c>
      <c r="J354" s="7">
        <v>0.4</v>
      </c>
      <c r="K354" s="1" t="s">
        <v>29</v>
      </c>
      <c r="L354" s="1" t="s">
        <v>21</v>
      </c>
      <c r="M354" s="1" t="s">
        <v>29</v>
      </c>
      <c r="N354" s="1" t="s">
        <v>22</v>
      </c>
    </row>
    <row r="355" spans="1:14" x14ac:dyDescent="0.25">
      <c r="A355" s="1">
        <v>354</v>
      </c>
      <c r="B355" s="2" t="str">
        <f>HYPERLINK("https://leetcode.com/problems/russian-doll-envelopes/", "Russian Doll Envelopes")</f>
        <v>Russian Doll Envelopes</v>
      </c>
      <c r="C355" s="1">
        <v>6446</v>
      </c>
      <c r="D355" s="1">
        <v>170</v>
      </c>
      <c r="E355" s="3">
        <f>IF(INDEX(C:C, ROW())+INDEX(D:D, ROW())=0, 0, INDEX(C:C, ROW())/(INDEX(C:C, ROW())+INDEX(D:D, ROW())))</f>
        <v>0.97430471584038691</v>
      </c>
      <c r="F355" s="1" t="s">
        <v>188</v>
      </c>
      <c r="G355" s="1" t="s">
        <v>28</v>
      </c>
      <c r="H355" s="1">
        <v>286573</v>
      </c>
      <c r="I355" s="1">
        <v>759943</v>
      </c>
      <c r="J355" s="7">
        <v>0.377</v>
      </c>
      <c r="K355" s="1" t="s">
        <v>21</v>
      </c>
      <c r="L355" s="1" t="s">
        <v>21</v>
      </c>
      <c r="M355" s="1" t="s">
        <v>29</v>
      </c>
      <c r="N355" s="1" t="s">
        <v>22</v>
      </c>
    </row>
    <row r="356" spans="1:14" x14ac:dyDescent="0.25">
      <c r="A356" s="1">
        <v>355</v>
      </c>
      <c r="B356" s="2" t="str">
        <f>HYPERLINK("https://leetcode.com/problems/design-twitter/", "Design Twitter")</f>
        <v>Design Twitter</v>
      </c>
      <c r="C356" s="1">
        <v>4637</v>
      </c>
      <c r="D356" s="1">
        <v>657</v>
      </c>
      <c r="E356" s="3">
        <f>IF(INDEX(C:C, ROW())+INDEX(D:D, ROW())=0, 0, INDEX(C:C, ROW())/(INDEX(C:C, ROW())+INDEX(D:D, ROW())))</f>
        <v>0.8758972421609369</v>
      </c>
      <c r="F356" s="1" t="s">
        <v>278</v>
      </c>
      <c r="G356" s="1" t="s">
        <v>24</v>
      </c>
      <c r="H356" s="1">
        <v>326092</v>
      </c>
      <c r="I356" s="1">
        <v>737842</v>
      </c>
      <c r="J356" s="7">
        <v>0.442</v>
      </c>
      <c r="K356" s="1" t="s">
        <v>21</v>
      </c>
      <c r="L356" s="1" t="s">
        <v>29</v>
      </c>
      <c r="M356" s="1" t="s">
        <v>29</v>
      </c>
      <c r="N356" s="1" t="s">
        <v>22</v>
      </c>
    </row>
    <row r="357" spans="1:14" x14ac:dyDescent="0.25">
      <c r="A357" s="1">
        <v>356</v>
      </c>
      <c r="B357" s="2" t="str">
        <f>HYPERLINK("https://leetcode.com/problems/line-reflection/", "Line Reflection")</f>
        <v>Line Reflection</v>
      </c>
      <c r="C357" s="1">
        <v>317</v>
      </c>
      <c r="D357" s="1">
        <v>639</v>
      </c>
      <c r="E357" s="3">
        <f>IF(INDEX(C:C, ROW())+INDEX(D:D, ROW())=0, 0, INDEX(C:C, ROW())/(INDEX(C:C, ROW())+INDEX(D:D, ROW())))</f>
        <v>0.33158995815899583</v>
      </c>
      <c r="F357" s="1" t="s">
        <v>741</v>
      </c>
      <c r="G357" s="1" t="s">
        <v>24</v>
      </c>
      <c r="H357" s="1">
        <v>45896</v>
      </c>
      <c r="I357" s="1">
        <v>126584</v>
      </c>
      <c r="J357" s="7">
        <v>0.36299999999999999</v>
      </c>
      <c r="K357" s="1" t="s">
        <v>29</v>
      </c>
      <c r="L357" s="1" t="s">
        <v>29</v>
      </c>
      <c r="M357" s="1" t="s">
        <v>29</v>
      </c>
      <c r="N357" s="1" t="s">
        <v>22</v>
      </c>
    </row>
    <row r="358" spans="1:14" x14ac:dyDescent="0.25">
      <c r="A358" s="1">
        <v>357</v>
      </c>
      <c r="B358" s="2" t="str">
        <f>HYPERLINK("https://leetcode.com/problems/count-numbers-with-unique-digits/", "Count Numbers with Unique Digits")</f>
        <v>Count Numbers with Unique Digits</v>
      </c>
      <c r="C358" s="1">
        <v>1697</v>
      </c>
      <c r="D358" s="1">
        <v>1522</v>
      </c>
      <c r="E358" s="3">
        <f>IF(INDEX(C:C, ROW())+INDEX(D:D, ROW())=0, 0, INDEX(C:C, ROW())/(INDEX(C:C, ROW())+INDEX(D:D, ROW())))</f>
        <v>0.52718235476856168</v>
      </c>
      <c r="F358" s="1" t="s">
        <v>547</v>
      </c>
      <c r="G358" s="1" t="s">
        <v>24</v>
      </c>
      <c r="H358" s="1">
        <v>182878</v>
      </c>
      <c r="I358" s="1">
        <v>330398</v>
      </c>
      <c r="J358" s="7">
        <v>0.55400000000000005</v>
      </c>
      <c r="K358" s="1" t="s">
        <v>21</v>
      </c>
      <c r="L358" s="1" t="s">
        <v>29</v>
      </c>
      <c r="M358" s="1" t="s">
        <v>29</v>
      </c>
      <c r="N358" s="1" t="s">
        <v>22</v>
      </c>
    </row>
    <row r="359" spans="1:14" x14ac:dyDescent="0.25">
      <c r="A359" s="1">
        <v>358</v>
      </c>
      <c r="B359" s="2" t="str">
        <f>HYPERLINK("https://leetcode.com/problems/rearrange-string-k-distance-apart/", "Rearrange String k Distance Apart")</f>
        <v>Rearrange String k Distance Apart</v>
      </c>
      <c r="C359" s="1">
        <v>998</v>
      </c>
      <c r="D359" s="1">
        <v>39</v>
      </c>
      <c r="E359" s="3">
        <f>IF(INDEX(C:C, ROW())+INDEX(D:D, ROW())=0, 0, INDEX(C:C, ROW())/(INDEX(C:C, ROW())+INDEX(D:D, ROW())))</f>
        <v>0.96239151398264222</v>
      </c>
      <c r="F359" s="1" t="s">
        <v>148</v>
      </c>
      <c r="G359" s="1" t="s">
        <v>28</v>
      </c>
      <c r="H359" s="1">
        <v>72787</v>
      </c>
      <c r="I359" s="1">
        <v>183090</v>
      </c>
      <c r="J359" s="7">
        <v>0.39800000000000002</v>
      </c>
      <c r="K359" s="1" t="s">
        <v>29</v>
      </c>
      <c r="L359" s="1" t="s">
        <v>21</v>
      </c>
      <c r="M359" s="1" t="s">
        <v>29</v>
      </c>
      <c r="N359" s="1" t="s">
        <v>22</v>
      </c>
    </row>
    <row r="360" spans="1:14" x14ac:dyDescent="0.25">
      <c r="A360" s="1">
        <v>359</v>
      </c>
      <c r="B360" s="2" t="str">
        <f>HYPERLINK("https://leetcode.com/problems/logger-rate-limiter/", "Logger Rate Limiter")</f>
        <v>Logger Rate Limiter</v>
      </c>
      <c r="C360" s="1">
        <v>1803</v>
      </c>
      <c r="D360" s="1">
        <v>198</v>
      </c>
      <c r="E360" s="3">
        <f>IF(INDEX(C:C, ROW())+INDEX(D:D, ROW())=0, 0, INDEX(C:C, ROW())/(INDEX(C:C, ROW())+INDEX(D:D, ROW())))</f>
        <v>0.90104947526236878</v>
      </c>
      <c r="F360" s="1" t="s">
        <v>537</v>
      </c>
      <c r="G360" s="1" t="s">
        <v>20</v>
      </c>
      <c r="H360" s="1">
        <v>386785</v>
      </c>
      <c r="I360" s="1">
        <v>503849</v>
      </c>
      <c r="J360" s="7">
        <v>0.76800000000000002</v>
      </c>
      <c r="K360" s="1" t="s">
        <v>29</v>
      </c>
      <c r="L360" s="1" t="s">
        <v>21</v>
      </c>
      <c r="M360" s="1" t="s">
        <v>21</v>
      </c>
      <c r="N360" s="1" t="s">
        <v>22</v>
      </c>
    </row>
    <row r="361" spans="1:14" x14ac:dyDescent="0.25">
      <c r="A361" s="1">
        <v>360</v>
      </c>
      <c r="B361" s="2" t="str">
        <f>HYPERLINK("https://leetcode.com/problems/sort-transformed-array/", "Sort Transformed Array")</f>
        <v>Sort Transformed Array</v>
      </c>
      <c r="C361" s="1">
        <v>703</v>
      </c>
      <c r="D361" s="1">
        <v>220</v>
      </c>
      <c r="E361" s="3">
        <f>IF(INDEX(C:C, ROW())+INDEX(D:D, ROW())=0, 0, INDEX(C:C, ROW())/(INDEX(C:C, ROW())+INDEX(D:D, ROW())))</f>
        <v>0.76164680390032502</v>
      </c>
      <c r="F361" s="1" t="s">
        <v>803</v>
      </c>
      <c r="G361" s="1" t="s">
        <v>24</v>
      </c>
      <c r="H361" s="1">
        <v>75547</v>
      </c>
      <c r="I361" s="1">
        <v>130576</v>
      </c>
      <c r="J361" s="7">
        <v>0.57899999999999996</v>
      </c>
      <c r="K361" s="1" t="s">
        <v>29</v>
      </c>
      <c r="L361" s="1" t="s">
        <v>21</v>
      </c>
      <c r="M361" s="1" t="s">
        <v>29</v>
      </c>
      <c r="N361" s="1" t="s">
        <v>22</v>
      </c>
    </row>
    <row r="362" spans="1:14" x14ac:dyDescent="0.25">
      <c r="A362" s="1">
        <v>361</v>
      </c>
      <c r="B362" s="2" t="str">
        <f>HYPERLINK("https://leetcode.com/problems/bomb-enemy/", "Bomb Enemy")</f>
        <v>Bomb Enemy</v>
      </c>
      <c r="C362" s="1">
        <v>1002</v>
      </c>
      <c r="D362" s="1">
        <v>118</v>
      </c>
      <c r="E362" s="3">
        <f>IF(INDEX(C:C, ROW())+INDEX(D:D, ROW())=0, 0, INDEX(C:C, ROW())/(INDEX(C:C, ROW())+INDEX(D:D, ROW())))</f>
        <v>0.89464285714285718</v>
      </c>
      <c r="F362" s="1" t="s">
        <v>94</v>
      </c>
      <c r="G362" s="1" t="s">
        <v>24</v>
      </c>
      <c r="H362" s="1">
        <v>86421</v>
      </c>
      <c r="I362" s="1">
        <v>163739</v>
      </c>
      <c r="J362" s="7">
        <v>0.52800000000000002</v>
      </c>
      <c r="K362" s="1" t="s">
        <v>29</v>
      </c>
      <c r="L362" s="1" t="s">
        <v>21</v>
      </c>
      <c r="M362" s="1" t="s">
        <v>29</v>
      </c>
      <c r="N362" s="1" t="s">
        <v>22</v>
      </c>
    </row>
    <row r="363" spans="1:14" x14ac:dyDescent="0.25">
      <c r="A363" s="1">
        <v>362</v>
      </c>
      <c r="B363" s="2" t="str">
        <f>HYPERLINK("https://leetcode.com/problems/design-hit-counter/", "Design Hit Counter")</f>
        <v>Design Hit Counter</v>
      </c>
      <c r="C363" s="1">
        <v>2136</v>
      </c>
      <c r="D363" s="1">
        <v>253</v>
      </c>
      <c r="E363" s="3">
        <f>IF(INDEX(C:C, ROW())+INDEX(D:D, ROW())=0, 0, INDEX(C:C, ROW())/(INDEX(C:C, ROW())+INDEX(D:D, ROW())))</f>
        <v>0.89409794893260774</v>
      </c>
      <c r="F363" s="1" t="s">
        <v>479</v>
      </c>
      <c r="G363" s="1" t="s">
        <v>24</v>
      </c>
      <c r="H363" s="1">
        <v>325116</v>
      </c>
      <c r="I363" s="1">
        <v>467285</v>
      </c>
      <c r="J363" s="7">
        <v>0.69599999999999995</v>
      </c>
      <c r="K363" s="1" t="s">
        <v>29</v>
      </c>
      <c r="L363" s="1" t="s">
        <v>21</v>
      </c>
      <c r="M363" s="1" t="s">
        <v>29</v>
      </c>
      <c r="N363" s="1" t="s">
        <v>22</v>
      </c>
    </row>
    <row r="364" spans="1:14" x14ac:dyDescent="0.25">
      <c r="A364" s="1">
        <v>363</v>
      </c>
      <c r="B364" s="2" t="str">
        <f>HYPERLINK("https://leetcode.com/problems/max-sum-of-rectangle-no-larger-than-k/", "Max Sum of Rectangle No Larger Than K")</f>
        <v>Max Sum of Rectangle No Larger Than K</v>
      </c>
      <c r="C364" s="1">
        <v>3569</v>
      </c>
      <c r="D364" s="1">
        <v>178</v>
      </c>
      <c r="E364" s="3">
        <f>IF(INDEX(C:C, ROW())+INDEX(D:D, ROW())=0, 0, INDEX(C:C, ROW())/(INDEX(C:C, ROW())+INDEX(D:D, ROW())))</f>
        <v>0.95249532959701089</v>
      </c>
      <c r="F364" s="1" t="s">
        <v>342</v>
      </c>
      <c r="G364" s="1" t="s">
        <v>28</v>
      </c>
      <c r="H364" s="1">
        <v>141701</v>
      </c>
      <c r="I364" s="1">
        <v>312833</v>
      </c>
      <c r="J364" s="7">
        <v>0.45300000000000001</v>
      </c>
      <c r="K364" s="1" t="s">
        <v>21</v>
      </c>
      <c r="L364" s="1" t="s">
        <v>21</v>
      </c>
      <c r="M364" s="1" t="s">
        <v>29</v>
      </c>
      <c r="N364" s="1" t="s">
        <v>22</v>
      </c>
    </row>
    <row r="365" spans="1:14" x14ac:dyDescent="0.25">
      <c r="A365" s="1">
        <v>364</v>
      </c>
      <c r="B365" s="2" t="str">
        <f>HYPERLINK("https://leetcode.com/problems/nested-list-weight-sum-ii/", "Nested List Weight Sum II")</f>
        <v>Nested List Weight Sum II</v>
      </c>
      <c r="C365" s="1">
        <v>1168</v>
      </c>
      <c r="D365" s="1">
        <v>480</v>
      </c>
      <c r="E365" s="3">
        <f>IF(INDEX(C:C, ROW())+INDEX(D:D, ROW())=0, 0, INDEX(C:C, ROW())/(INDEX(C:C, ROW())+INDEX(D:D, ROW())))</f>
        <v>0.70873786407766992</v>
      </c>
      <c r="F365" s="1" t="s">
        <v>665</v>
      </c>
      <c r="G365" s="1" t="s">
        <v>24</v>
      </c>
      <c r="H365" s="1">
        <v>165432</v>
      </c>
      <c r="I365" s="1">
        <v>247859</v>
      </c>
      <c r="J365" s="7">
        <v>0.66700000000000004</v>
      </c>
      <c r="K365" s="1" t="s">
        <v>29</v>
      </c>
      <c r="L365" s="1" t="s">
        <v>21</v>
      </c>
      <c r="M365" s="1" t="s">
        <v>29</v>
      </c>
      <c r="N365" s="1" t="s">
        <v>22</v>
      </c>
    </row>
    <row r="366" spans="1:14" x14ac:dyDescent="0.25">
      <c r="A366" s="1">
        <v>365</v>
      </c>
      <c r="B366" s="2" t="str">
        <f>HYPERLINK("https://leetcode.com/problems/water-and-jug-problem/", "Water and Jug Problem")</f>
        <v>Water and Jug Problem</v>
      </c>
      <c r="C366" s="1">
        <v>1674</v>
      </c>
      <c r="D366" s="1">
        <v>1514</v>
      </c>
      <c r="E366" s="3">
        <f>IF(INDEX(C:C, ROW())+INDEX(D:D, ROW())=0, 0, INDEX(C:C, ROW())/(INDEX(C:C, ROW())+INDEX(D:D, ROW())))</f>
        <v>0.52509410288582181</v>
      </c>
      <c r="F366" s="1" t="s">
        <v>550</v>
      </c>
      <c r="G366" s="1" t="s">
        <v>24</v>
      </c>
      <c r="H366" s="1">
        <v>142847</v>
      </c>
      <c r="I366" s="1">
        <v>318330</v>
      </c>
      <c r="J366" s="7">
        <v>0.44900000000000001</v>
      </c>
      <c r="K366" s="1" t="s">
        <v>21</v>
      </c>
      <c r="L366" s="1" t="s">
        <v>29</v>
      </c>
      <c r="M366" s="1" t="s">
        <v>29</v>
      </c>
      <c r="N366" s="1" t="s">
        <v>22</v>
      </c>
    </row>
    <row r="367" spans="1:14" x14ac:dyDescent="0.25">
      <c r="A367" s="1">
        <v>366</v>
      </c>
      <c r="B367" s="2" t="str">
        <f>HYPERLINK("https://leetcode.com/problems/find-leaves-of-binary-tree/", "Find Leaves of Binary Tree")</f>
        <v>Find Leaves of Binary Tree</v>
      </c>
      <c r="C367" s="1">
        <v>3300</v>
      </c>
      <c r="D367" s="1">
        <v>64</v>
      </c>
      <c r="E367" s="3">
        <f>IF(INDEX(C:C, ROW())+INDEX(D:D, ROW())=0, 0, INDEX(C:C, ROW())/(INDEX(C:C, ROW())+INDEX(D:D, ROW())))</f>
        <v>0.98097502972651607</v>
      </c>
      <c r="F367" s="1" t="s">
        <v>67</v>
      </c>
      <c r="G367" s="1" t="s">
        <v>24</v>
      </c>
      <c r="H367" s="1">
        <v>286214</v>
      </c>
      <c r="I367" s="1">
        <v>352199</v>
      </c>
      <c r="J367" s="7">
        <v>0.81299999999999994</v>
      </c>
      <c r="K367" s="1" t="s">
        <v>29</v>
      </c>
      <c r="L367" s="1" t="s">
        <v>21</v>
      </c>
      <c r="M367" s="1" t="s">
        <v>21</v>
      </c>
      <c r="N367" s="1" t="s">
        <v>22</v>
      </c>
    </row>
    <row r="368" spans="1:14" x14ac:dyDescent="0.25">
      <c r="A368" s="1">
        <v>367</v>
      </c>
      <c r="B368" s="2" t="str">
        <f>HYPERLINK("https://leetcode.com/problems/valid-perfect-square/", "Valid Perfect Square")</f>
        <v>Valid Perfect Square</v>
      </c>
      <c r="C368" s="1">
        <v>4637</v>
      </c>
      <c r="D368" s="1">
        <v>338</v>
      </c>
      <c r="E368" s="3">
        <f>IF(INDEX(C:C, ROW())+INDEX(D:D, ROW())=0, 0, INDEX(C:C, ROW())/(INDEX(C:C, ROW())+INDEX(D:D, ROW())))</f>
        <v>0.93206030150753771</v>
      </c>
      <c r="F368" s="1" t="s">
        <v>139</v>
      </c>
      <c r="G368" s="1" t="s">
        <v>20</v>
      </c>
      <c r="H368" s="1">
        <v>892970</v>
      </c>
      <c r="I368" s="1">
        <v>1998237</v>
      </c>
      <c r="J368" s="7">
        <v>0.44700000000000001</v>
      </c>
      <c r="K368" s="1" t="s">
        <v>21</v>
      </c>
      <c r="L368" s="1" t="s">
        <v>21</v>
      </c>
      <c r="M368" s="1" t="s">
        <v>29</v>
      </c>
      <c r="N368" s="1" t="s">
        <v>22</v>
      </c>
    </row>
    <row r="369" spans="1:14" x14ac:dyDescent="0.25">
      <c r="A369" s="1">
        <v>368</v>
      </c>
      <c r="B369" s="2" t="str">
        <f>HYPERLINK("https://leetcode.com/problems/largest-divisible-subset/", "Largest Divisible Subset")</f>
        <v>Largest Divisible Subset</v>
      </c>
      <c r="C369" s="1">
        <v>6833</v>
      </c>
      <c r="D369" s="1">
        <v>328</v>
      </c>
      <c r="E369" s="3">
        <f>IF(INDEX(C:C, ROW())+INDEX(D:D, ROW())=0, 0, INDEX(C:C, ROW())/(INDEX(C:C, ROW())+INDEX(D:D, ROW())))</f>
        <v>0.95419634129311548</v>
      </c>
      <c r="F369" s="1" t="s">
        <v>206</v>
      </c>
      <c r="G369" s="1" t="s">
        <v>24</v>
      </c>
      <c r="H369" s="1">
        <v>490535</v>
      </c>
      <c r="I369" s="1">
        <v>993653</v>
      </c>
      <c r="J369" s="7">
        <v>0.49399999999999999</v>
      </c>
      <c r="K369" s="1" t="s">
        <v>21</v>
      </c>
      <c r="L369" s="1" t="s">
        <v>21</v>
      </c>
      <c r="M369" s="1" t="s">
        <v>29</v>
      </c>
      <c r="N369" s="1" t="s">
        <v>22</v>
      </c>
    </row>
    <row r="370" spans="1:14" x14ac:dyDescent="0.25">
      <c r="A370" s="1">
        <v>369</v>
      </c>
      <c r="B370" s="2" t="str">
        <f>HYPERLINK("https://leetcode.com/problems/plus-one-linked-list/", "Plus One Linked List")</f>
        <v>Plus One Linked List</v>
      </c>
      <c r="C370" s="1">
        <v>966</v>
      </c>
      <c r="D370" s="1">
        <v>48</v>
      </c>
      <c r="E370" s="3">
        <f>IF(INDEX(C:C, ROW())+INDEX(D:D, ROW())=0, 0, INDEX(C:C, ROW())/(INDEX(C:C, ROW())+INDEX(D:D, ROW())))</f>
        <v>0.9526627218934911</v>
      </c>
      <c r="F370" s="1" t="s">
        <v>275</v>
      </c>
      <c r="G370" s="1" t="s">
        <v>24</v>
      </c>
      <c r="H370" s="1">
        <v>87512</v>
      </c>
      <c r="I370" s="1">
        <v>142933</v>
      </c>
      <c r="J370" s="7">
        <v>0.61199999999999999</v>
      </c>
      <c r="K370" s="1" t="s">
        <v>29</v>
      </c>
      <c r="L370" s="1" t="s">
        <v>21</v>
      </c>
      <c r="M370" s="1" t="s">
        <v>21</v>
      </c>
      <c r="N370" s="1" t="s">
        <v>22</v>
      </c>
    </row>
    <row r="371" spans="1:14" x14ac:dyDescent="0.25">
      <c r="A371" s="1">
        <v>370</v>
      </c>
      <c r="B371" s="2" t="str">
        <f>HYPERLINK("https://leetcode.com/problems/range-addition/", "Range Addition")</f>
        <v>Range Addition</v>
      </c>
      <c r="C371" s="1">
        <v>1683</v>
      </c>
      <c r="D371" s="1">
        <v>86</v>
      </c>
      <c r="E371" s="3">
        <f>IF(INDEX(C:C, ROW())+INDEX(D:D, ROW())=0, 0, INDEX(C:C, ROW())/(INDEX(C:C, ROW())+INDEX(D:D, ROW())))</f>
        <v>0.95138496325607691</v>
      </c>
      <c r="F371" s="1" t="s">
        <v>37</v>
      </c>
      <c r="G371" s="1" t="s">
        <v>24</v>
      </c>
      <c r="H371" s="1">
        <v>105600</v>
      </c>
      <c r="I371" s="1">
        <v>144817</v>
      </c>
      <c r="J371" s="7">
        <v>0.72899999999999998</v>
      </c>
      <c r="K371" s="1" t="s">
        <v>29</v>
      </c>
      <c r="L371" s="1" t="s">
        <v>21</v>
      </c>
      <c r="M371" s="1" t="s">
        <v>29</v>
      </c>
      <c r="N371" s="1" t="s">
        <v>22</v>
      </c>
    </row>
    <row r="372" spans="1:14" x14ac:dyDescent="0.25">
      <c r="A372" s="1">
        <v>371</v>
      </c>
      <c r="B372" s="2" t="str">
        <f>HYPERLINK("https://leetcode.com/problems/sum-of-two-integers/", "Sum of Two Integers")</f>
        <v>Sum of Two Integers</v>
      </c>
      <c r="C372" s="1">
        <v>4651</v>
      </c>
      <c r="D372" s="1">
        <v>5862</v>
      </c>
      <c r="E372" s="3">
        <f>IF(INDEX(C:C, ROW())+INDEX(D:D, ROW())=0, 0, INDEX(C:C, ROW())/(INDEX(C:C, ROW())+INDEX(D:D, ROW())))</f>
        <v>0.44240464187196804</v>
      </c>
      <c r="F372" s="1" t="s">
        <v>227</v>
      </c>
      <c r="G372" s="1" t="s">
        <v>24</v>
      </c>
      <c r="H372" s="1">
        <v>678737</v>
      </c>
      <c r="I372" s="1">
        <v>1232769</v>
      </c>
      <c r="J372" s="7">
        <v>0.55100000000000005</v>
      </c>
      <c r="K372" s="1" t="s">
        <v>21</v>
      </c>
      <c r="L372" s="1" t="s">
        <v>21</v>
      </c>
      <c r="M372" s="1" t="s">
        <v>29</v>
      </c>
      <c r="N372" s="1" t="s">
        <v>22</v>
      </c>
    </row>
    <row r="373" spans="1:14" x14ac:dyDescent="0.25">
      <c r="A373" s="1">
        <v>372</v>
      </c>
      <c r="B373" s="2" t="str">
        <f>HYPERLINK("https://leetcode.com/problems/super-pow/", "Super Pow")</f>
        <v>Super Pow</v>
      </c>
      <c r="C373" s="1">
        <v>1072</v>
      </c>
      <c r="D373" s="1">
        <v>1486</v>
      </c>
      <c r="E373" s="3">
        <f>IF(INDEX(C:C, ROW())+INDEX(D:D, ROW())=0, 0, INDEX(C:C, ROW())/(INDEX(C:C, ROW())+INDEX(D:D, ROW())))</f>
        <v>0.41907740422204848</v>
      </c>
      <c r="F373" s="1" t="s">
        <v>695</v>
      </c>
      <c r="G373" s="1" t="s">
        <v>24</v>
      </c>
      <c r="H373" s="1">
        <v>98818</v>
      </c>
      <c r="I373" s="1">
        <v>271935</v>
      </c>
      <c r="J373" s="7">
        <v>0.36299999999999999</v>
      </c>
      <c r="K373" s="1" t="s">
        <v>21</v>
      </c>
      <c r="L373" s="1" t="s">
        <v>29</v>
      </c>
      <c r="M373" s="1" t="s">
        <v>29</v>
      </c>
      <c r="N373" s="1" t="s">
        <v>22</v>
      </c>
    </row>
    <row r="374" spans="1:14" x14ac:dyDescent="0.25">
      <c r="A374" s="1">
        <v>373</v>
      </c>
      <c r="B374" s="2" t="str">
        <f>HYPERLINK("https://leetcode.com/problems/find-k-pairs-with-smallest-sums/", "Find K Pairs with Smallest Sums")</f>
        <v>Find K Pairs with Smallest Sums</v>
      </c>
      <c r="C374" s="1">
        <v>6902</v>
      </c>
      <c r="D374" s="1">
        <v>495</v>
      </c>
      <c r="E374" s="3">
        <f>IF(INDEX(C:C, ROW())+INDEX(D:D, ROW())=0, 0, INDEX(C:C, ROW())/(INDEX(C:C, ROW())+INDEX(D:D, ROW())))</f>
        <v>0.93308097877517915</v>
      </c>
      <c r="F374" s="1" t="s">
        <v>202</v>
      </c>
      <c r="G374" s="1" t="s">
        <v>24</v>
      </c>
      <c r="H374" s="1">
        <v>440681</v>
      </c>
      <c r="I374" s="1">
        <v>1060801</v>
      </c>
      <c r="J374" s="7">
        <v>0.41499999999999998</v>
      </c>
      <c r="K374" s="1" t="s">
        <v>21</v>
      </c>
      <c r="L374" s="1" t="s">
        <v>21</v>
      </c>
      <c r="M374" s="1" t="s">
        <v>29</v>
      </c>
      <c r="N374" s="1" t="s">
        <v>22</v>
      </c>
    </row>
    <row r="375" spans="1:14" x14ac:dyDescent="0.25">
      <c r="A375" s="1">
        <v>374</v>
      </c>
      <c r="B375" s="2" t="str">
        <f>HYPERLINK("https://leetcode.com/problems/guess-number-higher-or-lower/", "Guess Number Higher or Lower")</f>
        <v>Guess Number Higher or Lower</v>
      </c>
      <c r="C375" s="1">
        <v>4218</v>
      </c>
      <c r="D375" s="1">
        <v>685</v>
      </c>
      <c r="E375" s="3">
        <f>IF(INDEX(C:C, ROW())+INDEX(D:D, ROW())=0, 0, INDEX(C:C, ROW())/(INDEX(C:C, ROW())+INDEX(D:D, ROW())))</f>
        <v>0.86028961860085662</v>
      </c>
      <c r="F375" s="1" t="s">
        <v>157</v>
      </c>
      <c r="G375" s="1" t="s">
        <v>20</v>
      </c>
      <c r="H375" s="1">
        <v>984561</v>
      </c>
      <c r="I375" s="1">
        <v>1723322</v>
      </c>
      <c r="J375" s="7">
        <v>0.57099999999999995</v>
      </c>
      <c r="K375" s="1" t="s">
        <v>21</v>
      </c>
      <c r="L375" s="1" t="s">
        <v>21</v>
      </c>
      <c r="M375" s="1" t="s">
        <v>21</v>
      </c>
      <c r="N375" s="1" t="s">
        <v>22</v>
      </c>
    </row>
    <row r="376" spans="1:14" x14ac:dyDescent="0.25">
      <c r="A376" s="1">
        <v>375</v>
      </c>
      <c r="B376" s="2" t="str">
        <f>HYPERLINK("https://leetcode.com/problems/guess-number-higher-or-lower-ii/", "Guess Number Higher or Lower II")</f>
        <v>Guess Number Higher or Lower II</v>
      </c>
      <c r="C376" s="1">
        <v>2328</v>
      </c>
      <c r="D376" s="1">
        <v>2165</v>
      </c>
      <c r="E376" s="3">
        <f>IF(INDEX(C:C, ROW())+INDEX(D:D, ROW())=0, 0, INDEX(C:C, ROW())/(INDEX(C:C, ROW())+INDEX(D:D, ROW())))</f>
        <v>0.51813932784331185</v>
      </c>
      <c r="F376" s="1" t="s">
        <v>453</v>
      </c>
      <c r="G376" s="1" t="s">
        <v>24</v>
      </c>
      <c r="H376" s="1">
        <v>157506</v>
      </c>
      <c r="I376" s="1">
        <v>300328</v>
      </c>
      <c r="J376" s="7">
        <v>0.52400000000000002</v>
      </c>
      <c r="K376" s="1" t="s">
        <v>21</v>
      </c>
      <c r="L376" s="1" t="s">
        <v>21</v>
      </c>
      <c r="M376" s="1" t="s">
        <v>29</v>
      </c>
      <c r="N376" s="1" t="s">
        <v>22</v>
      </c>
    </row>
    <row r="377" spans="1:14" x14ac:dyDescent="0.25">
      <c r="A377" s="1">
        <v>376</v>
      </c>
      <c r="B377" s="2" t="str">
        <f>HYPERLINK("https://leetcode.com/problems/wiggle-subsequence/", "Wiggle Subsequence")</f>
        <v>Wiggle Subsequence</v>
      </c>
      <c r="C377" s="1">
        <v>5301</v>
      </c>
      <c r="D377" s="1">
        <v>168</v>
      </c>
      <c r="E377" s="3">
        <f>IF(INDEX(C:C, ROW())+INDEX(D:D, ROW())=0, 0, INDEX(C:C, ROW())/(INDEX(C:C, ROW())+INDEX(D:D, ROW())))</f>
        <v>0.9692814042786615</v>
      </c>
      <c r="F377" s="1" t="s">
        <v>50</v>
      </c>
      <c r="G377" s="1" t="s">
        <v>24</v>
      </c>
      <c r="H377" s="1">
        <v>289072</v>
      </c>
      <c r="I377" s="1">
        <v>586887</v>
      </c>
      <c r="J377" s="7">
        <v>0.49299999999999999</v>
      </c>
      <c r="K377" s="1" t="s">
        <v>21</v>
      </c>
      <c r="L377" s="1" t="s">
        <v>21</v>
      </c>
      <c r="M377" s="1" t="s">
        <v>29</v>
      </c>
      <c r="N377" s="1" t="s">
        <v>22</v>
      </c>
    </row>
    <row r="378" spans="1:14" x14ac:dyDescent="0.25">
      <c r="A378" s="1">
        <v>377</v>
      </c>
      <c r="B378" s="2" t="str">
        <f>HYPERLINK("https://leetcode.com/problems/combination-sum-iv/", "Combination Sum IV")</f>
        <v>Combination Sum IV</v>
      </c>
      <c r="C378" s="1">
        <v>7753</v>
      </c>
      <c r="D378" s="1">
        <v>699</v>
      </c>
      <c r="E378" s="3">
        <f>IF(INDEX(C:C, ROW())+INDEX(D:D, ROW())=0, 0, INDEX(C:C, ROW())/(INDEX(C:C, ROW())+INDEX(D:D, ROW())))</f>
        <v>0.91729768102224329</v>
      </c>
      <c r="F378" s="1" t="s">
        <v>30</v>
      </c>
      <c r="G378" s="1" t="s">
        <v>24</v>
      </c>
      <c r="H378" s="1">
        <v>594569</v>
      </c>
      <c r="I378" s="1">
        <v>1081285</v>
      </c>
      <c r="J378" s="7">
        <v>0.55000000000000004</v>
      </c>
      <c r="K378" s="1" t="s">
        <v>21</v>
      </c>
      <c r="L378" s="1" t="s">
        <v>21</v>
      </c>
      <c r="M378" s="1" t="s">
        <v>29</v>
      </c>
      <c r="N378" s="1" t="s">
        <v>22</v>
      </c>
    </row>
    <row r="379" spans="1:14" x14ac:dyDescent="0.25">
      <c r="A379" s="1">
        <v>378</v>
      </c>
      <c r="B379" s="2" t="str">
        <f>HYPERLINK("https://leetcode.com/problems/kth-smallest-element-in-a-sorted-matrix/", "Kth Smallest Element in a Sorted Matrix")</f>
        <v>Kth Smallest Element in a Sorted Matrix</v>
      </c>
      <c r="C379" s="1">
        <v>10519</v>
      </c>
      <c r="D379" s="1">
        <v>392</v>
      </c>
      <c r="E379" s="3">
        <f>IF(INDEX(C:C, ROW())+INDEX(D:D, ROW())=0, 0, INDEX(C:C, ROW())/(INDEX(C:C, ROW())+INDEX(D:D, ROW())))</f>
        <v>0.96407295389973424</v>
      </c>
      <c r="F379" s="1" t="s">
        <v>130</v>
      </c>
      <c r="G379" s="1" t="s">
        <v>24</v>
      </c>
      <c r="H379" s="1">
        <v>789808</v>
      </c>
      <c r="I379" s="1">
        <v>1227106</v>
      </c>
      <c r="J379" s="7">
        <v>0.64400000000000002</v>
      </c>
      <c r="K379" s="1" t="s">
        <v>21</v>
      </c>
      <c r="L379" s="1" t="s">
        <v>21</v>
      </c>
      <c r="M379" s="1" t="s">
        <v>29</v>
      </c>
      <c r="N379" s="1" t="s">
        <v>22</v>
      </c>
    </row>
    <row r="380" spans="1:14" x14ac:dyDescent="0.25">
      <c r="A380" s="1">
        <v>379</v>
      </c>
      <c r="B380" s="2" t="str">
        <f>HYPERLINK("https://leetcode.com/problems/design-phone-directory/", "Design Phone Directory")</f>
        <v>Design Phone Directory</v>
      </c>
      <c r="C380" s="1">
        <v>365</v>
      </c>
      <c r="D380" s="1">
        <v>482</v>
      </c>
      <c r="E380" s="3">
        <f>IF(INDEX(C:C, ROW())+INDEX(D:D, ROW())=0, 0, INDEX(C:C, ROW())/(INDEX(C:C, ROW())+INDEX(D:D, ROW())))</f>
        <v>0.43093270365997638</v>
      </c>
      <c r="F380" s="1" t="s">
        <v>1008</v>
      </c>
      <c r="G380" s="1" t="s">
        <v>24</v>
      </c>
      <c r="H380" s="1">
        <v>74242</v>
      </c>
      <c r="I380" s="1">
        <v>140852</v>
      </c>
      <c r="J380" s="7">
        <v>0.52700000000000002</v>
      </c>
      <c r="K380" s="1" t="s">
        <v>29</v>
      </c>
      <c r="L380" s="1" t="s">
        <v>21</v>
      </c>
      <c r="M380" s="1" t="s">
        <v>29</v>
      </c>
      <c r="N380" s="1" t="s">
        <v>22</v>
      </c>
    </row>
    <row r="381" spans="1:14" x14ac:dyDescent="0.25">
      <c r="A381" s="1">
        <v>380</v>
      </c>
      <c r="B381" s="2" t="str">
        <f>HYPERLINK("https://leetcode.com/problems/insert-delete-getrandom-o1/", "Insert Delete GetRandom O(1)")</f>
        <v>Insert Delete GetRandom O(1)</v>
      </c>
      <c r="C381" s="1">
        <v>9917</v>
      </c>
      <c r="D381" s="1">
        <v>696</v>
      </c>
      <c r="E381" s="3">
        <f>IF(INDEX(C:C, ROW())+INDEX(D:D, ROW())=0, 0, INDEX(C:C, ROW())/(INDEX(C:C, ROW())+INDEX(D:D, ROW())))</f>
        <v>0.934420050880995</v>
      </c>
      <c r="F381" s="1" t="s">
        <v>136</v>
      </c>
      <c r="G381" s="1" t="s">
        <v>24</v>
      </c>
      <c r="H381" s="1">
        <v>1329989</v>
      </c>
      <c r="I381" s="1">
        <v>2406792</v>
      </c>
      <c r="J381" s="7">
        <v>0.55300000000000005</v>
      </c>
      <c r="K381" s="1" t="s">
        <v>21</v>
      </c>
      <c r="L381" s="1" t="s">
        <v>21</v>
      </c>
      <c r="M381" s="1" t="s">
        <v>29</v>
      </c>
      <c r="N381" s="1" t="s">
        <v>22</v>
      </c>
    </row>
    <row r="382" spans="1:14" x14ac:dyDescent="0.25">
      <c r="A382" s="1">
        <v>381</v>
      </c>
      <c r="B382" s="2" t="str">
        <f>HYPERLINK("https://leetcode.com/problems/insert-delete-getrandom-o1-duplicates-allowed/", "Insert Delete GetRandom O(1) - Duplicates allowed")</f>
        <v>Insert Delete GetRandom O(1) - Duplicates allowed</v>
      </c>
      <c r="C382" s="1">
        <v>2419</v>
      </c>
      <c r="D382" s="1">
        <v>159</v>
      </c>
      <c r="E382" s="3">
        <f>IF(INDEX(C:C, ROW())+INDEX(D:D, ROW())=0, 0, INDEX(C:C, ROW())/(INDEX(C:C, ROW())+INDEX(D:D, ROW())))</f>
        <v>0.9383242823894492</v>
      </c>
      <c r="F382" s="1" t="s">
        <v>136</v>
      </c>
      <c r="G382" s="1" t="s">
        <v>28</v>
      </c>
      <c r="H382" s="1">
        <v>183913</v>
      </c>
      <c r="I382" s="1">
        <v>505531</v>
      </c>
      <c r="J382" s="7">
        <v>0.36399999999999999</v>
      </c>
      <c r="K382" s="1" t="s">
        <v>21</v>
      </c>
      <c r="L382" s="1" t="s">
        <v>21</v>
      </c>
      <c r="M382" s="1" t="s">
        <v>29</v>
      </c>
      <c r="N382" s="1" t="s">
        <v>22</v>
      </c>
    </row>
    <row r="383" spans="1:14" x14ac:dyDescent="0.25">
      <c r="A383" s="1">
        <v>382</v>
      </c>
      <c r="B383" s="2" t="str">
        <f>HYPERLINK("https://leetcode.com/problems/linked-list-random-node/", "Linked List Random Node")</f>
        <v>Linked List Random Node</v>
      </c>
      <c r="C383" s="1">
        <v>3211</v>
      </c>
      <c r="D383" s="1">
        <v>722</v>
      </c>
      <c r="E383" s="3">
        <f>IF(INDEX(C:C, ROW())+INDEX(D:D, ROW())=0, 0, INDEX(C:C, ROW())/(INDEX(C:C, ROW())+INDEX(D:D, ROW())))</f>
        <v>0.81642512077294682</v>
      </c>
      <c r="F383" s="1" t="s">
        <v>364</v>
      </c>
      <c r="G383" s="1" t="s">
        <v>24</v>
      </c>
      <c r="H383" s="1">
        <v>285548</v>
      </c>
      <c r="I383" s="1">
        <v>441706</v>
      </c>
      <c r="J383" s="7">
        <v>0.64600000000000002</v>
      </c>
      <c r="K383" s="1" t="s">
        <v>21</v>
      </c>
      <c r="L383" s="1" t="s">
        <v>21</v>
      </c>
      <c r="M383" s="1" t="s">
        <v>29</v>
      </c>
      <c r="N383" s="1" t="s">
        <v>22</v>
      </c>
    </row>
    <row r="384" spans="1:14" x14ac:dyDescent="0.25">
      <c r="A384" s="1">
        <v>383</v>
      </c>
      <c r="B384" s="2" t="str">
        <f>HYPERLINK("https://leetcode.com/problems/ransom-note/", "Ransom Note")</f>
        <v>Ransom Note</v>
      </c>
      <c r="C384" s="1">
        <v>5633</v>
      </c>
      <c r="D384" s="1">
        <v>543</v>
      </c>
      <c r="E384" s="3">
        <f>IF(INDEX(C:C, ROW())+INDEX(D:D, ROW())=0, 0, INDEX(C:C, ROW())/(INDEX(C:C, ROW())+INDEX(D:D, ROW())))</f>
        <v>0.91207901554404147</v>
      </c>
      <c r="F384" s="1" t="s">
        <v>237</v>
      </c>
      <c r="G384" s="1" t="s">
        <v>20</v>
      </c>
      <c r="H384" s="1">
        <v>1890712</v>
      </c>
      <c r="I384" s="1">
        <v>2880840</v>
      </c>
      <c r="J384" s="7">
        <v>0.65600000000000003</v>
      </c>
      <c r="K384" s="1" t="s">
        <v>21</v>
      </c>
      <c r="L384" s="1" t="s">
        <v>21</v>
      </c>
      <c r="M384" s="1" t="s">
        <v>21</v>
      </c>
      <c r="N384" s="1" t="s">
        <v>22</v>
      </c>
    </row>
    <row r="385" spans="1:14" x14ac:dyDescent="0.25">
      <c r="A385" s="1">
        <v>384</v>
      </c>
      <c r="B385" s="2" t="str">
        <f>HYPERLINK("https://leetcode.com/problems/shuffle-an-array/", "Shuffle an Array")</f>
        <v>Shuffle an Array</v>
      </c>
      <c r="C385" s="1">
        <v>1430</v>
      </c>
      <c r="D385" s="1">
        <v>945</v>
      </c>
      <c r="E385" s="3">
        <f>IF(INDEX(C:C, ROW())+INDEX(D:D, ROW())=0, 0, INDEX(C:C, ROW())/(INDEX(C:C, ROW())+INDEX(D:D, ROW())))</f>
        <v>0.6021052631578947</v>
      </c>
      <c r="F385" s="1" t="s">
        <v>607</v>
      </c>
      <c r="G385" s="1" t="s">
        <v>24</v>
      </c>
      <c r="H385" s="1">
        <v>389638</v>
      </c>
      <c r="I385" s="1">
        <v>654286</v>
      </c>
      <c r="J385" s="7">
        <v>0.59599999999999997</v>
      </c>
      <c r="K385" s="1" t="s">
        <v>21</v>
      </c>
      <c r="L385" s="1" t="s">
        <v>21</v>
      </c>
      <c r="M385" s="1" t="s">
        <v>29</v>
      </c>
      <c r="N385" s="1" t="s">
        <v>22</v>
      </c>
    </row>
    <row r="386" spans="1:14" x14ac:dyDescent="0.25">
      <c r="A386" s="1">
        <v>385</v>
      </c>
      <c r="B386" s="2" t="str">
        <f>HYPERLINK("https://leetcode.com/problems/mini-parser/", "Mini Parser")</f>
        <v>Mini Parser</v>
      </c>
      <c r="C386" s="1">
        <v>500</v>
      </c>
      <c r="D386" s="1">
        <v>1497</v>
      </c>
      <c r="E386" s="3">
        <f>IF(INDEX(C:C, ROW())+INDEX(D:D, ROW())=0, 0, INDEX(C:C, ROW())/(INDEX(C:C, ROW())+INDEX(D:D, ROW())))</f>
        <v>0.25037556334501754</v>
      </c>
      <c r="F386" s="1" t="s">
        <v>619</v>
      </c>
      <c r="G386" s="1" t="s">
        <v>24</v>
      </c>
      <c r="H386" s="1">
        <v>72352</v>
      </c>
      <c r="I386" s="1">
        <v>172335</v>
      </c>
      <c r="J386" s="7">
        <v>0.42</v>
      </c>
      <c r="K386" s="1" t="s">
        <v>21</v>
      </c>
      <c r="L386" s="1" t="s">
        <v>29</v>
      </c>
      <c r="M386" s="1" t="s">
        <v>29</v>
      </c>
      <c r="N386" s="1" t="s">
        <v>22</v>
      </c>
    </row>
    <row r="387" spans="1:14" x14ac:dyDescent="0.25">
      <c r="A387" s="1">
        <v>386</v>
      </c>
      <c r="B387" s="2" t="str">
        <f>HYPERLINK("https://leetcode.com/problems/lexicographical-numbers/", "Lexicographical Numbers")</f>
        <v>Lexicographical Numbers</v>
      </c>
      <c r="C387" s="1">
        <v>3123</v>
      </c>
      <c r="D387" s="1">
        <v>214</v>
      </c>
      <c r="E387" s="3">
        <f>IF(INDEX(C:C, ROW())+INDEX(D:D, ROW())=0, 0, INDEX(C:C, ROW())/(INDEX(C:C, ROW())+INDEX(D:D, ROW())))</f>
        <v>0.93587054240335632</v>
      </c>
      <c r="F387" s="1" t="s">
        <v>371</v>
      </c>
      <c r="G387" s="1" t="s">
        <v>24</v>
      </c>
      <c r="H387" s="1">
        <v>381487</v>
      </c>
      <c r="I387" s="1">
        <v>500768</v>
      </c>
      <c r="J387" s="7">
        <v>0.76200000000000001</v>
      </c>
      <c r="K387" s="1" t="s">
        <v>21</v>
      </c>
      <c r="L387" s="1" t="s">
        <v>21</v>
      </c>
      <c r="M387" s="1" t="s">
        <v>29</v>
      </c>
      <c r="N387" s="1" t="s">
        <v>22</v>
      </c>
    </row>
    <row r="388" spans="1:14" x14ac:dyDescent="0.25">
      <c r="A388" s="1">
        <v>387</v>
      </c>
      <c r="B388" s="2" t="str">
        <f>HYPERLINK("https://leetcode.com/problems/first-unique-character-in-a-string/", "First Unique Character in a String")</f>
        <v>First Unique Character in a String</v>
      </c>
      <c r="C388" s="1">
        <v>9728</v>
      </c>
      <c r="D388" s="1">
        <v>331</v>
      </c>
      <c r="E388" s="3">
        <f>IF(INDEX(C:C, ROW())+INDEX(D:D, ROW())=0, 0, INDEX(C:C, ROW())/(INDEX(C:C, ROW())+INDEX(D:D, ROW())))</f>
        <v>0.96709414454717169</v>
      </c>
      <c r="F388" s="1" t="s">
        <v>137</v>
      </c>
      <c r="G388" s="1" t="s">
        <v>20</v>
      </c>
      <c r="H388" s="1">
        <v>2305471</v>
      </c>
      <c r="I388" s="1">
        <v>3546006</v>
      </c>
      <c r="J388" s="7">
        <v>0.65</v>
      </c>
      <c r="K388" s="1" t="s">
        <v>21</v>
      </c>
      <c r="L388" s="1" t="s">
        <v>21</v>
      </c>
      <c r="M388" s="1" t="s">
        <v>21</v>
      </c>
      <c r="N388" s="1" t="s">
        <v>22</v>
      </c>
    </row>
    <row r="389" spans="1:14" x14ac:dyDescent="0.25">
      <c r="A389" s="1">
        <v>388</v>
      </c>
      <c r="B389" s="2" t="str">
        <f>HYPERLINK("https://leetcode.com/problems/longest-absolute-file-path/", "Longest Absolute File Path")</f>
        <v>Longest Absolute File Path</v>
      </c>
      <c r="C389" s="1">
        <v>1389</v>
      </c>
      <c r="D389" s="1">
        <v>2602</v>
      </c>
      <c r="E389" s="3">
        <f>IF(INDEX(C:C, ROW())+INDEX(D:D, ROW())=0, 0, INDEX(C:C, ROW())/(INDEX(C:C, ROW())+INDEX(D:D, ROW())))</f>
        <v>0.34803307441743925</v>
      </c>
      <c r="F389" s="1" t="s">
        <v>619</v>
      </c>
      <c r="G389" s="1" t="s">
        <v>24</v>
      </c>
      <c r="H389" s="1">
        <v>181154</v>
      </c>
      <c r="I389" s="1">
        <v>368155</v>
      </c>
      <c r="J389" s="7">
        <v>0.49199999999999999</v>
      </c>
      <c r="K389" s="1" t="s">
        <v>21</v>
      </c>
      <c r="L389" s="1" t="s">
        <v>29</v>
      </c>
      <c r="M389" s="1" t="s">
        <v>29</v>
      </c>
      <c r="N389" s="1" t="s">
        <v>22</v>
      </c>
    </row>
    <row r="390" spans="1:14" x14ac:dyDescent="0.25">
      <c r="A390" s="1">
        <v>389</v>
      </c>
      <c r="B390" s="2" t="str">
        <f>HYPERLINK("https://leetcode.com/problems/find-the-difference/", "Find the Difference")</f>
        <v>Find the Difference</v>
      </c>
      <c r="C390" s="1">
        <v>5448</v>
      </c>
      <c r="D390" s="1">
        <v>515</v>
      </c>
      <c r="E390" s="3">
        <f>IF(INDEX(C:C, ROW())+INDEX(D:D, ROW())=0, 0, INDEX(C:C, ROW())/(INDEX(C:C, ROW())+INDEX(D:D, ROW())))</f>
        <v>0.91363407680697639</v>
      </c>
      <c r="F390" s="1" t="s">
        <v>243</v>
      </c>
      <c r="G390" s="1" t="s">
        <v>20</v>
      </c>
      <c r="H390" s="1">
        <v>1058008</v>
      </c>
      <c r="I390" s="1">
        <v>1759722</v>
      </c>
      <c r="J390" s="7">
        <v>0.60099999999999998</v>
      </c>
      <c r="K390" s="1" t="s">
        <v>21</v>
      </c>
      <c r="L390" s="1" t="s">
        <v>21</v>
      </c>
      <c r="M390" s="1" t="s">
        <v>29</v>
      </c>
      <c r="N390" s="1" t="s">
        <v>22</v>
      </c>
    </row>
    <row r="391" spans="1:14" x14ac:dyDescent="0.25">
      <c r="A391" s="1">
        <v>390</v>
      </c>
      <c r="B391" s="2" t="str">
        <f>HYPERLINK("https://leetcode.com/problems/elimination-game/", "Elimination Game")</f>
        <v>Elimination Game</v>
      </c>
      <c r="C391" s="1">
        <v>1729</v>
      </c>
      <c r="D391" s="1">
        <v>759</v>
      </c>
      <c r="E391" s="3">
        <f>IF(INDEX(C:C, ROW())+INDEX(D:D, ROW())=0, 0, INDEX(C:C, ROW())/(INDEX(C:C, ROW())+INDEX(D:D, ROW())))</f>
        <v>0.694935691318328</v>
      </c>
      <c r="F391" s="1" t="s">
        <v>116</v>
      </c>
      <c r="G391" s="1" t="s">
        <v>24</v>
      </c>
      <c r="H391" s="1">
        <v>104351</v>
      </c>
      <c r="I391" s="1">
        <v>227146</v>
      </c>
      <c r="J391" s="7">
        <v>0.45900000000000002</v>
      </c>
      <c r="K391" s="1" t="s">
        <v>21</v>
      </c>
      <c r="L391" s="1" t="s">
        <v>29</v>
      </c>
      <c r="M391" s="1" t="s">
        <v>29</v>
      </c>
      <c r="N391" s="1" t="s">
        <v>22</v>
      </c>
    </row>
    <row r="392" spans="1:14" x14ac:dyDescent="0.25">
      <c r="A392" s="1">
        <v>391</v>
      </c>
      <c r="B392" s="2" t="str">
        <f>HYPERLINK("https://leetcode.com/problems/perfect-rectangle/", "Perfect Rectangle")</f>
        <v>Perfect Rectangle</v>
      </c>
      <c r="C392" s="1">
        <v>952</v>
      </c>
      <c r="D392" s="1">
        <v>120</v>
      </c>
      <c r="E392" s="3">
        <f>IF(INDEX(C:C, ROW())+INDEX(D:D, ROW())=0, 0, INDEX(C:C, ROW())/(INDEX(C:C, ROW())+INDEX(D:D, ROW())))</f>
        <v>0.88805970149253732</v>
      </c>
      <c r="F392" s="1" t="s">
        <v>725</v>
      </c>
      <c r="G392" s="1" t="s">
        <v>28</v>
      </c>
      <c r="H392" s="1">
        <v>59088</v>
      </c>
      <c r="I392" s="1">
        <v>158538</v>
      </c>
      <c r="J392" s="7">
        <v>0.373</v>
      </c>
      <c r="K392" s="1" t="s">
        <v>21</v>
      </c>
      <c r="L392" s="1" t="s">
        <v>29</v>
      </c>
      <c r="M392" s="1" t="s">
        <v>29</v>
      </c>
      <c r="N392" s="1" t="s">
        <v>22</v>
      </c>
    </row>
    <row r="393" spans="1:14" x14ac:dyDescent="0.25">
      <c r="A393" s="1">
        <v>392</v>
      </c>
      <c r="B393" s="2" t="str">
        <f>HYPERLINK("https://leetcode.com/problems/is-subsequence/", "Is Subsequence")</f>
        <v>Is Subsequence</v>
      </c>
      <c r="C393" s="1">
        <v>10760</v>
      </c>
      <c r="D393" s="1">
        <v>618</v>
      </c>
      <c r="E393" s="3">
        <f>IF(INDEX(C:C, ROW())+INDEX(D:D, ROW())=0, 0, INDEX(C:C, ROW())/(INDEX(C:C, ROW())+INDEX(D:D, ROW())))</f>
        <v>0.9456846545965899</v>
      </c>
      <c r="F393" s="1" t="s">
        <v>33</v>
      </c>
      <c r="G393" s="1" t="s">
        <v>20</v>
      </c>
      <c r="H393" s="1">
        <v>2405344</v>
      </c>
      <c r="I393" s="1">
        <v>4923370</v>
      </c>
      <c r="J393" s="7">
        <v>0.48899999999999999</v>
      </c>
      <c r="K393" s="1" t="s">
        <v>21</v>
      </c>
      <c r="L393" s="1" t="s">
        <v>21</v>
      </c>
      <c r="M393" s="1" t="s">
        <v>29</v>
      </c>
      <c r="N393" s="1" t="s">
        <v>22</v>
      </c>
    </row>
    <row r="394" spans="1:14" x14ac:dyDescent="0.25">
      <c r="A394" s="1">
        <v>393</v>
      </c>
      <c r="B394" s="2" t="str">
        <f>HYPERLINK("https://leetcode.com/problems/utf-8-validation/", "UTF-8 Validation")</f>
        <v>UTF-8 Validation</v>
      </c>
      <c r="C394" s="1">
        <v>946</v>
      </c>
      <c r="D394" s="1">
        <v>2888</v>
      </c>
      <c r="E394" s="3">
        <f>IF(INDEX(C:C, ROW())+INDEX(D:D, ROW())=0, 0, INDEX(C:C, ROW())/(INDEX(C:C, ROW())+INDEX(D:D, ROW())))</f>
        <v>0.2467396974439228</v>
      </c>
      <c r="F394" s="1" t="s">
        <v>65</v>
      </c>
      <c r="G394" s="1" t="s">
        <v>24</v>
      </c>
      <c r="H394" s="1">
        <v>138628</v>
      </c>
      <c r="I394" s="1">
        <v>301004</v>
      </c>
      <c r="J394" s="7">
        <v>0.46100000000000002</v>
      </c>
      <c r="K394" s="1" t="s">
        <v>21</v>
      </c>
      <c r="L394" s="1" t="s">
        <v>21</v>
      </c>
      <c r="M394" s="1" t="s">
        <v>29</v>
      </c>
      <c r="N394" s="1" t="s">
        <v>22</v>
      </c>
    </row>
    <row r="395" spans="1:14" x14ac:dyDescent="0.25">
      <c r="A395" s="1">
        <v>394</v>
      </c>
      <c r="B395" s="2" t="str">
        <f>HYPERLINK("https://leetcode.com/problems/decode-string/", "Decode String")</f>
        <v>Decode String</v>
      </c>
      <c r="C395" s="1">
        <v>13912</v>
      </c>
      <c r="D395" s="1">
        <v>699</v>
      </c>
      <c r="E395" s="3">
        <f>IF(INDEX(C:C, ROW())+INDEX(D:D, ROW())=0, 0, INDEX(C:C, ROW())/(INDEX(C:C, ROW())+INDEX(D:D, ROW())))</f>
        <v>0.95215933201012937</v>
      </c>
      <c r="F395" s="1" t="s">
        <v>91</v>
      </c>
      <c r="G395" s="1" t="s">
        <v>24</v>
      </c>
      <c r="H395" s="1">
        <v>1161993</v>
      </c>
      <c r="I395" s="1">
        <v>1866281</v>
      </c>
      <c r="J395" s="7">
        <v>0.623</v>
      </c>
      <c r="K395" s="1" t="s">
        <v>21</v>
      </c>
      <c r="L395" s="1" t="s">
        <v>21</v>
      </c>
      <c r="M395" s="1" t="s">
        <v>29</v>
      </c>
      <c r="N395" s="1" t="s">
        <v>22</v>
      </c>
    </row>
    <row r="396" spans="1:14" x14ac:dyDescent="0.25">
      <c r="A396" s="1">
        <v>395</v>
      </c>
      <c r="B396" s="2" t="str">
        <f>HYPERLINK("https://leetcode.com/problems/longest-substring-with-at-least-k-repeating-characters/", "Longest Substring with At Least K Repeating Characters")</f>
        <v>Longest Substring with At Least K Repeating Characters</v>
      </c>
      <c r="C396" s="1">
        <v>6697</v>
      </c>
      <c r="D396" s="1">
        <v>568</v>
      </c>
      <c r="E396" s="3">
        <f>IF(INDEX(C:C, ROW())+INDEX(D:D, ROW())=0, 0, INDEX(C:C, ROW())/(INDEX(C:C, ROW())+INDEX(D:D, ROW())))</f>
        <v>0.92181693048864422</v>
      </c>
      <c r="F396" s="1" t="s">
        <v>210</v>
      </c>
      <c r="G396" s="1" t="s">
        <v>24</v>
      </c>
      <c r="H396" s="1">
        <v>291595</v>
      </c>
      <c r="I396" s="1">
        <v>633192</v>
      </c>
      <c r="J396" s="7">
        <v>0.46100000000000002</v>
      </c>
      <c r="K396" s="1" t="s">
        <v>21</v>
      </c>
      <c r="L396" s="1" t="s">
        <v>21</v>
      </c>
      <c r="M396" s="1" t="s">
        <v>29</v>
      </c>
      <c r="N396" s="1" t="s">
        <v>22</v>
      </c>
    </row>
    <row r="397" spans="1:14" x14ac:dyDescent="0.25">
      <c r="A397" s="1">
        <v>396</v>
      </c>
      <c r="B397" s="2" t="str">
        <f>HYPERLINK("https://leetcode.com/problems/rotate-function/", "Rotate Function")</f>
        <v>Rotate Function</v>
      </c>
      <c r="C397" s="1">
        <v>1675</v>
      </c>
      <c r="D397" s="1">
        <v>280</v>
      </c>
      <c r="E397" s="3">
        <f>IF(INDEX(C:C, ROW())+INDEX(D:D, ROW())=0, 0, INDEX(C:C, ROW())/(INDEX(C:C, ROW())+INDEX(D:D, ROW())))</f>
        <v>0.85677749360613809</v>
      </c>
      <c r="F397" s="1" t="s">
        <v>457</v>
      </c>
      <c r="G397" s="1" t="s">
        <v>24</v>
      </c>
      <c r="H397" s="1">
        <v>111104</v>
      </c>
      <c r="I397" s="1">
        <v>244865</v>
      </c>
      <c r="J397" s="7">
        <v>0.45400000000000001</v>
      </c>
      <c r="K397" s="1" t="s">
        <v>21</v>
      </c>
      <c r="L397" s="1" t="s">
        <v>29</v>
      </c>
      <c r="M397" s="1" t="s">
        <v>29</v>
      </c>
      <c r="N397" s="1" t="s">
        <v>22</v>
      </c>
    </row>
    <row r="398" spans="1:14" x14ac:dyDescent="0.25">
      <c r="A398" s="1">
        <v>397</v>
      </c>
      <c r="B398" s="2" t="str">
        <f>HYPERLINK("https://leetcode.com/problems/integer-replacement/", "Integer Replacement")</f>
        <v>Integer Replacement</v>
      </c>
      <c r="C398" s="1">
        <v>1433</v>
      </c>
      <c r="D398" s="1">
        <v>485</v>
      </c>
      <c r="E398" s="3">
        <f>IF(INDEX(C:C, ROW())+INDEX(D:D, ROW())=0, 0, INDEX(C:C, ROW())/(INDEX(C:C, ROW())+INDEX(D:D, ROW())))</f>
        <v>0.74713242961418147</v>
      </c>
      <c r="F398" s="1" t="s">
        <v>606</v>
      </c>
      <c r="G398" s="1" t="s">
        <v>24</v>
      </c>
      <c r="H398" s="1">
        <v>158954</v>
      </c>
      <c r="I398" s="1">
        <v>427713</v>
      </c>
      <c r="J398" s="7">
        <v>0.372</v>
      </c>
      <c r="K398" s="1" t="s">
        <v>21</v>
      </c>
      <c r="L398" s="1" t="s">
        <v>29</v>
      </c>
      <c r="M398" s="1" t="s">
        <v>29</v>
      </c>
      <c r="N398" s="1" t="s">
        <v>22</v>
      </c>
    </row>
    <row r="399" spans="1:14" x14ac:dyDescent="0.25">
      <c r="A399" s="1">
        <v>398</v>
      </c>
      <c r="B399" s="2" t="str">
        <f>HYPERLINK("https://leetcode.com/problems/random-pick-index/", "Random Pick Index")</f>
        <v>Random Pick Index</v>
      </c>
      <c r="C399" s="1">
        <v>1391</v>
      </c>
      <c r="D399" s="1">
        <v>1308</v>
      </c>
      <c r="E399" s="3">
        <f>IF(INDEX(C:C, ROW())+INDEX(D:D, ROW())=0, 0, INDEX(C:C, ROW())/(INDEX(C:C, ROW())+INDEX(D:D, ROW())))</f>
        <v>0.51537606520933676</v>
      </c>
      <c r="F399" s="1" t="s">
        <v>617</v>
      </c>
      <c r="G399" s="1" t="s">
        <v>24</v>
      </c>
      <c r="H399" s="1">
        <v>302760</v>
      </c>
      <c r="I399" s="1">
        <v>465907</v>
      </c>
      <c r="J399" s="7">
        <v>0.65</v>
      </c>
      <c r="K399" s="1" t="s">
        <v>21</v>
      </c>
      <c r="L399" s="1" t="s">
        <v>21</v>
      </c>
      <c r="M399" s="1" t="s">
        <v>29</v>
      </c>
      <c r="N399" s="1" t="s">
        <v>22</v>
      </c>
    </row>
    <row r="400" spans="1:14" x14ac:dyDescent="0.25">
      <c r="A400" s="1">
        <v>399</v>
      </c>
      <c r="B400" s="2" t="str">
        <f>HYPERLINK("https://leetcode.com/problems/evaluate-division/", "Evaluate Division")</f>
        <v>Evaluate Division</v>
      </c>
      <c r="C400" s="1">
        <v>10153</v>
      </c>
      <c r="D400" s="1">
        <v>1092</v>
      </c>
      <c r="E400" s="3">
        <f>IF(INDEX(C:C, ROW())+INDEX(D:D, ROW())=0, 0, INDEX(C:C, ROW())/(INDEX(C:C, ROW())+INDEX(D:D, ROW())))</f>
        <v>0.90289017341040467</v>
      </c>
      <c r="F400" s="1" t="s">
        <v>134</v>
      </c>
      <c r="G400" s="1" t="s">
        <v>24</v>
      </c>
      <c r="H400" s="1">
        <v>690674</v>
      </c>
      <c r="I400" s="1">
        <v>1079534</v>
      </c>
      <c r="J400" s="7">
        <v>0.64</v>
      </c>
      <c r="K400" s="1" t="s">
        <v>21</v>
      </c>
      <c r="L400" s="1" t="s">
        <v>21</v>
      </c>
      <c r="M400" s="1" t="s">
        <v>29</v>
      </c>
      <c r="N400" s="1" t="s">
        <v>22</v>
      </c>
    </row>
    <row r="401" spans="1:14" x14ac:dyDescent="0.25">
      <c r="A401" s="1">
        <v>400</v>
      </c>
      <c r="B401" s="2" t="str">
        <f>HYPERLINK("https://leetcode.com/problems/nth-digit/", "Nth Digit")</f>
        <v>Nth Digit</v>
      </c>
      <c r="C401" s="1">
        <v>1239</v>
      </c>
      <c r="D401" s="1">
        <v>2136</v>
      </c>
      <c r="E401" s="3">
        <f>IF(INDEX(C:C, ROW())+INDEX(D:D, ROW())=0, 0, INDEX(C:C, ROW())/(INDEX(C:C, ROW())+INDEX(D:D, ROW())))</f>
        <v>0.36711111111111111</v>
      </c>
      <c r="F401" s="1" t="s">
        <v>139</v>
      </c>
      <c r="G401" s="1" t="s">
        <v>24</v>
      </c>
      <c r="H401" s="1">
        <v>127558</v>
      </c>
      <c r="I401" s="1">
        <v>343286</v>
      </c>
      <c r="J401" s="7">
        <v>0.372</v>
      </c>
      <c r="K401" s="1" t="s">
        <v>21</v>
      </c>
      <c r="L401" s="1" t="s">
        <v>29</v>
      </c>
      <c r="M401" s="1" t="s">
        <v>29</v>
      </c>
      <c r="N401" s="1" t="s">
        <v>22</v>
      </c>
    </row>
    <row r="402" spans="1:14" x14ac:dyDescent="0.25">
      <c r="A402" s="1">
        <v>401</v>
      </c>
      <c r="B402" s="2" t="str">
        <f>HYPERLINK("https://leetcode.com/problems/binary-watch/", "Binary Watch")</f>
        <v>Binary Watch</v>
      </c>
      <c r="C402" s="1">
        <v>1953</v>
      </c>
      <c r="D402" s="1">
        <v>3068</v>
      </c>
      <c r="E402" s="3">
        <f>IF(INDEX(C:C, ROW())+INDEX(D:D, ROW())=0, 0, INDEX(C:C, ROW())/(INDEX(C:C, ROW())+INDEX(D:D, ROW())))</f>
        <v>0.38896634136626168</v>
      </c>
      <c r="F402" s="1" t="s">
        <v>510</v>
      </c>
      <c r="G402" s="1" t="s">
        <v>20</v>
      </c>
      <c r="H402" s="1">
        <v>275373</v>
      </c>
      <c r="I402" s="1">
        <v>422868</v>
      </c>
      <c r="J402" s="7">
        <v>0.65100000000000002</v>
      </c>
      <c r="K402" s="1" t="s">
        <v>21</v>
      </c>
      <c r="L402" s="1" t="s">
        <v>21</v>
      </c>
      <c r="M402" s="1" t="s">
        <v>29</v>
      </c>
      <c r="N402" s="1" t="s">
        <v>22</v>
      </c>
    </row>
    <row r="403" spans="1:14" x14ac:dyDescent="0.25">
      <c r="A403" s="1">
        <v>402</v>
      </c>
      <c r="B403" s="2" t="str">
        <f>HYPERLINK("https://leetcode.com/problems/remove-k-digits/", "Remove K Digits")</f>
        <v>Remove K Digits</v>
      </c>
      <c r="C403" s="1">
        <v>10523</v>
      </c>
      <c r="D403" s="1">
        <v>545</v>
      </c>
      <c r="E403" s="3">
        <f>IF(INDEX(C:C, ROW())+INDEX(D:D, ROW())=0, 0, INDEX(C:C, ROW())/(INDEX(C:C, ROW())+INDEX(D:D, ROW())))</f>
        <v>0.95075894470545719</v>
      </c>
      <c r="F403" s="1" t="s">
        <v>129</v>
      </c>
      <c r="G403" s="1" t="s">
        <v>24</v>
      </c>
      <c r="H403" s="1">
        <v>707111</v>
      </c>
      <c r="I403" s="1">
        <v>1944170</v>
      </c>
      <c r="J403" s="7">
        <v>0.36399999999999999</v>
      </c>
      <c r="K403" s="1" t="s">
        <v>21</v>
      </c>
      <c r="L403" s="1" t="s">
        <v>21</v>
      </c>
      <c r="M403" s="1" t="s">
        <v>29</v>
      </c>
      <c r="N403" s="1" t="s">
        <v>22</v>
      </c>
    </row>
    <row r="404" spans="1:14" x14ac:dyDescent="0.25">
      <c r="A404" s="1">
        <v>403</v>
      </c>
      <c r="B404" s="2" t="str">
        <f>HYPERLINK("https://leetcode.com/problems/frog-jump/", "Frog Jump")</f>
        <v>Frog Jump</v>
      </c>
      <c r="C404" s="1">
        <v>5966</v>
      </c>
      <c r="D404" s="1">
        <v>275</v>
      </c>
      <c r="E404" s="3">
        <f>IF(INDEX(C:C, ROW())+INDEX(D:D, ROW())=0, 0, INDEX(C:C, ROW())/(INDEX(C:C, ROW())+INDEX(D:D, ROW())))</f>
        <v>0.95593654863002719</v>
      </c>
      <c r="F404" s="1" t="s">
        <v>30</v>
      </c>
      <c r="G404" s="1" t="s">
        <v>28</v>
      </c>
      <c r="H404" s="1">
        <v>331842</v>
      </c>
      <c r="I404" s="1">
        <v>704378</v>
      </c>
      <c r="J404" s="7">
        <v>0.47099999999999997</v>
      </c>
      <c r="K404" s="1" t="s">
        <v>21</v>
      </c>
      <c r="L404" s="1" t="s">
        <v>21</v>
      </c>
      <c r="M404" s="1" t="s">
        <v>29</v>
      </c>
      <c r="N404" s="1" t="s">
        <v>22</v>
      </c>
    </row>
    <row r="405" spans="1:14" x14ac:dyDescent="0.25">
      <c r="A405" s="1">
        <v>404</v>
      </c>
      <c r="B405" s="2" t="str">
        <f>HYPERLINK("https://leetcode.com/problems/sum-of-left-leaves/", "Sum of Left Leaves")</f>
        <v>Sum of Left Leaves</v>
      </c>
      <c r="C405" s="1">
        <v>5775</v>
      </c>
      <c r="D405" s="1">
        <v>324</v>
      </c>
      <c r="E405" s="3">
        <f>IF(INDEX(C:C, ROW())+INDEX(D:D, ROW())=0, 0, INDEX(C:C, ROW())/(INDEX(C:C, ROW())+INDEX(D:D, ROW())))</f>
        <v>0.94687653713723563</v>
      </c>
      <c r="F405" s="1" t="s">
        <v>80</v>
      </c>
      <c r="G405" s="1" t="s">
        <v>20</v>
      </c>
      <c r="H405" s="1">
        <v>777943</v>
      </c>
      <c r="I405" s="1">
        <v>1246826</v>
      </c>
      <c r="J405" s="7">
        <v>0.624</v>
      </c>
      <c r="K405" s="1" t="s">
        <v>21</v>
      </c>
      <c r="L405" s="1" t="s">
        <v>21</v>
      </c>
      <c r="M405" s="1" t="s">
        <v>29</v>
      </c>
      <c r="N405" s="1" t="s">
        <v>22</v>
      </c>
    </row>
    <row r="406" spans="1:14" x14ac:dyDescent="0.25">
      <c r="A406" s="1">
        <v>405</v>
      </c>
      <c r="B406" s="2" t="str">
        <f>HYPERLINK("https://leetcode.com/problems/convert-a-number-to-hexadecimal/", "Convert a Number to Hexadecimal")</f>
        <v>Convert a Number to Hexadecimal</v>
      </c>
      <c r="C406" s="1">
        <v>1435</v>
      </c>
      <c r="D406" s="1">
        <v>229</v>
      </c>
      <c r="E406" s="3">
        <f>IF(INDEX(C:C, ROW())+INDEX(D:D, ROW())=0, 0, INDEX(C:C, ROW())/(INDEX(C:C, ROW())+INDEX(D:D, ROW())))</f>
        <v>0.86237980769230771</v>
      </c>
      <c r="F406" s="1" t="s">
        <v>605</v>
      </c>
      <c r="G406" s="1" t="s">
        <v>20</v>
      </c>
      <c r="H406" s="1">
        <v>211478</v>
      </c>
      <c r="I406" s="1">
        <v>397014</v>
      </c>
      <c r="J406" s="7">
        <v>0.53300000000000003</v>
      </c>
      <c r="K406" s="1" t="s">
        <v>21</v>
      </c>
      <c r="L406" s="1" t="s">
        <v>29</v>
      </c>
      <c r="M406" s="1" t="s">
        <v>29</v>
      </c>
      <c r="N406" s="1" t="s">
        <v>22</v>
      </c>
    </row>
    <row r="407" spans="1:14" x14ac:dyDescent="0.25">
      <c r="A407" s="1">
        <v>406</v>
      </c>
      <c r="B407" s="2" t="str">
        <f>HYPERLINK("https://leetcode.com/problems/queue-reconstruction-by-height/", "Queue Reconstruction by Height")</f>
        <v>Queue Reconstruction by Height</v>
      </c>
      <c r="C407" s="1">
        <v>7241</v>
      </c>
      <c r="D407" s="1">
        <v>753</v>
      </c>
      <c r="E407" s="3">
        <f>IF(INDEX(C:C, ROW())+INDEX(D:D, ROW())=0, 0, INDEX(C:C, ROW())/(INDEX(C:C, ROW())+INDEX(D:D, ROW())))</f>
        <v>0.90580435326494868</v>
      </c>
      <c r="F407" s="1" t="s">
        <v>190</v>
      </c>
      <c r="G407" s="1" t="s">
        <v>24</v>
      </c>
      <c r="H407" s="1">
        <v>340885</v>
      </c>
      <c r="I407" s="1">
        <v>457007</v>
      </c>
      <c r="J407" s="7">
        <v>0.746</v>
      </c>
      <c r="K407" s="1" t="s">
        <v>21</v>
      </c>
      <c r="L407" s="1" t="s">
        <v>21</v>
      </c>
      <c r="M407" s="1" t="s">
        <v>29</v>
      </c>
      <c r="N407" s="1" t="s">
        <v>22</v>
      </c>
    </row>
    <row r="408" spans="1:14" x14ac:dyDescent="0.25">
      <c r="A408" s="1">
        <v>407</v>
      </c>
      <c r="B408" s="2" t="str">
        <f>HYPERLINK("https://leetcode.com/problems/trapping-rain-water-ii/", "Trapping Rain Water II")</f>
        <v>Trapping Rain Water II</v>
      </c>
      <c r="C408" s="1">
        <v>4994</v>
      </c>
      <c r="D408" s="1">
        <v>171</v>
      </c>
      <c r="E408" s="3">
        <f>IF(INDEX(C:C, ROW())+INDEX(D:D, ROW())=0, 0, INDEX(C:C, ROW())/(INDEX(C:C, ROW())+INDEX(D:D, ROW())))</f>
        <v>0.96689254598257501</v>
      </c>
      <c r="F408" s="1" t="s">
        <v>261</v>
      </c>
      <c r="G408" s="1" t="s">
        <v>28</v>
      </c>
      <c r="H408" s="1">
        <v>263086</v>
      </c>
      <c r="I408" s="1">
        <v>411227</v>
      </c>
      <c r="J408" s="7">
        <v>0.64</v>
      </c>
      <c r="K408" s="1" t="s">
        <v>21</v>
      </c>
      <c r="L408" s="1" t="s">
        <v>21</v>
      </c>
      <c r="M408" s="1" t="s">
        <v>29</v>
      </c>
      <c r="N408" s="1" t="s">
        <v>22</v>
      </c>
    </row>
    <row r="409" spans="1:14" x14ac:dyDescent="0.25">
      <c r="A409" s="1">
        <v>408</v>
      </c>
      <c r="B409" s="2" t="str">
        <f>HYPERLINK("https://leetcode.com/problems/valid-word-abbreviation/", "Valid Word Abbreviation")</f>
        <v>Valid Word Abbreviation</v>
      </c>
      <c r="C409" s="1">
        <v>919</v>
      </c>
      <c r="D409" s="1">
        <v>2401</v>
      </c>
      <c r="E409" s="3">
        <f>IF(INDEX(C:C, ROW())+INDEX(D:D, ROW())=0, 0, INDEX(C:C, ROW())/(INDEX(C:C, ROW())+INDEX(D:D, ROW())))</f>
        <v>0.27680722891566267</v>
      </c>
      <c r="F409" s="1" t="s">
        <v>117</v>
      </c>
      <c r="G409" s="1" t="s">
        <v>20</v>
      </c>
      <c r="H409" s="1">
        <v>356776</v>
      </c>
      <c r="I409" s="1">
        <v>963745</v>
      </c>
      <c r="J409" s="7">
        <v>0.37</v>
      </c>
      <c r="K409" s="1" t="s">
        <v>29</v>
      </c>
      <c r="L409" s="1" t="s">
        <v>29</v>
      </c>
      <c r="M409" s="1" t="s">
        <v>29</v>
      </c>
      <c r="N409" s="1" t="s">
        <v>22</v>
      </c>
    </row>
    <row r="410" spans="1:14" x14ac:dyDescent="0.25">
      <c r="A410" s="1">
        <v>409</v>
      </c>
      <c r="B410" s="2" t="str">
        <f>HYPERLINK("https://leetcode.com/problems/longest-palindrome/", "Longest Palindrome")</f>
        <v>Longest Palindrome</v>
      </c>
      <c r="C410" s="1">
        <v>6341</v>
      </c>
      <c r="D410" s="1">
        <v>446</v>
      </c>
      <c r="E410" s="3">
        <f>IF(INDEX(C:C, ROW())+INDEX(D:D, ROW())=0, 0, INDEX(C:C, ROW())/(INDEX(C:C, ROW())+INDEX(D:D, ROW())))</f>
        <v>0.93428613525858262</v>
      </c>
      <c r="F410" s="1" t="s">
        <v>217</v>
      </c>
      <c r="G410" s="1" t="s">
        <v>20</v>
      </c>
      <c r="H410" s="1">
        <v>1028807</v>
      </c>
      <c r="I410" s="1">
        <v>1842533</v>
      </c>
      <c r="J410" s="7">
        <v>0.55800000000000005</v>
      </c>
      <c r="K410" s="1" t="s">
        <v>21</v>
      </c>
      <c r="L410" s="1" t="s">
        <v>21</v>
      </c>
      <c r="M410" s="1" t="s">
        <v>29</v>
      </c>
      <c r="N410" s="1" t="s">
        <v>22</v>
      </c>
    </row>
    <row r="411" spans="1:14" x14ac:dyDescent="0.25">
      <c r="A411" s="1">
        <v>410</v>
      </c>
      <c r="B411" s="2" t="str">
        <f>HYPERLINK("https://leetcode.com/problems/split-array-largest-sum/", "Split Array Largest Sum")</f>
        <v>Split Array Largest Sum</v>
      </c>
      <c r="C411" s="1">
        <v>11238</v>
      </c>
      <c r="D411" s="1">
        <v>269</v>
      </c>
      <c r="E411" s="3">
        <f>IF(INDEX(C:C, ROW())+INDEX(D:D, ROW())=0, 0, INDEX(C:C, ROW())/(INDEX(C:C, ROW())+INDEX(D:D, ROW())))</f>
        <v>0.97662292517597982</v>
      </c>
      <c r="F411" s="1" t="s">
        <v>118</v>
      </c>
      <c r="G411" s="1" t="s">
        <v>28</v>
      </c>
      <c r="H411" s="1">
        <v>601333</v>
      </c>
      <c r="I411" s="1">
        <v>1004593</v>
      </c>
      <c r="J411" s="7">
        <v>0.59899999999999998</v>
      </c>
      <c r="K411" s="1" t="s">
        <v>21</v>
      </c>
      <c r="L411" s="1" t="s">
        <v>21</v>
      </c>
      <c r="M411" s="1" t="s">
        <v>29</v>
      </c>
      <c r="N411" s="1" t="s">
        <v>22</v>
      </c>
    </row>
    <row r="412" spans="1:14" x14ac:dyDescent="0.25">
      <c r="A412" s="1">
        <v>411</v>
      </c>
      <c r="B412" s="2" t="str">
        <f>HYPERLINK("https://leetcode.com/problems/minimum-unique-word-abbreviation/", "Minimum Unique Word Abbreviation")</f>
        <v>Minimum Unique Word Abbreviation</v>
      </c>
      <c r="C412" s="1">
        <v>184</v>
      </c>
      <c r="D412" s="1">
        <v>145</v>
      </c>
      <c r="E412" s="3">
        <f>IF(INDEX(C:C, ROW())+INDEX(D:D, ROW())=0, 0, INDEX(C:C, ROW())/(INDEX(C:C, ROW())+INDEX(D:D, ROW())))</f>
        <v>0.55927051671732519</v>
      </c>
      <c r="F412" s="1" t="s">
        <v>282</v>
      </c>
      <c r="G412" s="1" t="s">
        <v>28</v>
      </c>
      <c r="H412" s="1">
        <v>15677</v>
      </c>
      <c r="I412" s="1">
        <v>38753</v>
      </c>
      <c r="J412" s="7">
        <v>0.40500000000000003</v>
      </c>
      <c r="K412" s="1" t="s">
        <v>29</v>
      </c>
      <c r="L412" s="1" t="s">
        <v>29</v>
      </c>
      <c r="M412" s="1" t="s">
        <v>29</v>
      </c>
      <c r="N412" s="1" t="s">
        <v>22</v>
      </c>
    </row>
    <row r="413" spans="1:14" x14ac:dyDescent="0.25">
      <c r="A413" s="1">
        <v>412</v>
      </c>
      <c r="B413" s="2" t="str">
        <f>HYPERLINK("https://leetcode.com/problems/fizz-buzz/", "Fizz Buzz")</f>
        <v>Fizz Buzz</v>
      </c>
      <c r="C413" s="1">
        <v>3331</v>
      </c>
      <c r="D413" s="1">
        <v>456</v>
      </c>
      <c r="E413" s="3">
        <f>IF(INDEX(C:C, ROW())+INDEX(D:D, ROW())=0, 0, INDEX(C:C, ROW())/(INDEX(C:C, ROW())+INDEX(D:D, ROW())))</f>
        <v>0.87958806443094795</v>
      </c>
      <c r="F413" s="1" t="s">
        <v>178</v>
      </c>
      <c r="G413" s="1" t="s">
        <v>20</v>
      </c>
      <c r="H413" s="1">
        <v>1732170</v>
      </c>
      <c r="I413" s="1">
        <v>2301720</v>
      </c>
      <c r="J413" s="7">
        <v>0.753</v>
      </c>
      <c r="K413" s="1" t="s">
        <v>21</v>
      </c>
      <c r="L413" s="1" t="s">
        <v>21</v>
      </c>
      <c r="M413" s="1" t="s">
        <v>21</v>
      </c>
      <c r="N413" s="1" t="s">
        <v>22</v>
      </c>
    </row>
    <row r="414" spans="1:14" x14ac:dyDescent="0.25">
      <c r="A414" s="1">
        <v>413</v>
      </c>
      <c r="B414" s="2" t="str">
        <f>HYPERLINK("https://leetcode.com/problems/arithmetic-slices/", "Arithmetic Slices")</f>
        <v>Arithmetic Slices</v>
      </c>
      <c r="C414" s="1">
        <v>5622</v>
      </c>
      <c r="D414" s="1">
        <v>306</v>
      </c>
      <c r="E414" s="3">
        <f>IF(INDEX(C:C, ROW())+INDEX(D:D, ROW())=0, 0, INDEX(C:C, ROW())/(INDEX(C:C, ROW())+INDEX(D:D, ROW())))</f>
        <v>0.94838056680161942</v>
      </c>
      <c r="F414" s="1" t="s">
        <v>239</v>
      </c>
      <c r="G414" s="1" t="s">
        <v>24</v>
      </c>
      <c r="H414" s="1">
        <v>362362</v>
      </c>
      <c r="I414" s="1">
        <v>559128</v>
      </c>
      <c r="J414" s="7">
        <v>0.64800000000000002</v>
      </c>
      <c r="K414" s="1" t="s">
        <v>21</v>
      </c>
      <c r="L414" s="1" t="s">
        <v>21</v>
      </c>
      <c r="M414" s="1" t="s">
        <v>29</v>
      </c>
      <c r="N414" s="1" t="s">
        <v>22</v>
      </c>
    </row>
    <row r="415" spans="1:14" x14ac:dyDescent="0.25">
      <c r="A415" s="1">
        <v>414</v>
      </c>
      <c r="B415" s="2" t="str">
        <f>HYPERLINK("https://leetcode.com/problems/third-maximum-number/", "Third Maximum Number")</f>
        <v>Third Maximum Number</v>
      </c>
      <c r="C415" s="1">
        <v>3506</v>
      </c>
      <c r="D415" s="1">
        <v>3502</v>
      </c>
      <c r="E415" s="3">
        <f>IF(INDEX(C:C, ROW())+INDEX(D:D, ROW())=0, 0, INDEX(C:C, ROW())/(INDEX(C:C, ROW())+INDEX(D:D, ROW())))</f>
        <v>0.50028538812785384</v>
      </c>
      <c r="F415" s="1" t="s">
        <v>42</v>
      </c>
      <c r="G415" s="1" t="s">
        <v>20</v>
      </c>
      <c r="H415" s="1">
        <v>807530</v>
      </c>
      <c r="I415" s="1">
        <v>2079076</v>
      </c>
      <c r="J415" s="7">
        <v>0.38800000000000001</v>
      </c>
      <c r="K415" s="1" t="s">
        <v>21</v>
      </c>
      <c r="L415" s="1" t="s">
        <v>21</v>
      </c>
      <c r="M415" s="1" t="s">
        <v>29</v>
      </c>
      <c r="N415" s="1" t="s">
        <v>22</v>
      </c>
    </row>
    <row r="416" spans="1:14" x14ac:dyDescent="0.25">
      <c r="A416" s="1">
        <v>415</v>
      </c>
      <c r="B416" s="2" t="str">
        <f>HYPERLINK("https://leetcode.com/problems/add-strings/", "Add Strings")</f>
        <v>Add Strings</v>
      </c>
      <c r="C416" s="1">
        <v>5432</v>
      </c>
      <c r="D416" s="1">
        <v>829</v>
      </c>
      <c r="E416" s="3">
        <f>IF(INDEX(C:C, ROW())+INDEX(D:D, ROW())=0, 0, INDEX(C:C, ROW())/(INDEX(C:C, ROW())+INDEX(D:D, ROW())))</f>
        <v>0.86759303625618911</v>
      </c>
      <c r="F416" s="1" t="s">
        <v>178</v>
      </c>
      <c r="G416" s="1" t="s">
        <v>20</v>
      </c>
      <c r="H416" s="1">
        <v>920055</v>
      </c>
      <c r="I416" s="1">
        <v>1766374</v>
      </c>
      <c r="J416" s="7">
        <v>0.52100000000000002</v>
      </c>
      <c r="K416" s="1" t="s">
        <v>21</v>
      </c>
      <c r="L416" s="1" t="s">
        <v>21</v>
      </c>
      <c r="M416" s="1" t="s">
        <v>29</v>
      </c>
      <c r="N416" s="1" t="s">
        <v>22</v>
      </c>
    </row>
    <row r="417" spans="1:14" x14ac:dyDescent="0.25">
      <c r="A417" s="1">
        <v>416</v>
      </c>
      <c r="B417" s="2" t="str">
        <f>HYPERLINK("https://leetcode.com/problems/partition-equal-subset-sum/", "Partition Equal Subset Sum")</f>
        <v>Partition Equal Subset Sum</v>
      </c>
      <c r="C417" s="1">
        <v>13766</v>
      </c>
      <c r="D417" s="1">
        <v>298</v>
      </c>
      <c r="E417" s="3">
        <f>IF(INDEX(C:C, ROW())+INDEX(D:D, ROW())=0, 0, INDEX(C:C, ROW())/(INDEX(C:C, ROW())+INDEX(D:D, ROW())))</f>
        <v>0.97881114903299204</v>
      </c>
      <c r="F417" s="1" t="s">
        <v>30</v>
      </c>
      <c r="G417" s="1" t="s">
        <v>24</v>
      </c>
      <c r="H417" s="1">
        <v>1450139</v>
      </c>
      <c r="I417" s="1">
        <v>2946622</v>
      </c>
      <c r="J417" s="7">
        <v>0.49199999999999999</v>
      </c>
      <c r="K417" s="1" t="s">
        <v>21</v>
      </c>
      <c r="L417" s="1" t="s">
        <v>21</v>
      </c>
      <c r="M417" s="1" t="s">
        <v>21</v>
      </c>
      <c r="N417" s="1" t="s">
        <v>22</v>
      </c>
    </row>
    <row r="418" spans="1:14" x14ac:dyDescent="0.25">
      <c r="A418" s="1">
        <v>417</v>
      </c>
      <c r="B418" s="2" t="str">
        <f>HYPERLINK("https://leetcode.com/problems/pacific-atlantic-water-flow/", "Pacific Atlantic Water Flow")</f>
        <v>Pacific Atlantic Water Flow</v>
      </c>
      <c r="C418" s="1">
        <v>8658</v>
      </c>
      <c r="D418" s="1">
        <v>1816</v>
      </c>
      <c r="E418" s="3">
        <f>IF(INDEX(C:C, ROW())+INDEX(D:D, ROW())=0, 0, INDEX(C:C, ROW())/(INDEX(C:C, ROW())+INDEX(D:D, ROW())))</f>
        <v>0.82661829291579147</v>
      </c>
      <c r="F418" s="1" t="s">
        <v>143</v>
      </c>
      <c r="G418" s="1" t="s">
        <v>24</v>
      </c>
      <c r="H418" s="1">
        <v>781949</v>
      </c>
      <c r="I418" s="1">
        <v>1290760</v>
      </c>
      <c r="J418" s="7">
        <v>0.60599999999999998</v>
      </c>
      <c r="K418" s="1" t="s">
        <v>21</v>
      </c>
      <c r="L418" s="1" t="s">
        <v>21</v>
      </c>
      <c r="M418" s="1" t="s">
        <v>29</v>
      </c>
      <c r="N418" s="1" t="s">
        <v>22</v>
      </c>
    </row>
    <row r="419" spans="1:14" x14ac:dyDescent="0.25">
      <c r="A419" s="1">
        <v>418</v>
      </c>
      <c r="B419" s="2" t="str">
        <f>HYPERLINK("https://leetcode.com/problems/sentence-screen-fitting/", "Sentence Screen Fitting")</f>
        <v>Sentence Screen Fitting</v>
      </c>
      <c r="C419" s="1">
        <v>1140</v>
      </c>
      <c r="D419" s="1">
        <v>543</v>
      </c>
      <c r="E419" s="3">
        <f>IF(INDEX(C:C, ROW())+INDEX(D:D, ROW())=0, 0, INDEX(C:C, ROW())/(INDEX(C:C, ROW())+INDEX(D:D, ROW())))</f>
        <v>0.67736185383244207</v>
      </c>
      <c r="F419" s="1" t="s">
        <v>225</v>
      </c>
      <c r="G419" s="1" t="s">
        <v>24</v>
      </c>
      <c r="H419" s="1">
        <v>106704</v>
      </c>
      <c r="I419" s="1">
        <v>293238</v>
      </c>
      <c r="J419" s="7">
        <v>0.36399999999999999</v>
      </c>
      <c r="K419" s="1" t="s">
        <v>29</v>
      </c>
      <c r="L419" s="1" t="s">
        <v>29</v>
      </c>
      <c r="M419" s="1" t="s">
        <v>29</v>
      </c>
      <c r="N419" s="1" t="s">
        <v>22</v>
      </c>
    </row>
    <row r="420" spans="1:14" x14ac:dyDescent="0.25">
      <c r="A420" s="1">
        <v>419</v>
      </c>
      <c r="B420" s="2" t="str">
        <f>HYPERLINK("https://leetcode.com/problems/battleships-in-a-board/", "Battleships in a Board")</f>
        <v>Battleships in a Board</v>
      </c>
      <c r="C420" s="1">
        <v>2505</v>
      </c>
      <c r="D420" s="1">
        <v>1026</v>
      </c>
      <c r="E420" s="3">
        <f>IF(INDEX(C:C, ROW())+INDEX(D:D, ROW())=0, 0, INDEX(C:C, ROW())/(INDEX(C:C, ROW())+INDEX(D:D, ROW())))</f>
        <v>0.70943075615972817</v>
      </c>
      <c r="F420" s="1" t="s">
        <v>423</v>
      </c>
      <c r="G420" s="1" t="s">
        <v>24</v>
      </c>
      <c r="H420" s="1">
        <v>276566</v>
      </c>
      <c r="I420" s="1">
        <v>357501</v>
      </c>
      <c r="J420" s="7">
        <v>0.77400000000000002</v>
      </c>
      <c r="K420" s="1" t="s">
        <v>21</v>
      </c>
      <c r="L420" s="1" t="s">
        <v>29</v>
      </c>
      <c r="M420" s="1" t="s">
        <v>29</v>
      </c>
      <c r="N420" s="1" t="s">
        <v>22</v>
      </c>
    </row>
    <row r="421" spans="1:14" x14ac:dyDescent="0.25">
      <c r="A421" s="1">
        <v>420</v>
      </c>
      <c r="B421" s="2" t="str">
        <f>HYPERLINK("https://leetcode.com/problems/strong-password-checker/", "Strong Password Checker")</f>
        <v>Strong Password Checker</v>
      </c>
      <c r="C421" s="1">
        <v>961</v>
      </c>
      <c r="D421" s="1">
        <v>1753</v>
      </c>
      <c r="E421" s="3">
        <f>IF(INDEX(C:C, ROW())+INDEX(D:D, ROW())=0, 0, INDEX(C:C, ROW())/(INDEX(C:C, ROW())+INDEX(D:D, ROW())))</f>
        <v>0.35408990420044217</v>
      </c>
      <c r="F421" s="1" t="s">
        <v>393</v>
      </c>
      <c r="G421" s="1" t="s">
        <v>28</v>
      </c>
      <c r="H421" s="1">
        <v>54432</v>
      </c>
      <c r="I421" s="1">
        <v>352713</v>
      </c>
      <c r="J421" s="7">
        <v>0.154</v>
      </c>
      <c r="K421" s="1" t="s">
        <v>21</v>
      </c>
      <c r="L421" s="1" t="s">
        <v>29</v>
      </c>
      <c r="M421" s="1" t="s">
        <v>29</v>
      </c>
      <c r="N421" s="1" t="s">
        <v>22</v>
      </c>
    </row>
    <row r="422" spans="1:14" x14ac:dyDescent="0.25">
      <c r="A422" s="1">
        <v>421</v>
      </c>
      <c r="B422" s="2" t="str">
        <f>HYPERLINK("https://leetcode.com/problems/maximum-xor-of-two-numbers-in-an-array/", "Maximum XOR of Two Numbers in an Array")</f>
        <v>Maximum XOR of Two Numbers in an Array</v>
      </c>
      <c r="C422" s="1">
        <v>5914</v>
      </c>
      <c r="D422" s="1">
        <v>421</v>
      </c>
      <c r="E422" s="3">
        <f>IF(INDEX(C:C, ROW())+INDEX(D:D, ROW())=0, 0, INDEX(C:C, ROW())/(INDEX(C:C, ROW())+INDEX(D:D, ROW())))</f>
        <v>0.93354380426203631</v>
      </c>
      <c r="F422" s="1" t="s">
        <v>231</v>
      </c>
      <c r="G422" s="1" t="s">
        <v>24</v>
      </c>
      <c r="H422" s="1">
        <v>216367</v>
      </c>
      <c r="I422" s="1">
        <v>405033</v>
      </c>
      <c r="J422" s="7">
        <v>0.53400000000000003</v>
      </c>
      <c r="K422" s="1" t="s">
        <v>21</v>
      </c>
      <c r="L422" s="1" t="s">
        <v>21</v>
      </c>
      <c r="M422" s="1" t="s">
        <v>29</v>
      </c>
      <c r="N422" s="1" t="s">
        <v>22</v>
      </c>
    </row>
    <row r="423" spans="1:14" x14ac:dyDescent="0.25">
      <c r="A423" s="1">
        <v>422</v>
      </c>
      <c r="B423" s="2" t="str">
        <f>HYPERLINK("https://leetcode.com/problems/valid-word-square/", "Valid Word Square")</f>
        <v>Valid Word Square</v>
      </c>
      <c r="C423" s="1">
        <v>448</v>
      </c>
      <c r="D423" s="1">
        <v>274</v>
      </c>
      <c r="E423" s="3">
        <f>IF(INDEX(C:C, ROW())+INDEX(D:D, ROW())=0, 0, INDEX(C:C, ROW())/(INDEX(C:C, ROW())+INDEX(D:D, ROW())))</f>
        <v>0.62049861495844871</v>
      </c>
      <c r="F423" s="1" t="s">
        <v>266</v>
      </c>
      <c r="G423" s="1" t="s">
        <v>20</v>
      </c>
      <c r="H423" s="1">
        <v>70541</v>
      </c>
      <c r="I423" s="1">
        <v>164817</v>
      </c>
      <c r="J423" s="7">
        <v>0.42799999999999999</v>
      </c>
      <c r="K423" s="1" t="s">
        <v>29</v>
      </c>
      <c r="L423" s="1" t="s">
        <v>21</v>
      </c>
      <c r="M423" s="1" t="s">
        <v>29</v>
      </c>
      <c r="N423" s="1" t="s">
        <v>22</v>
      </c>
    </row>
    <row r="424" spans="1:14" x14ac:dyDescent="0.25">
      <c r="A424" s="1">
        <v>423</v>
      </c>
      <c r="B424" s="2" t="str">
        <f>HYPERLINK("https://leetcode.com/problems/reconstruct-original-digits-from-english/", "Reconstruct Original Digits from English")</f>
        <v>Reconstruct Original Digits from English</v>
      </c>
      <c r="C424" s="1">
        <v>892</v>
      </c>
      <c r="D424" s="1">
        <v>2804</v>
      </c>
      <c r="E424" s="3">
        <f>IF(INDEX(C:C, ROW())+INDEX(D:D, ROW())=0, 0, INDEX(C:C, ROW())/(INDEX(C:C, ROW())+INDEX(D:D, ROW())))</f>
        <v>0.24134199134199133</v>
      </c>
      <c r="F424" s="1" t="s">
        <v>75</v>
      </c>
      <c r="G424" s="1" t="s">
        <v>24</v>
      </c>
      <c r="H424" s="1">
        <v>98217</v>
      </c>
      <c r="I424" s="1">
        <v>186432</v>
      </c>
      <c r="J424" s="7">
        <v>0.52700000000000002</v>
      </c>
      <c r="K424" s="1" t="s">
        <v>21</v>
      </c>
      <c r="L424" s="1" t="s">
        <v>21</v>
      </c>
      <c r="M424" s="1" t="s">
        <v>29</v>
      </c>
      <c r="N424" s="1" t="s">
        <v>22</v>
      </c>
    </row>
    <row r="425" spans="1:14" x14ac:dyDescent="0.25">
      <c r="A425" s="1">
        <v>424</v>
      </c>
      <c r="B425" s="2" t="str">
        <f>HYPERLINK("https://leetcode.com/problems/longest-repeating-character-replacement/", "Longest Repeating Character Replacement")</f>
        <v>Longest Repeating Character Replacement</v>
      </c>
      <c r="C425" s="1">
        <v>12867</v>
      </c>
      <c r="D425" s="1">
        <v>758</v>
      </c>
      <c r="E425" s="3">
        <f>IF(INDEX(C:C, ROW())+INDEX(D:D, ROW())=0, 0, INDEX(C:C, ROW())/(INDEX(C:C, ROW())+INDEX(D:D, ROW())))</f>
        <v>0.94436697247706425</v>
      </c>
      <c r="F425" s="1" t="s">
        <v>23</v>
      </c>
      <c r="G425" s="1" t="s">
        <v>24</v>
      </c>
      <c r="H425" s="1">
        <v>1460479</v>
      </c>
      <c r="I425" s="1">
        <v>2473280</v>
      </c>
      <c r="J425" s="7">
        <v>0.59099999999999997</v>
      </c>
      <c r="K425" s="1" t="s">
        <v>21</v>
      </c>
      <c r="L425" s="1" t="s">
        <v>21</v>
      </c>
      <c r="M425" s="1" t="s">
        <v>29</v>
      </c>
      <c r="N425" s="1" t="s">
        <v>22</v>
      </c>
    </row>
    <row r="426" spans="1:14" x14ac:dyDescent="0.25">
      <c r="A426" s="1">
        <v>425</v>
      </c>
      <c r="B426" s="2" t="str">
        <f>HYPERLINK("https://leetcode.com/problems/word-squares/", "Word Squares")</f>
        <v>Word Squares</v>
      </c>
      <c r="C426" s="1">
        <v>1123</v>
      </c>
      <c r="D426" s="1">
        <v>75</v>
      </c>
      <c r="E426" s="3">
        <f>IF(INDEX(C:C, ROW())+INDEX(D:D, ROW())=0, 0, INDEX(C:C, ROW())/(INDEX(C:C, ROW())+INDEX(D:D, ROW())))</f>
        <v>0.93739565943238734</v>
      </c>
      <c r="F426" s="1" t="s">
        <v>679</v>
      </c>
      <c r="G426" s="1" t="s">
        <v>28</v>
      </c>
      <c r="H426" s="1">
        <v>83042</v>
      </c>
      <c r="I426" s="1">
        <v>152015</v>
      </c>
      <c r="J426" s="7">
        <v>0.54600000000000004</v>
      </c>
      <c r="K426" s="1" t="s">
        <v>29</v>
      </c>
      <c r="L426" s="1" t="s">
        <v>21</v>
      </c>
      <c r="M426" s="1" t="s">
        <v>29</v>
      </c>
      <c r="N426" s="1" t="s">
        <v>22</v>
      </c>
    </row>
    <row r="427" spans="1:14" x14ac:dyDescent="0.25">
      <c r="A427" s="1">
        <v>426</v>
      </c>
      <c r="B427" s="2" t="str">
        <f>HYPERLINK("https://leetcode.com/problems/convert-binary-search-tree-to-sorted-doubly-linked-list/", "Convert Binary Search Tree to Sorted Doubly Linked List")</f>
        <v>Convert Binary Search Tree to Sorted Doubly Linked List</v>
      </c>
      <c r="C427" s="1">
        <v>2729</v>
      </c>
      <c r="D427" s="1">
        <v>244</v>
      </c>
      <c r="E427" s="3">
        <f>IF(INDEX(C:C, ROW())+INDEX(D:D, ROW())=0, 0, INDEX(C:C, ROW())/(INDEX(C:C, ROW())+INDEX(D:D, ROW())))</f>
        <v>0.91792801883619235</v>
      </c>
      <c r="F427" s="1" t="s">
        <v>398</v>
      </c>
      <c r="G427" s="1" t="s">
        <v>24</v>
      </c>
      <c r="H427" s="1">
        <v>370813</v>
      </c>
      <c r="I427" s="1">
        <v>564924</v>
      </c>
      <c r="J427" s="7">
        <v>0.65600000000000003</v>
      </c>
      <c r="K427" s="1" t="s">
        <v>29</v>
      </c>
      <c r="L427" s="1" t="s">
        <v>21</v>
      </c>
      <c r="M427" s="1" t="s">
        <v>29</v>
      </c>
      <c r="N427" s="1" t="s">
        <v>22</v>
      </c>
    </row>
    <row r="428" spans="1:14" x14ac:dyDescent="0.25">
      <c r="A428" s="1">
        <v>427</v>
      </c>
      <c r="B428" s="2" t="str">
        <f>HYPERLINK("https://leetcode.com/problems/construct-quad-tree/", "Construct Quad Tree")</f>
        <v>Construct Quad Tree</v>
      </c>
      <c r="C428" s="1">
        <v>1742</v>
      </c>
      <c r="D428" s="1">
        <v>1959</v>
      </c>
      <c r="E428" s="3">
        <f>IF(INDEX(C:C, ROW())+INDEX(D:D, ROW())=0, 0, INDEX(C:C, ROW())/(INDEX(C:C, ROW())+INDEX(D:D, ROW())))</f>
        <v>0.4706835990272899</v>
      </c>
      <c r="F428" s="1" t="s">
        <v>543</v>
      </c>
      <c r="G428" s="1" t="s">
        <v>24</v>
      </c>
      <c r="H428" s="1">
        <v>196377</v>
      </c>
      <c r="I428" s="1">
        <v>251444</v>
      </c>
      <c r="J428" s="7">
        <v>0.78100000000000003</v>
      </c>
      <c r="K428" s="1" t="s">
        <v>21</v>
      </c>
      <c r="L428" s="1" t="s">
        <v>21</v>
      </c>
      <c r="M428" s="1" t="s">
        <v>29</v>
      </c>
      <c r="N428" s="1" t="s">
        <v>22</v>
      </c>
    </row>
    <row r="429" spans="1:14" x14ac:dyDescent="0.25">
      <c r="A429" s="1">
        <v>428</v>
      </c>
      <c r="B429" s="2" t="str">
        <f>HYPERLINK("https://leetcode.com/problems/serialize-and-deserialize-n-ary-tree/", "Serialize and Deserialize N-ary Tree")</f>
        <v>Serialize and Deserialize N-ary Tree</v>
      </c>
      <c r="C429" s="1">
        <v>1071</v>
      </c>
      <c r="D429" s="1">
        <v>58</v>
      </c>
      <c r="E429" s="3">
        <f>IF(INDEX(C:C, ROW())+INDEX(D:D, ROW())=0, 0, INDEX(C:C, ROW())/(INDEX(C:C, ROW())+INDEX(D:D, ROW())))</f>
        <v>0.94862710363153235</v>
      </c>
      <c r="F429" s="1" t="s">
        <v>696</v>
      </c>
      <c r="G429" s="1" t="s">
        <v>28</v>
      </c>
      <c r="H429" s="1">
        <v>98845</v>
      </c>
      <c r="I429" s="1">
        <v>144065</v>
      </c>
      <c r="J429" s="7">
        <v>0.68600000000000005</v>
      </c>
      <c r="K429" s="1" t="s">
        <v>29</v>
      </c>
      <c r="L429" s="1" t="s">
        <v>21</v>
      </c>
      <c r="M429" s="1" t="s">
        <v>29</v>
      </c>
      <c r="N429" s="1" t="s">
        <v>22</v>
      </c>
    </row>
    <row r="430" spans="1:14" x14ac:dyDescent="0.25">
      <c r="A430" s="1">
        <v>429</v>
      </c>
      <c r="B430" s="2" t="str">
        <f>HYPERLINK("https://leetcode.com/problems/n-ary-tree-level-order-traversal/", "N-ary Tree Level Order Traversal")</f>
        <v>N-ary Tree Level Order Traversal</v>
      </c>
      <c r="C430" s="1">
        <v>3742</v>
      </c>
      <c r="D430" s="1">
        <v>145</v>
      </c>
      <c r="E430" s="3">
        <f>IF(INDEX(C:C, ROW())+INDEX(D:D, ROW())=0, 0, INDEX(C:C, ROW())/(INDEX(C:C, ROW())+INDEX(D:D, ROW())))</f>
        <v>0.96269616670954461</v>
      </c>
      <c r="F430" s="1" t="s">
        <v>329</v>
      </c>
      <c r="G430" s="1" t="s">
        <v>24</v>
      </c>
      <c r="H430" s="1">
        <v>361909</v>
      </c>
      <c r="I430" s="1">
        <v>506405</v>
      </c>
      <c r="J430" s="7">
        <v>0.71499999999999997</v>
      </c>
      <c r="K430" s="1" t="s">
        <v>21</v>
      </c>
      <c r="L430" s="1" t="s">
        <v>21</v>
      </c>
      <c r="M430" s="1" t="s">
        <v>29</v>
      </c>
      <c r="N430" s="1" t="s">
        <v>22</v>
      </c>
    </row>
    <row r="431" spans="1:14" x14ac:dyDescent="0.25">
      <c r="A431" s="1">
        <v>430</v>
      </c>
      <c r="B431" s="2" t="str">
        <f>HYPERLINK("https://leetcode.com/problems/flatten-a-multilevel-doubly-linked-list/", "Flatten a Multilevel Doubly Linked List")</f>
        <v>Flatten a Multilevel Doubly Linked List</v>
      </c>
      <c r="C431" s="1">
        <v>5434</v>
      </c>
      <c r="D431" s="1">
        <v>348</v>
      </c>
      <c r="E431" s="3">
        <f>IF(INDEX(C:C, ROW())+INDEX(D:D, ROW())=0, 0, INDEX(C:C, ROW())/(INDEX(C:C, ROW())+INDEX(D:D, ROW())))</f>
        <v>0.93981321342096158</v>
      </c>
      <c r="F431" s="1" t="s">
        <v>244</v>
      </c>
      <c r="G431" s="1" t="s">
        <v>24</v>
      </c>
      <c r="H431" s="1">
        <v>427622</v>
      </c>
      <c r="I431" s="1">
        <v>683567</v>
      </c>
      <c r="J431" s="7">
        <v>0.626</v>
      </c>
      <c r="K431" s="1" t="s">
        <v>21</v>
      </c>
      <c r="L431" s="1" t="s">
        <v>21</v>
      </c>
      <c r="M431" s="1" t="s">
        <v>29</v>
      </c>
      <c r="N431" s="1" t="s">
        <v>22</v>
      </c>
    </row>
    <row r="432" spans="1:14" x14ac:dyDescent="0.25">
      <c r="A432" s="1">
        <v>431</v>
      </c>
      <c r="B432" s="2" t="str">
        <f>HYPERLINK("https://leetcode.com/problems/encode-n-ary-tree-to-binary-tree/", "Encode N-ary Tree to Binary Tree")</f>
        <v>Encode N-ary Tree to Binary Tree</v>
      </c>
      <c r="C432" s="1">
        <v>537</v>
      </c>
      <c r="D432" s="1">
        <v>30</v>
      </c>
      <c r="E432" s="3">
        <f>IF(INDEX(C:C, ROW())+INDEX(D:D, ROW())=0, 0, INDEX(C:C, ROW())/(INDEX(C:C, ROW())+INDEX(D:D, ROW())))</f>
        <v>0.94708994708994709</v>
      </c>
      <c r="F432" s="1" t="s">
        <v>890</v>
      </c>
      <c r="G432" s="1" t="s">
        <v>28</v>
      </c>
      <c r="H432" s="1">
        <v>24896</v>
      </c>
      <c r="I432" s="1">
        <v>30909</v>
      </c>
      <c r="J432" s="7">
        <v>0.80500000000000005</v>
      </c>
      <c r="K432" s="1" t="s">
        <v>29</v>
      </c>
      <c r="L432" s="1" t="s">
        <v>21</v>
      </c>
      <c r="M432" s="1" t="s">
        <v>29</v>
      </c>
      <c r="N432" s="1" t="s">
        <v>22</v>
      </c>
    </row>
    <row r="433" spans="1:14" x14ac:dyDescent="0.25">
      <c r="A433" s="1">
        <v>432</v>
      </c>
      <c r="B433" s="2" t="str">
        <f>HYPERLINK("https://leetcode.com/problems/all-oone-data-structure/", "All O`one Data Structure")</f>
        <v>All O`one Data Structure</v>
      </c>
      <c r="C433" s="1">
        <v>2222</v>
      </c>
      <c r="D433" s="1">
        <v>224</v>
      </c>
      <c r="E433" s="3">
        <f>IF(INDEX(C:C, ROW())+INDEX(D:D, ROW())=0, 0, INDEX(C:C, ROW())/(INDEX(C:C, ROW())+INDEX(D:D, ROW())))</f>
        <v>0.90842191332788225</v>
      </c>
      <c r="F433" s="1" t="s">
        <v>45</v>
      </c>
      <c r="G433" s="1" t="s">
        <v>28</v>
      </c>
      <c r="H433" s="1">
        <v>201076</v>
      </c>
      <c r="I433" s="1">
        <v>455491</v>
      </c>
      <c r="J433" s="7">
        <v>0.441</v>
      </c>
      <c r="K433" s="1" t="s">
        <v>21</v>
      </c>
      <c r="L433" s="1" t="s">
        <v>21</v>
      </c>
      <c r="M433" s="1" t="s">
        <v>29</v>
      </c>
      <c r="N433" s="1" t="s">
        <v>22</v>
      </c>
    </row>
    <row r="434" spans="1:14" x14ac:dyDescent="0.25">
      <c r="A434" s="1">
        <v>433</v>
      </c>
      <c r="B434" s="2" t="str">
        <f>HYPERLINK("https://leetcode.com/problems/minimum-genetic-mutation/", "Minimum Genetic Mutation")</f>
        <v>Minimum Genetic Mutation</v>
      </c>
      <c r="C434" s="1">
        <v>3295</v>
      </c>
      <c r="D434" s="1">
        <v>345</v>
      </c>
      <c r="E434" s="3">
        <f>IF(INDEX(C:C, ROW())+INDEX(D:D, ROW())=0, 0, INDEX(C:C, ROW())/(INDEX(C:C, ROW())+INDEX(D:D, ROW())))</f>
        <v>0.90521978021978022</v>
      </c>
      <c r="F434" s="1" t="s">
        <v>95</v>
      </c>
      <c r="G434" s="1" t="s">
        <v>24</v>
      </c>
      <c r="H434" s="1">
        <v>270945</v>
      </c>
      <c r="I434" s="1">
        <v>480421</v>
      </c>
      <c r="J434" s="7">
        <v>0.56399999999999995</v>
      </c>
      <c r="K434" s="1" t="s">
        <v>21</v>
      </c>
      <c r="L434" s="1" t="s">
        <v>21</v>
      </c>
      <c r="M434" s="1" t="s">
        <v>29</v>
      </c>
      <c r="N434" s="1" t="s">
        <v>22</v>
      </c>
    </row>
    <row r="435" spans="1:14" x14ac:dyDescent="0.25">
      <c r="A435" s="1">
        <v>434</v>
      </c>
      <c r="B435" s="2" t="str">
        <f>HYPERLINK("https://leetcode.com/problems/number-of-segments-in-a-string/", "Number of Segments in a String")</f>
        <v>Number of Segments in a String</v>
      </c>
      <c r="C435" s="1">
        <v>902</v>
      </c>
      <c r="D435" s="1">
        <v>1334</v>
      </c>
      <c r="E435" s="3">
        <f>IF(INDEX(C:C, ROW())+INDEX(D:D, ROW())=0, 0, INDEX(C:C, ROW())/(INDEX(C:C, ROW())+INDEX(D:D, ROW())))</f>
        <v>0.40339892665474059</v>
      </c>
      <c r="F435" s="1" t="s">
        <v>146</v>
      </c>
      <c r="G435" s="1" t="s">
        <v>20</v>
      </c>
      <c r="H435" s="1">
        <v>267565</v>
      </c>
      <c r="I435" s="1">
        <v>724265</v>
      </c>
      <c r="J435" s="7">
        <v>0.36899999999999999</v>
      </c>
      <c r="K435" s="1" t="s">
        <v>21</v>
      </c>
      <c r="L435" s="1" t="s">
        <v>21</v>
      </c>
      <c r="M435" s="1" t="s">
        <v>29</v>
      </c>
      <c r="N435" s="1" t="s">
        <v>22</v>
      </c>
    </row>
    <row r="436" spans="1:14" x14ac:dyDescent="0.25">
      <c r="A436" s="1">
        <v>435</v>
      </c>
      <c r="B436" s="2" t="str">
        <f>HYPERLINK("https://leetcode.com/problems/non-overlapping-intervals/", "Non-overlapping Intervals")</f>
        <v>Non-overlapping Intervals</v>
      </c>
      <c r="C436" s="1">
        <v>9068</v>
      </c>
      <c r="D436" s="1">
        <v>256</v>
      </c>
      <c r="E436" s="3">
        <f>IF(INDEX(C:C, ROW())+INDEX(D:D, ROW())=0, 0, INDEX(C:C, ROW())/(INDEX(C:C, ROW())+INDEX(D:D, ROW())))</f>
        <v>0.97254397254397251</v>
      </c>
      <c r="F436" s="1" t="s">
        <v>154</v>
      </c>
      <c r="G436" s="1" t="s">
        <v>24</v>
      </c>
      <c r="H436" s="1">
        <v>966977</v>
      </c>
      <c r="I436" s="1">
        <v>1704937</v>
      </c>
      <c r="J436" s="7">
        <v>0.56699999999999995</v>
      </c>
      <c r="K436" s="1" t="s">
        <v>21</v>
      </c>
      <c r="L436" s="1" t="s">
        <v>21</v>
      </c>
      <c r="M436" s="1" t="s">
        <v>29</v>
      </c>
      <c r="N436" s="1" t="s">
        <v>22</v>
      </c>
    </row>
    <row r="437" spans="1:14" x14ac:dyDescent="0.25">
      <c r="A437" s="1">
        <v>436</v>
      </c>
      <c r="B437" s="2" t="str">
        <f>HYPERLINK("https://leetcode.com/problems/find-right-interval/", "Find Right Interval")</f>
        <v>Find Right Interval</v>
      </c>
      <c r="C437" s="1">
        <v>2352</v>
      </c>
      <c r="D437" s="1">
        <v>395</v>
      </c>
      <c r="E437" s="3">
        <f>IF(INDEX(C:C, ROW())+INDEX(D:D, ROW())=0, 0, INDEX(C:C, ROW())/(INDEX(C:C, ROW())+INDEX(D:D, ROW())))</f>
        <v>0.85620677102293408</v>
      </c>
      <c r="F437" s="1" t="s">
        <v>367</v>
      </c>
      <c r="G437" s="1" t="s">
        <v>24</v>
      </c>
      <c r="H437" s="1">
        <v>156746</v>
      </c>
      <c r="I437" s="1">
        <v>282981</v>
      </c>
      <c r="J437" s="7">
        <v>0.55400000000000005</v>
      </c>
      <c r="K437" s="1" t="s">
        <v>21</v>
      </c>
      <c r="L437" s="1" t="s">
        <v>29</v>
      </c>
      <c r="M437" s="1" t="s">
        <v>29</v>
      </c>
      <c r="N437" s="1" t="s">
        <v>22</v>
      </c>
    </row>
    <row r="438" spans="1:14" x14ac:dyDescent="0.25">
      <c r="A438" s="1">
        <v>437</v>
      </c>
      <c r="B438" s="2" t="str">
        <f>HYPERLINK("https://leetcode.com/problems/path-sum-iii/", "Path Sum III")</f>
        <v>Path Sum III</v>
      </c>
      <c r="C438" s="1">
        <v>11865</v>
      </c>
      <c r="D438" s="1">
        <v>571</v>
      </c>
      <c r="E438" s="3">
        <f>IF(INDEX(C:C, ROW())+INDEX(D:D, ROW())=0, 0, INDEX(C:C, ROW())/(INDEX(C:C, ROW())+INDEX(D:D, ROW())))</f>
        <v>0.95408491476358959</v>
      </c>
      <c r="F438" s="1" t="s">
        <v>67</v>
      </c>
      <c r="G438" s="1" t="s">
        <v>24</v>
      </c>
      <c r="H438" s="1">
        <v>773326</v>
      </c>
      <c r="I438" s="1">
        <v>1670382</v>
      </c>
      <c r="J438" s="7">
        <v>0.46300000000000002</v>
      </c>
      <c r="K438" s="1" t="s">
        <v>21</v>
      </c>
      <c r="L438" s="1" t="s">
        <v>21</v>
      </c>
      <c r="M438" s="1" t="s">
        <v>29</v>
      </c>
      <c r="N438" s="1" t="s">
        <v>22</v>
      </c>
    </row>
    <row r="439" spans="1:14" x14ac:dyDescent="0.25">
      <c r="A439" s="1">
        <v>438</v>
      </c>
      <c r="B439" s="2" t="str">
        <f>HYPERLINK("https://leetcode.com/problems/find-all-anagrams-in-a-string/", "Find All Anagrams in a String")</f>
        <v>Find All Anagrams in a String</v>
      </c>
      <c r="C439" s="1">
        <v>13146</v>
      </c>
      <c r="D439" s="1">
        <v>375</v>
      </c>
      <c r="E439" s="3">
        <f>IF(INDEX(C:C, ROW())+INDEX(D:D, ROW())=0, 0, INDEX(C:C, ROW())/(INDEX(C:C, ROW())+INDEX(D:D, ROW())))</f>
        <v>0.97226536498779681</v>
      </c>
      <c r="F439" s="1" t="s">
        <v>23</v>
      </c>
      <c r="G439" s="1" t="s">
        <v>24</v>
      </c>
      <c r="H439" s="1">
        <v>1159629</v>
      </c>
      <c r="I439" s="1">
        <v>2175844</v>
      </c>
      <c r="J439" s="7">
        <v>0.53300000000000003</v>
      </c>
      <c r="K439" s="1" t="s">
        <v>21</v>
      </c>
      <c r="L439" s="1" t="s">
        <v>21</v>
      </c>
      <c r="M439" s="1" t="s">
        <v>29</v>
      </c>
      <c r="N439" s="1" t="s">
        <v>22</v>
      </c>
    </row>
    <row r="440" spans="1:14" x14ac:dyDescent="0.25">
      <c r="A440" s="1">
        <v>439</v>
      </c>
      <c r="B440" s="2" t="str">
        <f>HYPERLINK("https://leetcode.com/problems/ternary-expression-parser/", "Ternary Expression Parser")</f>
        <v>Ternary Expression Parser</v>
      </c>
      <c r="C440" s="1">
        <v>513</v>
      </c>
      <c r="D440" s="1">
        <v>74</v>
      </c>
      <c r="E440" s="3">
        <f>IF(INDEX(C:C, ROW())+INDEX(D:D, ROW())=0, 0, INDEX(C:C, ROW())/(INDEX(C:C, ROW())+INDEX(D:D, ROW())))</f>
        <v>0.87393526405451449</v>
      </c>
      <c r="F440" s="1" t="s">
        <v>91</v>
      </c>
      <c r="G440" s="1" t="s">
        <v>24</v>
      </c>
      <c r="H440" s="1">
        <v>38375</v>
      </c>
      <c r="I440" s="1">
        <v>61407</v>
      </c>
      <c r="J440" s="7">
        <v>0.625</v>
      </c>
      <c r="K440" s="1" t="s">
        <v>29</v>
      </c>
      <c r="L440" s="1" t="s">
        <v>21</v>
      </c>
      <c r="M440" s="1" t="s">
        <v>29</v>
      </c>
      <c r="N440" s="1" t="s">
        <v>22</v>
      </c>
    </row>
    <row r="441" spans="1:14" x14ac:dyDescent="0.25">
      <c r="A441" s="1">
        <v>440</v>
      </c>
      <c r="B441" s="2" t="str">
        <f>HYPERLINK("https://leetcode.com/problems/k-th-smallest-in-lexicographical-order/", "K-th Smallest in Lexicographical Order")</f>
        <v>K-th Smallest in Lexicographical Order</v>
      </c>
      <c r="C441" s="1">
        <v>1647</v>
      </c>
      <c r="D441" s="1">
        <v>147</v>
      </c>
      <c r="E441" s="3">
        <f>IF(INDEX(C:C, ROW())+INDEX(D:D, ROW())=0, 0, INDEX(C:C, ROW())/(INDEX(C:C, ROW())+INDEX(D:D, ROW())))</f>
        <v>0.91806020066889638</v>
      </c>
      <c r="F441" s="1" t="s">
        <v>554</v>
      </c>
      <c r="G441" s="1" t="s">
        <v>28</v>
      </c>
      <c r="H441" s="1">
        <v>167781</v>
      </c>
      <c r="I441" s="1">
        <v>363289</v>
      </c>
      <c r="J441" s="7">
        <v>0.46200000000000002</v>
      </c>
      <c r="K441" s="1" t="s">
        <v>21</v>
      </c>
      <c r="L441" s="1" t="s">
        <v>21</v>
      </c>
      <c r="M441" s="1" t="s">
        <v>29</v>
      </c>
      <c r="N441" s="1" t="s">
        <v>22</v>
      </c>
    </row>
    <row r="442" spans="1:14" x14ac:dyDescent="0.25">
      <c r="A442" s="1">
        <v>441</v>
      </c>
      <c r="B442" s="2" t="str">
        <f>HYPERLINK("https://leetcode.com/problems/arranging-coins/", "Arranging Coins")</f>
        <v>Arranging Coins</v>
      </c>
      <c r="C442" s="1">
        <v>4314</v>
      </c>
      <c r="D442" s="1">
        <v>1375</v>
      </c>
      <c r="E442" s="3">
        <f>IF(INDEX(C:C, ROW())+INDEX(D:D, ROW())=0, 0, INDEX(C:C, ROW())/(INDEX(C:C, ROW())+INDEX(D:D, ROW())))</f>
        <v>0.75830550184566703</v>
      </c>
      <c r="F442" s="1" t="s">
        <v>139</v>
      </c>
      <c r="G442" s="1" t="s">
        <v>20</v>
      </c>
      <c r="H442" s="1">
        <v>605764</v>
      </c>
      <c r="I442" s="1">
        <v>1262282</v>
      </c>
      <c r="J442" s="7">
        <v>0.48</v>
      </c>
      <c r="K442" s="1" t="s">
        <v>21</v>
      </c>
      <c r="L442" s="1" t="s">
        <v>21</v>
      </c>
      <c r="M442" s="1" t="s">
        <v>29</v>
      </c>
      <c r="N442" s="1" t="s">
        <v>22</v>
      </c>
    </row>
    <row r="443" spans="1:14" x14ac:dyDescent="0.25">
      <c r="A443" s="1">
        <v>442</v>
      </c>
      <c r="B443" s="2" t="str">
        <f>HYPERLINK("https://leetcode.com/problems/find-all-duplicates-in-an-array/", "Find All Duplicates in an Array")</f>
        <v>Find All Duplicates in an Array</v>
      </c>
      <c r="C443" s="1">
        <v>11105</v>
      </c>
      <c r="D443" s="1">
        <v>445</v>
      </c>
      <c r="E443" s="3">
        <f>IF(INDEX(C:C, ROW())+INDEX(D:D, ROW())=0, 0, INDEX(C:C, ROW())/(INDEX(C:C, ROW())+INDEX(D:D, ROW())))</f>
        <v>0.96147186147186148</v>
      </c>
      <c r="F443" s="1" t="s">
        <v>92</v>
      </c>
      <c r="G443" s="1" t="s">
        <v>24</v>
      </c>
      <c r="H443" s="1">
        <v>1013000</v>
      </c>
      <c r="I443" s="1">
        <v>1319018</v>
      </c>
      <c r="J443" s="7">
        <v>0.76800000000000002</v>
      </c>
      <c r="K443" s="1" t="s">
        <v>21</v>
      </c>
      <c r="L443" s="1" t="s">
        <v>21</v>
      </c>
      <c r="M443" s="1" t="s">
        <v>29</v>
      </c>
      <c r="N443" s="1" t="s">
        <v>22</v>
      </c>
    </row>
    <row r="444" spans="1:14" x14ac:dyDescent="0.25">
      <c r="A444" s="1">
        <v>443</v>
      </c>
      <c r="B444" s="2" t="str">
        <f>HYPERLINK("https://leetcode.com/problems/string-compression/", "String Compression")</f>
        <v>String Compression</v>
      </c>
      <c r="C444" s="1">
        <v>6132</v>
      </c>
      <c r="D444" s="1">
        <v>8839</v>
      </c>
      <c r="E444" s="3">
        <f>IF(INDEX(C:C, ROW())+INDEX(D:D, ROW())=0, 0, INDEX(C:C, ROW())/(INDEX(C:C, ROW())+INDEX(D:D, ROW())))</f>
        <v>0.40959187763008481</v>
      </c>
      <c r="F444" s="1" t="s">
        <v>117</v>
      </c>
      <c r="G444" s="1" t="s">
        <v>24</v>
      </c>
      <c r="H444" s="1">
        <v>1032141</v>
      </c>
      <c r="I444" s="1">
        <v>1732885</v>
      </c>
      <c r="J444" s="7">
        <v>0.59599999999999997</v>
      </c>
      <c r="K444" s="1" t="s">
        <v>21</v>
      </c>
      <c r="L444" s="1" t="s">
        <v>21</v>
      </c>
      <c r="M444" s="1" t="s">
        <v>29</v>
      </c>
      <c r="N444" s="1" t="s">
        <v>22</v>
      </c>
    </row>
    <row r="445" spans="1:14" x14ac:dyDescent="0.25">
      <c r="A445" s="1">
        <v>444</v>
      </c>
      <c r="B445" s="2" t="str">
        <f>HYPERLINK("https://leetcode.com/problems/sequence-reconstruction/", "Sequence Reconstruction")</f>
        <v>Sequence Reconstruction</v>
      </c>
      <c r="C445" s="1">
        <v>609</v>
      </c>
      <c r="D445" s="1">
        <v>1547</v>
      </c>
      <c r="E445" s="3">
        <f>IF(INDEX(C:C, ROW())+INDEX(D:D, ROW())=0, 0, INDEX(C:C, ROW())/(INDEX(C:C, ROW())+INDEX(D:D, ROW())))</f>
        <v>0.28246753246753248</v>
      </c>
      <c r="F445" s="1" t="s">
        <v>847</v>
      </c>
      <c r="G445" s="1" t="s">
        <v>24</v>
      </c>
      <c r="H445" s="1">
        <v>64315</v>
      </c>
      <c r="I445" s="1">
        <v>211069</v>
      </c>
      <c r="J445" s="7">
        <v>0.30499999999999999</v>
      </c>
      <c r="K445" s="1" t="s">
        <v>29</v>
      </c>
      <c r="L445" s="1" t="s">
        <v>29</v>
      </c>
      <c r="M445" s="1" t="s">
        <v>29</v>
      </c>
      <c r="N445" s="1" t="s">
        <v>22</v>
      </c>
    </row>
    <row r="446" spans="1:14" x14ac:dyDescent="0.25">
      <c r="A446" s="1">
        <v>445</v>
      </c>
      <c r="B446" s="2" t="str">
        <f>HYPERLINK("https://leetcode.com/problems/add-two-numbers-ii/", "Add Two Numbers II")</f>
        <v>Add Two Numbers II</v>
      </c>
      <c r="C446" s="1">
        <v>6158</v>
      </c>
      <c r="D446" s="1">
        <v>303</v>
      </c>
      <c r="E446" s="3">
        <f>IF(INDEX(C:C, ROW())+INDEX(D:D, ROW())=0, 0, INDEX(C:C, ROW())/(INDEX(C:C, ROW())+INDEX(D:D, ROW())))</f>
        <v>0.95310323479337566</v>
      </c>
      <c r="F446" s="1" t="s">
        <v>222</v>
      </c>
      <c r="G446" s="1" t="s">
        <v>24</v>
      </c>
      <c r="H446" s="1">
        <v>569942</v>
      </c>
      <c r="I446" s="1">
        <v>913755</v>
      </c>
      <c r="J446" s="7">
        <v>0.624</v>
      </c>
      <c r="K446" s="1" t="s">
        <v>21</v>
      </c>
      <c r="L446" s="1" t="s">
        <v>21</v>
      </c>
      <c r="M446" s="1" t="s">
        <v>29</v>
      </c>
      <c r="N446" s="1" t="s">
        <v>22</v>
      </c>
    </row>
    <row r="447" spans="1:14" x14ac:dyDescent="0.25">
      <c r="A447" s="1">
        <v>446</v>
      </c>
      <c r="B447" s="2" t="str">
        <f>HYPERLINK("https://leetcode.com/problems/arithmetic-slices-ii-subsequence/", "Arithmetic Slices II - Subsequence")</f>
        <v>Arithmetic Slices II - Subsequence</v>
      </c>
      <c r="C447" s="1">
        <v>3497</v>
      </c>
      <c r="D447" s="1">
        <v>165</v>
      </c>
      <c r="E447" s="3">
        <f>IF(INDEX(C:C, ROW())+INDEX(D:D, ROW())=0, 0, INDEX(C:C, ROW())/(INDEX(C:C, ROW())+INDEX(D:D, ROW())))</f>
        <v>0.95494265428727476</v>
      </c>
      <c r="F447" s="1" t="s">
        <v>30</v>
      </c>
      <c r="G447" s="1" t="s">
        <v>28</v>
      </c>
      <c r="H447" s="1">
        <v>167178</v>
      </c>
      <c r="I447" s="1">
        <v>304459</v>
      </c>
      <c r="J447" s="7">
        <v>0.54900000000000004</v>
      </c>
      <c r="K447" s="1" t="s">
        <v>21</v>
      </c>
      <c r="L447" s="1" t="s">
        <v>21</v>
      </c>
      <c r="M447" s="1" t="s">
        <v>29</v>
      </c>
      <c r="N447" s="1" t="s">
        <v>22</v>
      </c>
    </row>
    <row r="448" spans="1:14" x14ac:dyDescent="0.25">
      <c r="A448" s="1">
        <v>447</v>
      </c>
      <c r="B448" s="2" t="str">
        <f>HYPERLINK("https://leetcode.com/problems/number-of-boomerangs/", "Number of Boomerangs")</f>
        <v>Number of Boomerangs</v>
      </c>
      <c r="C448" s="1">
        <v>894</v>
      </c>
      <c r="D448" s="1">
        <v>1041</v>
      </c>
      <c r="E448" s="3">
        <f>IF(INDEX(C:C, ROW())+INDEX(D:D, ROW())=0, 0, INDEX(C:C, ROW())/(INDEX(C:C, ROW())+INDEX(D:D, ROW())))</f>
        <v>0.46201550387596901</v>
      </c>
      <c r="F448" s="1" t="s">
        <v>741</v>
      </c>
      <c r="G448" s="1" t="s">
        <v>24</v>
      </c>
      <c r="H448" s="1">
        <v>116564</v>
      </c>
      <c r="I448" s="1">
        <v>203571</v>
      </c>
      <c r="J448" s="7">
        <v>0.57299999999999995</v>
      </c>
      <c r="K448" s="1" t="s">
        <v>21</v>
      </c>
      <c r="L448" s="1" t="s">
        <v>29</v>
      </c>
      <c r="M448" s="1" t="s">
        <v>29</v>
      </c>
      <c r="N448" s="1" t="s">
        <v>22</v>
      </c>
    </row>
    <row r="449" spans="1:14" x14ac:dyDescent="0.25">
      <c r="A449" s="1">
        <v>448</v>
      </c>
      <c r="B449" s="2" t="str">
        <f>HYPERLINK("https://leetcode.com/problems/find-all-numbers-disappeared-in-an-array/", "Find All Numbers Disappeared in an Array")</f>
        <v>Find All Numbers Disappeared in an Array</v>
      </c>
      <c r="C449" s="1">
        <v>10299</v>
      </c>
      <c r="D449" s="1">
        <v>549</v>
      </c>
      <c r="E449" s="3">
        <f>IF(INDEX(C:C, ROW())+INDEX(D:D, ROW())=0, 0, INDEX(C:C, ROW())/(INDEX(C:C, ROW())+INDEX(D:D, ROW())))</f>
        <v>0.94939159292035402</v>
      </c>
      <c r="F449" s="1" t="s">
        <v>19</v>
      </c>
      <c r="G449" s="1" t="s">
        <v>20</v>
      </c>
      <c r="H449" s="1">
        <v>1320137</v>
      </c>
      <c r="I449" s="1">
        <v>2070928</v>
      </c>
      <c r="J449" s="7">
        <v>0.63700000000000001</v>
      </c>
      <c r="K449" s="1" t="s">
        <v>21</v>
      </c>
      <c r="L449" s="1" t="s">
        <v>21</v>
      </c>
      <c r="M449" s="1" t="s">
        <v>29</v>
      </c>
      <c r="N449" s="1" t="s">
        <v>22</v>
      </c>
    </row>
    <row r="450" spans="1:14" x14ac:dyDescent="0.25">
      <c r="A450" s="1">
        <v>449</v>
      </c>
      <c r="B450" s="2" t="str">
        <f>HYPERLINK("https://leetcode.com/problems/serialize-and-deserialize-bst/", "Serialize and Deserialize BST")</f>
        <v>Serialize and Deserialize BST</v>
      </c>
      <c r="C450" s="1">
        <v>3589</v>
      </c>
      <c r="D450" s="1">
        <v>180</v>
      </c>
      <c r="E450" s="3">
        <f>IF(INDEX(C:C, ROW())+INDEX(D:D, ROW())=0, 0, INDEX(C:C, ROW())/(INDEX(C:C, ROW())+INDEX(D:D, ROW())))</f>
        <v>0.95224197399840804</v>
      </c>
      <c r="F450" s="1" t="s">
        <v>339</v>
      </c>
      <c r="G450" s="1" t="s">
        <v>24</v>
      </c>
      <c r="H450" s="1">
        <v>272199</v>
      </c>
      <c r="I450" s="1">
        <v>458426</v>
      </c>
      <c r="J450" s="7">
        <v>0.59399999999999997</v>
      </c>
      <c r="K450" s="1" t="s">
        <v>21</v>
      </c>
      <c r="L450" s="1" t="s">
        <v>21</v>
      </c>
      <c r="M450" s="1" t="s">
        <v>29</v>
      </c>
      <c r="N450" s="1" t="s">
        <v>22</v>
      </c>
    </row>
    <row r="451" spans="1:14" x14ac:dyDescent="0.25">
      <c r="A451" s="1">
        <v>450</v>
      </c>
      <c r="B451" s="2" t="str">
        <f>HYPERLINK("https://leetcode.com/problems/delete-node-in-a-bst/", "Delete Node in a BST")</f>
        <v>Delete Node in a BST</v>
      </c>
      <c r="C451" s="1">
        <v>10347</v>
      </c>
      <c r="D451" s="1">
        <v>383</v>
      </c>
      <c r="E451" s="3">
        <f>IF(INDEX(C:C, ROW())+INDEX(D:D, ROW())=0, 0, INDEX(C:C, ROW())/(INDEX(C:C, ROW())+INDEX(D:D, ROW())))</f>
        <v>0.9643056849953402</v>
      </c>
      <c r="F451" s="1" t="s">
        <v>133</v>
      </c>
      <c r="G451" s="1" t="s">
        <v>24</v>
      </c>
      <c r="H451" s="1">
        <v>833063</v>
      </c>
      <c r="I451" s="1">
        <v>1536389</v>
      </c>
      <c r="J451" s="7">
        <v>0.54200000000000004</v>
      </c>
      <c r="K451" s="1" t="s">
        <v>21</v>
      </c>
      <c r="L451" s="1" t="s">
        <v>21</v>
      </c>
      <c r="M451" s="1" t="s">
        <v>29</v>
      </c>
      <c r="N451" s="1" t="s">
        <v>22</v>
      </c>
    </row>
    <row r="452" spans="1:14" x14ac:dyDescent="0.25">
      <c r="A452" s="1">
        <v>451</v>
      </c>
      <c r="B452" s="2" t="str">
        <f>HYPERLINK("https://leetcode.com/problems/sort-characters-by-frequency/", "Sort Characters By Frequency")</f>
        <v>Sort Characters By Frequency</v>
      </c>
      <c r="C452" s="1">
        <v>9168</v>
      </c>
      <c r="D452" s="1">
        <v>332</v>
      </c>
      <c r="E452" s="3">
        <f>IF(INDEX(C:C, ROW())+INDEX(D:D, ROW())=0, 0, INDEX(C:C, ROW())/(INDEX(C:C, ROW())+INDEX(D:D, ROW())))</f>
        <v>0.96505263157894738</v>
      </c>
      <c r="F452" s="1" t="s">
        <v>150</v>
      </c>
      <c r="G452" s="1" t="s">
        <v>24</v>
      </c>
      <c r="H452" s="1">
        <v>1075784</v>
      </c>
      <c r="I452" s="1">
        <v>1432322</v>
      </c>
      <c r="J452" s="7">
        <v>0.751</v>
      </c>
      <c r="K452" s="1" t="s">
        <v>21</v>
      </c>
      <c r="L452" s="1" t="s">
        <v>21</v>
      </c>
      <c r="M452" s="1" t="s">
        <v>29</v>
      </c>
      <c r="N452" s="1" t="s">
        <v>22</v>
      </c>
    </row>
    <row r="453" spans="1:14" x14ac:dyDescent="0.25">
      <c r="A453" s="1">
        <v>452</v>
      </c>
      <c r="B453" s="2" t="str">
        <f>HYPERLINK("https://leetcode.com/problems/minimum-number-of-arrows-to-burst-balloons/", "Minimum Number of Arrows to Burst Balloons")</f>
        <v>Minimum Number of Arrows to Burst Balloons</v>
      </c>
      <c r="C453" s="1">
        <v>8048</v>
      </c>
      <c r="D453" s="1">
        <v>270</v>
      </c>
      <c r="E453" s="3">
        <f>IF(INDEX(C:C, ROW())+INDEX(D:D, ROW())=0, 0, INDEX(C:C, ROW())/(INDEX(C:C, ROW())+INDEX(D:D, ROW())))</f>
        <v>0.96754027410435206</v>
      </c>
      <c r="F453" s="1" t="s">
        <v>169</v>
      </c>
      <c r="G453" s="1" t="s">
        <v>24</v>
      </c>
      <c r="H453" s="1">
        <v>761255</v>
      </c>
      <c r="I453" s="1">
        <v>1244270</v>
      </c>
      <c r="J453" s="7">
        <v>0.61199999999999999</v>
      </c>
      <c r="K453" s="1" t="s">
        <v>21</v>
      </c>
      <c r="L453" s="1" t="s">
        <v>21</v>
      </c>
      <c r="M453" s="1" t="s">
        <v>29</v>
      </c>
      <c r="N453" s="1" t="s">
        <v>22</v>
      </c>
    </row>
    <row r="454" spans="1:14" x14ac:dyDescent="0.25">
      <c r="A454" s="1">
        <v>453</v>
      </c>
      <c r="B454" s="2" t="str">
        <f>HYPERLINK("https://leetcode.com/problems/minimum-moves-to-equal-array-elements/", "Minimum Moves to Equal Array Elements")</f>
        <v>Minimum Moves to Equal Array Elements</v>
      </c>
      <c r="C454" s="1">
        <v>2812</v>
      </c>
      <c r="D454" s="1">
        <v>1914</v>
      </c>
      <c r="E454" s="3">
        <f>IF(INDEX(C:C, ROW())+INDEX(D:D, ROW())=0, 0, INDEX(C:C, ROW())/(INDEX(C:C, ROW())+INDEX(D:D, ROW())))</f>
        <v>0.5950063478628862</v>
      </c>
      <c r="F454" s="1" t="s">
        <v>115</v>
      </c>
      <c r="G454" s="1" t="s">
        <v>24</v>
      </c>
      <c r="H454" s="1">
        <v>215807</v>
      </c>
      <c r="I454" s="1">
        <v>368775</v>
      </c>
      <c r="J454" s="7">
        <v>0.58499999999999996</v>
      </c>
      <c r="K454" s="1" t="s">
        <v>21</v>
      </c>
      <c r="L454" s="1" t="s">
        <v>21</v>
      </c>
      <c r="M454" s="1" t="s">
        <v>29</v>
      </c>
      <c r="N454" s="1" t="s">
        <v>22</v>
      </c>
    </row>
    <row r="455" spans="1:14" x14ac:dyDescent="0.25">
      <c r="A455" s="1">
        <v>454</v>
      </c>
      <c r="B455" s="2" t="str">
        <f>HYPERLINK("https://leetcode.com/problems/4sum-ii/", "4Sum II")</f>
        <v>4Sum II</v>
      </c>
      <c r="C455" s="1">
        <v>5069</v>
      </c>
      <c r="D455" s="1">
        <v>151</v>
      </c>
      <c r="E455" s="3">
        <f>IF(INDEX(C:C, ROW())+INDEX(D:D, ROW())=0, 0, INDEX(C:C, ROW())/(INDEX(C:C, ROW())+INDEX(D:D, ROW())))</f>
        <v>0.97107279693486592</v>
      </c>
      <c r="F455" s="1" t="s">
        <v>19</v>
      </c>
      <c r="G455" s="1" t="s">
        <v>24</v>
      </c>
      <c r="H455" s="1">
        <v>381479</v>
      </c>
      <c r="I455" s="1">
        <v>659556</v>
      </c>
      <c r="J455" s="7">
        <v>0.57799999999999996</v>
      </c>
      <c r="K455" s="1" t="s">
        <v>21</v>
      </c>
      <c r="L455" s="1" t="s">
        <v>21</v>
      </c>
      <c r="M455" s="1" t="s">
        <v>29</v>
      </c>
      <c r="N455" s="1" t="s">
        <v>22</v>
      </c>
    </row>
    <row r="456" spans="1:14" x14ac:dyDescent="0.25">
      <c r="A456" s="1">
        <v>455</v>
      </c>
      <c r="B456" s="2" t="str">
        <f>HYPERLINK("https://leetcode.com/problems/assign-cookies/", "Assign Cookies")</f>
        <v>Assign Cookies</v>
      </c>
      <c r="C456" s="1">
        <v>4942</v>
      </c>
      <c r="D456" s="1">
        <v>453</v>
      </c>
      <c r="E456" s="3">
        <f>IF(INDEX(C:C, ROW())+INDEX(D:D, ROW())=0, 0, INDEX(C:C, ROW())/(INDEX(C:C, ROW())+INDEX(D:D, ROW())))</f>
        <v>0.91603336422613535</v>
      </c>
      <c r="F456" s="1" t="s">
        <v>203</v>
      </c>
      <c r="G456" s="1" t="s">
        <v>20</v>
      </c>
      <c r="H456" s="1">
        <v>894272</v>
      </c>
      <c r="I456" s="1">
        <v>1635594</v>
      </c>
      <c r="J456" s="7">
        <v>0.54700000000000004</v>
      </c>
      <c r="K456" s="1" t="s">
        <v>21</v>
      </c>
      <c r="L456" s="1" t="s">
        <v>21</v>
      </c>
      <c r="M456" s="1" t="s">
        <v>29</v>
      </c>
      <c r="N456" s="1" t="s">
        <v>22</v>
      </c>
    </row>
    <row r="457" spans="1:14" x14ac:dyDescent="0.25">
      <c r="A457" s="1">
        <v>456</v>
      </c>
      <c r="B457" s="2" t="str">
        <f>HYPERLINK("https://leetcode.com/problems/132-pattern/", "132 Pattern")</f>
        <v>132 Pattern</v>
      </c>
      <c r="C457" s="1">
        <v>7594</v>
      </c>
      <c r="D457" s="1">
        <v>469</v>
      </c>
      <c r="E457" s="3">
        <f>IF(INDEX(C:C, ROW())+INDEX(D:D, ROW())=0, 0, INDEX(C:C, ROW())/(INDEX(C:C, ROW())+INDEX(D:D, ROW())))</f>
        <v>0.9418330646161478</v>
      </c>
      <c r="F457" s="1" t="s">
        <v>181</v>
      </c>
      <c r="G457" s="1" t="s">
        <v>24</v>
      </c>
      <c r="H457" s="1">
        <v>318460</v>
      </c>
      <c r="I457" s="1">
        <v>922434</v>
      </c>
      <c r="J457" s="7">
        <v>0.34499999999999997</v>
      </c>
      <c r="K457" s="1" t="s">
        <v>21</v>
      </c>
      <c r="L457" s="1" t="s">
        <v>21</v>
      </c>
      <c r="M457" s="1" t="s">
        <v>21</v>
      </c>
      <c r="N457" s="1" t="s">
        <v>22</v>
      </c>
    </row>
    <row r="458" spans="1:14" x14ac:dyDescent="0.25">
      <c r="A458" s="1">
        <v>457</v>
      </c>
      <c r="B458" s="2" t="str">
        <f>HYPERLINK("https://leetcode.com/problems/circular-array-loop/", "Circular Array Loop")</f>
        <v>Circular Array Loop</v>
      </c>
      <c r="C458" s="1">
        <v>823</v>
      </c>
      <c r="D458" s="1">
        <v>895</v>
      </c>
      <c r="E458" s="3">
        <f>IF(INDEX(C:C, ROW())+INDEX(D:D, ROW())=0, 0, INDEX(C:C, ROW())/(INDEX(C:C, ROW())+INDEX(D:D, ROW())))</f>
        <v>0.47904540162980208</v>
      </c>
      <c r="F458" s="1" t="s">
        <v>757</v>
      </c>
      <c r="G458" s="1" t="s">
        <v>24</v>
      </c>
      <c r="H458" s="1">
        <v>105793</v>
      </c>
      <c r="I458" s="1">
        <v>286208</v>
      </c>
      <c r="J458" s="7">
        <v>0.37</v>
      </c>
      <c r="K458" s="1" t="s">
        <v>21</v>
      </c>
      <c r="L458" s="1" t="s">
        <v>29</v>
      </c>
      <c r="M458" s="1" t="s">
        <v>29</v>
      </c>
      <c r="N458" s="1" t="s">
        <v>22</v>
      </c>
    </row>
    <row r="459" spans="1:14" x14ac:dyDescent="0.25">
      <c r="A459" s="1">
        <v>458</v>
      </c>
      <c r="B459" s="2" t="str">
        <f>HYPERLINK("https://leetcode.com/problems/poor-pigs/", "Poor Pigs")</f>
        <v>Poor Pigs</v>
      </c>
      <c r="C459" s="1">
        <v>1866</v>
      </c>
      <c r="D459" s="1">
        <v>3368</v>
      </c>
      <c r="E459" s="3">
        <f>IF(INDEX(C:C, ROW())+INDEX(D:D, ROW())=0, 0, INDEX(C:C, ROW())/(INDEX(C:C, ROW())+INDEX(D:D, ROW())))</f>
        <v>0.35651509361864731</v>
      </c>
      <c r="F459" s="1" t="s">
        <v>70</v>
      </c>
      <c r="G459" s="1" t="s">
        <v>28</v>
      </c>
      <c r="H459" s="1">
        <v>131831</v>
      </c>
      <c r="I459" s="1">
        <v>223067</v>
      </c>
      <c r="J459" s="7">
        <v>0.59099999999999997</v>
      </c>
      <c r="K459" s="1" t="s">
        <v>21</v>
      </c>
      <c r="L459" s="1" t="s">
        <v>21</v>
      </c>
      <c r="M459" s="1" t="s">
        <v>29</v>
      </c>
      <c r="N459" s="1" t="s">
        <v>22</v>
      </c>
    </row>
    <row r="460" spans="1:14" x14ac:dyDescent="0.25">
      <c r="A460" s="1">
        <v>459</v>
      </c>
      <c r="B460" s="2" t="str">
        <f>HYPERLINK("https://leetcode.com/problems/repeated-substring-pattern/", "Repeated Substring Pattern")</f>
        <v>Repeated Substring Pattern</v>
      </c>
      <c r="C460" s="1">
        <v>6830</v>
      </c>
      <c r="D460" s="1">
        <v>564</v>
      </c>
      <c r="E460" s="3">
        <f>IF(INDEX(C:C, ROW())+INDEX(D:D, ROW())=0, 0, INDEX(C:C, ROW())/(INDEX(C:C, ROW())+INDEX(D:D, ROW())))</f>
        <v>0.92372193670543679</v>
      </c>
      <c r="F460" s="1" t="s">
        <v>207</v>
      </c>
      <c r="G460" s="1" t="s">
        <v>20</v>
      </c>
      <c r="H460" s="1">
        <v>595176</v>
      </c>
      <c r="I460" s="1">
        <v>1244360</v>
      </c>
      <c r="J460" s="7">
        <v>0.47799999999999998</v>
      </c>
      <c r="K460" s="1" t="s">
        <v>21</v>
      </c>
      <c r="L460" s="1" t="s">
        <v>21</v>
      </c>
      <c r="M460" s="1" t="s">
        <v>29</v>
      </c>
      <c r="N460" s="1" t="s">
        <v>22</v>
      </c>
    </row>
    <row r="461" spans="1:14" x14ac:dyDescent="0.25">
      <c r="A461" s="1">
        <v>460</v>
      </c>
      <c r="B461" s="2" t="str">
        <f>HYPERLINK("https://leetcode.com/problems/lfu-cache/", "LFU Cache")</f>
        <v>LFU Cache</v>
      </c>
      <c r="C461" s="1">
        <v>6301</v>
      </c>
      <c r="D461" s="1">
        <v>354</v>
      </c>
      <c r="E461" s="3">
        <f>IF(INDEX(C:C, ROW())+INDEX(D:D, ROW())=0, 0, INDEX(C:C, ROW())/(INDEX(C:C, ROW())+INDEX(D:D, ROW())))</f>
        <v>0.9468069120961683</v>
      </c>
      <c r="F461" s="1" t="s">
        <v>45</v>
      </c>
      <c r="G461" s="1" t="s">
        <v>28</v>
      </c>
      <c r="H461" s="1">
        <v>365942</v>
      </c>
      <c r="I461" s="1">
        <v>753176</v>
      </c>
      <c r="J461" s="7">
        <v>0.48599999999999999</v>
      </c>
      <c r="K461" s="1" t="s">
        <v>21</v>
      </c>
      <c r="L461" s="1" t="s">
        <v>21</v>
      </c>
      <c r="M461" s="1" t="s">
        <v>29</v>
      </c>
      <c r="N461" s="1" t="s">
        <v>22</v>
      </c>
    </row>
    <row r="462" spans="1:14" x14ac:dyDescent="0.25">
      <c r="A462" s="1">
        <v>461</v>
      </c>
      <c r="B462" s="2" t="str">
        <f>HYPERLINK("https://leetcode.com/problems/hamming-distance/", "Hamming Distance")</f>
        <v>Hamming Distance</v>
      </c>
      <c r="C462" s="1">
        <v>4025</v>
      </c>
      <c r="D462" s="1">
        <v>230</v>
      </c>
      <c r="E462" s="3">
        <f>IF(INDEX(C:C, ROW())+INDEX(D:D, ROW())=0, 0, INDEX(C:C, ROW())/(INDEX(C:C, ROW())+INDEX(D:D, ROW())))</f>
        <v>0.94594594594594594</v>
      </c>
      <c r="F462" s="1" t="s">
        <v>298</v>
      </c>
      <c r="G462" s="1" t="s">
        <v>20</v>
      </c>
      <c r="H462" s="1">
        <v>679492</v>
      </c>
      <c r="I462" s="1">
        <v>887013</v>
      </c>
      <c r="J462" s="7">
        <v>0.76600000000000001</v>
      </c>
      <c r="K462" s="1" t="s">
        <v>21</v>
      </c>
      <c r="L462" s="1" t="s">
        <v>21</v>
      </c>
      <c r="M462" s="1" t="s">
        <v>29</v>
      </c>
      <c r="N462" s="1" t="s">
        <v>22</v>
      </c>
    </row>
    <row r="463" spans="1:14" x14ac:dyDescent="0.25">
      <c r="A463" s="1">
        <v>462</v>
      </c>
      <c r="B463" s="2" t="str">
        <f>HYPERLINK("https://leetcode.com/problems/minimum-moves-to-equal-array-elements-ii/", "Minimum Moves to Equal Array Elements II")</f>
        <v>Minimum Moves to Equal Array Elements II</v>
      </c>
      <c r="C463" s="1">
        <v>3514</v>
      </c>
      <c r="D463" s="1">
        <v>132</v>
      </c>
      <c r="E463" s="3">
        <f>IF(INDEX(C:C, ROW())+INDEX(D:D, ROW())=0, 0, INDEX(C:C, ROW())/(INDEX(C:C, ROW())+INDEX(D:D, ROW())))</f>
        <v>0.96379594075699393</v>
      </c>
      <c r="F463" s="1" t="s">
        <v>284</v>
      </c>
      <c r="G463" s="1" t="s">
        <v>24</v>
      </c>
      <c r="H463" s="1">
        <v>220813</v>
      </c>
      <c r="I463" s="1">
        <v>359099</v>
      </c>
      <c r="J463" s="7">
        <v>0.61499999999999999</v>
      </c>
      <c r="K463" s="1" t="s">
        <v>21</v>
      </c>
      <c r="L463" s="1" t="s">
        <v>21</v>
      </c>
      <c r="M463" s="1" t="s">
        <v>29</v>
      </c>
      <c r="N463" s="1" t="s">
        <v>22</v>
      </c>
    </row>
    <row r="464" spans="1:14" x14ac:dyDescent="0.25">
      <c r="A464" s="1">
        <v>463</v>
      </c>
      <c r="B464" s="2" t="str">
        <f>HYPERLINK("https://leetcode.com/problems/island-perimeter/", "Island Perimeter")</f>
        <v>Island Perimeter</v>
      </c>
      <c r="C464" s="1">
        <v>7276</v>
      </c>
      <c r="D464" s="1">
        <v>427</v>
      </c>
      <c r="E464" s="3">
        <f>IF(INDEX(C:C, ROW())+INDEX(D:D, ROW())=0, 0, INDEX(C:C, ROW())/(INDEX(C:C, ROW())+INDEX(D:D, ROW())))</f>
        <v>0.94456705179800082</v>
      </c>
      <c r="F464" s="1" t="s">
        <v>143</v>
      </c>
      <c r="G464" s="1" t="s">
        <v>20</v>
      </c>
      <c r="H464" s="1">
        <v>808475</v>
      </c>
      <c r="I464" s="1">
        <v>1089050</v>
      </c>
      <c r="J464" s="7">
        <v>0.74199999999999999</v>
      </c>
      <c r="K464" s="1" t="s">
        <v>21</v>
      </c>
      <c r="L464" s="1" t="s">
        <v>21</v>
      </c>
      <c r="M464" s="1" t="s">
        <v>29</v>
      </c>
      <c r="N464" s="1" t="s">
        <v>22</v>
      </c>
    </row>
    <row r="465" spans="1:14" x14ac:dyDescent="0.25">
      <c r="A465" s="1">
        <v>464</v>
      </c>
      <c r="B465" s="2" t="str">
        <f>HYPERLINK("https://leetcode.com/problems/can-i-win/", "Can I Win")</f>
        <v>Can I Win</v>
      </c>
      <c r="C465" s="1">
        <v>2824</v>
      </c>
      <c r="D465" s="1">
        <v>431</v>
      </c>
      <c r="E465" s="3">
        <f>IF(INDEX(C:C, ROW())+INDEX(D:D, ROW())=0, 0, INDEX(C:C, ROW())/(INDEX(C:C, ROW())+INDEX(D:D, ROW())))</f>
        <v>0.86758832565284183</v>
      </c>
      <c r="F465" s="1" t="s">
        <v>391</v>
      </c>
      <c r="G465" s="1" t="s">
        <v>24</v>
      </c>
      <c r="H465" s="1">
        <v>120230</v>
      </c>
      <c r="I465" s="1">
        <v>387538</v>
      </c>
      <c r="J465" s="7">
        <v>0.31</v>
      </c>
      <c r="K465" s="1" t="s">
        <v>21</v>
      </c>
      <c r="L465" s="1" t="s">
        <v>29</v>
      </c>
      <c r="M465" s="1" t="s">
        <v>29</v>
      </c>
      <c r="N465" s="1" t="s">
        <v>22</v>
      </c>
    </row>
    <row r="466" spans="1:14" x14ac:dyDescent="0.25">
      <c r="A466" s="1">
        <v>465</v>
      </c>
      <c r="B466" s="2" t="str">
        <f>HYPERLINK("https://leetcode.com/problems/optimal-account-balancing/", "Optimal Account Balancing")</f>
        <v>Optimal Account Balancing</v>
      </c>
      <c r="C466" s="1">
        <v>1529</v>
      </c>
      <c r="D466" s="1">
        <v>163</v>
      </c>
      <c r="E466" s="3">
        <f>IF(INDEX(C:C, ROW())+INDEX(D:D, ROW())=0, 0, INDEX(C:C, ROW())/(INDEX(C:C, ROW())+INDEX(D:D, ROW())))</f>
        <v>0.90366430260047281</v>
      </c>
      <c r="F466" s="1" t="s">
        <v>309</v>
      </c>
      <c r="G466" s="1" t="s">
        <v>28</v>
      </c>
      <c r="H466" s="1">
        <v>113273</v>
      </c>
      <c r="I466" s="1">
        <v>225269</v>
      </c>
      <c r="J466" s="7">
        <v>0.503</v>
      </c>
      <c r="K466" s="1" t="s">
        <v>29</v>
      </c>
      <c r="L466" s="1" t="s">
        <v>21</v>
      </c>
      <c r="M466" s="1" t="s">
        <v>29</v>
      </c>
      <c r="N466" s="1" t="s">
        <v>22</v>
      </c>
    </row>
    <row r="467" spans="1:14" x14ac:dyDescent="0.25">
      <c r="A467" s="1">
        <v>466</v>
      </c>
      <c r="B467" s="2" t="str">
        <f>HYPERLINK("https://leetcode.com/problems/count-the-repetitions/", "Count The Repetitions")</f>
        <v>Count The Repetitions</v>
      </c>
      <c r="C467" s="1">
        <v>446</v>
      </c>
      <c r="D467" s="1">
        <v>369</v>
      </c>
      <c r="E467" s="3">
        <f>IF(INDEX(C:C, ROW())+INDEX(D:D, ROW())=0, 0, INDEX(C:C, ROW())/(INDEX(C:C, ROW())+INDEX(D:D, ROW())))</f>
        <v>0.54723926380368093</v>
      </c>
      <c r="F467" s="1" t="s">
        <v>82</v>
      </c>
      <c r="G467" s="1" t="s">
        <v>28</v>
      </c>
      <c r="H467" s="1">
        <v>27277</v>
      </c>
      <c r="I467" s="1">
        <v>81096</v>
      </c>
      <c r="J467" s="7">
        <v>0.33600000000000002</v>
      </c>
      <c r="K467" s="1" t="s">
        <v>21</v>
      </c>
      <c r="L467" s="1" t="s">
        <v>21</v>
      </c>
      <c r="M467" s="1" t="s">
        <v>29</v>
      </c>
      <c r="N467" s="1" t="s">
        <v>22</v>
      </c>
    </row>
    <row r="468" spans="1:14" x14ac:dyDescent="0.25">
      <c r="A468" s="1">
        <v>467</v>
      </c>
      <c r="B468" s="2" t="str">
        <f>HYPERLINK("https://leetcode.com/problems/unique-substrings-in-wraparound-string/", "Unique Substrings in Wraparound String")</f>
        <v>Unique Substrings in Wraparound String</v>
      </c>
      <c r="C468" s="1">
        <v>1528</v>
      </c>
      <c r="D468" s="1">
        <v>191</v>
      </c>
      <c r="E468" s="3">
        <f>IF(INDEX(C:C, ROW())+INDEX(D:D, ROW())=0, 0, INDEX(C:C, ROW())/(INDEX(C:C, ROW())+INDEX(D:D, ROW())))</f>
        <v>0.88888888888888884</v>
      </c>
      <c r="F468" s="1" t="s">
        <v>82</v>
      </c>
      <c r="G468" s="1" t="s">
        <v>24</v>
      </c>
      <c r="H468" s="1">
        <v>55654</v>
      </c>
      <c r="I468" s="1">
        <v>130468</v>
      </c>
      <c r="J468" s="7">
        <v>0.42699999999999999</v>
      </c>
      <c r="K468" s="1" t="s">
        <v>21</v>
      </c>
      <c r="L468" s="1" t="s">
        <v>29</v>
      </c>
      <c r="M468" s="1" t="s">
        <v>29</v>
      </c>
      <c r="N468" s="1" t="s">
        <v>22</v>
      </c>
    </row>
    <row r="469" spans="1:14" x14ac:dyDescent="0.25">
      <c r="A469" s="1">
        <v>468</v>
      </c>
      <c r="B469" s="2" t="str">
        <f>HYPERLINK("https://leetcode.com/problems/validate-ip-address/", "Validate IP Address")</f>
        <v>Validate IP Address</v>
      </c>
      <c r="C469" s="1">
        <v>1120</v>
      </c>
      <c r="D469" s="1">
        <v>2744</v>
      </c>
      <c r="E469" s="3">
        <f>IF(INDEX(C:C, ROW())+INDEX(D:D, ROW())=0, 0, INDEX(C:C, ROW())/(INDEX(C:C, ROW())+INDEX(D:D, ROW())))</f>
        <v>0.28985507246376813</v>
      </c>
      <c r="F469" s="1" t="s">
        <v>146</v>
      </c>
      <c r="G469" s="1" t="s">
        <v>24</v>
      </c>
      <c r="H469" s="1">
        <v>199403</v>
      </c>
      <c r="I469" s="1">
        <v>707205</v>
      </c>
      <c r="J469" s="7">
        <v>0.28199999999999997</v>
      </c>
      <c r="K469" s="1" t="s">
        <v>21</v>
      </c>
      <c r="L469" s="1" t="s">
        <v>21</v>
      </c>
      <c r="M469" s="1" t="s">
        <v>29</v>
      </c>
      <c r="N469" s="1" t="s">
        <v>22</v>
      </c>
    </row>
    <row r="470" spans="1:14" x14ac:dyDescent="0.25">
      <c r="A470" s="1">
        <v>469</v>
      </c>
      <c r="B470" s="2" t="str">
        <f>HYPERLINK("https://leetcode.com/problems/convex-polygon/", "Convex Polygon")</f>
        <v>Convex Polygon</v>
      </c>
      <c r="C470" s="1">
        <v>103</v>
      </c>
      <c r="D470" s="1">
        <v>242</v>
      </c>
      <c r="E470" s="3">
        <f>IF(INDEX(C:C, ROW())+INDEX(D:D, ROW())=0, 0, INDEX(C:C, ROW())/(INDEX(C:C, ROW())+INDEX(D:D, ROW())))</f>
        <v>0.29855072463768118</v>
      </c>
      <c r="F470" s="1" t="s">
        <v>397</v>
      </c>
      <c r="G470" s="1" t="s">
        <v>24</v>
      </c>
      <c r="H470" s="1">
        <v>11603</v>
      </c>
      <c r="I470" s="1">
        <v>28862</v>
      </c>
      <c r="J470" s="7">
        <v>0.40200000000000002</v>
      </c>
      <c r="K470" s="1" t="s">
        <v>29</v>
      </c>
      <c r="L470" s="1" t="s">
        <v>29</v>
      </c>
      <c r="M470" s="1" t="s">
        <v>29</v>
      </c>
      <c r="N470" s="1" t="s">
        <v>22</v>
      </c>
    </row>
    <row r="471" spans="1:14" x14ac:dyDescent="0.25">
      <c r="A471" s="1">
        <v>470</v>
      </c>
      <c r="B471" s="2" t="str">
        <f>HYPERLINK("https://leetcode.com/problems/implement-rand10-using-rand7/", "Implement Rand10() Using Rand7()")</f>
        <v>Implement Rand10() Using Rand7()</v>
      </c>
      <c r="C471" s="1">
        <v>1171</v>
      </c>
      <c r="D471" s="1">
        <v>388</v>
      </c>
      <c r="E471" s="3">
        <f>IF(INDEX(C:C, ROW())+INDEX(D:D, ROW())=0, 0, INDEX(C:C, ROW())/(INDEX(C:C, ROW())+INDEX(D:D, ROW())))</f>
        <v>0.75112251443232847</v>
      </c>
      <c r="F471" s="1" t="s">
        <v>664</v>
      </c>
      <c r="G471" s="1" t="s">
        <v>24</v>
      </c>
      <c r="H471" s="1">
        <v>107554</v>
      </c>
      <c r="I471" s="1">
        <v>232580</v>
      </c>
      <c r="J471" s="7">
        <v>0.46200000000000002</v>
      </c>
      <c r="K471" s="1" t="s">
        <v>21</v>
      </c>
      <c r="L471" s="1" t="s">
        <v>21</v>
      </c>
      <c r="M471" s="1" t="s">
        <v>29</v>
      </c>
      <c r="N471" s="1" t="s">
        <v>22</v>
      </c>
    </row>
    <row r="472" spans="1:14" x14ac:dyDescent="0.25">
      <c r="A472" s="1">
        <v>471</v>
      </c>
      <c r="B472" s="2" t="str">
        <f>HYPERLINK("https://leetcode.com/problems/encode-string-with-shortest-length/", "Encode String with Shortest Length")</f>
        <v>Encode String with Shortest Length</v>
      </c>
      <c r="C472" s="1">
        <v>631</v>
      </c>
      <c r="D472" s="1">
        <v>54</v>
      </c>
      <c r="E472" s="3">
        <f>IF(INDEX(C:C, ROW())+INDEX(D:D, ROW())=0, 0, INDEX(C:C, ROW())/(INDEX(C:C, ROW())+INDEX(D:D, ROW())))</f>
        <v>0.92116788321167886</v>
      </c>
      <c r="F472" s="1" t="s">
        <v>82</v>
      </c>
      <c r="G472" s="1" t="s">
        <v>28</v>
      </c>
      <c r="H472" s="1">
        <v>32030</v>
      </c>
      <c r="I472" s="1">
        <v>63340</v>
      </c>
      <c r="J472" s="7">
        <v>0.50600000000000001</v>
      </c>
      <c r="K472" s="1" t="s">
        <v>29</v>
      </c>
      <c r="L472" s="1" t="s">
        <v>29</v>
      </c>
      <c r="M472" s="1" t="s">
        <v>29</v>
      </c>
      <c r="N472" s="1" t="s">
        <v>22</v>
      </c>
    </row>
    <row r="473" spans="1:14" x14ac:dyDescent="0.25">
      <c r="A473" s="1">
        <v>472</v>
      </c>
      <c r="B473" s="2" t="str">
        <f>HYPERLINK("https://leetcode.com/problems/concatenated-words/", "Concatenated Words")</f>
        <v>Concatenated Words</v>
      </c>
      <c r="C473" s="1">
        <v>4061</v>
      </c>
      <c r="D473" s="1">
        <v>292</v>
      </c>
      <c r="E473" s="3">
        <f>IF(INDEX(C:C, ROW())+INDEX(D:D, ROW())=0, 0, INDEX(C:C, ROW())/(INDEX(C:C, ROW())+INDEX(D:D, ROW())))</f>
        <v>0.93291982540776475</v>
      </c>
      <c r="F473" s="1" t="s">
        <v>308</v>
      </c>
      <c r="G473" s="1" t="s">
        <v>28</v>
      </c>
      <c r="H473" s="1">
        <v>264610</v>
      </c>
      <c r="I473" s="1">
        <v>532222</v>
      </c>
      <c r="J473" s="7">
        <v>0.497</v>
      </c>
      <c r="K473" s="1" t="s">
        <v>21</v>
      </c>
      <c r="L473" s="1" t="s">
        <v>21</v>
      </c>
      <c r="M473" s="1" t="s">
        <v>29</v>
      </c>
      <c r="N473" s="1" t="s">
        <v>22</v>
      </c>
    </row>
    <row r="474" spans="1:14" x14ac:dyDescent="0.25">
      <c r="A474" s="1">
        <v>473</v>
      </c>
      <c r="B474" s="2" t="str">
        <f>HYPERLINK("https://leetcode.com/problems/matchsticks-to-square/", "Matchsticks to Square")</f>
        <v>Matchsticks to Square</v>
      </c>
      <c r="C474" s="1">
        <v>4018</v>
      </c>
      <c r="D474" s="1">
        <v>309</v>
      </c>
      <c r="E474" s="3">
        <f>IF(INDEX(C:C, ROW())+INDEX(D:D, ROW())=0, 0, INDEX(C:C, ROW())/(INDEX(C:C, ROW())+INDEX(D:D, ROW())))</f>
        <v>0.92858793621446734</v>
      </c>
      <c r="F474" s="1" t="s">
        <v>309</v>
      </c>
      <c r="G474" s="1" t="s">
        <v>24</v>
      </c>
      <c r="H474" s="1">
        <v>210135</v>
      </c>
      <c r="I474" s="1">
        <v>505136</v>
      </c>
      <c r="J474" s="7">
        <v>0.41599999999999998</v>
      </c>
      <c r="K474" s="1" t="s">
        <v>21</v>
      </c>
      <c r="L474" s="1" t="s">
        <v>21</v>
      </c>
      <c r="M474" s="1" t="s">
        <v>29</v>
      </c>
      <c r="N474" s="1" t="s">
        <v>22</v>
      </c>
    </row>
    <row r="475" spans="1:14" x14ac:dyDescent="0.25">
      <c r="A475" s="1">
        <v>474</v>
      </c>
      <c r="B475" s="2" t="str">
        <f>HYPERLINK("https://leetcode.com/problems/ones-and-zeroes/", "Ones and Zeroes")</f>
        <v>Ones and Zeroes</v>
      </c>
      <c r="C475" s="1">
        <v>6061</v>
      </c>
      <c r="D475" s="1">
        <v>508</v>
      </c>
      <c r="E475" s="3">
        <f>IF(INDEX(C:C, ROW())+INDEX(D:D, ROW())=0, 0, INDEX(C:C, ROW())/(INDEX(C:C, ROW())+INDEX(D:D, ROW())))</f>
        <v>0.92266707261379211</v>
      </c>
      <c r="F475" s="1" t="s">
        <v>225</v>
      </c>
      <c r="G475" s="1" t="s">
        <v>24</v>
      </c>
      <c r="H475" s="1">
        <v>342565</v>
      </c>
      <c r="I475" s="1">
        <v>645691</v>
      </c>
      <c r="J475" s="7">
        <v>0.53100000000000003</v>
      </c>
      <c r="K475" s="1" t="s">
        <v>21</v>
      </c>
      <c r="L475" s="1" t="s">
        <v>21</v>
      </c>
      <c r="M475" s="1" t="s">
        <v>29</v>
      </c>
      <c r="N475" s="1" t="s">
        <v>22</v>
      </c>
    </row>
    <row r="476" spans="1:14" x14ac:dyDescent="0.25">
      <c r="A476" s="1">
        <v>475</v>
      </c>
      <c r="B476" s="2" t="str">
        <f>HYPERLINK("https://leetcode.com/problems/heaters/", "Heaters")</f>
        <v>Heaters</v>
      </c>
      <c r="C476" s="1">
        <v>2344</v>
      </c>
      <c r="D476" s="1">
        <v>1198</v>
      </c>
      <c r="E476" s="3">
        <f>IF(INDEX(C:C, ROW())+INDEX(D:D, ROW())=0, 0, INDEX(C:C, ROW())/(INDEX(C:C, ROW())+INDEX(D:D, ROW())))</f>
        <v>0.66177300959909657</v>
      </c>
      <c r="F476" s="1" t="s">
        <v>277</v>
      </c>
      <c r="G476" s="1" t="s">
        <v>24</v>
      </c>
      <c r="H476" s="1">
        <v>164794</v>
      </c>
      <c r="I476" s="1">
        <v>397785</v>
      </c>
      <c r="J476" s="7">
        <v>0.41399999999999998</v>
      </c>
      <c r="K476" s="1" t="s">
        <v>21</v>
      </c>
      <c r="L476" s="1" t="s">
        <v>29</v>
      </c>
      <c r="M476" s="1" t="s">
        <v>29</v>
      </c>
      <c r="N476" s="1" t="s">
        <v>22</v>
      </c>
    </row>
    <row r="477" spans="1:14" x14ac:dyDescent="0.25">
      <c r="A477" s="1">
        <v>476</v>
      </c>
      <c r="B477" s="2" t="str">
        <f>HYPERLINK("https://leetcode.com/problems/number-complement/", "Number Complement")</f>
        <v>Number Complement</v>
      </c>
      <c r="C477" s="1">
        <v>3205</v>
      </c>
      <c r="D477" s="1">
        <v>144</v>
      </c>
      <c r="E477" s="3">
        <f>IF(INDEX(C:C, ROW())+INDEX(D:D, ROW())=0, 0, INDEX(C:C, ROW())/(INDEX(C:C, ROW())+INDEX(D:D, ROW())))</f>
        <v>0.95700209017617199</v>
      </c>
      <c r="F477" s="1" t="s">
        <v>298</v>
      </c>
      <c r="G477" s="1" t="s">
        <v>20</v>
      </c>
      <c r="H477" s="1">
        <v>538094</v>
      </c>
      <c r="I477" s="1">
        <v>763845</v>
      </c>
      <c r="J477" s="7">
        <v>0.70399999999999996</v>
      </c>
      <c r="K477" s="1" t="s">
        <v>21</v>
      </c>
      <c r="L477" s="1" t="s">
        <v>21</v>
      </c>
      <c r="M477" s="1" t="s">
        <v>29</v>
      </c>
      <c r="N477" s="1" t="s">
        <v>22</v>
      </c>
    </row>
    <row r="478" spans="1:14" x14ac:dyDescent="0.25">
      <c r="A478" s="1">
        <v>477</v>
      </c>
      <c r="B478" s="2" t="str">
        <f>HYPERLINK("https://leetcode.com/problems/total-hamming-distance/", "Total Hamming Distance")</f>
        <v>Total Hamming Distance</v>
      </c>
      <c r="C478" s="1">
        <v>2300</v>
      </c>
      <c r="D478" s="1">
        <v>95</v>
      </c>
      <c r="E478" s="3">
        <f>IF(INDEX(C:C, ROW())+INDEX(D:D, ROW())=0, 0, INDEX(C:C, ROW())/(INDEX(C:C, ROW())+INDEX(D:D, ROW())))</f>
        <v>0.9603340292275574</v>
      </c>
      <c r="F478" s="1" t="s">
        <v>456</v>
      </c>
      <c r="G478" s="1" t="s">
        <v>24</v>
      </c>
      <c r="H478" s="1">
        <v>133031</v>
      </c>
      <c r="I478" s="1">
        <v>243559</v>
      </c>
      <c r="J478" s="7">
        <v>0.54600000000000004</v>
      </c>
      <c r="K478" s="1" t="s">
        <v>21</v>
      </c>
      <c r="L478" s="1" t="s">
        <v>21</v>
      </c>
      <c r="M478" s="1" t="s">
        <v>29</v>
      </c>
      <c r="N478" s="1" t="s">
        <v>22</v>
      </c>
    </row>
    <row r="479" spans="1:14" x14ac:dyDescent="0.25">
      <c r="A479" s="1">
        <v>478</v>
      </c>
      <c r="B479" s="2" t="str">
        <f>HYPERLINK("https://leetcode.com/problems/generate-random-point-in-a-circle/", "Generate Random Point in a Circle")</f>
        <v>Generate Random Point in a Circle</v>
      </c>
      <c r="C479" s="1">
        <v>480</v>
      </c>
      <c r="D479" s="1">
        <v>783</v>
      </c>
      <c r="E479" s="3">
        <f>IF(INDEX(C:C, ROW())+INDEX(D:D, ROW())=0, 0, INDEX(C:C, ROW())/(INDEX(C:C, ROW())+INDEX(D:D, ROW())))</f>
        <v>0.38004750593824227</v>
      </c>
      <c r="F479" s="1" t="s">
        <v>937</v>
      </c>
      <c r="G479" s="1" t="s">
        <v>24</v>
      </c>
      <c r="H479" s="1">
        <v>53001</v>
      </c>
      <c r="I479" s="1">
        <v>124866</v>
      </c>
      <c r="J479" s="7">
        <v>0.42399999999999999</v>
      </c>
      <c r="K479" s="1" t="s">
        <v>21</v>
      </c>
      <c r="L479" s="1" t="s">
        <v>21</v>
      </c>
      <c r="M479" s="1" t="s">
        <v>29</v>
      </c>
      <c r="N479" s="1" t="s">
        <v>22</v>
      </c>
    </row>
    <row r="480" spans="1:14" x14ac:dyDescent="0.25">
      <c r="A480" s="1">
        <v>479</v>
      </c>
      <c r="B480" s="2" t="str">
        <f>HYPERLINK("https://leetcode.com/problems/largest-palindrome-product/", "Largest Palindrome Product")</f>
        <v>Largest Palindrome Product</v>
      </c>
      <c r="C480" s="1">
        <v>192</v>
      </c>
      <c r="D480" s="1">
        <v>1569</v>
      </c>
      <c r="E480" s="3">
        <f>IF(INDEX(C:C, ROW())+INDEX(D:D, ROW())=0, 0, INDEX(C:C, ROW())/(INDEX(C:C, ROW())+INDEX(D:D, ROW())))</f>
        <v>0.10902896081771721</v>
      </c>
      <c r="F480" s="1" t="s">
        <v>602</v>
      </c>
      <c r="G480" s="1" t="s">
        <v>28</v>
      </c>
      <c r="H480" s="1">
        <v>33288</v>
      </c>
      <c r="I480" s="1">
        <v>87323</v>
      </c>
      <c r="J480" s="7">
        <v>0.38100000000000001</v>
      </c>
      <c r="K480" s="1" t="s">
        <v>21</v>
      </c>
      <c r="L480" s="1" t="s">
        <v>29</v>
      </c>
      <c r="M480" s="1" t="s">
        <v>29</v>
      </c>
      <c r="N480" s="1" t="s">
        <v>22</v>
      </c>
    </row>
    <row r="481" spans="1:14" x14ac:dyDescent="0.25">
      <c r="A481" s="1">
        <v>480</v>
      </c>
      <c r="B481" s="2" t="str">
        <f>HYPERLINK("https://leetcode.com/problems/sliding-window-median/", "Sliding Window Median")</f>
        <v>Sliding Window Median</v>
      </c>
      <c r="C481" s="1">
        <v>3561</v>
      </c>
      <c r="D481" s="1">
        <v>237</v>
      </c>
      <c r="E481" s="3">
        <f>IF(INDEX(C:C, ROW())+INDEX(D:D, ROW())=0, 0, INDEX(C:C, ROW())/(INDEX(C:C, ROW())+INDEX(D:D, ROW())))</f>
        <v>0.93759873617693523</v>
      </c>
      <c r="F481" s="1" t="s">
        <v>344</v>
      </c>
      <c r="G481" s="1" t="s">
        <v>28</v>
      </c>
      <c r="H481" s="1">
        <v>214312</v>
      </c>
      <c r="I481" s="1">
        <v>550822</v>
      </c>
      <c r="J481" s="7">
        <v>0.38900000000000001</v>
      </c>
      <c r="K481" s="1" t="s">
        <v>21</v>
      </c>
      <c r="L481" s="1" t="s">
        <v>21</v>
      </c>
      <c r="M481" s="1" t="s">
        <v>29</v>
      </c>
      <c r="N481" s="1" t="s">
        <v>22</v>
      </c>
    </row>
    <row r="482" spans="1:14" x14ac:dyDescent="0.25">
      <c r="A482" s="1">
        <v>481</v>
      </c>
      <c r="B482" s="2" t="str">
        <f>HYPERLINK("https://leetcode.com/problems/magical-string/", "Magical String")</f>
        <v>Magical String</v>
      </c>
      <c r="C482" s="1">
        <v>376</v>
      </c>
      <c r="D482" s="1">
        <v>1419</v>
      </c>
      <c r="E482" s="3">
        <f>IF(INDEX(C:C, ROW())+INDEX(D:D, ROW())=0, 0, INDEX(C:C, ROW())/(INDEX(C:C, ROW())+INDEX(D:D, ROW())))</f>
        <v>0.20947075208913649</v>
      </c>
      <c r="F482" s="1" t="s">
        <v>117</v>
      </c>
      <c r="G482" s="1" t="s">
        <v>24</v>
      </c>
      <c r="H482" s="1">
        <v>53308</v>
      </c>
      <c r="I482" s="1">
        <v>97776</v>
      </c>
      <c r="J482" s="7">
        <v>0.54500000000000004</v>
      </c>
      <c r="K482" s="1" t="s">
        <v>21</v>
      </c>
      <c r="L482" s="1" t="s">
        <v>29</v>
      </c>
      <c r="M482" s="1" t="s">
        <v>29</v>
      </c>
      <c r="N482" s="1" t="s">
        <v>22</v>
      </c>
    </row>
    <row r="483" spans="1:14" x14ac:dyDescent="0.25">
      <c r="A483" s="1">
        <v>482</v>
      </c>
      <c r="B483" s="2" t="str">
        <f>HYPERLINK("https://leetcode.com/problems/license-key-formatting/", "License Key Formatting")</f>
        <v>License Key Formatting</v>
      </c>
      <c r="C483" s="1">
        <v>1197</v>
      </c>
      <c r="D483" s="1">
        <v>1463</v>
      </c>
      <c r="E483" s="3">
        <f>IF(INDEX(C:C, ROW())+INDEX(D:D, ROW())=0, 0, INDEX(C:C, ROW())/(INDEX(C:C, ROW())+INDEX(D:D, ROW())))</f>
        <v>0.45</v>
      </c>
      <c r="F483" s="1" t="s">
        <v>146</v>
      </c>
      <c r="G483" s="1" t="s">
        <v>20</v>
      </c>
      <c r="H483" s="1">
        <v>352263</v>
      </c>
      <c r="I483" s="1">
        <v>771416</v>
      </c>
      <c r="J483" s="7">
        <v>0.45700000000000002</v>
      </c>
      <c r="K483" s="1" t="s">
        <v>21</v>
      </c>
      <c r="L483" s="1" t="s">
        <v>21</v>
      </c>
      <c r="M483" s="1" t="s">
        <v>29</v>
      </c>
      <c r="N483" s="1" t="s">
        <v>22</v>
      </c>
    </row>
    <row r="484" spans="1:14" x14ac:dyDescent="0.25">
      <c r="A484" s="1">
        <v>483</v>
      </c>
      <c r="B484" s="2" t="str">
        <f>HYPERLINK("https://leetcode.com/problems/smallest-good-base/", "Smallest Good Base")</f>
        <v>Smallest Good Base</v>
      </c>
      <c r="C484" s="1">
        <v>426</v>
      </c>
      <c r="D484" s="1">
        <v>540</v>
      </c>
      <c r="E484" s="3">
        <f>IF(INDEX(C:C, ROW())+INDEX(D:D, ROW())=0, 0, INDEX(C:C, ROW())/(INDEX(C:C, ROW())+INDEX(D:D, ROW())))</f>
        <v>0.44099378881987578</v>
      </c>
      <c r="F484" s="1" t="s">
        <v>139</v>
      </c>
      <c r="G484" s="1" t="s">
        <v>28</v>
      </c>
      <c r="H484" s="1">
        <v>30479</v>
      </c>
      <c r="I484" s="1">
        <v>67006</v>
      </c>
      <c r="J484" s="7">
        <v>0.45500000000000002</v>
      </c>
      <c r="K484" s="1" t="s">
        <v>21</v>
      </c>
      <c r="L484" s="1" t="s">
        <v>29</v>
      </c>
      <c r="M484" s="1" t="s">
        <v>29</v>
      </c>
      <c r="N484" s="1" t="s">
        <v>22</v>
      </c>
    </row>
    <row r="485" spans="1:14" x14ac:dyDescent="0.25">
      <c r="A485" s="1">
        <v>484</v>
      </c>
      <c r="B485" s="2" t="str">
        <f>HYPERLINK("https://leetcode.com/problems/find-permutation/", "Find Permutation")</f>
        <v>Find Permutation</v>
      </c>
      <c r="C485" s="1">
        <v>726</v>
      </c>
      <c r="D485" s="1">
        <v>151</v>
      </c>
      <c r="E485" s="3">
        <f>IF(INDEX(C:C, ROW())+INDEX(D:D, ROW())=0, 0, INDEX(C:C, ROW())/(INDEX(C:C, ROW())+INDEX(D:D, ROW())))</f>
        <v>0.82782212086659068</v>
      </c>
      <c r="F485" s="1" t="s">
        <v>791</v>
      </c>
      <c r="G485" s="1" t="s">
        <v>24</v>
      </c>
      <c r="H485" s="1">
        <v>43099</v>
      </c>
      <c r="I485" s="1">
        <v>64404</v>
      </c>
      <c r="J485" s="7">
        <v>0.66900000000000004</v>
      </c>
      <c r="K485" s="1" t="s">
        <v>29</v>
      </c>
      <c r="L485" s="1" t="s">
        <v>21</v>
      </c>
      <c r="M485" s="1" t="s">
        <v>29</v>
      </c>
      <c r="N485" s="1" t="s">
        <v>22</v>
      </c>
    </row>
    <row r="486" spans="1:14" x14ac:dyDescent="0.25">
      <c r="A486" s="1">
        <v>485</v>
      </c>
      <c r="B486" s="2" t="str">
        <f>HYPERLINK("https://leetcode.com/problems/max-consecutive-ones/", "Max Consecutive Ones")</f>
        <v>Max Consecutive Ones</v>
      </c>
      <c r="C486" s="1">
        <v>6785</v>
      </c>
      <c r="D486" s="1">
        <v>494</v>
      </c>
      <c r="E486" s="3">
        <f>IF(INDEX(C:C, ROW())+INDEX(D:D, ROW())=0, 0, INDEX(C:C, ROW())/(INDEX(C:C, ROW())+INDEX(D:D, ROW())))</f>
        <v>0.93213353482621242</v>
      </c>
      <c r="F486" s="1" t="s">
        <v>113</v>
      </c>
      <c r="G486" s="1" t="s">
        <v>20</v>
      </c>
      <c r="H486" s="1">
        <v>2144334</v>
      </c>
      <c r="I486" s="1">
        <v>3319284</v>
      </c>
      <c r="J486" s="7">
        <v>0.64600000000000002</v>
      </c>
      <c r="K486" s="1" t="s">
        <v>21</v>
      </c>
      <c r="L486" s="1" t="s">
        <v>21</v>
      </c>
      <c r="M486" s="1" t="s">
        <v>29</v>
      </c>
      <c r="N486" s="1" t="s">
        <v>22</v>
      </c>
    </row>
    <row r="487" spans="1:14" x14ac:dyDescent="0.25">
      <c r="A487" s="1">
        <v>486</v>
      </c>
      <c r="B487" s="2" t="str">
        <f>HYPERLINK("https://leetcode.com/problems/predict-the-winner/", "Predict the Winner")</f>
        <v>Predict the Winner</v>
      </c>
      <c r="C487" s="1">
        <v>6151</v>
      </c>
      <c r="D487" s="1">
        <v>295</v>
      </c>
      <c r="E487" s="3">
        <f>IF(INDEX(C:C, ROW())+INDEX(D:D, ROW())=0, 0, INDEX(C:C, ROW())/(INDEX(C:C, ROW())+INDEX(D:D, ROW())))</f>
        <v>0.95423518461061119</v>
      </c>
      <c r="F487" s="1" t="s">
        <v>223</v>
      </c>
      <c r="G487" s="1" t="s">
        <v>24</v>
      </c>
      <c r="H487" s="1">
        <v>286031</v>
      </c>
      <c r="I487" s="1">
        <v>509969</v>
      </c>
      <c r="J487" s="7">
        <v>0.56100000000000005</v>
      </c>
      <c r="K487" s="1" t="s">
        <v>21</v>
      </c>
      <c r="L487" s="1" t="s">
        <v>21</v>
      </c>
      <c r="M487" s="1" t="s">
        <v>21</v>
      </c>
      <c r="N487" s="1" t="s">
        <v>22</v>
      </c>
    </row>
    <row r="488" spans="1:14" x14ac:dyDescent="0.25">
      <c r="A488" s="1">
        <v>487</v>
      </c>
      <c r="B488" s="2" t="str">
        <f>HYPERLINK("https://leetcode.com/problems/max-consecutive-ones-ii/", "Max Consecutive Ones II")</f>
        <v>Max Consecutive Ones II</v>
      </c>
      <c r="C488" s="1">
        <v>1603</v>
      </c>
      <c r="D488" s="1">
        <v>27</v>
      </c>
      <c r="E488" s="3">
        <f>IF(INDEX(C:C, ROW())+INDEX(D:D, ROW())=0, 0, INDEX(C:C, ROW())/(INDEX(C:C, ROW())+INDEX(D:D, ROW())))</f>
        <v>0.98343558282208587</v>
      </c>
      <c r="F488" s="1" t="s">
        <v>239</v>
      </c>
      <c r="G488" s="1" t="s">
        <v>24</v>
      </c>
      <c r="H488" s="1">
        <v>181990</v>
      </c>
      <c r="I488" s="1">
        <v>350525</v>
      </c>
      <c r="J488" s="7">
        <v>0.51900000000000002</v>
      </c>
      <c r="K488" s="1" t="s">
        <v>29</v>
      </c>
      <c r="L488" s="1" t="s">
        <v>21</v>
      </c>
      <c r="M488" s="1" t="s">
        <v>29</v>
      </c>
      <c r="N488" s="1" t="s">
        <v>22</v>
      </c>
    </row>
    <row r="489" spans="1:14" x14ac:dyDescent="0.25">
      <c r="A489" s="1">
        <v>488</v>
      </c>
      <c r="B489" s="2" t="str">
        <f>HYPERLINK("https://leetcode.com/problems/zuma-game/", "Zuma Game")</f>
        <v>Zuma Game</v>
      </c>
      <c r="C489" s="1">
        <v>492</v>
      </c>
      <c r="D489" s="1">
        <v>512</v>
      </c>
      <c r="E489" s="3">
        <f>IF(INDEX(C:C, ROW())+INDEX(D:D, ROW())=0, 0, INDEX(C:C, ROW())/(INDEX(C:C, ROW())+INDEX(D:D, ROW())))</f>
        <v>0.49003984063745021</v>
      </c>
      <c r="F489" s="1" t="s">
        <v>926</v>
      </c>
      <c r="G489" s="1" t="s">
        <v>28</v>
      </c>
      <c r="H489" s="1">
        <v>29107</v>
      </c>
      <c r="I489" s="1">
        <v>96369</v>
      </c>
      <c r="J489" s="7">
        <v>0.30199999999999999</v>
      </c>
      <c r="K489" s="1" t="s">
        <v>21</v>
      </c>
      <c r="L489" s="1" t="s">
        <v>29</v>
      </c>
      <c r="M489" s="1" t="s">
        <v>29</v>
      </c>
      <c r="N489" s="1" t="s">
        <v>22</v>
      </c>
    </row>
    <row r="490" spans="1:14" x14ac:dyDescent="0.25">
      <c r="A490" s="1">
        <v>489</v>
      </c>
      <c r="B490" s="2" t="str">
        <f>HYPERLINK("https://leetcode.com/problems/robot-room-cleaner/", "Robot Room Cleaner")</f>
        <v>Robot Room Cleaner</v>
      </c>
      <c r="C490" s="1">
        <v>2890</v>
      </c>
      <c r="D490" s="1">
        <v>193</v>
      </c>
      <c r="E490" s="3">
        <f>IF(INDEX(C:C, ROW())+INDEX(D:D, ROW())=0, 0, INDEX(C:C, ROW())/(INDEX(C:C, ROW())+INDEX(D:D, ROW())))</f>
        <v>0.93739863769056109</v>
      </c>
      <c r="F490" s="1" t="s">
        <v>385</v>
      </c>
      <c r="G490" s="1" t="s">
        <v>28</v>
      </c>
      <c r="H490" s="1">
        <v>208983</v>
      </c>
      <c r="I490" s="1">
        <v>268292</v>
      </c>
      <c r="J490" s="7">
        <v>0.77900000000000003</v>
      </c>
      <c r="K490" s="1" t="s">
        <v>29</v>
      </c>
      <c r="L490" s="1" t="s">
        <v>21</v>
      </c>
      <c r="M490" s="1" t="s">
        <v>29</v>
      </c>
      <c r="N490" s="1" t="s">
        <v>22</v>
      </c>
    </row>
    <row r="491" spans="1:14" x14ac:dyDescent="0.25">
      <c r="A491" s="1">
        <v>490</v>
      </c>
      <c r="B491" s="2" t="str">
        <f>HYPERLINK("https://leetcode.com/problems/the-maze/", "The Maze")</f>
        <v>The Maze</v>
      </c>
      <c r="C491" s="1">
        <v>1923</v>
      </c>
      <c r="D491" s="1">
        <v>199</v>
      </c>
      <c r="E491" s="3">
        <f>IF(INDEX(C:C, ROW())+INDEX(D:D, ROW())=0, 0, INDEX(C:C, ROW())/(INDEX(C:C, ROW())+INDEX(D:D, ROW())))</f>
        <v>0.9062205466540999</v>
      </c>
      <c r="F491" s="1" t="s">
        <v>143</v>
      </c>
      <c r="G491" s="1" t="s">
        <v>24</v>
      </c>
      <c r="H491" s="1">
        <v>207866</v>
      </c>
      <c r="I491" s="1">
        <v>344706</v>
      </c>
      <c r="J491" s="7">
        <v>0.60299999999999998</v>
      </c>
      <c r="K491" s="1" t="s">
        <v>29</v>
      </c>
      <c r="L491" s="1" t="s">
        <v>21</v>
      </c>
      <c r="M491" s="1" t="s">
        <v>29</v>
      </c>
      <c r="N491" s="1" t="s">
        <v>22</v>
      </c>
    </row>
    <row r="492" spans="1:14" x14ac:dyDescent="0.25">
      <c r="A492" s="1">
        <v>491</v>
      </c>
      <c r="B492" s="2" t="str">
        <f>HYPERLINK("https://leetcode.com/problems/non-decreasing-subsequences/", "Non-decreasing Subsequences")</f>
        <v>Non-decreasing Subsequences</v>
      </c>
      <c r="C492" s="1">
        <v>3807</v>
      </c>
      <c r="D492" s="1">
        <v>237</v>
      </c>
      <c r="E492" s="3">
        <f>IF(INDEX(C:C, ROW())+INDEX(D:D, ROW())=0, 0, INDEX(C:C, ROW())/(INDEX(C:C, ROW())+INDEX(D:D, ROW())))</f>
        <v>0.9413946587537092</v>
      </c>
      <c r="F492" s="1" t="s">
        <v>325</v>
      </c>
      <c r="G492" s="1" t="s">
        <v>24</v>
      </c>
      <c r="H492" s="1">
        <v>206603</v>
      </c>
      <c r="I492" s="1">
        <v>330761</v>
      </c>
      <c r="J492" s="7">
        <v>0.625</v>
      </c>
      <c r="K492" s="1" t="s">
        <v>21</v>
      </c>
      <c r="L492" s="1" t="s">
        <v>21</v>
      </c>
      <c r="M492" s="1" t="s">
        <v>29</v>
      </c>
      <c r="N492" s="1" t="s">
        <v>22</v>
      </c>
    </row>
    <row r="493" spans="1:14" x14ac:dyDescent="0.25">
      <c r="A493" s="1">
        <v>492</v>
      </c>
      <c r="B493" s="2" t="str">
        <f>HYPERLINK("https://leetcode.com/problems/construct-the-rectangle/", "Construct the Rectangle")</f>
        <v>Construct the Rectangle</v>
      </c>
      <c r="C493" s="1">
        <v>788</v>
      </c>
      <c r="D493" s="1">
        <v>395</v>
      </c>
      <c r="E493" s="3">
        <f>IF(INDEX(C:C, ROW())+INDEX(D:D, ROW())=0, 0, INDEX(C:C, ROW())/(INDEX(C:C, ROW())+INDEX(D:D, ROW())))</f>
        <v>0.66610312764158919</v>
      </c>
      <c r="F493" s="1" t="s">
        <v>84</v>
      </c>
      <c r="G493" s="1" t="s">
        <v>20</v>
      </c>
      <c r="H493" s="1">
        <v>166174</v>
      </c>
      <c r="I493" s="1">
        <v>263678</v>
      </c>
      <c r="J493" s="7">
        <v>0.63</v>
      </c>
      <c r="K493" s="1" t="s">
        <v>21</v>
      </c>
      <c r="L493" s="1" t="s">
        <v>29</v>
      </c>
      <c r="M493" s="1" t="s">
        <v>29</v>
      </c>
      <c r="N493" s="1" t="s">
        <v>22</v>
      </c>
    </row>
    <row r="494" spans="1:14" x14ac:dyDescent="0.25">
      <c r="A494" s="1">
        <v>493</v>
      </c>
      <c r="B494" s="2" t="str">
        <f>HYPERLINK("https://leetcode.com/problems/reverse-pairs/", "Reverse Pairs")</f>
        <v>Reverse Pairs</v>
      </c>
      <c r="C494" s="1">
        <v>6958</v>
      </c>
      <c r="D494" s="1">
        <v>297</v>
      </c>
      <c r="E494" s="3">
        <f>IF(INDEX(C:C, ROW())+INDEX(D:D, ROW())=0, 0, INDEX(C:C, ROW())/(INDEX(C:C, ROW())+INDEX(D:D, ROW())))</f>
        <v>0.95906271536871124</v>
      </c>
      <c r="F494" s="1" t="s">
        <v>147</v>
      </c>
      <c r="G494" s="1" t="s">
        <v>28</v>
      </c>
      <c r="H494" s="1">
        <v>343933</v>
      </c>
      <c r="I494" s="1">
        <v>1020271</v>
      </c>
      <c r="J494" s="7">
        <v>0.33700000000000002</v>
      </c>
      <c r="K494" s="1" t="s">
        <v>21</v>
      </c>
      <c r="L494" s="1" t="s">
        <v>21</v>
      </c>
      <c r="M494" s="1" t="s">
        <v>29</v>
      </c>
      <c r="N494" s="1" t="s">
        <v>22</v>
      </c>
    </row>
    <row r="495" spans="1:14" x14ac:dyDescent="0.25">
      <c r="A495" s="1">
        <v>494</v>
      </c>
      <c r="B495" s="2" t="str">
        <f>HYPERLINK("https://leetcode.com/problems/target-sum/", "Target Sum")</f>
        <v>Target Sum</v>
      </c>
      <c r="C495" s="1">
        <v>12316</v>
      </c>
      <c r="D495" s="1">
        <v>414</v>
      </c>
      <c r="E495" s="3">
        <f>IF(INDEX(C:C, ROW())+INDEX(D:D, ROW())=0, 0, INDEX(C:C, ROW())/(INDEX(C:C, ROW())+INDEX(D:D, ROW())))</f>
        <v>0.96747839748625297</v>
      </c>
      <c r="F495" s="1" t="s">
        <v>106</v>
      </c>
      <c r="G495" s="1" t="s">
        <v>24</v>
      </c>
      <c r="H495" s="1">
        <v>1048153</v>
      </c>
      <c r="I495" s="1">
        <v>2021840</v>
      </c>
      <c r="J495" s="7">
        <v>0.51800000000000002</v>
      </c>
      <c r="K495" s="1" t="s">
        <v>21</v>
      </c>
      <c r="L495" s="1" t="s">
        <v>21</v>
      </c>
      <c r="M495" s="1" t="s">
        <v>29</v>
      </c>
      <c r="N495" s="1" t="s">
        <v>22</v>
      </c>
    </row>
    <row r="496" spans="1:14" x14ac:dyDescent="0.25">
      <c r="A496" s="1">
        <v>495</v>
      </c>
      <c r="B496" s="2" t="str">
        <f>HYPERLINK("https://leetcode.com/problems/teemo-attacking/", "Teemo Attacking")</f>
        <v>Teemo Attacking</v>
      </c>
      <c r="C496" s="1">
        <v>1348</v>
      </c>
      <c r="D496" s="1">
        <v>157</v>
      </c>
      <c r="E496" s="3">
        <f>IF(INDEX(C:C, ROW())+INDEX(D:D, ROW())=0, 0, INDEX(C:C, ROW())/(INDEX(C:C, ROW())+INDEX(D:D, ROW())))</f>
        <v>0.89568106312292362</v>
      </c>
      <c r="F496" s="1" t="s">
        <v>306</v>
      </c>
      <c r="G496" s="1" t="s">
        <v>20</v>
      </c>
      <c r="H496" s="1">
        <v>215226</v>
      </c>
      <c r="I496" s="1">
        <v>374439</v>
      </c>
      <c r="J496" s="7">
        <v>0.57499999999999996</v>
      </c>
      <c r="K496" s="1" t="s">
        <v>21</v>
      </c>
      <c r="L496" s="1" t="s">
        <v>21</v>
      </c>
      <c r="M496" s="1" t="s">
        <v>29</v>
      </c>
      <c r="N496" s="1" t="s">
        <v>22</v>
      </c>
    </row>
    <row r="497" spans="1:14" x14ac:dyDescent="0.25">
      <c r="A497" s="1">
        <v>496</v>
      </c>
      <c r="B497" s="2" t="str">
        <f>HYPERLINK("https://leetcode.com/problems/next-greater-element-i/", "Next Greater Element I")</f>
        <v>Next Greater Element I</v>
      </c>
      <c r="C497" s="1">
        <v>9713</v>
      </c>
      <c r="D497" s="1">
        <v>1092</v>
      </c>
      <c r="E497" s="3">
        <f>IF(INDEX(C:C, ROW())+INDEX(D:D, ROW())=0, 0, INDEX(C:C, ROW())/(INDEX(C:C, ROW())+INDEX(D:D, ROW())))</f>
        <v>0.89893567792688567</v>
      </c>
      <c r="F497" s="1" t="s">
        <v>138</v>
      </c>
      <c r="G497" s="1" t="s">
        <v>20</v>
      </c>
      <c r="H497" s="1">
        <v>1344188</v>
      </c>
      <c r="I497" s="1">
        <v>1774395</v>
      </c>
      <c r="J497" s="7">
        <v>0.75800000000000001</v>
      </c>
      <c r="K497" s="1" t="s">
        <v>21</v>
      </c>
      <c r="L497" s="1" t="s">
        <v>21</v>
      </c>
      <c r="M497" s="1" t="s">
        <v>29</v>
      </c>
      <c r="N497" s="1" t="s">
        <v>22</v>
      </c>
    </row>
    <row r="498" spans="1:14" x14ac:dyDescent="0.25">
      <c r="A498" s="1">
        <v>497</v>
      </c>
      <c r="B498" s="2" t="str">
        <f>HYPERLINK("https://leetcode.com/problems/random-point-in-non-overlapping-rectangles/", "Random Point in Non-overlapping Rectangles")</f>
        <v>Random Point in Non-overlapping Rectangles</v>
      </c>
      <c r="C498" s="1">
        <v>520</v>
      </c>
      <c r="D498" s="1">
        <v>689</v>
      </c>
      <c r="E498" s="3">
        <f>IF(INDEX(C:C, ROW())+INDEX(D:D, ROW())=0, 0, INDEX(C:C, ROW())/(INDEX(C:C, ROW())+INDEX(D:D, ROW())))</f>
        <v>0.43010752688172044</v>
      </c>
      <c r="F498" s="1" t="s">
        <v>906</v>
      </c>
      <c r="G498" s="1" t="s">
        <v>24</v>
      </c>
      <c r="H498" s="1">
        <v>51957</v>
      </c>
      <c r="I498" s="1">
        <v>131922</v>
      </c>
      <c r="J498" s="7">
        <v>0.39400000000000002</v>
      </c>
      <c r="K498" s="1" t="s">
        <v>21</v>
      </c>
      <c r="L498" s="1" t="s">
        <v>21</v>
      </c>
      <c r="M498" s="1" t="s">
        <v>29</v>
      </c>
      <c r="N498" s="1" t="s">
        <v>22</v>
      </c>
    </row>
    <row r="499" spans="1:14" x14ac:dyDescent="0.25">
      <c r="A499" s="1">
        <v>498</v>
      </c>
      <c r="B499" s="2" t="str">
        <f>HYPERLINK("https://leetcode.com/problems/diagonal-traverse/", "Diagonal Traverse")</f>
        <v>Diagonal Traverse</v>
      </c>
      <c r="C499" s="1">
        <v>4303</v>
      </c>
      <c r="D499" s="1">
        <v>785</v>
      </c>
      <c r="E499" s="3">
        <f>IF(INDEX(C:C, ROW())+INDEX(D:D, ROW())=0, 0, INDEX(C:C, ROW())/(INDEX(C:C, ROW())+INDEX(D:D, ROW())))</f>
        <v>0.84571540880503149</v>
      </c>
      <c r="F499" s="1" t="s">
        <v>77</v>
      </c>
      <c r="G499" s="1" t="s">
        <v>24</v>
      </c>
      <c r="H499" s="1">
        <v>551794</v>
      </c>
      <c r="I499" s="1">
        <v>823394</v>
      </c>
      <c r="J499" s="7">
        <v>0.67</v>
      </c>
      <c r="K499" s="1" t="s">
        <v>21</v>
      </c>
      <c r="L499" s="1" t="s">
        <v>21</v>
      </c>
      <c r="M499" s="1" t="s">
        <v>29</v>
      </c>
      <c r="N499" s="1" t="s">
        <v>22</v>
      </c>
    </row>
    <row r="500" spans="1:14" x14ac:dyDescent="0.25">
      <c r="A500" s="1">
        <v>499</v>
      </c>
      <c r="B500" s="2" t="str">
        <f>HYPERLINK("https://leetcode.com/problems/the-maze-iii/", "The Maze III")</f>
        <v>The Maze III</v>
      </c>
      <c r="C500" s="1">
        <v>519</v>
      </c>
      <c r="D500" s="1">
        <v>78</v>
      </c>
      <c r="E500" s="3">
        <f>IF(INDEX(C:C, ROW())+INDEX(D:D, ROW())=0, 0, INDEX(C:C, ROW())/(INDEX(C:C, ROW())+INDEX(D:D, ROW())))</f>
        <v>0.8693467336683417</v>
      </c>
      <c r="F500" s="1" t="s">
        <v>909</v>
      </c>
      <c r="G500" s="1" t="s">
        <v>28</v>
      </c>
      <c r="H500" s="1">
        <v>40054</v>
      </c>
      <c r="I500" s="1">
        <v>76654</v>
      </c>
      <c r="J500" s="7">
        <v>0.52300000000000002</v>
      </c>
      <c r="K500" s="1" t="s">
        <v>29</v>
      </c>
      <c r="L500" s="1" t="s">
        <v>21</v>
      </c>
      <c r="M500" s="1" t="s">
        <v>29</v>
      </c>
      <c r="N500" s="1" t="s">
        <v>22</v>
      </c>
    </row>
    <row r="501" spans="1:14" x14ac:dyDescent="0.25">
      <c r="A501" s="1">
        <v>500</v>
      </c>
      <c r="B501" s="2" t="str">
        <f>HYPERLINK("https://leetcode.com/problems/keyboard-row/", "Keyboard Row")</f>
        <v>Keyboard Row</v>
      </c>
      <c r="C501" s="1">
        <v>1811</v>
      </c>
      <c r="D501" s="1">
        <v>1158</v>
      </c>
      <c r="E501" s="3">
        <f>IF(INDEX(C:C, ROW())+INDEX(D:D, ROW())=0, 0, INDEX(C:C, ROW())/(INDEX(C:C, ROW())+INDEX(D:D, ROW())))</f>
        <v>0.60996968676321994</v>
      </c>
      <c r="F501" s="1" t="s">
        <v>258</v>
      </c>
      <c r="G501" s="1" t="s">
        <v>20</v>
      </c>
      <c r="H501" s="1">
        <v>320333</v>
      </c>
      <c r="I501" s="1">
        <v>435551</v>
      </c>
      <c r="J501" s="7">
        <v>0.73499999999999999</v>
      </c>
      <c r="K501" s="1" t="s">
        <v>21</v>
      </c>
      <c r="L501" s="1" t="s">
        <v>29</v>
      </c>
      <c r="M501" s="1" t="s">
        <v>29</v>
      </c>
      <c r="N501" s="1" t="s">
        <v>22</v>
      </c>
    </row>
    <row r="502" spans="1:14" x14ac:dyDescent="0.25">
      <c r="A502" s="1">
        <v>501</v>
      </c>
      <c r="B502" s="2" t="str">
        <f>HYPERLINK("https://leetcode.com/problems/find-mode-in-binary-search-tree/", "Find Mode in Binary Search Tree")</f>
        <v>Find Mode in Binary Search Tree</v>
      </c>
      <c r="C502" s="1">
        <v>4103</v>
      </c>
      <c r="D502" s="1">
        <v>814</v>
      </c>
      <c r="E502" s="3">
        <f>IF(INDEX(C:C, ROW())+INDEX(D:D, ROW())=0, 0, INDEX(C:C, ROW())/(INDEX(C:C, ROW())+INDEX(D:D, ROW())))</f>
        <v>0.83445190156599558</v>
      </c>
      <c r="F502" s="1" t="s">
        <v>69</v>
      </c>
      <c r="G502" s="1" t="s">
        <v>20</v>
      </c>
      <c r="H502" s="1">
        <v>384590</v>
      </c>
      <c r="I502" s="1">
        <v>657833</v>
      </c>
      <c r="J502" s="7">
        <v>0.58499999999999996</v>
      </c>
      <c r="K502" s="1" t="s">
        <v>21</v>
      </c>
      <c r="L502" s="1" t="s">
        <v>21</v>
      </c>
      <c r="M502" s="1" t="s">
        <v>29</v>
      </c>
      <c r="N502" s="1" t="s">
        <v>22</v>
      </c>
    </row>
    <row r="503" spans="1:14" x14ac:dyDescent="0.25">
      <c r="A503" s="1">
        <v>502</v>
      </c>
      <c r="B503" s="2" t="str">
        <f>HYPERLINK("https://leetcode.com/problems/ipo/", "IPO")</f>
        <v>IPO</v>
      </c>
      <c r="C503" s="1">
        <v>4154</v>
      </c>
      <c r="D503" s="1">
        <v>284</v>
      </c>
      <c r="E503" s="3">
        <f>IF(INDEX(C:C, ROW())+INDEX(D:D, ROW())=0, 0, INDEX(C:C, ROW())/(INDEX(C:C, ROW())+INDEX(D:D, ROW())))</f>
        <v>0.93600721045516</v>
      </c>
      <c r="F503" s="1" t="s">
        <v>302</v>
      </c>
      <c r="G503" s="1" t="s">
        <v>28</v>
      </c>
      <c r="H503" s="1">
        <v>306634</v>
      </c>
      <c r="I503" s="1">
        <v>575056</v>
      </c>
      <c r="J503" s="7">
        <v>0.53300000000000003</v>
      </c>
      <c r="K503" s="1" t="s">
        <v>21</v>
      </c>
      <c r="L503" s="1" t="s">
        <v>21</v>
      </c>
      <c r="M503" s="1" t="s">
        <v>29</v>
      </c>
      <c r="N503" s="1" t="s">
        <v>22</v>
      </c>
    </row>
    <row r="504" spans="1:14" x14ac:dyDescent="0.25">
      <c r="A504" s="1">
        <v>503</v>
      </c>
      <c r="B504" s="2" t="str">
        <f>HYPERLINK("https://leetcode.com/problems/next-greater-element-ii/", "Next Greater Element II")</f>
        <v>Next Greater Element II</v>
      </c>
      <c r="C504" s="1">
        <v>9086</v>
      </c>
      <c r="D504" s="1">
        <v>237</v>
      </c>
      <c r="E504" s="3">
        <f>IF(INDEX(C:C, ROW())+INDEX(D:D, ROW())=0, 0, INDEX(C:C, ROW())/(INDEX(C:C, ROW())+INDEX(D:D, ROW())))</f>
        <v>0.97457899817655258</v>
      </c>
      <c r="F504" s="1" t="s">
        <v>61</v>
      </c>
      <c r="G504" s="1" t="s">
        <v>24</v>
      </c>
      <c r="H504" s="1">
        <v>755397</v>
      </c>
      <c r="I504" s="1">
        <v>1112523</v>
      </c>
      <c r="J504" s="7">
        <v>0.67900000000000005</v>
      </c>
      <c r="K504" s="1" t="s">
        <v>21</v>
      </c>
      <c r="L504" s="1" t="s">
        <v>21</v>
      </c>
      <c r="M504" s="1" t="s">
        <v>29</v>
      </c>
      <c r="N504" s="1" t="s">
        <v>22</v>
      </c>
    </row>
    <row r="505" spans="1:14" x14ac:dyDescent="0.25">
      <c r="A505" s="1">
        <v>504</v>
      </c>
      <c r="B505" s="2" t="str">
        <f>HYPERLINK("https://leetcode.com/problems/base-7/", "Base 7")</f>
        <v>Base 7</v>
      </c>
      <c r="C505" s="1">
        <v>884</v>
      </c>
      <c r="D505" s="1">
        <v>239</v>
      </c>
      <c r="E505" s="3">
        <f>IF(INDEX(C:C, ROW())+INDEX(D:D, ROW())=0, 0, INDEX(C:C, ROW())/(INDEX(C:C, ROW())+INDEX(D:D, ROW())))</f>
        <v>0.78717720391807655</v>
      </c>
      <c r="F505" s="1" t="s">
        <v>228</v>
      </c>
      <c r="G505" s="1" t="s">
        <v>20</v>
      </c>
      <c r="H505" s="1">
        <v>197906</v>
      </c>
      <c r="I505" s="1">
        <v>367835</v>
      </c>
      <c r="J505" s="7">
        <v>0.53800000000000003</v>
      </c>
      <c r="K505" s="1" t="s">
        <v>21</v>
      </c>
      <c r="L505" s="1" t="s">
        <v>29</v>
      </c>
      <c r="M505" s="1" t="s">
        <v>29</v>
      </c>
      <c r="N505" s="1" t="s">
        <v>22</v>
      </c>
    </row>
    <row r="506" spans="1:14" x14ac:dyDescent="0.25">
      <c r="A506" s="1">
        <v>505</v>
      </c>
      <c r="B506" s="2" t="str">
        <f>HYPERLINK("https://leetcode.com/problems/the-maze-ii/", "The Maze II")</f>
        <v>The Maze II</v>
      </c>
      <c r="C506" s="1">
        <v>1398</v>
      </c>
      <c r="D506" s="1">
        <v>63</v>
      </c>
      <c r="E506" s="3">
        <f>IF(INDEX(C:C, ROW())+INDEX(D:D, ROW())=0, 0, INDEX(C:C, ROW())/(INDEX(C:C, ROW())+INDEX(D:D, ROW())))</f>
        <v>0.95687885010266938</v>
      </c>
      <c r="F506" s="1" t="s">
        <v>615</v>
      </c>
      <c r="G506" s="1" t="s">
        <v>24</v>
      </c>
      <c r="H506" s="1">
        <v>127720</v>
      </c>
      <c r="I506" s="1">
        <v>232376</v>
      </c>
      <c r="J506" s="7">
        <v>0.55000000000000004</v>
      </c>
      <c r="K506" s="1" t="s">
        <v>29</v>
      </c>
      <c r="L506" s="1" t="s">
        <v>21</v>
      </c>
      <c r="M506" s="1" t="s">
        <v>29</v>
      </c>
      <c r="N506" s="1" t="s">
        <v>22</v>
      </c>
    </row>
    <row r="507" spans="1:14" x14ac:dyDescent="0.25">
      <c r="A507" s="1">
        <v>506</v>
      </c>
      <c r="B507" s="2" t="str">
        <f>HYPERLINK("https://leetcode.com/problems/relative-ranks/", "Relative Ranks")</f>
        <v>Relative Ranks</v>
      </c>
      <c r="C507" s="1">
        <v>2156</v>
      </c>
      <c r="D507" s="1">
        <v>151</v>
      </c>
      <c r="E507" s="3">
        <f>IF(INDEX(C:C, ROW())+INDEX(D:D, ROW())=0, 0, INDEX(C:C, ROW())/(INDEX(C:C, ROW())+INDEX(D:D, ROW())))</f>
        <v>0.9345470307758994</v>
      </c>
      <c r="F507" s="1" t="s">
        <v>350</v>
      </c>
      <c r="G507" s="1" t="s">
        <v>20</v>
      </c>
      <c r="H507" s="1">
        <v>402116</v>
      </c>
      <c r="I507" s="1">
        <v>540535</v>
      </c>
      <c r="J507" s="7">
        <v>0.74399999999999999</v>
      </c>
      <c r="K507" s="1" t="s">
        <v>21</v>
      </c>
      <c r="L507" s="1" t="s">
        <v>21</v>
      </c>
      <c r="M507" s="1" t="s">
        <v>29</v>
      </c>
      <c r="N507" s="1" t="s">
        <v>22</v>
      </c>
    </row>
    <row r="508" spans="1:14" x14ac:dyDescent="0.25">
      <c r="A508" s="1">
        <v>507</v>
      </c>
      <c r="B508" s="2" t="str">
        <f>HYPERLINK("https://leetcode.com/problems/perfect-number/", "Perfect Number")</f>
        <v>Perfect Number</v>
      </c>
      <c r="C508" s="1">
        <v>1279</v>
      </c>
      <c r="D508" s="1">
        <v>1285</v>
      </c>
      <c r="E508" s="3">
        <f>IF(INDEX(C:C, ROW())+INDEX(D:D, ROW())=0, 0, INDEX(C:C, ROW())/(INDEX(C:C, ROW())+INDEX(D:D, ROW())))</f>
        <v>0.49882995319812795</v>
      </c>
      <c r="F508" s="1" t="s">
        <v>84</v>
      </c>
      <c r="G508" s="1" t="s">
        <v>20</v>
      </c>
      <c r="H508" s="1">
        <v>357215</v>
      </c>
      <c r="I508" s="1">
        <v>745010</v>
      </c>
      <c r="J508" s="7">
        <v>0.47899999999999998</v>
      </c>
      <c r="K508" s="1" t="s">
        <v>21</v>
      </c>
      <c r="L508" s="1" t="s">
        <v>21</v>
      </c>
      <c r="M508" s="1" t="s">
        <v>29</v>
      </c>
      <c r="N508" s="1" t="s">
        <v>22</v>
      </c>
    </row>
    <row r="509" spans="1:14" x14ac:dyDescent="0.25">
      <c r="A509" s="1">
        <v>508</v>
      </c>
      <c r="B509" s="2" t="str">
        <f>HYPERLINK("https://leetcode.com/problems/most-frequent-subtree-sum/", "Most Frequent Subtree Sum")</f>
        <v>Most Frequent Subtree Sum</v>
      </c>
      <c r="C509" s="1">
        <v>2368</v>
      </c>
      <c r="D509" s="1">
        <v>333</v>
      </c>
      <c r="E509" s="3">
        <f>IF(INDEX(C:C, ROW())+INDEX(D:D, ROW())=0, 0, INDEX(C:C, ROW())/(INDEX(C:C, ROW())+INDEX(D:D, ROW())))</f>
        <v>0.87671232876712324</v>
      </c>
      <c r="F509" s="1" t="s">
        <v>224</v>
      </c>
      <c r="G509" s="1" t="s">
        <v>24</v>
      </c>
      <c r="H509" s="1">
        <v>173358</v>
      </c>
      <c r="I509" s="1">
        <v>251472</v>
      </c>
      <c r="J509" s="7">
        <v>0.68899999999999995</v>
      </c>
      <c r="K509" s="1" t="s">
        <v>21</v>
      </c>
      <c r="L509" s="1" t="s">
        <v>21</v>
      </c>
      <c r="M509" s="1" t="s">
        <v>29</v>
      </c>
      <c r="N509" s="1" t="s">
        <v>22</v>
      </c>
    </row>
    <row r="510" spans="1:14" x14ac:dyDescent="0.25">
      <c r="A510" s="1">
        <v>509</v>
      </c>
      <c r="B510" s="2" t="str">
        <f>HYPERLINK("https://leetcode.com/problems/fibonacci-number/", "Fibonacci Number")</f>
        <v>Fibonacci Number</v>
      </c>
      <c r="C510" s="1">
        <v>9282</v>
      </c>
      <c r="D510" s="1">
        <v>410</v>
      </c>
      <c r="E510" s="3">
        <f>IF(INDEX(C:C, ROW())+INDEX(D:D, ROW())=0, 0, INDEX(C:C, ROW())/(INDEX(C:C, ROW())+INDEX(D:D, ROW())))</f>
        <v>0.95769706974824598</v>
      </c>
      <c r="F510" s="1" t="s">
        <v>144</v>
      </c>
      <c r="G510" s="1" t="s">
        <v>20</v>
      </c>
      <c r="H510" s="1">
        <v>2928999</v>
      </c>
      <c r="I510" s="1">
        <v>3965280</v>
      </c>
      <c r="J510" s="7">
        <v>0.73899999999999999</v>
      </c>
      <c r="K510" s="1" t="s">
        <v>21</v>
      </c>
      <c r="L510" s="1" t="s">
        <v>21</v>
      </c>
      <c r="M510" s="1" t="s">
        <v>29</v>
      </c>
      <c r="N510" s="1" t="s">
        <v>22</v>
      </c>
    </row>
    <row r="511" spans="1:14" x14ac:dyDescent="0.25">
      <c r="A511" s="1">
        <v>510</v>
      </c>
      <c r="B511" s="2" t="str">
        <f>HYPERLINK("https://leetcode.com/problems/inorder-successor-in-bst-ii/", "Inorder Successor in BST II")</f>
        <v>Inorder Successor in BST II</v>
      </c>
      <c r="C511" s="1">
        <v>890</v>
      </c>
      <c r="D511" s="1">
        <v>44</v>
      </c>
      <c r="E511" s="3">
        <f>IF(INDEX(C:C, ROW())+INDEX(D:D, ROW())=0, 0, INDEX(C:C, ROW())/(INDEX(C:C, ROW())+INDEX(D:D, ROW())))</f>
        <v>0.95289079229122053</v>
      </c>
      <c r="F511" s="1" t="s">
        <v>133</v>
      </c>
      <c r="G511" s="1" t="s">
        <v>24</v>
      </c>
      <c r="H511" s="1">
        <v>75630</v>
      </c>
      <c r="I511" s="1">
        <v>123812</v>
      </c>
      <c r="J511" s="7">
        <v>0.61099999999999999</v>
      </c>
      <c r="K511" s="1" t="s">
        <v>29</v>
      </c>
      <c r="L511" s="1" t="s">
        <v>21</v>
      </c>
      <c r="M511" s="1" t="s">
        <v>29</v>
      </c>
      <c r="N511" s="1" t="s">
        <v>22</v>
      </c>
    </row>
    <row r="512" spans="1:14" x14ac:dyDescent="0.25">
      <c r="A512" s="1">
        <v>511</v>
      </c>
      <c r="B512" s="2" t="str">
        <f>HYPERLINK("https://leetcode.com/problems/game-play-analysis-i/", "Game Play Analysis I")</f>
        <v>Game Play Analysis I</v>
      </c>
      <c r="C512" s="1">
        <v>1072</v>
      </c>
      <c r="D512" s="1">
        <v>46</v>
      </c>
      <c r="E512" s="3">
        <f>IF(INDEX(C:C, ROW())+INDEX(D:D, ROW())=0, 0, INDEX(C:C, ROW())/(INDEX(C:C, ROW())+INDEX(D:D, ROW())))</f>
        <v>0.95885509838998206</v>
      </c>
      <c r="F512" s="1" t="s">
        <v>297</v>
      </c>
      <c r="G512" s="1" t="s">
        <v>20</v>
      </c>
      <c r="H512" s="1">
        <v>504704</v>
      </c>
      <c r="I512" s="1">
        <v>662493</v>
      </c>
      <c r="J512" s="7">
        <v>0.76200000000000001</v>
      </c>
      <c r="K512" s="1" t="s">
        <v>21</v>
      </c>
      <c r="L512" s="1" t="s">
        <v>21</v>
      </c>
      <c r="M512" s="1" t="s">
        <v>29</v>
      </c>
      <c r="N512" s="1" t="s">
        <v>297</v>
      </c>
    </row>
    <row r="513" spans="1:14" x14ac:dyDescent="0.25">
      <c r="A513" s="1">
        <v>512</v>
      </c>
      <c r="B513" s="2" t="str">
        <f>HYPERLINK("https://leetcode.com/problems/game-play-analysis-ii/", "Game Play Analysis II")</f>
        <v>Game Play Analysis II</v>
      </c>
      <c r="C513" s="1">
        <v>277</v>
      </c>
      <c r="D513" s="1">
        <v>43</v>
      </c>
      <c r="E513" s="3">
        <f>IF(INDEX(C:C, ROW())+INDEX(D:D, ROW())=0, 0, INDEX(C:C, ROW())/(INDEX(C:C, ROW())+INDEX(D:D, ROW())))</f>
        <v>0.86562499999999998</v>
      </c>
      <c r="F513" s="1" t="s">
        <v>297</v>
      </c>
      <c r="G513" s="1" t="s">
        <v>20</v>
      </c>
      <c r="H513" s="1">
        <v>106106</v>
      </c>
      <c r="I513" s="1">
        <v>194559</v>
      </c>
      <c r="J513" s="7">
        <v>0.54500000000000004</v>
      </c>
      <c r="K513" s="1" t="s">
        <v>29</v>
      </c>
      <c r="L513" s="1" t="s">
        <v>21</v>
      </c>
      <c r="M513" s="1" t="s">
        <v>29</v>
      </c>
      <c r="N513" s="1" t="s">
        <v>297</v>
      </c>
    </row>
    <row r="514" spans="1:14" x14ac:dyDescent="0.25">
      <c r="A514" s="1">
        <v>513</v>
      </c>
      <c r="B514" s="2" t="str">
        <f>HYPERLINK("https://leetcode.com/problems/find-bottom-left-tree-value/", "Find Bottom Left Tree Value")</f>
        <v>Find Bottom Left Tree Value</v>
      </c>
      <c r="C514" s="1">
        <v>3990</v>
      </c>
      <c r="D514" s="1">
        <v>300</v>
      </c>
      <c r="E514" s="3">
        <f>IF(INDEX(C:C, ROW())+INDEX(D:D, ROW())=0, 0, INDEX(C:C, ROW())/(INDEX(C:C, ROW())+INDEX(D:D, ROW())))</f>
        <v>0.93006993006993011</v>
      </c>
      <c r="F514" s="1" t="s">
        <v>80</v>
      </c>
      <c r="G514" s="1" t="s">
        <v>24</v>
      </c>
      <c r="H514" s="1">
        <v>436853</v>
      </c>
      <c r="I514" s="1">
        <v>605240</v>
      </c>
      <c r="J514" s="7">
        <v>0.72199999999999998</v>
      </c>
      <c r="K514" s="1" t="s">
        <v>21</v>
      </c>
      <c r="L514" s="1" t="s">
        <v>21</v>
      </c>
      <c r="M514" s="1" t="s">
        <v>29</v>
      </c>
      <c r="N514" s="1" t="s">
        <v>22</v>
      </c>
    </row>
    <row r="515" spans="1:14" x14ac:dyDescent="0.25">
      <c r="A515" s="1">
        <v>514</v>
      </c>
      <c r="B515" s="2" t="str">
        <f>HYPERLINK("https://leetcode.com/problems/freedom-trail/", "Freedom Trail")</f>
        <v>Freedom Trail</v>
      </c>
      <c r="C515" s="1">
        <v>1578</v>
      </c>
      <c r="D515" s="1">
        <v>82</v>
      </c>
      <c r="E515" s="3">
        <f>IF(INDEX(C:C, ROW())+INDEX(D:D, ROW())=0, 0, INDEX(C:C, ROW())/(INDEX(C:C, ROW())+INDEX(D:D, ROW())))</f>
        <v>0.95060240963855425</v>
      </c>
      <c r="F515" s="1" t="s">
        <v>564</v>
      </c>
      <c r="G515" s="1" t="s">
        <v>28</v>
      </c>
      <c r="H515" s="1">
        <v>123152</v>
      </c>
      <c r="I515" s="1">
        <v>207881</v>
      </c>
      <c r="J515" s="7">
        <v>0.59199999999999997</v>
      </c>
      <c r="K515" s="1" t="s">
        <v>21</v>
      </c>
      <c r="L515" s="1" t="s">
        <v>21</v>
      </c>
      <c r="M515" s="1" t="s">
        <v>29</v>
      </c>
      <c r="N515" s="1" t="s">
        <v>22</v>
      </c>
    </row>
    <row r="516" spans="1:14" x14ac:dyDescent="0.25">
      <c r="A516" s="1">
        <v>515</v>
      </c>
      <c r="B516" s="2" t="str">
        <f>HYPERLINK("https://leetcode.com/problems/find-largest-value-in-each-tree-row/", "Find Largest Value in Each Tree Row")</f>
        <v>Find Largest Value in Each Tree Row</v>
      </c>
      <c r="C516" s="1">
        <v>4131</v>
      </c>
      <c r="D516" s="1">
        <v>130</v>
      </c>
      <c r="E516" s="3">
        <f>IF(INDEX(C:C, ROW())+INDEX(D:D, ROW())=0, 0, INDEX(C:C, ROW())/(INDEX(C:C, ROW())+INDEX(D:D, ROW())))</f>
        <v>0.96949072987561602</v>
      </c>
      <c r="F516" s="1" t="s">
        <v>80</v>
      </c>
      <c r="G516" s="1" t="s">
        <v>24</v>
      </c>
      <c r="H516" s="1">
        <v>513962</v>
      </c>
      <c r="I516" s="1">
        <v>775422</v>
      </c>
      <c r="J516" s="7">
        <v>0.66300000000000003</v>
      </c>
      <c r="K516" s="1" t="s">
        <v>21</v>
      </c>
      <c r="L516" s="1" t="s">
        <v>21</v>
      </c>
      <c r="M516" s="1" t="s">
        <v>29</v>
      </c>
      <c r="N516" s="1" t="s">
        <v>22</v>
      </c>
    </row>
    <row r="517" spans="1:14" x14ac:dyDescent="0.25">
      <c r="A517" s="1">
        <v>516</v>
      </c>
      <c r="B517" s="2" t="str">
        <f>HYPERLINK("https://leetcode.com/problems/longest-palindromic-subsequence/", "Longest Palindromic Subsequence")</f>
        <v>Longest Palindromic Subsequence</v>
      </c>
      <c r="C517" s="1">
        <v>10323</v>
      </c>
      <c r="D517" s="1">
        <v>343</v>
      </c>
      <c r="E517" s="3">
        <f>IF(INDEX(C:C, ROW())+INDEX(D:D, ROW())=0, 0, INDEX(C:C, ROW())/(INDEX(C:C, ROW())+INDEX(D:D, ROW())))</f>
        <v>0.96784174010875679</v>
      </c>
      <c r="F517" s="1" t="s">
        <v>82</v>
      </c>
      <c r="G517" s="1" t="s">
        <v>24</v>
      </c>
      <c r="H517" s="1">
        <v>736677</v>
      </c>
      <c r="I517" s="1">
        <v>1131626</v>
      </c>
      <c r="J517" s="7">
        <v>0.65100000000000002</v>
      </c>
      <c r="K517" s="1" t="s">
        <v>21</v>
      </c>
      <c r="L517" s="1" t="s">
        <v>21</v>
      </c>
      <c r="M517" s="1" t="s">
        <v>29</v>
      </c>
      <c r="N517" s="1" t="s">
        <v>22</v>
      </c>
    </row>
    <row r="518" spans="1:14" x14ac:dyDescent="0.25">
      <c r="A518" s="1">
        <v>517</v>
      </c>
      <c r="B518" s="2" t="str">
        <f>HYPERLINK("https://leetcode.com/problems/super-washing-machines/", "Super Washing Machines")</f>
        <v>Super Washing Machines</v>
      </c>
      <c r="C518" s="1">
        <v>821</v>
      </c>
      <c r="D518" s="1">
        <v>222</v>
      </c>
      <c r="E518" s="3">
        <f>IF(INDEX(C:C, ROW())+INDEX(D:D, ROW())=0, 0, INDEX(C:C, ROW())/(INDEX(C:C, ROW())+INDEX(D:D, ROW())))</f>
        <v>0.78715244487056568</v>
      </c>
      <c r="F518" s="1" t="s">
        <v>96</v>
      </c>
      <c r="G518" s="1" t="s">
        <v>28</v>
      </c>
      <c r="H518" s="1">
        <v>38831</v>
      </c>
      <c r="I518" s="1">
        <v>88519</v>
      </c>
      <c r="J518" s="7">
        <v>0.439</v>
      </c>
      <c r="K518" s="1" t="s">
        <v>21</v>
      </c>
      <c r="L518" s="1" t="s">
        <v>21</v>
      </c>
      <c r="M518" s="1" t="s">
        <v>29</v>
      </c>
      <c r="N518" s="1" t="s">
        <v>22</v>
      </c>
    </row>
    <row r="519" spans="1:14" x14ac:dyDescent="0.25">
      <c r="A519" s="1">
        <v>518</v>
      </c>
      <c r="B519" s="2" t="str">
        <f>HYPERLINK("https://leetcode.com/problems/coin-change-ii/", "Coin Change II")</f>
        <v>Coin Change II</v>
      </c>
      <c r="C519" s="1">
        <v>10178</v>
      </c>
      <c r="D519" s="1">
        <v>240</v>
      </c>
      <c r="E519" s="3">
        <f>IF(INDEX(C:C, ROW())+INDEX(D:D, ROW())=0, 0, INDEX(C:C, ROW())/(INDEX(C:C, ROW())+INDEX(D:D, ROW())))</f>
        <v>0.97696294874256095</v>
      </c>
      <c r="F519" s="1" t="s">
        <v>30</v>
      </c>
      <c r="G519" s="1" t="s">
        <v>24</v>
      </c>
      <c r="H519" s="1">
        <v>965486</v>
      </c>
      <c r="I519" s="1">
        <v>1596902</v>
      </c>
      <c r="J519" s="7">
        <v>0.60499999999999998</v>
      </c>
      <c r="K519" s="1" t="s">
        <v>21</v>
      </c>
      <c r="L519" s="1" t="s">
        <v>21</v>
      </c>
      <c r="M519" s="1" t="s">
        <v>29</v>
      </c>
      <c r="N519" s="1" t="s">
        <v>22</v>
      </c>
    </row>
    <row r="520" spans="1:14" x14ac:dyDescent="0.25">
      <c r="A520" s="1">
        <v>519</v>
      </c>
      <c r="B520" s="2" t="str">
        <f>HYPERLINK("https://leetcode.com/problems/random-flip-matrix/", "Random Flip Matrix")</f>
        <v>Random Flip Matrix</v>
      </c>
      <c r="C520" s="1">
        <v>461</v>
      </c>
      <c r="D520" s="1">
        <v>135</v>
      </c>
      <c r="E520" s="3">
        <f>IF(INDEX(C:C, ROW())+INDEX(D:D, ROW())=0, 0, INDEX(C:C, ROW())/(INDEX(C:C, ROW())+INDEX(D:D, ROW())))</f>
        <v>0.77348993288590606</v>
      </c>
      <c r="F520" s="1" t="s">
        <v>617</v>
      </c>
      <c r="G520" s="1" t="s">
        <v>24</v>
      </c>
      <c r="H520" s="1">
        <v>29876</v>
      </c>
      <c r="I520" s="1">
        <v>65824</v>
      </c>
      <c r="J520" s="7">
        <v>0.45400000000000001</v>
      </c>
      <c r="K520" s="1" t="s">
        <v>21</v>
      </c>
      <c r="L520" s="1" t="s">
        <v>21</v>
      </c>
      <c r="M520" s="1" t="s">
        <v>29</v>
      </c>
      <c r="N520" s="1" t="s">
        <v>22</v>
      </c>
    </row>
    <row r="521" spans="1:14" x14ac:dyDescent="0.25">
      <c r="A521" s="1">
        <v>520</v>
      </c>
      <c r="B521" s="2" t="str">
        <f>HYPERLINK("https://leetcode.com/problems/detect-capital/", "Detect Capital")</f>
        <v>Detect Capital</v>
      </c>
      <c r="C521" s="1">
        <v>3577</v>
      </c>
      <c r="D521" s="1">
        <v>472</v>
      </c>
      <c r="E521" s="3">
        <f>IF(INDEX(C:C, ROW())+INDEX(D:D, ROW())=0, 0, INDEX(C:C, ROW())/(INDEX(C:C, ROW())+INDEX(D:D, ROW())))</f>
        <v>0.88342800691528778</v>
      </c>
      <c r="F521" s="1" t="s">
        <v>146</v>
      </c>
      <c r="G521" s="1" t="s">
        <v>20</v>
      </c>
      <c r="H521" s="1">
        <v>541735</v>
      </c>
      <c r="I521" s="1">
        <v>959383</v>
      </c>
      <c r="J521" s="7">
        <v>0.56499999999999995</v>
      </c>
      <c r="K521" s="1" t="s">
        <v>21</v>
      </c>
      <c r="L521" s="1" t="s">
        <v>21</v>
      </c>
      <c r="M521" s="1" t="s">
        <v>29</v>
      </c>
      <c r="N521" s="1" t="s">
        <v>22</v>
      </c>
    </row>
    <row r="522" spans="1:14" x14ac:dyDescent="0.25">
      <c r="A522" s="1">
        <v>521</v>
      </c>
      <c r="B522" s="2" t="str">
        <f>HYPERLINK("https://leetcode.com/problems/longest-uncommon-subsequence-i/", "Longest Uncommon Subsequence I")</f>
        <v>Longest Uncommon Subsequence I</v>
      </c>
      <c r="C522" s="1">
        <v>114</v>
      </c>
      <c r="D522" s="1">
        <v>351</v>
      </c>
      <c r="E522" s="3">
        <f>IF(INDEX(C:C, ROW())+INDEX(D:D, ROW())=0, 0, INDEX(C:C, ROW())/(INDEX(C:C, ROW())+INDEX(D:D, ROW())))</f>
        <v>0.24516129032258063</v>
      </c>
      <c r="F522" s="1" t="s">
        <v>146</v>
      </c>
      <c r="G522" s="1" t="s">
        <v>20</v>
      </c>
      <c r="H522" s="1">
        <v>148607</v>
      </c>
      <c r="I522" s="1">
        <v>239559</v>
      </c>
      <c r="J522" s="7">
        <v>0.62</v>
      </c>
      <c r="K522" s="1" t="s">
        <v>21</v>
      </c>
      <c r="L522" s="1" t="s">
        <v>21</v>
      </c>
      <c r="M522" s="1" t="s">
        <v>29</v>
      </c>
      <c r="N522" s="1" t="s">
        <v>22</v>
      </c>
    </row>
    <row r="523" spans="1:14" x14ac:dyDescent="0.25">
      <c r="A523" s="1">
        <v>522</v>
      </c>
      <c r="B523" s="2" t="str">
        <f>HYPERLINK("https://leetcode.com/problems/longest-uncommon-subsequence-ii/", "Longest Uncommon Subsequence II")</f>
        <v>Longest Uncommon Subsequence II</v>
      </c>
      <c r="C523" s="1">
        <v>555</v>
      </c>
      <c r="D523" s="1">
        <v>1384</v>
      </c>
      <c r="E523" s="3">
        <f>IF(INDEX(C:C, ROW())+INDEX(D:D, ROW())=0, 0, INDEX(C:C, ROW())/(INDEX(C:C, ROW())+INDEX(D:D, ROW())))</f>
        <v>0.28623001547189275</v>
      </c>
      <c r="F523" s="1" t="s">
        <v>872</v>
      </c>
      <c r="G523" s="1" t="s">
        <v>24</v>
      </c>
      <c r="H523" s="1">
        <v>66100</v>
      </c>
      <c r="I523" s="1">
        <v>148725</v>
      </c>
      <c r="J523" s="7">
        <v>0.44400000000000001</v>
      </c>
      <c r="K523" s="1" t="s">
        <v>21</v>
      </c>
      <c r="L523" s="1" t="s">
        <v>29</v>
      </c>
      <c r="M523" s="1" t="s">
        <v>29</v>
      </c>
      <c r="N523" s="1" t="s">
        <v>22</v>
      </c>
    </row>
    <row r="524" spans="1:14" x14ac:dyDescent="0.25">
      <c r="A524" s="1">
        <v>523</v>
      </c>
      <c r="B524" s="2" t="str">
        <f>HYPERLINK("https://leetcode.com/problems/continuous-subarray-sum/", "Continuous Subarray Sum")</f>
        <v>Continuous Subarray Sum</v>
      </c>
      <c r="C524" s="1">
        <v>6911</v>
      </c>
      <c r="D524" s="1">
        <v>717</v>
      </c>
      <c r="E524" s="3">
        <f>IF(INDEX(C:C, ROW())+INDEX(D:D, ROW())=0, 0, INDEX(C:C, ROW())/(INDEX(C:C, ROW())+INDEX(D:D, ROW())))</f>
        <v>0.90600419507079177</v>
      </c>
      <c r="F524" s="1" t="s">
        <v>201</v>
      </c>
      <c r="G524" s="1" t="s">
        <v>24</v>
      </c>
      <c r="H524" s="1">
        <v>752608</v>
      </c>
      <c r="I524" s="1">
        <v>2411047</v>
      </c>
      <c r="J524" s="7">
        <v>0.312</v>
      </c>
      <c r="K524" s="1" t="s">
        <v>21</v>
      </c>
      <c r="L524" s="1" t="s">
        <v>21</v>
      </c>
      <c r="M524" s="1" t="s">
        <v>29</v>
      </c>
      <c r="N524" s="1" t="s">
        <v>22</v>
      </c>
    </row>
    <row r="525" spans="1:14" x14ac:dyDescent="0.25">
      <c r="A525" s="1">
        <v>524</v>
      </c>
      <c r="B525" s="2" t="str">
        <f>HYPERLINK("https://leetcode.com/problems/longest-word-in-dictionary-through-deleting/", "Longest Word in Dictionary through Deleting")</f>
        <v>Longest Word in Dictionary through Deleting</v>
      </c>
      <c r="C525" s="1">
        <v>1862</v>
      </c>
      <c r="D525" s="1">
        <v>365</v>
      </c>
      <c r="E525" s="3">
        <f>IF(INDEX(C:C, ROW())+INDEX(D:D, ROW())=0, 0, INDEX(C:C, ROW())/(INDEX(C:C, ROW())+INDEX(D:D, ROW())))</f>
        <v>0.83610237988325098</v>
      </c>
      <c r="F525" s="1" t="s">
        <v>526</v>
      </c>
      <c r="G525" s="1" t="s">
        <v>24</v>
      </c>
      <c r="H525" s="1">
        <v>181365</v>
      </c>
      <c r="I525" s="1">
        <v>345269</v>
      </c>
      <c r="J525" s="7">
        <v>0.52500000000000002</v>
      </c>
      <c r="K525" s="1" t="s">
        <v>21</v>
      </c>
      <c r="L525" s="1" t="s">
        <v>21</v>
      </c>
      <c r="M525" s="1" t="s">
        <v>29</v>
      </c>
      <c r="N525" s="1" t="s">
        <v>22</v>
      </c>
    </row>
    <row r="526" spans="1:14" x14ac:dyDescent="0.25">
      <c r="A526" s="1">
        <v>525</v>
      </c>
      <c r="B526" s="2" t="str">
        <f>HYPERLINK("https://leetcode.com/problems/contiguous-array/", "Contiguous Array")</f>
        <v>Contiguous Array</v>
      </c>
      <c r="C526" s="1">
        <v>8743</v>
      </c>
      <c r="D526" s="1">
        <v>445</v>
      </c>
      <c r="E526" s="3">
        <f>IF(INDEX(C:C, ROW())+INDEX(D:D, ROW())=0, 0, INDEX(C:C, ROW())/(INDEX(C:C, ROW())+INDEX(D:D, ROW())))</f>
        <v>0.95156726164562477</v>
      </c>
      <c r="F526" s="1" t="s">
        <v>39</v>
      </c>
      <c r="G526" s="1" t="s">
        <v>24</v>
      </c>
      <c r="H526" s="1">
        <v>648746</v>
      </c>
      <c r="I526" s="1">
        <v>1277287</v>
      </c>
      <c r="J526" s="7">
        <v>0.50800000000000001</v>
      </c>
      <c r="K526" s="1" t="s">
        <v>21</v>
      </c>
      <c r="L526" s="1" t="s">
        <v>21</v>
      </c>
      <c r="M526" s="1" t="s">
        <v>29</v>
      </c>
      <c r="N526" s="1" t="s">
        <v>22</v>
      </c>
    </row>
    <row r="527" spans="1:14" x14ac:dyDescent="0.25">
      <c r="A527" s="1">
        <v>526</v>
      </c>
      <c r="B527" s="2" t="str">
        <f>HYPERLINK("https://leetcode.com/problems/beautiful-arrangement/", "Beautiful Arrangement")</f>
        <v>Beautiful Arrangement</v>
      </c>
      <c r="C527" s="1">
        <v>3397</v>
      </c>
      <c r="D527" s="1">
        <v>390</v>
      </c>
      <c r="E527" s="3">
        <f>IF(INDEX(C:C, ROW())+INDEX(D:D, ROW())=0, 0, INDEX(C:C, ROW())/(INDEX(C:C, ROW())+INDEX(D:D, ROW())))</f>
        <v>0.89701610773699503</v>
      </c>
      <c r="F527" s="1" t="s">
        <v>309</v>
      </c>
      <c r="G527" s="1" t="s">
        <v>24</v>
      </c>
      <c r="H527" s="1">
        <v>213215</v>
      </c>
      <c r="I527" s="1">
        <v>329442</v>
      </c>
      <c r="J527" s="7">
        <v>0.64700000000000002</v>
      </c>
      <c r="K527" s="1" t="s">
        <v>21</v>
      </c>
      <c r="L527" s="1" t="s">
        <v>21</v>
      </c>
      <c r="M527" s="1" t="s">
        <v>29</v>
      </c>
      <c r="N527" s="1" t="s">
        <v>22</v>
      </c>
    </row>
    <row r="528" spans="1:14" x14ac:dyDescent="0.25">
      <c r="A528" s="1">
        <v>527</v>
      </c>
      <c r="B528" s="2" t="str">
        <f>HYPERLINK("https://leetcode.com/problems/word-abbreviation/", "Word Abbreviation")</f>
        <v>Word Abbreviation</v>
      </c>
      <c r="C528" s="1">
        <v>405</v>
      </c>
      <c r="D528" s="1">
        <v>299</v>
      </c>
      <c r="E528" s="3">
        <f>IF(INDEX(C:C, ROW())+INDEX(D:D, ROW())=0, 0, INDEX(C:C, ROW())/(INDEX(C:C, ROW())+INDEX(D:D, ROW())))</f>
        <v>0.57528409090909094</v>
      </c>
      <c r="F528" s="1" t="s">
        <v>977</v>
      </c>
      <c r="G528" s="1" t="s">
        <v>28</v>
      </c>
      <c r="H528" s="1">
        <v>33578</v>
      </c>
      <c r="I528" s="1">
        <v>53555</v>
      </c>
      <c r="J528" s="7">
        <v>0.627</v>
      </c>
      <c r="K528" s="1" t="s">
        <v>29</v>
      </c>
      <c r="L528" s="1" t="s">
        <v>21</v>
      </c>
      <c r="M528" s="1" t="s">
        <v>29</v>
      </c>
      <c r="N528" s="1" t="s">
        <v>22</v>
      </c>
    </row>
    <row r="529" spans="1:14" x14ac:dyDescent="0.25">
      <c r="A529" s="1">
        <v>528</v>
      </c>
      <c r="B529" s="2" t="str">
        <f>HYPERLINK("https://leetcode.com/problems/random-pick-with-weight/", "Random Pick with Weight")</f>
        <v>Random Pick with Weight</v>
      </c>
      <c r="C529" s="1">
        <v>2267</v>
      </c>
      <c r="D529" s="1">
        <v>1054</v>
      </c>
      <c r="E529" s="3">
        <f>IF(INDEX(C:C, ROW())+INDEX(D:D, ROW())=0, 0, INDEX(C:C, ROW())/(INDEX(C:C, ROW())+INDEX(D:D, ROW())))</f>
        <v>0.68262571514604031</v>
      </c>
      <c r="F529" s="1" t="s">
        <v>461</v>
      </c>
      <c r="G529" s="1" t="s">
        <v>24</v>
      </c>
      <c r="H529" s="1">
        <v>685221</v>
      </c>
      <c r="I529" s="1">
        <v>1400828</v>
      </c>
      <c r="J529" s="7">
        <v>0.48899999999999999</v>
      </c>
      <c r="K529" s="1" t="s">
        <v>21</v>
      </c>
      <c r="L529" s="1" t="s">
        <v>21</v>
      </c>
      <c r="M529" s="1" t="s">
        <v>29</v>
      </c>
      <c r="N529" s="1" t="s">
        <v>22</v>
      </c>
    </row>
    <row r="530" spans="1:14" x14ac:dyDescent="0.25">
      <c r="A530" s="1">
        <v>529</v>
      </c>
      <c r="B530" s="2" t="str">
        <f>HYPERLINK("https://leetcode.com/problems/minesweeper/", "Minesweeper")</f>
        <v>Minesweeper</v>
      </c>
      <c r="C530" s="1">
        <v>2082</v>
      </c>
      <c r="D530" s="1">
        <v>1088</v>
      </c>
      <c r="E530" s="3">
        <f>IF(INDEX(C:C, ROW())+INDEX(D:D, ROW())=0, 0, INDEX(C:C, ROW())/(INDEX(C:C, ROW())+INDEX(D:D, ROW())))</f>
        <v>0.656782334384858</v>
      </c>
      <c r="F530" s="1" t="s">
        <v>143</v>
      </c>
      <c r="G530" s="1" t="s">
        <v>24</v>
      </c>
      <c r="H530" s="1">
        <v>202093</v>
      </c>
      <c r="I530" s="1">
        <v>294405</v>
      </c>
      <c r="J530" s="7">
        <v>0.68600000000000005</v>
      </c>
      <c r="K530" s="1" t="s">
        <v>21</v>
      </c>
      <c r="L530" s="1" t="s">
        <v>29</v>
      </c>
      <c r="M530" s="1" t="s">
        <v>29</v>
      </c>
      <c r="N530" s="1" t="s">
        <v>22</v>
      </c>
    </row>
    <row r="531" spans="1:14" x14ac:dyDescent="0.25">
      <c r="A531" s="1">
        <v>530</v>
      </c>
      <c r="B531" s="2" t="str">
        <f>HYPERLINK("https://leetcode.com/problems/minimum-absolute-difference-in-bst/", "Minimum Absolute Difference in BST")</f>
        <v>Minimum Absolute Difference in BST</v>
      </c>
      <c r="C531" s="1">
        <v>4729</v>
      </c>
      <c r="D531" s="1">
        <v>272</v>
      </c>
      <c r="E531" s="3">
        <f>IF(INDEX(C:C, ROW())+INDEX(D:D, ROW())=0, 0, INDEX(C:C, ROW())/(INDEX(C:C, ROW())+INDEX(D:D, ROW())))</f>
        <v>0.94561087782443509</v>
      </c>
      <c r="F531" s="1" t="s">
        <v>273</v>
      </c>
      <c r="G531" s="1" t="s">
        <v>20</v>
      </c>
      <c r="H531" s="1">
        <v>596834</v>
      </c>
      <c r="I531" s="1">
        <v>1007860</v>
      </c>
      <c r="J531" s="7">
        <v>0.59199999999999997</v>
      </c>
      <c r="K531" s="1" t="s">
        <v>21</v>
      </c>
      <c r="L531" s="1" t="s">
        <v>21</v>
      </c>
      <c r="M531" s="1" t="s">
        <v>29</v>
      </c>
      <c r="N531" s="1" t="s">
        <v>22</v>
      </c>
    </row>
    <row r="532" spans="1:14" x14ac:dyDescent="0.25">
      <c r="A532" s="1">
        <v>531</v>
      </c>
      <c r="B532" s="2" t="str">
        <f>HYPERLINK("https://leetcode.com/problems/lonely-pixel-i/", "Lonely Pixel I")</f>
        <v>Lonely Pixel I</v>
      </c>
      <c r="C532" s="1">
        <v>451</v>
      </c>
      <c r="D532" s="1">
        <v>41</v>
      </c>
      <c r="E532" s="3">
        <f>IF(INDEX(C:C, ROW())+INDEX(D:D, ROW())=0, 0, INDEX(C:C, ROW())/(INDEX(C:C, ROW())+INDEX(D:D, ROW())))</f>
        <v>0.91666666666666663</v>
      </c>
      <c r="F532" s="1" t="s">
        <v>78</v>
      </c>
      <c r="G532" s="1" t="s">
        <v>24</v>
      </c>
      <c r="H532" s="1">
        <v>47800</v>
      </c>
      <c r="I532" s="1">
        <v>76288</v>
      </c>
      <c r="J532" s="7">
        <v>0.627</v>
      </c>
      <c r="K532" s="1" t="s">
        <v>29</v>
      </c>
      <c r="L532" s="1" t="s">
        <v>21</v>
      </c>
      <c r="M532" s="1" t="s">
        <v>21</v>
      </c>
      <c r="N532" s="1" t="s">
        <v>22</v>
      </c>
    </row>
    <row r="533" spans="1:14" x14ac:dyDescent="0.25">
      <c r="A533" s="1">
        <v>532</v>
      </c>
      <c r="B533" s="2" t="str">
        <f>HYPERLINK("https://leetcode.com/problems/k-diff-pairs-in-an-array/", "K-diff Pairs in an Array")</f>
        <v>K-diff Pairs in an Array</v>
      </c>
      <c r="C533" s="1">
        <v>4143</v>
      </c>
      <c r="D533" s="1">
        <v>2289</v>
      </c>
      <c r="E533" s="3">
        <f>IF(INDEX(C:C, ROW())+INDEX(D:D, ROW())=0, 0, INDEX(C:C, ROW())/(INDEX(C:C, ROW())+INDEX(D:D, ROW())))</f>
        <v>0.64412313432835822</v>
      </c>
      <c r="F533" s="1" t="s">
        <v>167</v>
      </c>
      <c r="G533" s="1" t="s">
        <v>24</v>
      </c>
      <c r="H533" s="1">
        <v>421074</v>
      </c>
      <c r="I533" s="1">
        <v>923063</v>
      </c>
      <c r="J533" s="7">
        <v>0.45600000000000002</v>
      </c>
      <c r="K533" s="1" t="s">
        <v>21</v>
      </c>
      <c r="L533" s="1" t="s">
        <v>21</v>
      </c>
      <c r="M533" s="1" t="s">
        <v>29</v>
      </c>
      <c r="N533" s="1" t="s">
        <v>22</v>
      </c>
    </row>
    <row r="534" spans="1:14" x14ac:dyDescent="0.25">
      <c r="A534" s="1">
        <v>533</v>
      </c>
      <c r="B534" s="2" t="str">
        <f>HYPERLINK("https://leetcode.com/problems/lonely-pixel-ii/", "Lonely Pixel II")</f>
        <v>Lonely Pixel II</v>
      </c>
      <c r="C534" s="1">
        <v>93</v>
      </c>
      <c r="D534" s="1">
        <v>788</v>
      </c>
      <c r="E534" s="3">
        <f>IF(INDEX(C:C, ROW())+INDEX(D:D, ROW())=0, 0, INDEX(C:C, ROW())/(INDEX(C:C, ROW())+INDEX(D:D, ROW())))</f>
        <v>0.10556186152099886</v>
      </c>
      <c r="F534" s="1" t="s">
        <v>78</v>
      </c>
      <c r="G534" s="1" t="s">
        <v>24</v>
      </c>
      <c r="H534" s="1">
        <v>14314</v>
      </c>
      <c r="I534" s="1">
        <v>29299</v>
      </c>
      <c r="J534" s="7">
        <v>0.48899999999999999</v>
      </c>
      <c r="K534" s="1" t="s">
        <v>29</v>
      </c>
      <c r="L534" s="1" t="s">
        <v>29</v>
      </c>
      <c r="M534" s="1" t="s">
        <v>29</v>
      </c>
      <c r="N534" s="1" t="s">
        <v>22</v>
      </c>
    </row>
    <row r="535" spans="1:14" x14ac:dyDescent="0.25">
      <c r="A535" s="1">
        <v>534</v>
      </c>
      <c r="B535" s="2" t="str">
        <f>HYPERLINK("https://leetcode.com/problems/game-play-analysis-iii/", "Game Play Analysis III")</f>
        <v>Game Play Analysis III</v>
      </c>
      <c r="C535" s="1">
        <v>423</v>
      </c>
      <c r="D535" s="1">
        <v>18</v>
      </c>
      <c r="E535" s="3">
        <f>IF(INDEX(C:C, ROW())+INDEX(D:D, ROW())=0, 0, INDEX(C:C, ROW())/(INDEX(C:C, ROW())+INDEX(D:D, ROW())))</f>
        <v>0.95918367346938771</v>
      </c>
      <c r="F535" s="1" t="s">
        <v>297</v>
      </c>
      <c r="G535" s="1" t="s">
        <v>24</v>
      </c>
      <c r="H535" s="1">
        <v>95093</v>
      </c>
      <c r="I535" s="1">
        <v>116963</v>
      </c>
      <c r="J535" s="7">
        <v>0.81299999999999994</v>
      </c>
      <c r="K535" s="1" t="s">
        <v>29</v>
      </c>
      <c r="L535" s="1" t="s">
        <v>21</v>
      </c>
      <c r="M535" s="1" t="s">
        <v>29</v>
      </c>
      <c r="N535" s="1" t="s">
        <v>297</v>
      </c>
    </row>
    <row r="536" spans="1:14" x14ac:dyDescent="0.25">
      <c r="A536" s="1">
        <v>535</v>
      </c>
      <c r="B536" s="2" t="str">
        <f>HYPERLINK("https://leetcode.com/problems/encode-and-decode-tinyurl/", "Encode and Decode TinyURL")</f>
        <v>Encode and Decode TinyURL</v>
      </c>
      <c r="C536" s="1">
        <v>2132</v>
      </c>
      <c r="D536" s="1">
        <v>3816</v>
      </c>
      <c r="E536" s="3">
        <f>IF(INDEX(C:C, ROW())+INDEX(D:D, ROW())=0, 0, INDEX(C:C, ROW())/(INDEX(C:C, ROW())+INDEX(D:D, ROW())))</f>
        <v>0.35843981170141226</v>
      </c>
      <c r="F536" s="1" t="s">
        <v>481</v>
      </c>
      <c r="G536" s="1" t="s">
        <v>24</v>
      </c>
      <c r="H536" s="1">
        <v>306056</v>
      </c>
      <c r="I536" s="1">
        <v>353427</v>
      </c>
      <c r="J536" s="7">
        <v>0.86599999999999999</v>
      </c>
      <c r="K536" s="1" t="s">
        <v>21</v>
      </c>
      <c r="L536" s="1" t="s">
        <v>21</v>
      </c>
      <c r="M536" s="1" t="s">
        <v>29</v>
      </c>
      <c r="N536" s="1" t="s">
        <v>22</v>
      </c>
    </row>
    <row r="537" spans="1:14" x14ac:dyDescent="0.25">
      <c r="A537" s="1">
        <v>536</v>
      </c>
      <c r="B537" s="2" t="str">
        <f>HYPERLINK("https://leetcode.com/problems/construct-binary-tree-from-string/", "Construct Binary Tree from String")</f>
        <v>Construct Binary Tree from String</v>
      </c>
      <c r="C537" s="1">
        <v>1134</v>
      </c>
      <c r="D537" s="1">
        <v>184</v>
      </c>
      <c r="E537" s="3">
        <f>IF(INDEX(C:C, ROW())+INDEX(D:D, ROW())=0, 0, INDEX(C:C, ROW())/(INDEX(C:C, ROW())+INDEX(D:D, ROW())))</f>
        <v>0.86039453717754177</v>
      </c>
      <c r="F537" s="1" t="s">
        <v>676</v>
      </c>
      <c r="G537" s="1" t="s">
        <v>24</v>
      </c>
      <c r="H537" s="1">
        <v>126719</v>
      </c>
      <c r="I537" s="1">
        <v>215931</v>
      </c>
      <c r="J537" s="7">
        <v>0.58699999999999997</v>
      </c>
      <c r="K537" s="1" t="s">
        <v>29</v>
      </c>
      <c r="L537" s="1" t="s">
        <v>21</v>
      </c>
      <c r="M537" s="1" t="s">
        <v>29</v>
      </c>
      <c r="N537" s="1" t="s">
        <v>22</v>
      </c>
    </row>
    <row r="538" spans="1:14" x14ac:dyDescent="0.25">
      <c r="A538" s="1">
        <v>537</v>
      </c>
      <c r="B538" s="2" t="str">
        <f>HYPERLINK("https://leetcode.com/problems/complex-number-multiplication/", "Complex Number Multiplication")</f>
        <v>Complex Number Multiplication</v>
      </c>
      <c r="C538" s="1">
        <v>755</v>
      </c>
      <c r="D538" s="1">
        <v>1257</v>
      </c>
      <c r="E538" s="3">
        <f>IF(INDEX(C:C, ROW())+INDEX(D:D, ROW())=0, 0, INDEX(C:C, ROW())/(INDEX(C:C, ROW())+INDEX(D:D, ROW())))</f>
        <v>0.37524850894632206</v>
      </c>
      <c r="F538" s="1" t="s">
        <v>178</v>
      </c>
      <c r="G538" s="1" t="s">
        <v>24</v>
      </c>
      <c r="H538" s="1">
        <v>111909</v>
      </c>
      <c r="I538" s="1">
        <v>152967</v>
      </c>
      <c r="J538" s="7">
        <v>0.73199999999999998</v>
      </c>
      <c r="K538" s="1" t="s">
        <v>21</v>
      </c>
      <c r="L538" s="1" t="s">
        <v>21</v>
      </c>
      <c r="M538" s="1" t="s">
        <v>29</v>
      </c>
      <c r="N538" s="1" t="s">
        <v>22</v>
      </c>
    </row>
    <row r="539" spans="1:14" x14ac:dyDescent="0.25">
      <c r="A539" s="1">
        <v>538</v>
      </c>
      <c r="B539" s="2" t="str">
        <f>HYPERLINK("https://leetcode.com/problems/convert-bst-to-greater-tree/", "Convert BST to Greater Tree")</f>
        <v>Convert BST to Greater Tree</v>
      </c>
      <c r="C539" s="1">
        <v>5403</v>
      </c>
      <c r="D539" s="1">
        <v>183</v>
      </c>
      <c r="E539" s="3">
        <f>IF(INDEX(C:C, ROW())+INDEX(D:D, ROW())=0, 0, INDEX(C:C, ROW())/(INDEX(C:C, ROW())+INDEX(D:D, ROW())))</f>
        <v>0.96723952738990338</v>
      </c>
      <c r="F539" s="1" t="s">
        <v>69</v>
      </c>
      <c r="G539" s="1" t="s">
        <v>24</v>
      </c>
      <c r="H539" s="1">
        <v>351284</v>
      </c>
      <c r="I539" s="1">
        <v>492111</v>
      </c>
      <c r="J539" s="7">
        <v>0.71399999999999997</v>
      </c>
      <c r="K539" s="1" t="s">
        <v>21</v>
      </c>
      <c r="L539" s="1" t="s">
        <v>21</v>
      </c>
      <c r="M539" s="1" t="s">
        <v>29</v>
      </c>
      <c r="N539" s="1" t="s">
        <v>22</v>
      </c>
    </row>
    <row r="540" spans="1:14" x14ac:dyDescent="0.25">
      <c r="A540" s="1">
        <v>539</v>
      </c>
      <c r="B540" s="2" t="str">
        <f>HYPERLINK("https://leetcode.com/problems/minimum-time-difference/", "Minimum Time Difference")</f>
        <v>Minimum Time Difference</v>
      </c>
      <c r="C540" s="1">
        <v>2602</v>
      </c>
      <c r="D540" s="1">
        <v>320</v>
      </c>
      <c r="E540" s="3">
        <f>IF(INDEX(C:C, ROW())+INDEX(D:D, ROW())=0, 0, INDEX(C:C, ROW())/(INDEX(C:C, ROW())+INDEX(D:D, ROW())))</f>
        <v>0.89048596851471595</v>
      </c>
      <c r="F540" s="1" t="s">
        <v>411</v>
      </c>
      <c r="G540" s="1" t="s">
        <v>24</v>
      </c>
      <c r="H540" s="1">
        <v>344515</v>
      </c>
      <c r="I540" s="1">
        <v>550795</v>
      </c>
      <c r="J540" s="7">
        <v>0.625</v>
      </c>
      <c r="K540" s="1" t="s">
        <v>21</v>
      </c>
      <c r="L540" s="1" t="s">
        <v>21</v>
      </c>
      <c r="M540" s="1" t="s">
        <v>29</v>
      </c>
      <c r="N540" s="1" t="s">
        <v>22</v>
      </c>
    </row>
    <row r="541" spans="1:14" x14ac:dyDescent="0.25">
      <c r="A541" s="1">
        <v>540</v>
      </c>
      <c r="B541" s="2" t="str">
        <f>HYPERLINK("https://leetcode.com/problems/single-element-in-a-sorted-array/", "Single Element in a Sorted Array")</f>
        <v>Single Element in a Sorted Array</v>
      </c>
      <c r="C541" s="1">
        <v>12881</v>
      </c>
      <c r="D541" s="1">
        <v>241</v>
      </c>
      <c r="E541" s="3">
        <f>IF(INDEX(C:C, ROW())+INDEX(D:D, ROW())=0, 0, INDEX(C:C, ROW())/(INDEX(C:C, ROW())+INDEX(D:D, ROW())))</f>
        <v>0.98163389727175732</v>
      </c>
      <c r="F541" s="1" t="s">
        <v>35</v>
      </c>
      <c r="G541" s="1" t="s">
        <v>24</v>
      </c>
      <c r="H541" s="1">
        <v>1157992</v>
      </c>
      <c r="I541" s="1">
        <v>1955738</v>
      </c>
      <c r="J541" s="7">
        <v>0.59199999999999997</v>
      </c>
      <c r="K541" s="1" t="s">
        <v>21</v>
      </c>
      <c r="L541" s="1" t="s">
        <v>21</v>
      </c>
      <c r="M541" s="1" t="s">
        <v>29</v>
      </c>
      <c r="N541" s="1" t="s">
        <v>22</v>
      </c>
    </row>
    <row r="542" spans="1:14" x14ac:dyDescent="0.25">
      <c r="A542" s="1">
        <v>541</v>
      </c>
      <c r="B542" s="2" t="str">
        <f>HYPERLINK("https://leetcode.com/problems/reverse-string-ii/", "Reverse String II")</f>
        <v>Reverse String II</v>
      </c>
      <c r="C542" s="1">
        <v>2330</v>
      </c>
      <c r="D542" s="1">
        <v>4410</v>
      </c>
      <c r="E542" s="3">
        <f>IF(INDEX(C:C, ROW())+INDEX(D:D, ROW())=0, 0, INDEX(C:C, ROW())/(INDEX(C:C, ROW())+INDEX(D:D, ROW())))</f>
        <v>0.3456973293768546</v>
      </c>
      <c r="F542" s="1" t="s">
        <v>117</v>
      </c>
      <c r="G542" s="1" t="s">
        <v>20</v>
      </c>
      <c r="H542" s="1">
        <v>371305</v>
      </c>
      <c r="I542" s="1">
        <v>695924</v>
      </c>
      <c r="J542" s="7">
        <v>0.53400000000000003</v>
      </c>
      <c r="K542" s="1" t="s">
        <v>21</v>
      </c>
      <c r="L542" s="1" t="s">
        <v>21</v>
      </c>
      <c r="M542" s="1" t="s">
        <v>29</v>
      </c>
      <c r="N542" s="1" t="s">
        <v>22</v>
      </c>
    </row>
    <row r="543" spans="1:14" x14ac:dyDescent="0.25">
      <c r="A543" s="1">
        <v>542</v>
      </c>
      <c r="B543" s="2" t="str">
        <f>HYPERLINK("https://leetcode.com/problems/01-matrix/", "01 Matrix")</f>
        <v>01 Matrix</v>
      </c>
      <c r="C543" s="1">
        <v>10662</v>
      </c>
      <c r="D543" s="1">
        <v>451</v>
      </c>
      <c r="E543" s="3">
        <f>IF(INDEX(C:C, ROW())+INDEX(D:D, ROW())=0, 0, INDEX(C:C, ROW())/(INDEX(C:C, ROW())+INDEX(D:D, ROW())))</f>
        <v>0.95941689912714834</v>
      </c>
      <c r="F543" s="1" t="s">
        <v>127</v>
      </c>
      <c r="G543" s="1" t="s">
        <v>24</v>
      </c>
      <c r="H543" s="1">
        <v>870887</v>
      </c>
      <c r="I543" s="1">
        <v>1633050</v>
      </c>
      <c r="J543" s="7">
        <v>0.53300000000000003</v>
      </c>
      <c r="K543" s="1" t="s">
        <v>21</v>
      </c>
      <c r="L543" s="1" t="s">
        <v>21</v>
      </c>
      <c r="M543" s="1" t="s">
        <v>29</v>
      </c>
      <c r="N543" s="1" t="s">
        <v>22</v>
      </c>
    </row>
    <row r="544" spans="1:14" x14ac:dyDescent="0.25">
      <c r="A544" s="1">
        <v>543</v>
      </c>
      <c r="B544" s="2" t="str">
        <f>HYPERLINK("https://leetcode.com/problems/diameter-of-binary-tree/", "Diameter of Binary Tree")</f>
        <v>Diameter of Binary Tree</v>
      </c>
      <c r="C544" s="1">
        <v>15529</v>
      </c>
      <c r="D544" s="1">
        <v>1232</v>
      </c>
      <c r="E544" s="3">
        <f>IF(INDEX(C:C, ROW())+INDEX(D:D, ROW())=0, 0, INDEX(C:C, ROW())/(INDEX(C:C, ROW())+INDEX(D:D, ROW())))</f>
        <v>0.9264960324562973</v>
      </c>
      <c r="F544" s="1" t="s">
        <v>67</v>
      </c>
      <c r="G544" s="1" t="s">
        <v>20</v>
      </c>
      <c r="H544" s="1">
        <v>2406457</v>
      </c>
      <c r="I544" s="1">
        <v>3699077</v>
      </c>
      <c r="J544" s="7">
        <v>0.65100000000000002</v>
      </c>
      <c r="K544" s="1" t="s">
        <v>21</v>
      </c>
      <c r="L544" s="1" t="s">
        <v>21</v>
      </c>
      <c r="M544" s="1" t="s">
        <v>29</v>
      </c>
      <c r="N544" s="1" t="s">
        <v>22</v>
      </c>
    </row>
    <row r="545" spans="1:14" x14ac:dyDescent="0.25">
      <c r="A545" s="1">
        <v>544</v>
      </c>
      <c r="B545" s="2" t="str">
        <f>HYPERLINK("https://leetcode.com/problems/output-contest-matches/", "Output Contest Matches")</f>
        <v>Output Contest Matches</v>
      </c>
      <c r="C545" s="1">
        <v>398</v>
      </c>
      <c r="D545" s="1">
        <v>140</v>
      </c>
      <c r="E545" s="3">
        <f>IF(INDEX(C:C, ROW())+INDEX(D:D, ROW())=0, 0, INDEX(C:C, ROW())/(INDEX(C:C, ROW())+INDEX(D:D, ROW())))</f>
        <v>0.7397769516728625</v>
      </c>
      <c r="F545" s="1" t="s">
        <v>583</v>
      </c>
      <c r="G545" s="1" t="s">
        <v>24</v>
      </c>
      <c r="H545" s="1">
        <v>28400</v>
      </c>
      <c r="I545" s="1">
        <v>36636</v>
      </c>
      <c r="J545" s="7">
        <v>0.77500000000000002</v>
      </c>
      <c r="K545" s="1" t="s">
        <v>29</v>
      </c>
      <c r="L545" s="1" t="s">
        <v>21</v>
      </c>
      <c r="M545" s="1" t="s">
        <v>29</v>
      </c>
      <c r="N545" s="1" t="s">
        <v>22</v>
      </c>
    </row>
    <row r="546" spans="1:14" x14ac:dyDescent="0.25">
      <c r="A546" s="1">
        <v>545</v>
      </c>
      <c r="B546" s="2" t="str">
        <f>HYPERLINK("https://leetcode.com/problems/boundary-of-binary-tree/", "Boundary of Binary Tree")</f>
        <v>Boundary of Binary Tree</v>
      </c>
      <c r="C546" s="1">
        <v>1412</v>
      </c>
      <c r="D546" s="1">
        <v>2341</v>
      </c>
      <c r="E546" s="3">
        <f>IF(INDEX(C:C, ROW())+INDEX(D:D, ROW())=0, 0, INDEX(C:C, ROW())/(INDEX(C:C, ROW())+INDEX(D:D, ROW())))</f>
        <v>0.37623234745536904</v>
      </c>
      <c r="F546" s="1" t="s">
        <v>67</v>
      </c>
      <c r="G546" s="1" t="s">
        <v>24</v>
      </c>
      <c r="H546" s="1">
        <v>172532</v>
      </c>
      <c r="I546" s="1">
        <v>360391</v>
      </c>
      <c r="J546" s="7">
        <v>0.47899999999999998</v>
      </c>
      <c r="K546" s="1" t="s">
        <v>29</v>
      </c>
      <c r="L546" s="1" t="s">
        <v>21</v>
      </c>
      <c r="M546" s="1" t="s">
        <v>29</v>
      </c>
      <c r="N546" s="1" t="s">
        <v>22</v>
      </c>
    </row>
    <row r="547" spans="1:14" x14ac:dyDescent="0.25">
      <c r="A547" s="1">
        <v>546</v>
      </c>
      <c r="B547" s="2" t="str">
        <f>HYPERLINK("https://leetcode.com/problems/remove-boxes/", "Remove Boxes")</f>
        <v>Remove Boxes</v>
      </c>
      <c r="C547" s="1">
        <v>2459</v>
      </c>
      <c r="D547" s="1">
        <v>136</v>
      </c>
      <c r="E547" s="3">
        <f>IF(INDEX(C:C, ROW())+INDEX(D:D, ROW())=0, 0, INDEX(C:C, ROW())/(INDEX(C:C, ROW())+INDEX(D:D, ROW())))</f>
        <v>0.94759152215799614</v>
      </c>
      <c r="F547" s="1" t="s">
        <v>434</v>
      </c>
      <c r="G547" s="1" t="s">
        <v>28</v>
      </c>
      <c r="H547" s="1">
        <v>60947</v>
      </c>
      <c r="I547" s="1">
        <v>123527</v>
      </c>
      <c r="J547" s="7">
        <v>0.49299999999999999</v>
      </c>
      <c r="K547" s="1" t="s">
        <v>21</v>
      </c>
      <c r="L547" s="1" t="s">
        <v>21</v>
      </c>
      <c r="M547" s="1" t="s">
        <v>29</v>
      </c>
      <c r="N547" s="1" t="s">
        <v>22</v>
      </c>
    </row>
    <row r="548" spans="1:14" x14ac:dyDescent="0.25">
      <c r="A548" s="1">
        <v>547</v>
      </c>
      <c r="B548" s="2" t="str">
        <f>HYPERLINK("https://leetcode.com/problems/number-of-provinces/", "Number of Provinces")</f>
        <v>Number of Provinces</v>
      </c>
      <c r="C548" s="1">
        <v>11042</v>
      </c>
      <c r="D548" s="1">
        <v>420</v>
      </c>
      <c r="E548" s="3">
        <f>IF(INDEX(C:C, ROW())+INDEX(D:D, ROW())=0, 0, INDEX(C:C, ROW())/(INDEX(C:C, ROW())+INDEX(D:D, ROW())))</f>
        <v>0.96335718024777528</v>
      </c>
      <c r="F548" s="1" t="s">
        <v>122</v>
      </c>
      <c r="G548" s="1" t="s">
        <v>24</v>
      </c>
      <c r="H548" s="1">
        <v>1465609</v>
      </c>
      <c r="I548" s="1">
        <v>2094409</v>
      </c>
      <c r="J548" s="7">
        <v>0.7</v>
      </c>
      <c r="K548" s="1" t="s">
        <v>21</v>
      </c>
      <c r="L548" s="1" t="s">
        <v>21</v>
      </c>
      <c r="M548" s="1" t="s">
        <v>29</v>
      </c>
      <c r="N548" s="1" t="s">
        <v>22</v>
      </c>
    </row>
    <row r="549" spans="1:14" x14ac:dyDescent="0.25">
      <c r="A549" s="1">
        <v>548</v>
      </c>
      <c r="B549" s="2" t="str">
        <f>HYPERLINK("https://leetcode.com/problems/split-array-with-equal-sum/", "Split Array with Equal Sum")</f>
        <v>Split Array with Equal Sum</v>
      </c>
      <c r="C549" s="1">
        <v>418</v>
      </c>
      <c r="D549" s="1">
        <v>132</v>
      </c>
      <c r="E549" s="3">
        <f>IF(INDEX(C:C, ROW())+INDEX(D:D, ROW())=0, 0, INDEX(C:C, ROW())/(INDEX(C:C, ROW())+INDEX(D:D, ROW())))</f>
        <v>0.76</v>
      </c>
      <c r="F549" s="1" t="s">
        <v>39</v>
      </c>
      <c r="G549" s="1" t="s">
        <v>28</v>
      </c>
      <c r="H549" s="1">
        <v>24938</v>
      </c>
      <c r="I549" s="1">
        <v>49798</v>
      </c>
      <c r="J549" s="7">
        <v>0.501</v>
      </c>
      <c r="K549" s="1" t="s">
        <v>29</v>
      </c>
      <c r="L549" s="1" t="s">
        <v>21</v>
      </c>
      <c r="M549" s="1" t="s">
        <v>29</v>
      </c>
      <c r="N549" s="1" t="s">
        <v>22</v>
      </c>
    </row>
    <row r="550" spans="1:14" x14ac:dyDescent="0.25">
      <c r="A550" s="1">
        <v>549</v>
      </c>
      <c r="B550" s="2" t="str">
        <f>HYPERLINK("https://leetcode.com/problems/binary-tree-longest-consecutive-sequence-ii/", "Binary Tree Longest Consecutive Sequence II")</f>
        <v>Binary Tree Longest Consecutive Sequence II</v>
      </c>
      <c r="C550" s="1">
        <v>1202</v>
      </c>
      <c r="D550" s="1">
        <v>103</v>
      </c>
      <c r="E550" s="3">
        <f>IF(INDEX(C:C, ROW())+INDEX(D:D, ROW())=0, 0, INDEX(C:C, ROW())/(INDEX(C:C, ROW())+INDEX(D:D, ROW())))</f>
        <v>0.92107279693486588</v>
      </c>
      <c r="F550" s="1" t="s">
        <v>67</v>
      </c>
      <c r="G550" s="1" t="s">
        <v>24</v>
      </c>
      <c r="H550" s="1">
        <v>61666</v>
      </c>
      <c r="I550" s="1">
        <v>123356</v>
      </c>
      <c r="J550" s="7">
        <v>0.5</v>
      </c>
      <c r="K550" s="1" t="s">
        <v>29</v>
      </c>
      <c r="L550" s="1" t="s">
        <v>21</v>
      </c>
      <c r="M550" s="1" t="s">
        <v>29</v>
      </c>
      <c r="N550" s="1" t="s">
        <v>22</v>
      </c>
    </row>
    <row r="551" spans="1:14" x14ac:dyDescent="0.25">
      <c r="A551" s="1">
        <v>550</v>
      </c>
      <c r="B551" s="2" t="str">
        <f>HYPERLINK("https://leetcode.com/problems/game-play-analysis-iv/", "Game Play Analysis IV")</f>
        <v>Game Play Analysis IV</v>
      </c>
      <c r="C551" s="1">
        <v>1467</v>
      </c>
      <c r="D551" s="1">
        <v>248</v>
      </c>
      <c r="E551" s="3">
        <f>IF(INDEX(C:C, ROW())+INDEX(D:D, ROW())=0, 0, INDEX(C:C, ROW())/(INDEX(C:C, ROW())+INDEX(D:D, ROW())))</f>
        <v>0.85539358600583093</v>
      </c>
      <c r="F551" s="1" t="s">
        <v>297</v>
      </c>
      <c r="G551" s="1" t="s">
        <v>24</v>
      </c>
      <c r="H551" s="1">
        <v>435104</v>
      </c>
      <c r="I551" s="1">
        <v>1068682</v>
      </c>
      <c r="J551" s="7">
        <v>0.40699999999999997</v>
      </c>
      <c r="K551" s="1" t="s">
        <v>21</v>
      </c>
      <c r="L551" s="1" t="s">
        <v>21</v>
      </c>
      <c r="M551" s="1" t="s">
        <v>29</v>
      </c>
      <c r="N551" s="1" t="s">
        <v>297</v>
      </c>
    </row>
    <row r="552" spans="1:14" x14ac:dyDescent="0.25">
      <c r="A552" s="1">
        <v>551</v>
      </c>
      <c r="B552" s="2" t="str">
        <f>HYPERLINK("https://leetcode.com/problems/student-attendance-record-i/", "Student Attendance Record I")</f>
        <v>Student Attendance Record I</v>
      </c>
      <c r="C552" s="1">
        <v>853</v>
      </c>
      <c r="D552" s="1">
        <v>57</v>
      </c>
      <c r="E552" s="3">
        <f>IF(INDEX(C:C, ROW())+INDEX(D:D, ROW())=0, 0, INDEX(C:C, ROW())/(INDEX(C:C, ROW())+INDEX(D:D, ROW())))</f>
        <v>0.93736263736263736</v>
      </c>
      <c r="F552" s="1" t="s">
        <v>146</v>
      </c>
      <c r="G552" s="1" t="s">
        <v>20</v>
      </c>
      <c r="H552" s="1">
        <v>282853</v>
      </c>
      <c r="I552" s="1">
        <v>565674</v>
      </c>
      <c r="J552" s="7">
        <v>0.5</v>
      </c>
      <c r="K552" s="1" t="s">
        <v>21</v>
      </c>
      <c r="L552" s="1" t="s">
        <v>21</v>
      </c>
      <c r="M552" s="1" t="s">
        <v>29</v>
      </c>
      <c r="N552" s="1" t="s">
        <v>22</v>
      </c>
    </row>
    <row r="553" spans="1:14" x14ac:dyDescent="0.25">
      <c r="A553" s="1">
        <v>552</v>
      </c>
      <c r="B553" s="2" t="str">
        <f>HYPERLINK("https://leetcode.com/problems/student-attendance-record-ii/", "Student Attendance Record II")</f>
        <v>Student Attendance Record II</v>
      </c>
      <c r="C553" s="1">
        <v>2359</v>
      </c>
      <c r="D553" s="1">
        <v>290</v>
      </c>
      <c r="E553" s="3">
        <f>IF(INDEX(C:C, ROW())+INDEX(D:D, ROW())=0, 0, INDEX(C:C, ROW())/(INDEX(C:C, ROW())+INDEX(D:D, ROW())))</f>
        <v>0.89052472631181578</v>
      </c>
      <c r="F553" s="1" t="s">
        <v>251</v>
      </c>
      <c r="G553" s="1" t="s">
        <v>28</v>
      </c>
      <c r="H553" s="1">
        <v>156803</v>
      </c>
      <c r="I553" s="1">
        <v>278143</v>
      </c>
      <c r="J553" s="7">
        <v>0.56399999999999995</v>
      </c>
      <c r="K553" s="1" t="s">
        <v>21</v>
      </c>
      <c r="L553" s="1" t="s">
        <v>21</v>
      </c>
      <c r="M553" s="1" t="s">
        <v>29</v>
      </c>
      <c r="N553" s="1" t="s">
        <v>22</v>
      </c>
    </row>
    <row r="554" spans="1:14" x14ac:dyDescent="0.25">
      <c r="A554" s="1">
        <v>553</v>
      </c>
      <c r="B554" s="2" t="str">
        <f>HYPERLINK("https://leetcode.com/problems/optimal-division/", "Optimal Division")</f>
        <v>Optimal Division</v>
      </c>
      <c r="C554" s="1">
        <v>419</v>
      </c>
      <c r="D554" s="1">
        <v>1636</v>
      </c>
      <c r="E554" s="3">
        <f>IF(INDEX(C:C, ROW())+INDEX(D:D, ROW())=0, 0, INDEX(C:C, ROW())/(INDEX(C:C, ROW())+INDEX(D:D, ROW())))</f>
        <v>0.20389294403892944</v>
      </c>
      <c r="F554" s="1" t="s">
        <v>457</v>
      </c>
      <c r="G554" s="1" t="s">
        <v>24</v>
      </c>
      <c r="H554" s="1">
        <v>50770</v>
      </c>
      <c r="I554" s="1">
        <v>80906</v>
      </c>
      <c r="J554" s="7">
        <v>0.628</v>
      </c>
      <c r="K554" s="1" t="s">
        <v>21</v>
      </c>
      <c r="L554" s="1" t="s">
        <v>21</v>
      </c>
      <c r="M554" s="1" t="s">
        <v>29</v>
      </c>
      <c r="N554" s="1" t="s">
        <v>22</v>
      </c>
    </row>
    <row r="555" spans="1:14" x14ac:dyDescent="0.25">
      <c r="A555" s="1">
        <v>554</v>
      </c>
      <c r="B555" s="2" t="str">
        <f>HYPERLINK("https://leetcode.com/problems/brick-wall/", "Brick Wall")</f>
        <v>Brick Wall</v>
      </c>
      <c r="C555" s="1">
        <v>2665</v>
      </c>
      <c r="D555" s="1">
        <v>186</v>
      </c>
      <c r="E555" s="3">
        <f>IF(INDEX(C:C, ROW())+INDEX(D:D, ROW())=0, 0, INDEX(C:C, ROW())/(INDEX(C:C, ROW())+INDEX(D:D, ROW())))</f>
        <v>0.9347597334268678</v>
      </c>
      <c r="F555" s="1" t="s">
        <v>19</v>
      </c>
      <c r="G555" s="1" t="s">
        <v>24</v>
      </c>
      <c r="H555" s="1">
        <v>169297</v>
      </c>
      <c r="I555" s="1">
        <v>302302</v>
      </c>
      <c r="J555" s="7">
        <v>0.56000000000000005</v>
      </c>
      <c r="K555" s="1" t="s">
        <v>21</v>
      </c>
      <c r="L555" s="1" t="s">
        <v>21</v>
      </c>
      <c r="M555" s="1" t="s">
        <v>21</v>
      </c>
      <c r="N555" s="1" t="s">
        <v>22</v>
      </c>
    </row>
    <row r="556" spans="1:14" x14ac:dyDescent="0.25">
      <c r="A556" s="1">
        <v>555</v>
      </c>
      <c r="B556" s="2" t="str">
        <f>HYPERLINK("https://leetcode.com/problems/split-concatenated-strings/", "Split Concatenated Strings")</f>
        <v>Split Concatenated Strings</v>
      </c>
      <c r="C556" s="1">
        <v>80</v>
      </c>
      <c r="D556" s="1">
        <v>265</v>
      </c>
      <c r="E556" s="3">
        <f>IF(INDEX(C:C, ROW())+INDEX(D:D, ROW())=0, 0, INDEX(C:C, ROW())/(INDEX(C:C, ROW())+INDEX(D:D, ROW())))</f>
        <v>0.2318840579710145</v>
      </c>
      <c r="F556" s="1" t="s">
        <v>706</v>
      </c>
      <c r="G556" s="1" t="s">
        <v>24</v>
      </c>
      <c r="H556" s="1">
        <v>7470</v>
      </c>
      <c r="I556" s="1">
        <v>17147</v>
      </c>
      <c r="J556" s="7">
        <v>0.436</v>
      </c>
      <c r="K556" s="1" t="s">
        <v>29</v>
      </c>
      <c r="L556" s="1" t="s">
        <v>29</v>
      </c>
      <c r="M556" s="1" t="s">
        <v>29</v>
      </c>
      <c r="N556" s="1" t="s">
        <v>22</v>
      </c>
    </row>
    <row r="557" spans="1:14" x14ac:dyDescent="0.25">
      <c r="A557" s="1">
        <v>556</v>
      </c>
      <c r="B557" s="2" t="str">
        <f>HYPERLINK("https://leetcode.com/problems/next-greater-element-iii/", "Next Greater Element III")</f>
        <v>Next Greater Element III</v>
      </c>
      <c r="C557" s="1">
        <v>3930</v>
      </c>
      <c r="D557" s="1">
        <v>495</v>
      </c>
      <c r="E557" s="3">
        <f>IF(INDEX(C:C, ROW())+INDEX(D:D, ROW())=0, 0, INDEX(C:C, ROW())/(INDEX(C:C, ROW())+INDEX(D:D, ROW())))</f>
        <v>0.88813559322033897</v>
      </c>
      <c r="F557" s="1" t="s">
        <v>312</v>
      </c>
      <c r="G557" s="1" t="s">
        <v>24</v>
      </c>
      <c r="H557" s="1">
        <v>205647</v>
      </c>
      <c r="I557" s="1">
        <v>585036</v>
      </c>
      <c r="J557" s="7">
        <v>0.35199999999999998</v>
      </c>
      <c r="K557" s="1" t="s">
        <v>21</v>
      </c>
      <c r="L557" s="1" t="s">
        <v>21</v>
      </c>
      <c r="M557" s="1" t="s">
        <v>29</v>
      </c>
      <c r="N557" s="1" t="s">
        <v>22</v>
      </c>
    </row>
    <row r="558" spans="1:14" x14ac:dyDescent="0.25">
      <c r="A558" s="1">
        <v>557</v>
      </c>
      <c r="B558" s="2" t="str">
        <f>HYPERLINK("https://leetcode.com/problems/reverse-words-in-a-string-iii/", "Reverse Words in a String III")</f>
        <v>Reverse Words in a String III</v>
      </c>
      <c r="C558" s="1">
        <v>6198</v>
      </c>
      <c r="D558" s="1">
        <v>256</v>
      </c>
      <c r="E558" s="3">
        <f>IF(INDEX(C:C, ROW())+INDEX(D:D, ROW())=0, 0, INDEX(C:C, ROW())/(INDEX(C:C, ROW())+INDEX(D:D, ROW())))</f>
        <v>0.96033467616981716</v>
      </c>
      <c r="F558" s="1" t="s">
        <v>117</v>
      </c>
      <c r="G558" s="1" t="s">
        <v>20</v>
      </c>
      <c r="H558" s="1">
        <v>1113919</v>
      </c>
      <c r="I558" s="1">
        <v>1327169</v>
      </c>
      <c r="J558" s="7">
        <v>0.83899999999999997</v>
      </c>
      <c r="K558" s="1" t="s">
        <v>21</v>
      </c>
      <c r="L558" s="1" t="s">
        <v>21</v>
      </c>
      <c r="M558" s="1" t="s">
        <v>29</v>
      </c>
      <c r="N558" s="1" t="s">
        <v>22</v>
      </c>
    </row>
    <row r="559" spans="1:14" x14ac:dyDescent="0.25">
      <c r="A559" s="1">
        <v>558</v>
      </c>
      <c r="B559" s="2" t="str">
        <f>HYPERLINK("https://leetcode.com/problems/logical-or-of-two-binary-grids-represented-as-quad-trees/", "Logical OR of Two Binary Grids Represented as Quad-Trees")</f>
        <v>Logical OR of Two Binary Grids Represented as Quad-Trees</v>
      </c>
      <c r="C559" s="1">
        <v>204</v>
      </c>
      <c r="D559" s="1">
        <v>482</v>
      </c>
      <c r="E559" s="3">
        <f>IF(INDEX(C:C, ROW())+INDEX(D:D, ROW())=0, 0, INDEX(C:C, ROW())/(INDEX(C:C, ROW())+INDEX(D:D, ROW())))</f>
        <v>0.29737609329446063</v>
      </c>
      <c r="F559" s="1" t="s">
        <v>1094</v>
      </c>
      <c r="G559" s="1" t="s">
        <v>24</v>
      </c>
      <c r="H559" s="1">
        <v>19235</v>
      </c>
      <c r="I559" s="1">
        <v>36724</v>
      </c>
      <c r="J559" s="7">
        <v>0.52400000000000002</v>
      </c>
      <c r="K559" s="1" t="s">
        <v>21</v>
      </c>
      <c r="L559" s="1" t="s">
        <v>29</v>
      </c>
      <c r="M559" s="1" t="s">
        <v>29</v>
      </c>
      <c r="N559" s="1" t="s">
        <v>22</v>
      </c>
    </row>
    <row r="560" spans="1:14" x14ac:dyDescent="0.25">
      <c r="A560" s="1">
        <v>559</v>
      </c>
      <c r="B560" s="2" t="str">
        <f>HYPERLINK("https://leetcode.com/problems/maximum-depth-of-n-ary-tree/", "Maximum Depth of N-ary Tree")</f>
        <v>Maximum Depth of N-ary Tree</v>
      </c>
      <c r="C560" s="1">
        <v>2865</v>
      </c>
      <c r="D560" s="1">
        <v>97</v>
      </c>
      <c r="E560" s="3">
        <f>IF(INDEX(C:C, ROW())+INDEX(D:D, ROW())=0, 0, INDEX(C:C, ROW())/(INDEX(C:C, ROW())+INDEX(D:D, ROW())))</f>
        <v>0.96725185685347737</v>
      </c>
      <c r="F560" s="1" t="s">
        <v>300</v>
      </c>
      <c r="G560" s="1" t="s">
        <v>20</v>
      </c>
      <c r="H560" s="1">
        <v>350322</v>
      </c>
      <c r="I560" s="1">
        <v>477014</v>
      </c>
      <c r="J560" s="7">
        <v>0.73399999999999999</v>
      </c>
      <c r="K560" s="1" t="s">
        <v>21</v>
      </c>
      <c r="L560" s="1" t="s">
        <v>21</v>
      </c>
      <c r="M560" s="1" t="s">
        <v>29</v>
      </c>
      <c r="N560" s="1" t="s">
        <v>22</v>
      </c>
    </row>
    <row r="561" spans="1:14" x14ac:dyDescent="0.25">
      <c r="A561" s="1">
        <v>560</v>
      </c>
      <c r="B561" s="2" t="str">
        <f>HYPERLINK("https://leetcode.com/problems/subarray-sum-equals-k/", "Subarray Sum Equals K")</f>
        <v>Subarray Sum Equals K</v>
      </c>
      <c r="C561" s="1">
        <v>24798</v>
      </c>
      <c r="D561" s="1">
        <v>841</v>
      </c>
      <c r="E561" s="3">
        <f>IF(INDEX(C:C, ROW())+INDEX(D:D, ROW())=0, 0, INDEX(C:C, ROW())/(INDEX(C:C, ROW())+INDEX(D:D, ROW())))</f>
        <v>0.9671984086742853</v>
      </c>
      <c r="F561" s="1" t="s">
        <v>39</v>
      </c>
      <c r="G561" s="1" t="s">
        <v>24</v>
      </c>
      <c r="H561" s="1">
        <v>2287543</v>
      </c>
      <c r="I561" s="1">
        <v>4887492</v>
      </c>
      <c r="J561" s="7">
        <v>0.46800000000000003</v>
      </c>
      <c r="K561" s="1" t="s">
        <v>21</v>
      </c>
      <c r="L561" s="1" t="s">
        <v>21</v>
      </c>
      <c r="M561" s="1" t="s">
        <v>21</v>
      </c>
      <c r="N561" s="1" t="s">
        <v>22</v>
      </c>
    </row>
    <row r="562" spans="1:14" x14ac:dyDescent="0.25">
      <c r="A562" s="1">
        <v>561</v>
      </c>
      <c r="B562" s="2" t="str">
        <f>HYPERLINK("https://leetcode.com/problems/array-partition/", "Array Partition")</f>
        <v>Array Partition</v>
      </c>
      <c r="C562" s="1">
        <v>2390</v>
      </c>
      <c r="D562" s="1">
        <v>301</v>
      </c>
      <c r="E562" s="3">
        <f>IF(INDEX(C:C, ROW())+INDEX(D:D, ROW())=0, 0, INDEX(C:C, ROW())/(INDEX(C:C, ROW())+INDEX(D:D, ROW())))</f>
        <v>0.88814567075436646</v>
      </c>
      <c r="F562" s="1" t="s">
        <v>443</v>
      </c>
      <c r="G562" s="1" t="s">
        <v>20</v>
      </c>
      <c r="H562" s="1">
        <v>655161</v>
      </c>
      <c r="I562" s="1">
        <v>804106</v>
      </c>
      <c r="J562" s="7">
        <v>0.81499999999999995</v>
      </c>
      <c r="K562" s="1" t="s">
        <v>21</v>
      </c>
      <c r="L562" s="1" t="s">
        <v>21</v>
      </c>
      <c r="M562" s="1" t="s">
        <v>29</v>
      </c>
      <c r="N562" s="1" t="s">
        <v>22</v>
      </c>
    </row>
    <row r="563" spans="1:14" x14ac:dyDescent="0.25">
      <c r="A563" s="1">
        <v>562</v>
      </c>
      <c r="B563" s="2" t="str">
        <f>HYPERLINK("https://leetcode.com/problems/longest-line-of-consecutive-one-in-matrix/", "Longest Line of Consecutive One in Matrix")</f>
        <v>Longest Line of Consecutive One in Matrix</v>
      </c>
      <c r="C563" s="1">
        <v>905</v>
      </c>
      <c r="D563" s="1">
        <v>119</v>
      </c>
      <c r="E563" s="3">
        <f>IF(INDEX(C:C, ROW())+INDEX(D:D, ROW())=0, 0, INDEX(C:C, ROW())/(INDEX(C:C, ROW())+INDEX(D:D, ROW())))</f>
        <v>0.8837890625</v>
      </c>
      <c r="F563" s="1" t="s">
        <v>94</v>
      </c>
      <c r="G563" s="1" t="s">
        <v>24</v>
      </c>
      <c r="H563" s="1">
        <v>80858</v>
      </c>
      <c r="I563" s="1">
        <v>159884</v>
      </c>
      <c r="J563" s="7">
        <v>0.50600000000000001</v>
      </c>
      <c r="K563" s="1" t="s">
        <v>29</v>
      </c>
      <c r="L563" s="1" t="s">
        <v>21</v>
      </c>
      <c r="M563" s="1" t="s">
        <v>29</v>
      </c>
      <c r="N563" s="1" t="s">
        <v>22</v>
      </c>
    </row>
    <row r="564" spans="1:14" x14ac:dyDescent="0.25">
      <c r="A564" s="1">
        <v>563</v>
      </c>
      <c r="B564" s="2" t="str">
        <f>HYPERLINK("https://leetcode.com/problems/binary-tree-tilt/", "Binary Tree Tilt")</f>
        <v>Binary Tree Tilt</v>
      </c>
      <c r="C564" s="1">
        <v>2371</v>
      </c>
      <c r="D564" s="1">
        <v>2256</v>
      </c>
      <c r="E564" s="3">
        <f>IF(INDEX(C:C, ROW())+INDEX(D:D, ROW())=0, 0, INDEX(C:C, ROW())/(INDEX(C:C, ROW())+INDEX(D:D, ROW())))</f>
        <v>0.51242705856926729</v>
      </c>
      <c r="F564" s="1" t="s">
        <v>67</v>
      </c>
      <c r="G564" s="1" t="s">
        <v>20</v>
      </c>
      <c r="H564" s="1">
        <v>263350</v>
      </c>
      <c r="I564" s="1">
        <v>402928</v>
      </c>
      <c r="J564" s="7">
        <v>0.65400000000000003</v>
      </c>
      <c r="K564" s="1" t="s">
        <v>21</v>
      </c>
      <c r="L564" s="1" t="s">
        <v>21</v>
      </c>
      <c r="M564" s="1" t="s">
        <v>29</v>
      </c>
      <c r="N564" s="1" t="s">
        <v>22</v>
      </c>
    </row>
    <row r="565" spans="1:14" x14ac:dyDescent="0.25">
      <c r="A565" s="1">
        <v>564</v>
      </c>
      <c r="B565" s="2" t="str">
        <f>HYPERLINK("https://leetcode.com/problems/find-the-closest-palindrome/", "Find the Closest Palindrome")</f>
        <v>Find the Closest Palindrome</v>
      </c>
      <c r="C565" s="1">
        <v>1320</v>
      </c>
      <c r="D565" s="1">
        <v>1738</v>
      </c>
      <c r="E565" s="3">
        <f>IF(INDEX(C:C, ROW())+INDEX(D:D, ROW())=0, 0, INDEX(C:C, ROW())/(INDEX(C:C, ROW())+INDEX(D:D, ROW())))</f>
        <v>0.43165467625899279</v>
      </c>
      <c r="F565" s="1" t="s">
        <v>228</v>
      </c>
      <c r="G565" s="1" t="s">
        <v>28</v>
      </c>
      <c r="H565" s="1">
        <v>136056</v>
      </c>
      <c r="I565" s="1">
        <v>427294</v>
      </c>
      <c r="J565" s="7">
        <v>0.318</v>
      </c>
      <c r="K565" s="1" t="s">
        <v>21</v>
      </c>
      <c r="L565" s="1" t="s">
        <v>21</v>
      </c>
      <c r="M565" s="1" t="s">
        <v>29</v>
      </c>
      <c r="N565" s="1" t="s">
        <v>22</v>
      </c>
    </row>
    <row r="566" spans="1:14" x14ac:dyDescent="0.25">
      <c r="A566" s="1">
        <v>565</v>
      </c>
      <c r="B566" s="2" t="str">
        <f>HYPERLINK("https://leetcode.com/problems/array-nesting/", "Array Nesting")</f>
        <v>Array Nesting</v>
      </c>
      <c r="C566" s="1">
        <v>2276</v>
      </c>
      <c r="D566" s="1">
        <v>159</v>
      </c>
      <c r="E566" s="3">
        <f>IF(INDEX(C:C, ROW())+INDEX(D:D, ROW())=0, 0, INDEX(C:C, ROW())/(INDEX(C:C, ROW())+INDEX(D:D, ROW())))</f>
        <v>0.93470225872689938</v>
      </c>
      <c r="F566" s="1" t="s">
        <v>459</v>
      </c>
      <c r="G566" s="1" t="s">
        <v>24</v>
      </c>
      <c r="H566" s="1">
        <v>147389</v>
      </c>
      <c r="I566" s="1">
        <v>261048</v>
      </c>
      <c r="J566" s="7">
        <v>0.56499999999999995</v>
      </c>
      <c r="K566" s="1" t="s">
        <v>21</v>
      </c>
      <c r="L566" s="1" t="s">
        <v>21</v>
      </c>
      <c r="M566" s="1" t="s">
        <v>29</v>
      </c>
      <c r="N566" s="1" t="s">
        <v>22</v>
      </c>
    </row>
    <row r="567" spans="1:14" x14ac:dyDescent="0.25">
      <c r="A567" s="1">
        <v>566</v>
      </c>
      <c r="B567" s="2" t="str">
        <f>HYPERLINK("https://leetcode.com/problems/reshape-the-matrix/", "Reshape the Matrix")</f>
        <v>Reshape the Matrix</v>
      </c>
      <c r="C567" s="1">
        <v>3694</v>
      </c>
      <c r="D567" s="1">
        <v>437</v>
      </c>
      <c r="E567" s="3">
        <f>IF(INDEX(C:C, ROW())+INDEX(D:D, ROW())=0, 0, INDEX(C:C, ROW())/(INDEX(C:C, ROW())+INDEX(D:D, ROW())))</f>
        <v>0.8942144759138223</v>
      </c>
      <c r="F567" s="1" t="s">
        <v>77</v>
      </c>
      <c r="G567" s="1" t="s">
        <v>20</v>
      </c>
      <c r="H567" s="1">
        <v>462114</v>
      </c>
      <c r="I567" s="1">
        <v>714115</v>
      </c>
      <c r="J567" s="7">
        <v>0.64700000000000002</v>
      </c>
      <c r="K567" s="1" t="s">
        <v>21</v>
      </c>
      <c r="L567" s="1" t="s">
        <v>21</v>
      </c>
      <c r="M567" s="1" t="s">
        <v>29</v>
      </c>
      <c r="N567" s="1" t="s">
        <v>22</v>
      </c>
    </row>
    <row r="568" spans="1:14" x14ac:dyDescent="0.25">
      <c r="A568" s="1">
        <v>567</v>
      </c>
      <c r="B568" s="2" t="str">
        <f>HYPERLINK("https://leetcode.com/problems/permutation-in-string/", "Permutation in String")</f>
        <v>Permutation in String</v>
      </c>
      <c r="C568" s="1">
        <v>12906</v>
      </c>
      <c r="D568" s="1">
        <v>519</v>
      </c>
      <c r="E568" s="3">
        <f>IF(INDEX(C:C, ROW())+INDEX(D:D, ROW())=0, 0, INDEX(C:C, ROW())/(INDEX(C:C, ROW())+INDEX(D:D, ROW())))</f>
        <v>0.96134078212290508</v>
      </c>
      <c r="F568" s="1" t="s">
        <v>103</v>
      </c>
      <c r="G568" s="1" t="s">
        <v>24</v>
      </c>
      <c r="H568" s="1">
        <v>1431947</v>
      </c>
      <c r="I568" s="1">
        <v>2956695</v>
      </c>
      <c r="J568" s="7">
        <v>0.48399999999999999</v>
      </c>
      <c r="K568" s="1" t="s">
        <v>21</v>
      </c>
      <c r="L568" s="1" t="s">
        <v>21</v>
      </c>
      <c r="M568" s="1" t="s">
        <v>29</v>
      </c>
      <c r="N568" s="1" t="s">
        <v>22</v>
      </c>
    </row>
    <row r="569" spans="1:14" x14ac:dyDescent="0.25">
      <c r="A569" s="1">
        <v>568</v>
      </c>
      <c r="B569" s="2" t="str">
        <f>HYPERLINK("https://leetcode.com/problems/maximum-vacation-days/", "Maximum Vacation Days")</f>
        <v>Maximum Vacation Days</v>
      </c>
      <c r="C569" s="1">
        <v>584</v>
      </c>
      <c r="D569" s="1">
        <v>121</v>
      </c>
      <c r="E569" s="3">
        <f>IF(INDEX(C:C, ROW())+INDEX(D:D, ROW())=0, 0, INDEX(C:C, ROW())/(INDEX(C:C, ROW())+INDEX(D:D, ROW())))</f>
        <v>0.82836879432624111</v>
      </c>
      <c r="F569" s="1" t="s">
        <v>94</v>
      </c>
      <c r="G569" s="1" t="s">
        <v>28</v>
      </c>
      <c r="H569" s="1">
        <v>41258</v>
      </c>
      <c r="I569" s="1">
        <v>88306</v>
      </c>
      <c r="J569" s="7">
        <v>0.46700000000000003</v>
      </c>
      <c r="K569" s="1" t="s">
        <v>29</v>
      </c>
      <c r="L569" s="1" t="s">
        <v>21</v>
      </c>
      <c r="M569" s="1" t="s">
        <v>29</v>
      </c>
      <c r="N569" s="1" t="s">
        <v>22</v>
      </c>
    </row>
    <row r="570" spans="1:14" x14ac:dyDescent="0.25">
      <c r="A570" s="1">
        <v>569</v>
      </c>
      <c r="B570" s="2" t="str">
        <f>HYPERLINK("https://leetcode.com/problems/median-employee-salary/", "Median Employee Salary")</f>
        <v>Median Employee Salary</v>
      </c>
      <c r="C570" s="1">
        <v>339</v>
      </c>
      <c r="D570" s="1">
        <v>156</v>
      </c>
      <c r="E570" s="3">
        <f>IF(INDEX(C:C, ROW())+INDEX(D:D, ROW())=0, 0, INDEX(C:C, ROW())/(INDEX(C:C, ROW())+INDEX(D:D, ROW())))</f>
        <v>0.68484848484848482</v>
      </c>
      <c r="F570" s="1" t="s">
        <v>297</v>
      </c>
      <c r="G570" s="1" t="s">
        <v>28</v>
      </c>
      <c r="H570" s="1">
        <v>50300</v>
      </c>
      <c r="I570" s="1">
        <v>76328</v>
      </c>
      <c r="J570" s="7">
        <v>0.65900000000000003</v>
      </c>
      <c r="K570" s="1" t="s">
        <v>29</v>
      </c>
      <c r="L570" s="1" t="s">
        <v>21</v>
      </c>
      <c r="M570" s="1" t="s">
        <v>29</v>
      </c>
      <c r="N570" s="1" t="s">
        <v>297</v>
      </c>
    </row>
    <row r="571" spans="1:14" x14ac:dyDescent="0.25">
      <c r="A571" s="1">
        <v>570</v>
      </c>
      <c r="B571" s="2" t="str">
        <f>HYPERLINK("https://leetcode.com/problems/managers-with-at-least-5-direct-reports/", "Managers with at Least 5 Direct Reports")</f>
        <v>Managers with at Least 5 Direct Reports</v>
      </c>
      <c r="C571" s="1">
        <v>1733</v>
      </c>
      <c r="D571" s="1">
        <v>190</v>
      </c>
      <c r="E571" s="3">
        <f>IF(INDEX(C:C, ROW())+INDEX(D:D, ROW())=0, 0, INDEX(C:C, ROW())/(INDEX(C:C, ROW())+INDEX(D:D, ROW())))</f>
        <v>0.90119604784191365</v>
      </c>
      <c r="F571" s="1" t="s">
        <v>297</v>
      </c>
      <c r="G571" s="1" t="s">
        <v>24</v>
      </c>
      <c r="H571" s="1">
        <v>917171</v>
      </c>
      <c r="I571" s="1">
        <v>1875063</v>
      </c>
      <c r="J571" s="7">
        <v>0.48899999999999999</v>
      </c>
      <c r="K571" s="1" t="s">
        <v>21</v>
      </c>
      <c r="L571" s="1" t="s">
        <v>21</v>
      </c>
      <c r="M571" s="1" t="s">
        <v>29</v>
      </c>
      <c r="N571" s="1" t="s">
        <v>297</v>
      </c>
    </row>
    <row r="572" spans="1:14" x14ac:dyDescent="0.25">
      <c r="A572" s="1">
        <v>571</v>
      </c>
      <c r="B572" s="2" t="str">
        <f>HYPERLINK("https://leetcode.com/problems/find-median-given-frequency-of-numbers/", "Find Median Given Frequency of Numbers")</f>
        <v>Find Median Given Frequency of Numbers</v>
      </c>
      <c r="C572" s="1">
        <v>319</v>
      </c>
      <c r="D572" s="1">
        <v>79</v>
      </c>
      <c r="E572" s="3">
        <f>IF(INDEX(C:C, ROW())+INDEX(D:D, ROW())=0, 0, INDEX(C:C, ROW())/(INDEX(C:C, ROW())+INDEX(D:D, ROW())))</f>
        <v>0.80150753768844218</v>
      </c>
      <c r="F572" s="1" t="s">
        <v>297</v>
      </c>
      <c r="G572" s="1" t="s">
        <v>28</v>
      </c>
      <c r="H572" s="1">
        <v>35578</v>
      </c>
      <c r="I572" s="1">
        <v>84128</v>
      </c>
      <c r="J572" s="7">
        <v>0.42299999999999999</v>
      </c>
      <c r="K572" s="1" t="s">
        <v>29</v>
      </c>
      <c r="L572" s="1" t="s">
        <v>29</v>
      </c>
      <c r="M572" s="1" t="s">
        <v>29</v>
      </c>
      <c r="N572" s="1" t="s">
        <v>297</v>
      </c>
    </row>
    <row r="573" spans="1:14" x14ac:dyDescent="0.25">
      <c r="A573" s="1">
        <v>572</v>
      </c>
      <c r="B573" s="2" t="str">
        <f>HYPERLINK("https://leetcode.com/problems/subtree-of-another-tree/", "Subtree of Another Tree")</f>
        <v>Subtree of Another Tree</v>
      </c>
      <c r="C573" s="1">
        <v>8859</v>
      </c>
      <c r="D573" s="1">
        <v>599</v>
      </c>
      <c r="E573" s="3">
        <f>IF(INDEX(C:C, ROW())+INDEX(D:D, ROW())=0, 0, INDEX(C:C, ROW())/(INDEX(C:C, ROW())+INDEX(D:D, ROW())))</f>
        <v>0.93666737153732293</v>
      </c>
      <c r="F573" s="1" t="s">
        <v>160</v>
      </c>
      <c r="G573" s="1" t="s">
        <v>20</v>
      </c>
      <c r="H573" s="1">
        <v>1223949</v>
      </c>
      <c r="I573" s="1">
        <v>2388881</v>
      </c>
      <c r="J573" s="7">
        <v>0.51200000000000001</v>
      </c>
      <c r="K573" s="1" t="s">
        <v>21</v>
      </c>
      <c r="L573" s="1" t="s">
        <v>21</v>
      </c>
      <c r="M573" s="1" t="s">
        <v>29</v>
      </c>
      <c r="N573" s="1" t="s">
        <v>22</v>
      </c>
    </row>
    <row r="574" spans="1:14" x14ac:dyDescent="0.25">
      <c r="A574" s="1">
        <v>573</v>
      </c>
      <c r="B574" s="2" t="str">
        <f>HYPERLINK("https://leetcode.com/problems/squirrel-simulation/", "Squirrel Simulation")</f>
        <v>Squirrel Simulation</v>
      </c>
      <c r="C574" s="1">
        <v>420</v>
      </c>
      <c r="D574" s="1">
        <v>40</v>
      </c>
      <c r="E574" s="3">
        <f>IF(INDEX(C:C, ROW())+INDEX(D:D, ROW())=0, 0, INDEX(C:C, ROW())/(INDEX(C:C, ROW())+INDEX(D:D, ROW())))</f>
        <v>0.91304347826086951</v>
      </c>
      <c r="F574" s="1" t="s">
        <v>115</v>
      </c>
      <c r="G574" s="1" t="s">
        <v>24</v>
      </c>
      <c r="H574" s="1">
        <v>24079</v>
      </c>
      <c r="I574" s="1">
        <v>42000</v>
      </c>
      <c r="J574" s="7">
        <v>0.57299999999999995</v>
      </c>
      <c r="K574" s="1" t="s">
        <v>29</v>
      </c>
      <c r="L574" s="1" t="s">
        <v>21</v>
      </c>
      <c r="M574" s="1" t="s">
        <v>21</v>
      </c>
      <c r="N574" s="1" t="s">
        <v>22</v>
      </c>
    </row>
    <row r="575" spans="1:14" x14ac:dyDescent="0.25">
      <c r="A575" s="1">
        <v>574</v>
      </c>
      <c r="B575" s="2" t="str">
        <f>HYPERLINK("https://leetcode.com/problems/winning-candidate/", "Winning Candidate")</f>
        <v>Winning Candidate</v>
      </c>
      <c r="C575" s="1">
        <v>184</v>
      </c>
      <c r="D575" s="1">
        <v>414</v>
      </c>
      <c r="E575" s="3">
        <f>IF(INDEX(C:C, ROW())+INDEX(D:D, ROW())=0, 0, INDEX(C:C, ROW())/(INDEX(C:C, ROW())+INDEX(D:D, ROW())))</f>
        <v>0.30769230769230771</v>
      </c>
      <c r="F575" s="1" t="s">
        <v>297</v>
      </c>
      <c r="G575" s="1" t="s">
        <v>24</v>
      </c>
      <c r="H575" s="1">
        <v>76978</v>
      </c>
      <c r="I575" s="1">
        <v>123059</v>
      </c>
      <c r="J575" s="7">
        <v>0.626</v>
      </c>
      <c r="K575" s="1" t="s">
        <v>29</v>
      </c>
      <c r="L575" s="1" t="s">
        <v>21</v>
      </c>
      <c r="M575" s="1" t="s">
        <v>29</v>
      </c>
      <c r="N575" s="1" t="s">
        <v>297</v>
      </c>
    </row>
    <row r="576" spans="1:14" x14ac:dyDescent="0.25">
      <c r="A576" s="1">
        <v>575</v>
      </c>
      <c r="B576" s="2" t="str">
        <f>HYPERLINK("https://leetcode.com/problems/distribute-candies/", "Distribute Candies")</f>
        <v>Distribute Candies</v>
      </c>
      <c r="C576" s="1">
        <v>1726</v>
      </c>
      <c r="D576" s="1">
        <v>1474</v>
      </c>
      <c r="E576" s="3">
        <f>IF(INDEX(C:C, ROW())+INDEX(D:D, ROW())=0, 0, INDEX(C:C, ROW())/(INDEX(C:C, ROW())+INDEX(D:D, ROW())))</f>
        <v>0.53937500000000005</v>
      </c>
      <c r="F576" s="1" t="s">
        <v>19</v>
      </c>
      <c r="G576" s="1" t="s">
        <v>20</v>
      </c>
      <c r="H576" s="1">
        <v>391404</v>
      </c>
      <c r="I576" s="1">
        <v>553205</v>
      </c>
      <c r="J576" s="7">
        <v>0.70799999999999996</v>
      </c>
      <c r="K576" s="1" t="s">
        <v>21</v>
      </c>
      <c r="L576" s="1" t="s">
        <v>21</v>
      </c>
      <c r="M576" s="1" t="s">
        <v>29</v>
      </c>
      <c r="N576" s="1" t="s">
        <v>22</v>
      </c>
    </row>
    <row r="577" spans="1:14" x14ac:dyDescent="0.25">
      <c r="A577" s="1">
        <v>576</v>
      </c>
      <c r="B577" s="2" t="str">
        <f>HYPERLINK("https://leetcode.com/problems/out-of-boundary-paths/", "Out of Boundary Paths")</f>
        <v>Out of Boundary Paths</v>
      </c>
      <c r="C577" s="1">
        <v>3985</v>
      </c>
      <c r="D577" s="1">
        <v>296</v>
      </c>
      <c r="E577" s="3">
        <f>IF(INDEX(C:C, ROW())+INDEX(D:D, ROW())=0, 0, INDEX(C:C, ROW())/(INDEX(C:C, ROW())+INDEX(D:D, ROW())))</f>
        <v>0.93085727633730442</v>
      </c>
      <c r="F577" s="1" t="s">
        <v>251</v>
      </c>
      <c r="G577" s="1" t="s">
        <v>24</v>
      </c>
      <c r="H577" s="1">
        <v>228080</v>
      </c>
      <c r="I577" s="1">
        <v>471500</v>
      </c>
      <c r="J577" s="7">
        <v>0.48399999999999999</v>
      </c>
      <c r="K577" s="1" t="s">
        <v>21</v>
      </c>
      <c r="L577" s="1" t="s">
        <v>21</v>
      </c>
      <c r="M577" s="1" t="s">
        <v>29</v>
      </c>
      <c r="N577" s="1" t="s">
        <v>22</v>
      </c>
    </row>
    <row r="578" spans="1:14" x14ac:dyDescent="0.25">
      <c r="A578" s="1">
        <v>577</v>
      </c>
      <c r="B578" s="2" t="str">
        <f>HYPERLINK("https://leetcode.com/problems/employee-bonus/", "Employee Bonus")</f>
        <v>Employee Bonus</v>
      </c>
      <c r="C578" s="1">
        <v>1552</v>
      </c>
      <c r="D578" s="1">
        <v>297</v>
      </c>
      <c r="E578" s="3">
        <f>IF(INDEX(C:C, ROW())+INDEX(D:D, ROW())=0, 0, INDEX(C:C, ROW())/(INDEX(C:C, ROW())+INDEX(D:D, ROW())))</f>
        <v>0.83937263385613847</v>
      </c>
      <c r="F578" s="1" t="s">
        <v>297</v>
      </c>
      <c r="G578" s="1" t="s">
        <v>20</v>
      </c>
      <c r="H578" s="1">
        <v>1015972</v>
      </c>
      <c r="I578" s="1">
        <v>1316672</v>
      </c>
      <c r="J578" s="7">
        <v>0.77200000000000002</v>
      </c>
      <c r="K578" s="1" t="s">
        <v>21</v>
      </c>
      <c r="L578" s="1" t="s">
        <v>21</v>
      </c>
      <c r="M578" s="1" t="s">
        <v>29</v>
      </c>
      <c r="N578" s="1" t="s">
        <v>297</v>
      </c>
    </row>
    <row r="579" spans="1:14" x14ac:dyDescent="0.25">
      <c r="A579" s="1">
        <v>578</v>
      </c>
      <c r="B579" s="2" t="str">
        <f>HYPERLINK("https://leetcode.com/problems/get-highest-answer-rate-question/", "Get Highest Answer Rate Question")</f>
        <v>Get Highest Answer Rate Question</v>
      </c>
      <c r="C579" s="1">
        <v>136</v>
      </c>
      <c r="D579" s="1">
        <v>921</v>
      </c>
      <c r="E579" s="3">
        <f>IF(INDEX(C:C, ROW())+INDEX(D:D, ROW())=0, 0, INDEX(C:C, ROW())/(INDEX(C:C, ROW())+INDEX(D:D, ROW())))</f>
        <v>0.12866603595080417</v>
      </c>
      <c r="F579" s="1" t="s">
        <v>297</v>
      </c>
      <c r="G579" s="1" t="s">
        <v>24</v>
      </c>
      <c r="H579" s="1">
        <v>68427</v>
      </c>
      <c r="I579" s="1">
        <v>170903</v>
      </c>
      <c r="J579" s="7">
        <v>0.4</v>
      </c>
      <c r="K579" s="1" t="s">
        <v>29</v>
      </c>
      <c r="L579" s="1" t="s">
        <v>21</v>
      </c>
      <c r="M579" s="1" t="s">
        <v>29</v>
      </c>
      <c r="N579" s="1" t="s">
        <v>297</v>
      </c>
    </row>
    <row r="580" spans="1:14" x14ac:dyDescent="0.25">
      <c r="A580" s="1">
        <v>579</v>
      </c>
      <c r="B580" s="2" t="str">
        <f>HYPERLINK("https://leetcode.com/problems/find-cumulative-salary-of-an-employee/", "Find Cumulative Salary of an Employee")</f>
        <v>Find Cumulative Salary of an Employee</v>
      </c>
      <c r="C580" s="1">
        <v>248</v>
      </c>
      <c r="D580" s="1">
        <v>405</v>
      </c>
      <c r="E580" s="3">
        <f>IF(INDEX(C:C, ROW())+INDEX(D:D, ROW())=0, 0, INDEX(C:C, ROW())/(INDEX(C:C, ROW())+INDEX(D:D, ROW())))</f>
        <v>0.37978560490045943</v>
      </c>
      <c r="F580" s="1" t="s">
        <v>297</v>
      </c>
      <c r="G580" s="1" t="s">
        <v>28</v>
      </c>
      <c r="H580" s="1">
        <v>43704</v>
      </c>
      <c r="I580" s="1">
        <v>88645</v>
      </c>
      <c r="J580" s="7">
        <v>0.49299999999999999</v>
      </c>
      <c r="K580" s="1" t="s">
        <v>29</v>
      </c>
      <c r="L580" s="1" t="s">
        <v>21</v>
      </c>
      <c r="M580" s="1" t="s">
        <v>29</v>
      </c>
      <c r="N580" s="1" t="s">
        <v>297</v>
      </c>
    </row>
    <row r="581" spans="1:14" x14ac:dyDescent="0.25">
      <c r="A581" s="1">
        <v>580</v>
      </c>
      <c r="B581" s="2" t="str">
        <f>HYPERLINK("https://leetcode.com/problems/count-student-number-in-departments/", "Count Student Number in Departments")</f>
        <v>Count Student Number in Departments</v>
      </c>
      <c r="C581" s="1">
        <v>254</v>
      </c>
      <c r="D581" s="1">
        <v>38</v>
      </c>
      <c r="E581" s="3">
        <f>IF(INDEX(C:C, ROW())+INDEX(D:D, ROW())=0, 0, INDEX(C:C, ROW())/(INDEX(C:C, ROW())+INDEX(D:D, ROW())))</f>
        <v>0.86986301369863017</v>
      </c>
      <c r="F581" s="1" t="s">
        <v>297</v>
      </c>
      <c r="G581" s="1" t="s">
        <v>24</v>
      </c>
      <c r="H581" s="1">
        <v>78057</v>
      </c>
      <c r="I581" s="1">
        <v>130202</v>
      </c>
      <c r="J581" s="7">
        <v>0.6</v>
      </c>
      <c r="K581" s="1" t="s">
        <v>29</v>
      </c>
      <c r="L581" s="1" t="s">
        <v>21</v>
      </c>
      <c r="M581" s="1" t="s">
        <v>29</v>
      </c>
      <c r="N581" s="1" t="s">
        <v>297</v>
      </c>
    </row>
    <row r="582" spans="1:14" x14ac:dyDescent="0.25">
      <c r="A582" s="1">
        <v>581</v>
      </c>
      <c r="B582" s="2" t="str">
        <f>HYPERLINK("https://leetcode.com/problems/shortest-unsorted-continuous-subarray/", "Shortest Unsorted Continuous Subarray")</f>
        <v>Shortest Unsorted Continuous Subarray</v>
      </c>
      <c r="C582" s="1">
        <v>8008</v>
      </c>
      <c r="D582" s="1">
        <v>274</v>
      </c>
      <c r="E582" s="3">
        <f>IF(INDEX(C:C, ROW())+INDEX(D:D, ROW())=0, 0, INDEX(C:C, ROW())/(INDEX(C:C, ROW())+INDEX(D:D, ROW())))</f>
        <v>0.96691620381550347</v>
      </c>
      <c r="F582" s="1" t="s">
        <v>170</v>
      </c>
      <c r="G582" s="1" t="s">
        <v>24</v>
      </c>
      <c r="H582" s="1">
        <v>386431</v>
      </c>
      <c r="I582" s="1">
        <v>1017323</v>
      </c>
      <c r="J582" s="7">
        <v>0.38</v>
      </c>
      <c r="K582" s="1" t="s">
        <v>21</v>
      </c>
      <c r="L582" s="1" t="s">
        <v>21</v>
      </c>
      <c r="M582" s="1" t="s">
        <v>29</v>
      </c>
      <c r="N582" s="1" t="s">
        <v>22</v>
      </c>
    </row>
    <row r="583" spans="1:14" x14ac:dyDescent="0.25">
      <c r="A583" s="1">
        <v>582</v>
      </c>
      <c r="B583" s="2" t="str">
        <f>HYPERLINK("https://leetcode.com/problems/kill-process/", "Kill Process")</f>
        <v>Kill Process</v>
      </c>
      <c r="C583" s="1">
        <v>1126</v>
      </c>
      <c r="D583" s="1">
        <v>21</v>
      </c>
      <c r="E583" s="3">
        <f>IF(INDEX(C:C, ROW())+INDEX(D:D, ROW())=0, 0, INDEX(C:C, ROW())/(INDEX(C:C, ROW())+INDEX(D:D, ROW())))</f>
        <v>0.981691368788143</v>
      </c>
      <c r="F583" s="1" t="s">
        <v>471</v>
      </c>
      <c r="G583" s="1" t="s">
        <v>24</v>
      </c>
      <c r="H583" s="1">
        <v>94909</v>
      </c>
      <c r="I583" s="1">
        <v>135025</v>
      </c>
      <c r="J583" s="7">
        <v>0.70299999999999996</v>
      </c>
      <c r="K583" s="1" t="s">
        <v>29</v>
      </c>
      <c r="L583" s="1" t="s">
        <v>21</v>
      </c>
      <c r="M583" s="1" t="s">
        <v>21</v>
      </c>
      <c r="N583" s="1" t="s">
        <v>22</v>
      </c>
    </row>
    <row r="584" spans="1:14" x14ac:dyDescent="0.25">
      <c r="A584" s="1">
        <v>583</v>
      </c>
      <c r="B584" s="2" t="str">
        <f>HYPERLINK("https://leetcode.com/problems/delete-operation-for-two-strings/", "Delete Operation for Two Strings")</f>
        <v>Delete Operation for Two Strings</v>
      </c>
      <c r="C584" s="1">
        <v>6135</v>
      </c>
      <c r="D584" s="1">
        <v>93</v>
      </c>
      <c r="E584" s="3">
        <f>IF(INDEX(C:C, ROW())+INDEX(D:D, ROW())=0, 0, INDEX(C:C, ROW())/(INDEX(C:C, ROW())+INDEX(D:D, ROW())))</f>
        <v>0.98506743737957614</v>
      </c>
      <c r="F584" s="1" t="s">
        <v>82</v>
      </c>
      <c r="G584" s="1" t="s">
        <v>24</v>
      </c>
      <c r="H584" s="1">
        <v>378231</v>
      </c>
      <c r="I584" s="1">
        <v>579667</v>
      </c>
      <c r="J584" s="7">
        <v>0.65200000000000002</v>
      </c>
      <c r="K584" s="1" t="s">
        <v>21</v>
      </c>
      <c r="L584" s="1" t="s">
        <v>21</v>
      </c>
      <c r="M584" s="1" t="s">
        <v>29</v>
      </c>
      <c r="N584" s="1" t="s">
        <v>22</v>
      </c>
    </row>
    <row r="585" spans="1:14" x14ac:dyDescent="0.25">
      <c r="A585" s="1">
        <v>584</v>
      </c>
      <c r="B585" s="2" t="str">
        <f>HYPERLINK("https://leetcode.com/problems/find-customer-referee/", "Find Customer Referee")</f>
        <v>Find Customer Referee</v>
      </c>
      <c r="C585" s="1">
        <v>2907</v>
      </c>
      <c r="D585" s="1">
        <v>409</v>
      </c>
      <c r="E585" s="3">
        <f>IF(INDEX(C:C, ROW())+INDEX(D:D, ROW())=0, 0, INDEX(C:C, ROW())/(INDEX(C:C, ROW())+INDEX(D:D, ROW())))</f>
        <v>0.87665862484921597</v>
      </c>
      <c r="F585" s="1" t="s">
        <v>297</v>
      </c>
      <c r="G585" s="1" t="s">
        <v>20</v>
      </c>
      <c r="H585" s="1">
        <v>2015195</v>
      </c>
      <c r="I585" s="1">
        <v>2777108</v>
      </c>
      <c r="J585" s="7">
        <v>0.72599999999999998</v>
      </c>
      <c r="K585" s="1" t="s">
        <v>21</v>
      </c>
      <c r="L585" s="1" t="s">
        <v>21</v>
      </c>
      <c r="M585" s="1" t="s">
        <v>29</v>
      </c>
      <c r="N585" s="1" t="s">
        <v>297</v>
      </c>
    </row>
    <row r="586" spans="1:14" x14ac:dyDescent="0.25">
      <c r="A586" s="1">
        <v>585</v>
      </c>
      <c r="B586" s="2" t="str">
        <f>HYPERLINK("https://leetcode.com/problems/investments-in-2016/", "Investments in 2016")</f>
        <v>Investments in 2016</v>
      </c>
      <c r="C586" s="1">
        <v>904</v>
      </c>
      <c r="D586" s="1">
        <v>624</v>
      </c>
      <c r="E586" s="3">
        <f>IF(INDEX(C:C, ROW())+INDEX(D:D, ROW())=0, 0, INDEX(C:C, ROW())/(INDEX(C:C, ROW())+INDEX(D:D, ROW())))</f>
        <v>0.59162303664921467</v>
      </c>
      <c r="F586" s="1" t="s">
        <v>297</v>
      </c>
      <c r="G586" s="1" t="s">
        <v>24</v>
      </c>
      <c r="H586" s="1">
        <v>295225</v>
      </c>
      <c r="I586" s="1">
        <v>581321</v>
      </c>
      <c r="J586" s="7">
        <v>0.50800000000000001</v>
      </c>
      <c r="K586" s="1" t="s">
        <v>21</v>
      </c>
      <c r="L586" s="1" t="s">
        <v>21</v>
      </c>
      <c r="M586" s="1" t="s">
        <v>29</v>
      </c>
      <c r="N586" s="1" t="s">
        <v>297</v>
      </c>
    </row>
    <row r="587" spans="1:14" x14ac:dyDescent="0.25">
      <c r="A587" s="1">
        <v>586</v>
      </c>
      <c r="B587" s="2" t="str">
        <f>HYPERLINK("https://leetcode.com/problems/customer-placing-the-largest-number-of-orders/", "Customer Placing the Largest Number of Orders")</f>
        <v>Customer Placing the Largest Number of Orders</v>
      </c>
      <c r="C587" s="1">
        <v>1200</v>
      </c>
      <c r="D587" s="1">
        <v>99</v>
      </c>
      <c r="E587" s="3">
        <f>IF(INDEX(C:C, ROW())+INDEX(D:D, ROW())=0, 0, INDEX(C:C, ROW())/(INDEX(C:C, ROW())+INDEX(D:D, ROW())))</f>
        <v>0.92378752886836024</v>
      </c>
      <c r="F587" s="1" t="s">
        <v>297</v>
      </c>
      <c r="G587" s="1" t="s">
        <v>20</v>
      </c>
      <c r="H587" s="1">
        <v>474436</v>
      </c>
      <c r="I587" s="1">
        <v>738220</v>
      </c>
      <c r="J587" s="7">
        <v>0.64300000000000002</v>
      </c>
      <c r="K587" s="1" t="s">
        <v>21</v>
      </c>
      <c r="L587" s="1" t="s">
        <v>21</v>
      </c>
      <c r="M587" s="1" t="s">
        <v>29</v>
      </c>
      <c r="N587" s="1" t="s">
        <v>297</v>
      </c>
    </row>
    <row r="588" spans="1:14" x14ac:dyDescent="0.25">
      <c r="A588" s="1">
        <v>587</v>
      </c>
      <c r="B588" s="2" t="str">
        <f>HYPERLINK("https://leetcode.com/problems/erect-the-fence/", "Erect the Fence")</f>
        <v>Erect the Fence</v>
      </c>
      <c r="C588" s="1">
        <v>1542</v>
      </c>
      <c r="D588" s="1">
        <v>649</v>
      </c>
      <c r="E588" s="3">
        <f>IF(INDEX(C:C, ROW())+INDEX(D:D, ROW())=0, 0, INDEX(C:C, ROW())/(INDEX(C:C, ROW())+INDEX(D:D, ROW())))</f>
        <v>0.70378822455499768</v>
      </c>
      <c r="F588" s="1" t="s">
        <v>397</v>
      </c>
      <c r="G588" s="1" t="s">
        <v>28</v>
      </c>
      <c r="H588" s="1">
        <v>66130</v>
      </c>
      <c r="I588" s="1">
        <v>125450</v>
      </c>
      <c r="J588" s="7">
        <v>0.52700000000000002</v>
      </c>
      <c r="K588" s="1" t="s">
        <v>21</v>
      </c>
      <c r="L588" s="1" t="s">
        <v>21</v>
      </c>
      <c r="M588" s="1" t="s">
        <v>29</v>
      </c>
      <c r="N588" s="1" t="s">
        <v>22</v>
      </c>
    </row>
    <row r="589" spans="1:14" x14ac:dyDescent="0.25">
      <c r="A589" s="1">
        <v>588</v>
      </c>
      <c r="B589" s="2" t="str">
        <f>HYPERLINK("https://leetcode.com/problems/design-in-memory-file-system/", "Design In-Memory File System")</f>
        <v>Design In-Memory File System</v>
      </c>
      <c r="C589" s="1">
        <v>1581</v>
      </c>
      <c r="D589" s="1">
        <v>175</v>
      </c>
      <c r="E589" s="3">
        <f>IF(INDEX(C:C, ROW())+INDEX(D:D, ROW())=0, 0, INDEX(C:C, ROW())/(INDEX(C:C, ROW())+INDEX(D:D, ROW())))</f>
        <v>0.90034168564920269</v>
      </c>
      <c r="F589" s="1" t="s">
        <v>563</v>
      </c>
      <c r="G589" s="1" t="s">
        <v>28</v>
      </c>
      <c r="H589" s="1">
        <v>137842</v>
      </c>
      <c r="I589" s="1">
        <v>285018</v>
      </c>
      <c r="J589" s="7">
        <v>0.48399999999999999</v>
      </c>
      <c r="K589" s="1" t="s">
        <v>29</v>
      </c>
      <c r="L589" s="1" t="s">
        <v>21</v>
      </c>
      <c r="M589" s="1" t="s">
        <v>29</v>
      </c>
      <c r="N589" s="1" t="s">
        <v>22</v>
      </c>
    </row>
    <row r="590" spans="1:14" x14ac:dyDescent="0.25">
      <c r="A590" s="1">
        <v>589</v>
      </c>
      <c r="B590" s="2" t="str">
        <f>HYPERLINK("https://leetcode.com/problems/n-ary-tree-preorder-traversal/", "N-ary Tree Preorder Traversal")</f>
        <v>N-ary Tree Preorder Traversal</v>
      </c>
      <c r="C590" s="1">
        <v>3259</v>
      </c>
      <c r="D590" s="1">
        <v>204</v>
      </c>
      <c r="E590" s="3">
        <f>IF(INDEX(C:C, ROW())+INDEX(D:D, ROW())=0, 0, INDEX(C:C, ROW())/(INDEX(C:C, ROW())+INDEX(D:D, ROW())))</f>
        <v>0.94109153912792376</v>
      </c>
      <c r="F590" s="1" t="s">
        <v>361</v>
      </c>
      <c r="G590" s="1" t="s">
        <v>20</v>
      </c>
      <c r="H590" s="1">
        <v>492475</v>
      </c>
      <c r="I590" s="1">
        <v>642488</v>
      </c>
      <c r="J590" s="7">
        <v>0.76700000000000002</v>
      </c>
      <c r="K590" s="1" t="s">
        <v>21</v>
      </c>
      <c r="L590" s="1" t="s">
        <v>21</v>
      </c>
      <c r="M590" s="1" t="s">
        <v>29</v>
      </c>
      <c r="N590" s="1" t="s">
        <v>22</v>
      </c>
    </row>
    <row r="591" spans="1:14" x14ac:dyDescent="0.25">
      <c r="A591" s="1">
        <v>590</v>
      </c>
      <c r="B591" s="2" t="str">
        <f>HYPERLINK("https://leetcode.com/problems/n-ary-tree-postorder-traversal/", "N-ary Tree Postorder Traversal")</f>
        <v>N-ary Tree Postorder Traversal</v>
      </c>
      <c r="C591" s="1">
        <v>2754</v>
      </c>
      <c r="D591" s="1">
        <v>119</v>
      </c>
      <c r="E591" s="3">
        <f>IF(INDEX(C:C, ROW())+INDEX(D:D, ROW())=0, 0, INDEX(C:C, ROW())/(INDEX(C:C, ROW())+INDEX(D:D, ROW())))</f>
        <v>0.95857988165680474</v>
      </c>
      <c r="F591" s="1" t="s">
        <v>361</v>
      </c>
      <c r="G591" s="1" t="s">
        <v>20</v>
      </c>
      <c r="H591" s="1">
        <v>425581</v>
      </c>
      <c r="I591" s="1">
        <v>525490</v>
      </c>
      <c r="J591" s="7">
        <v>0.81</v>
      </c>
      <c r="K591" s="1" t="s">
        <v>21</v>
      </c>
      <c r="L591" s="1" t="s">
        <v>21</v>
      </c>
      <c r="M591" s="1" t="s">
        <v>29</v>
      </c>
      <c r="N591" s="1" t="s">
        <v>22</v>
      </c>
    </row>
    <row r="592" spans="1:14" x14ac:dyDescent="0.25">
      <c r="A592" s="1">
        <v>591</v>
      </c>
      <c r="B592" s="2" t="str">
        <f>HYPERLINK("https://leetcode.com/problems/tag-validator/", "Tag Validator")</f>
        <v>Tag Validator</v>
      </c>
      <c r="C592" s="1">
        <v>181</v>
      </c>
      <c r="D592" s="1">
        <v>654</v>
      </c>
      <c r="E592" s="3">
        <f>IF(INDEX(C:C, ROW())+INDEX(D:D, ROW())=0, 0, INDEX(C:C, ROW())/(INDEX(C:C, ROW())+INDEX(D:D, ROW())))</f>
        <v>0.21676646706586827</v>
      </c>
      <c r="F592" s="1" t="s">
        <v>36</v>
      </c>
      <c r="G592" s="1" t="s">
        <v>28</v>
      </c>
      <c r="H592" s="1">
        <v>20217</v>
      </c>
      <c r="I592" s="1">
        <v>50271</v>
      </c>
      <c r="J592" s="7">
        <v>0.40200000000000002</v>
      </c>
      <c r="K592" s="1" t="s">
        <v>21</v>
      </c>
      <c r="L592" s="1" t="s">
        <v>21</v>
      </c>
      <c r="M592" s="1" t="s">
        <v>29</v>
      </c>
      <c r="N592" s="1" t="s">
        <v>22</v>
      </c>
    </row>
    <row r="593" spans="1:14" x14ac:dyDescent="0.25">
      <c r="A593" s="1">
        <v>592</v>
      </c>
      <c r="B593" s="2" t="str">
        <f>HYPERLINK("https://leetcode.com/problems/fraction-addition-and-subtraction/", "Fraction Addition and Subtraction")</f>
        <v>Fraction Addition and Subtraction</v>
      </c>
      <c r="C593" s="1">
        <v>890</v>
      </c>
      <c r="D593" s="1">
        <v>695</v>
      </c>
      <c r="E593" s="3">
        <f>IF(INDEX(C:C, ROW())+INDEX(D:D, ROW())=0, 0, INDEX(C:C, ROW())/(INDEX(C:C, ROW())+INDEX(D:D, ROW())))</f>
        <v>0.56151419558359617</v>
      </c>
      <c r="F593" s="1" t="s">
        <v>178</v>
      </c>
      <c r="G593" s="1" t="s">
        <v>24</v>
      </c>
      <c r="H593" s="1">
        <v>136854</v>
      </c>
      <c r="I593" s="1">
        <v>206120</v>
      </c>
      <c r="J593" s="7">
        <v>0.66400000000000003</v>
      </c>
      <c r="K593" s="1" t="s">
        <v>21</v>
      </c>
      <c r="L593" s="1" t="s">
        <v>21</v>
      </c>
      <c r="M593" s="1" t="s">
        <v>29</v>
      </c>
      <c r="N593" s="1" t="s">
        <v>22</v>
      </c>
    </row>
    <row r="594" spans="1:14" x14ac:dyDescent="0.25">
      <c r="A594" s="1">
        <v>593</v>
      </c>
      <c r="B594" s="2" t="str">
        <f>HYPERLINK("https://leetcode.com/problems/valid-square/", "Valid Square")</f>
        <v>Valid Square</v>
      </c>
      <c r="C594" s="1">
        <v>1117</v>
      </c>
      <c r="D594" s="1">
        <v>913</v>
      </c>
      <c r="E594" s="3">
        <f>IF(INDEX(C:C, ROW())+INDEX(D:D, ROW())=0, 0, INDEX(C:C, ROW())/(INDEX(C:C, ROW())+INDEX(D:D, ROW())))</f>
        <v>0.55024630541871922</v>
      </c>
      <c r="F594" s="1" t="s">
        <v>477</v>
      </c>
      <c r="G594" s="1" t="s">
        <v>24</v>
      </c>
      <c r="H594" s="1">
        <v>128241</v>
      </c>
      <c r="I594" s="1">
        <v>285945</v>
      </c>
      <c r="J594" s="7">
        <v>0.44800000000000001</v>
      </c>
      <c r="K594" s="1" t="s">
        <v>21</v>
      </c>
      <c r="L594" s="1" t="s">
        <v>21</v>
      </c>
      <c r="M594" s="1" t="s">
        <v>29</v>
      </c>
      <c r="N594" s="1" t="s">
        <v>22</v>
      </c>
    </row>
    <row r="595" spans="1:14" x14ac:dyDescent="0.25">
      <c r="A595" s="1">
        <v>594</v>
      </c>
      <c r="B595" s="2" t="str">
        <f>HYPERLINK("https://leetcode.com/problems/longest-harmonious-subsequence/", "Longest Harmonious Subsequence")</f>
        <v>Longest Harmonious Subsequence</v>
      </c>
      <c r="C595" s="1">
        <v>2818</v>
      </c>
      <c r="D595" s="1">
        <v>351</v>
      </c>
      <c r="E595" s="3">
        <f>IF(INDEX(C:C, ROW())+INDEX(D:D, ROW())=0, 0, INDEX(C:C, ROW())/(INDEX(C:C, ROW())+INDEX(D:D, ROW())))</f>
        <v>0.88923950773114546</v>
      </c>
      <c r="F595" s="1" t="s">
        <v>392</v>
      </c>
      <c r="G595" s="1" t="s">
        <v>20</v>
      </c>
      <c r="H595" s="1">
        <v>375575</v>
      </c>
      <c r="I595" s="1">
        <v>583249</v>
      </c>
      <c r="J595" s="7">
        <v>0.64400000000000002</v>
      </c>
      <c r="K595" s="1" t="s">
        <v>21</v>
      </c>
      <c r="L595" s="1" t="s">
        <v>21</v>
      </c>
      <c r="M595" s="1" t="s">
        <v>29</v>
      </c>
      <c r="N595" s="1" t="s">
        <v>22</v>
      </c>
    </row>
    <row r="596" spans="1:14" x14ac:dyDescent="0.25">
      <c r="A596" s="1">
        <v>595</v>
      </c>
      <c r="B596" s="2" t="str">
        <f>HYPERLINK("https://leetcode.com/problems/big-countries/", "Big Countries")</f>
        <v>Big Countries</v>
      </c>
      <c r="C596" s="1">
        <v>3327</v>
      </c>
      <c r="D596" s="1">
        <v>1377</v>
      </c>
      <c r="E596" s="3">
        <f>IF(INDEX(C:C, ROW())+INDEX(D:D, ROW())=0, 0, INDEX(C:C, ROW())/(INDEX(C:C, ROW())+INDEX(D:D, ROW())))</f>
        <v>0.70727040816326525</v>
      </c>
      <c r="F596" s="1" t="s">
        <v>297</v>
      </c>
      <c r="G596" s="1" t="s">
        <v>20</v>
      </c>
      <c r="H596" s="1">
        <v>2252091</v>
      </c>
      <c r="I596" s="1">
        <v>3292828</v>
      </c>
      <c r="J596" s="7">
        <v>0.68400000000000005</v>
      </c>
      <c r="K596" s="1" t="s">
        <v>21</v>
      </c>
      <c r="L596" s="1" t="s">
        <v>21</v>
      </c>
      <c r="M596" s="1" t="s">
        <v>29</v>
      </c>
      <c r="N596" s="1" t="s">
        <v>297</v>
      </c>
    </row>
    <row r="597" spans="1:14" x14ac:dyDescent="0.25">
      <c r="A597" s="1">
        <v>596</v>
      </c>
      <c r="B597" s="2" t="str">
        <f>HYPERLINK("https://leetcode.com/problems/classes-with-at-least-5-students/", "Classes With at Least 5 Students")</f>
        <v>Classes With at Least 5 Students</v>
      </c>
      <c r="C597" s="1">
        <v>1309</v>
      </c>
      <c r="D597" s="1">
        <v>1084</v>
      </c>
      <c r="E597" s="3">
        <f>IF(INDEX(C:C, ROW())+INDEX(D:D, ROW())=0, 0, INDEX(C:C, ROW())/(INDEX(C:C, ROW())+INDEX(D:D, ROW())))</f>
        <v>0.54701211867948185</v>
      </c>
      <c r="F597" s="1" t="s">
        <v>297</v>
      </c>
      <c r="G597" s="1" t="s">
        <v>20</v>
      </c>
      <c r="H597" s="1">
        <v>828079</v>
      </c>
      <c r="I597" s="1">
        <v>1310641</v>
      </c>
      <c r="J597" s="7">
        <v>0.63200000000000001</v>
      </c>
      <c r="K597" s="1" t="s">
        <v>21</v>
      </c>
      <c r="L597" s="1" t="s">
        <v>21</v>
      </c>
      <c r="M597" s="1" t="s">
        <v>29</v>
      </c>
      <c r="N597" s="1" t="s">
        <v>297</v>
      </c>
    </row>
    <row r="598" spans="1:14" x14ac:dyDescent="0.25">
      <c r="A598" s="1">
        <v>597</v>
      </c>
      <c r="B598" s="2" t="str">
        <f>HYPERLINK("https://leetcode.com/problems/friend-requests-i-overall-acceptance-rate/", "Friend Requests I: Overall Acceptance Rate")</f>
        <v>Friend Requests I: Overall Acceptance Rate</v>
      </c>
      <c r="C598" s="1">
        <v>319</v>
      </c>
      <c r="D598" s="1">
        <v>775</v>
      </c>
      <c r="E598" s="3">
        <f>IF(INDEX(C:C, ROW())+INDEX(D:D, ROW())=0, 0, INDEX(C:C, ROW())/(INDEX(C:C, ROW())+INDEX(D:D, ROW())))</f>
        <v>0.2915904936014625</v>
      </c>
      <c r="F598" s="1" t="s">
        <v>297</v>
      </c>
      <c r="G598" s="1" t="s">
        <v>20</v>
      </c>
      <c r="H598" s="1">
        <v>86207</v>
      </c>
      <c r="I598" s="1">
        <v>209583</v>
      </c>
      <c r="J598" s="7">
        <v>0.41099999999999998</v>
      </c>
      <c r="K598" s="1" t="s">
        <v>29</v>
      </c>
      <c r="L598" s="1" t="s">
        <v>21</v>
      </c>
      <c r="M598" s="1" t="s">
        <v>29</v>
      </c>
      <c r="N598" s="1" t="s">
        <v>297</v>
      </c>
    </row>
    <row r="599" spans="1:14" x14ac:dyDescent="0.25">
      <c r="A599" s="1">
        <v>598</v>
      </c>
      <c r="B599" s="2" t="str">
        <f>HYPERLINK("https://leetcode.com/problems/range-addition-ii/", "Range Addition II")</f>
        <v>Range Addition II</v>
      </c>
      <c r="C599" s="1">
        <v>1033</v>
      </c>
      <c r="D599" s="1">
        <v>986</v>
      </c>
      <c r="E599" s="3">
        <f>IF(INDEX(C:C, ROW())+INDEX(D:D, ROW())=0, 0, INDEX(C:C, ROW())/(INDEX(C:C, ROW())+INDEX(D:D, ROW())))</f>
        <v>0.51163942545814756</v>
      </c>
      <c r="F599" s="1" t="s">
        <v>115</v>
      </c>
      <c r="G599" s="1" t="s">
        <v>20</v>
      </c>
      <c r="H599" s="1">
        <v>131005</v>
      </c>
      <c r="I599" s="1">
        <v>224489</v>
      </c>
      <c r="J599" s="7">
        <v>0.58399999999999996</v>
      </c>
      <c r="K599" s="1" t="s">
        <v>21</v>
      </c>
      <c r="L599" s="1" t="s">
        <v>21</v>
      </c>
      <c r="M599" s="1" t="s">
        <v>29</v>
      </c>
      <c r="N599" s="1" t="s">
        <v>22</v>
      </c>
    </row>
    <row r="600" spans="1:14" x14ac:dyDescent="0.25">
      <c r="A600" s="1">
        <v>599</v>
      </c>
      <c r="B600" s="2" t="str">
        <f>HYPERLINK("https://leetcode.com/problems/minimum-index-sum-of-two-lists/", "Minimum Index Sum of Two Lists")</f>
        <v>Minimum Index Sum of Two Lists</v>
      </c>
      <c r="C600" s="1">
        <v>2107</v>
      </c>
      <c r="D600" s="1">
        <v>416</v>
      </c>
      <c r="E600" s="3">
        <f>IF(INDEX(C:C, ROW())+INDEX(D:D, ROW())=0, 0, INDEX(C:C, ROW())/(INDEX(C:C, ROW())+INDEX(D:D, ROW())))</f>
        <v>0.83511692429647244</v>
      </c>
      <c r="F600" s="1" t="s">
        <v>258</v>
      </c>
      <c r="G600" s="1" t="s">
        <v>20</v>
      </c>
      <c r="H600" s="1">
        <v>308675</v>
      </c>
      <c r="I600" s="1">
        <v>519198</v>
      </c>
      <c r="J600" s="7">
        <v>0.59499999999999997</v>
      </c>
      <c r="K600" s="1" t="s">
        <v>21</v>
      </c>
      <c r="L600" s="1" t="s">
        <v>21</v>
      </c>
      <c r="M600" s="1" t="s">
        <v>29</v>
      </c>
      <c r="N600" s="1" t="s">
        <v>22</v>
      </c>
    </row>
    <row r="601" spans="1:14" x14ac:dyDescent="0.25">
      <c r="A601" s="1">
        <v>600</v>
      </c>
      <c r="B601" s="2" t="str">
        <f>HYPERLINK("https://leetcode.com/problems/non-negative-integers-without-consecutive-ones/", "Non-negative Integers without Consecutive Ones")</f>
        <v>Non-negative Integers without Consecutive Ones</v>
      </c>
      <c r="C601" s="1">
        <v>1619</v>
      </c>
      <c r="D601" s="1">
        <v>138</v>
      </c>
      <c r="E601" s="3">
        <f>IF(INDEX(C:C, ROW())+INDEX(D:D, ROW())=0, 0, INDEX(C:C, ROW())/(INDEX(C:C, ROW())+INDEX(D:D, ROW())))</f>
        <v>0.9214570290267502</v>
      </c>
      <c r="F601" s="1" t="s">
        <v>251</v>
      </c>
      <c r="G601" s="1" t="s">
        <v>28</v>
      </c>
      <c r="H601" s="1">
        <v>50320</v>
      </c>
      <c r="I601" s="1">
        <v>120643</v>
      </c>
      <c r="J601" s="7">
        <v>0.41699999999999998</v>
      </c>
      <c r="K601" s="1" t="s">
        <v>21</v>
      </c>
      <c r="L601" s="1" t="s">
        <v>21</v>
      </c>
      <c r="M601" s="1" t="s">
        <v>29</v>
      </c>
      <c r="N601" s="1" t="s">
        <v>22</v>
      </c>
    </row>
    <row r="602" spans="1:14" x14ac:dyDescent="0.25">
      <c r="A602" s="1">
        <v>601</v>
      </c>
      <c r="B602" s="2" t="str">
        <f>HYPERLINK("https://leetcode.com/problems/human-traffic-of-stadium/", "Human Traffic of Stadium")</f>
        <v>Human Traffic of Stadium</v>
      </c>
      <c r="C602" s="1">
        <v>835</v>
      </c>
      <c r="D602" s="1">
        <v>576</v>
      </c>
      <c r="E602" s="3">
        <f>IF(INDEX(C:C, ROW())+INDEX(D:D, ROW())=0, 0, INDEX(C:C, ROW())/(INDEX(C:C, ROW())+INDEX(D:D, ROW())))</f>
        <v>0.59177888022678948</v>
      </c>
      <c r="F602" s="1" t="s">
        <v>297</v>
      </c>
      <c r="G602" s="1" t="s">
        <v>28</v>
      </c>
      <c r="H602" s="1">
        <v>166360</v>
      </c>
      <c r="I602" s="1">
        <v>327666</v>
      </c>
      <c r="J602" s="7">
        <v>0.50800000000000001</v>
      </c>
      <c r="K602" s="1" t="s">
        <v>21</v>
      </c>
      <c r="L602" s="1" t="s">
        <v>21</v>
      </c>
      <c r="M602" s="1" t="s">
        <v>29</v>
      </c>
      <c r="N602" s="1" t="s">
        <v>297</v>
      </c>
    </row>
    <row r="603" spans="1:14" x14ac:dyDescent="0.25">
      <c r="A603" s="1">
        <v>602</v>
      </c>
      <c r="B603" s="2" t="str">
        <f>HYPERLINK("https://leetcode.com/problems/friend-requests-ii-who-has-the-most-friends/", "Friend Requests II: Who Has the Most Friends")</f>
        <v>Friend Requests II: Who Has the Most Friends</v>
      </c>
      <c r="C603" s="1">
        <v>960</v>
      </c>
      <c r="D603" s="1">
        <v>152</v>
      </c>
      <c r="E603" s="3">
        <f>IF(INDEX(C:C, ROW())+INDEX(D:D, ROW())=0, 0, INDEX(C:C, ROW())/(INDEX(C:C, ROW())+INDEX(D:D, ROW())))</f>
        <v>0.86330935251798557</v>
      </c>
      <c r="F603" s="1" t="s">
        <v>297</v>
      </c>
      <c r="G603" s="1" t="s">
        <v>24</v>
      </c>
      <c r="H603" s="1">
        <v>324418</v>
      </c>
      <c r="I603" s="1">
        <v>521314</v>
      </c>
      <c r="J603" s="7">
        <v>0.622</v>
      </c>
      <c r="K603" s="1" t="s">
        <v>21</v>
      </c>
      <c r="L603" s="1" t="s">
        <v>21</v>
      </c>
      <c r="M603" s="1" t="s">
        <v>29</v>
      </c>
      <c r="N603" s="1" t="s">
        <v>297</v>
      </c>
    </row>
    <row r="604" spans="1:14" x14ac:dyDescent="0.25">
      <c r="A604" s="1">
        <v>603</v>
      </c>
      <c r="B604" s="2" t="str">
        <f>HYPERLINK("https://leetcode.com/problems/consecutive-available-seats/", "Consecutive Available Seats")</f>
        <v>Consecutive Available Seats</v>
      </c>
      <c r="C604" s="1">
        <v>659</v>
      </c>
      <c r="D604" s="1">
        <v>80</v>
      </c>
      <c r="E604" s="3">
        <f>IF(INDEX(C:C, ROW())+INDEX(D:D, ROW())=0, 0, INDEX(C:C, ROW())/(INDEX(C:C, ROW())+INDEX(D:D, ROW())))</f>
        <v>0.89174560216508791</v>
      </c>
      <c r="F604" s="1" t="s">
        <v>297</v>
      </c>
      <c r="G604" s="1" t="s">
        <v>20</v>
      </c>
      <c r="H604" s="1">
        <v>102118</v>
      </c>
      <c r="I604" s="1">
        <v>157018</v>
      </c>
      <c r="J604" s="7">
        <v>0.65</v>
      </c>
      <c r="K604" s="1" t="s">
        <v>29</v>
      </c>
      <c r="L604" s="1" t="s">
        <v>21</v>
      </c>
      <c r="M604" s="1" t="s">
        <v>29</v>
      </c>
      <c r="N604" s="1" t="s">
        <v>297</v>
      </c>
    </row>
    <row r="605" spans="1:14" x14ac:dyDescent="0.25">
      <c r="A605" s="1">
        <v>604</v>
      </c>
      <c r="B605" s="2" t="str">
        <f>HYPERLINK("https://leetcode.com/problems/design-compressed-string-iterator/", "Design Compressed String Iterator")</f>
        <v>Design Compressed String Iterator</v>
      </c>
      <c r="C605" s="1">
        <v>459</v>
      </c>
      <c r="D605" s="1">
        <v>167</v>
      </c>
      <c r="E605" s="3">
        <f>IF(INDEX(C:C, ROW())+INDEX(D:D, ROW())=0, 0, INDEX(C:C, ROW())/(INDEX(C:C, ROW())+INDEX(D:D, ROW())))</f>
        <v>0.73322683706070291</v>
      </c>
      <c r="F605" s="1" t="s">
        <v>949</v>
      </c>
      <c r="G605" s="1" t="s">
        <v>20</v>
      </c>
      <c r="H605" s="1">
        <v>39249</v>
      </c>
      <c r="I605" s="1">
        <v>97348</v>
      </c>
      <c r="J605" s="7">
        <v>0.40300000000000002</v>
      </c>
      <c r="K605" s="1" t="s">
        <v>29</v>
      </c>
      <c r="L605" s="1" t="s">
        <v>21</v>
      </c>
      <c r="M605" s="1" t="s">
        <v>29</v>
      </c>
      <c r="N605" s="1" t="s">
        <v>22</v>
      </c>
    </row>
    <row r="606" spans="1:14" x14ac:dyDescent="0.25">
      <c r="A606" s="1">
        <v>605</v>
      </c>
      <c r="B606" s="2" t="str">
        <f>HYPERLINK("https://leetcode.com/problems/can-place-flowers/", "Can Place Flowers")</f>
        <v>Can Place Flowers</v>
      </c>
      <c r="C606" s="1">
        <v>7339</v>
      </c>
      <c r="D606" s="1">
        <v>1317</v>
      </c>
      <c r="E606" s="3">
        <f>IF(INDEX(C:C, ROW())+INDEX(D:D, ROW())=0, 0, INDEX(C:C, ROW())/(INDEX(C:C, ROW())+INDEX(D:D, ROW())))</f>
        <v>0.84785120147874304</v>
      </c>
      <c r="F606" s="1" t="s">
        <v>96</v>
      </c>
      <c r="G606" s="1" t="s">
        <v>20</v>
      </c>
      <c r="H606" s="1">
        <v>1355711</v>
      </c>
      <c r="I606" s="1">
        <v>4667354</v>
      </c>
      <c r="J606" s="7">
        <v>0.28999999999999998</v>
      </c>
      <c r="K606" s="1" t="s">
        <v>21</v>
      </c>
      <c r="L606" s="1" t="s">
        <v>21</v>
      </c>
      <c r="M606" s="1" t="s">
        <v>29</v>
      </c>
      <c r="N606" s="1" t="s">
        <v>22</v>
      </c>
    </row>
    <row r="607" spans="1:14" x14ac:dyDescent="0.25">
      <c r="A607" s="1">
        <v>606</v>
      </c>
      <c r="B607" s="2" t="str">
        <f>HYPERLINK("https://leetcode.com/problems/construct-string-from-binary-tree/", "Construct String from Binary Tree")</f>
        <v>Construct String from Binary Tree</v>
      </c>
      <c r="C607" s="1">
        <v>192</v>
      </c>
      <c r="D607" s="1">
        <v>72</v>
      </c>
      <c r="E607" s="3">
        <f>IF(INDEX(C:C, ROW())+INDEX(D:D, ROW())=0, 0, INDEX(C:C, ROW())/(INDEX(C:C, ROW())+INDEX(D:D, ROW())))</f>
        <v>0.72727272727272729</v>
      </c>
      <c r="F607" s="1" t="s">
        <v>362</v>
      </c>
      <c r="G607" s="1" t="s">
        <v>24</v>
      </c>
      <c r="H607" s="1">
        <v>352861</v>
      </c>
      <c r="I607" s="1">
        <v>499957</v>
      </c>
      <c r="J607" s="7">
        <v>0.70599999999999996</v>
      </c>
      <c r="K607" s="1" t="s">
        <v>21</v>
      </c>
      <c r="L607" s="1" t="s">
        <v>21</v>
      </c>
      <c r="M607" s="1" t="s">
        <v>29</v>
      </c>
      <c r="N607" s="1" t="s">
        <v>22</v>
      </c>
    </row>
    <row r="608" spans="1:14" x14ac:dyDescent="0.25">
      <c r="A608" s="1">
        <v>607</v>
      </c>
      <c r="B608" s="2" t="str">
        <f>HYPERLINK("https://leetcode.com/problems/sales-person/", "Sales Person")</f>
        <v>Sales Person</v>
      </c>
      <c r="C608" s="1">
        <v>1408</v>
      </c>
      <c r="D608" s="1">
        <v>118</v>
      </c>
      <c r="E608" s="3">
        <f>IF(INDEX(C:C, ROW())+INDEX(D:D, ROW())=0, 0, INDEX(C:C, ROW())/(INDEX(C:C, ROW())+INDEX(D:D, ROW())))</f>
        <v>0.92267365661861078</v>
      </c>
      <c r="F608" s="1" t="s">
        <v>297</v>
      </c>
      <c r="G608" s="1" t="s">
        <v>20</v>
      </c>
      <c r="H608" s="1">
        <v>363782</v>
      </c>
      <c r="I608" s="1">
        <v>553006</v>
      </c>
      <c r="J608" s="7">
        <v>0.65800000000000003</v>
      </c>
      <c r="K608" s="1" t="s">
        <v>21</v>
      </c>
      <c r="L608" s="1" t="s">
        <v>21</v>
      </c>
      <c r="M608" s="1" t="s">
        <v>29</v>
      </c>
      <c r="N608" s="1" t="s">
        <v>297</v>
      </c>
    </row>
    <row r="609" spans="1:14" x14ac:dyDescent="0.25">
      <c r="A609" s="1">
        <v>608</v>
      </c>
      <c r="B609" s="2" t="str">
        <f>HYPERLINK("https://leetcode.com/problems/tree-node/", "Tree Node")</f>
        <v>Tree Node</v>
      </c>
      <c r="C609" s="1">
        <v>1383</v>
      </c>
      <c r="D609" s="1">
        <v>129</v>
      </c>
      <c r="E609" s="3">
        <f>IF(INDEX(C:C, ROW())+INDEX(D:D, ROW())=0, 0, INDEX(C:C, ROW())/(INDEX(C:C, ROW())+INDEX(D:D, ROW())))</f>
        <v>0.91468253968253965</v>
      </c>
      <c r="F609" s="1" t="s">
        <v>297</v>
      </c>
      <c r="G609" s="1" t="s">
        <v>24</v>
      </c>
      <c r="H609" s="1">
        <v>240015</v>
      </c>
      <c r="I609" s="1">
        <v>319101</v>
      </c>
      <c r="J609" s="7">
        <v>0.752</v>
      </c>
      <c r="K609" s="1" t="s">
        <v>21</v>
      </c>
      <c r="L609" s="1" t="s">
        <v>21</v>
      </c>
      <c r="M609" s="1" t="s">
        <v>29</v>
      </c>
      <c r="N609" s="1" t="s">
        <v>297</v>
      </c>
    </row>
    <row r="610" spans="1:14" x14ac:dyDescent="0.25">
      <c r="A610" s="1">
        <v>609</v>
      </c>
      <c r="B610" s="2" t="str">
        <f>HYPERLINK("https://leetcode.com/problems/find-duplicate-file-in-system/", "Find Duplicate File in System")</f>
        <v>Find Duplicate File in System</v>
      </c>
      <c r="C610" s="1">
        <v>1559</v>
      </c>
      <c r="D610" s="1">
        <v>1657</v>
      </c>
      <c r="E610" s="3">
        <f>IF(INDEX(C:C, ROW())+INDEX(D:D, ROW())=0, 0, INDEX(C:C, ROW())/(INDEX(C:C, ROW())+INDEX(D:D, ROW())))</f>
        <v>0.48476368159203981</v>
      </c>
      <c r="F610" s="1" t="s">
        <v>258</v>
      </c>
      <c r="G610" s="1" t="s">
        <v>24</v>
      </c>
      <c r="H610" s="1">
        <v>174214</v>
      </c>
      <c r="I610" s="1">
        <v>257839</v>
      </c>
      <c r="J610" s="7">
        <v>0.67600000000000005</v>
      </c>
      <c r="K610" s="1" t="s">
        <v>21</v>
      </c>
      <c r="L610" s="1" t="s">
        <v>21</v>
      </c>
      <c r="M610" s="1" t="s">
        <v>29</v>
      </c>
      <c r="N610" s="1" t="s">
        <v>22</v>
      </c>
    </row>
    <row r="611" spans="1:14" x14ac:dyDescent="0.25">
      <c r="A611" s="1">
        <v>610</v>
      </c>
      <c r="B611" s="2" t="str">
        <f>HYPERLINK("https://leetcode.com/problems/triangle-judgement/", "Triangle Judgement")</f>
        <v>Triangle Judgement</v>
      </c>
      <c r="C611" s="1">
        <v>833</v>
      </c>
      <c r="D611" s="1">
        <v>234</v>
      </c>
      <c r="E611" s="3">
        <f>IF(INDEX(C:C, ROW())+INDEX(D:D, ROW())=0, 0, INDEX(C:C, ROW())/(INDEX(C:C, ROW())+INDEX(D:D, ROW())))</f>
        <v>0.78069353327085289</v>
      </c>
      <c r="F611" s="1" t="s">
        <v>297</v>
      </c>
      <c r="G611" s="1" t="s">
        <v>20</v>
      </c>
      <c r="H611" s="1">
        <v>453499</v>
      </c>
      <c r="I611" s="1">
        <v>608571</v>
      </c>
      <c r="J611" s="7">
        <v>0.745</v>
      </c>
      <c r="K611" s="1" t="s">
        <v>21</v>
      </c>
      <c r="L611" s="1" t="s">
        <v>21</v>
      </c>
      <c r="M611" s="1" t="s">
        <v>29</v>
      </c>
      <c r="N611" s="1" t="s">
        <v>297</v>
      </c>
    </row>
    <row r="612" spans="1:14" x14ac:dyDescent="0.25">
      <c r="A612" s="1">
        <v>611</v>
      </c>
      <c r="B612" s="2" t="str">
        <f>HYPERLINK("https://leetcode.com/problems/valid-triangle-number/", "Valid Triangle Number")</f>
        <v>Valid Triangle Number</v>
      </c>
      <c r="C612" s="1">
        <v>4425</v>
      </c>
      <c r="D612" s="1">
        <v>257</v>
      </c>
      <c r="E612" s="3">
        <f>IF(INDEX(C:C, ROW())+INDEX(D:D, ROW())=0, 0, INDEX(C:C, ROW())/(INDEX(C:C, ROW())+INDEX(D:D, ROW())))</f>
        <v>0.94510892780862876</v>
      </c>
      <c r="F612" s="1" t="s">
        <v>290</v>
      </c>
      <c r="G612" s="1" t="s">
        <v>24</v>
      </c>
      <c r="H612" s="1">
        <v>360010</v>
      </c>
      <c r="I612" s="1">
        <v>634947</v>
      </c>
      <c r="J612" s="7">
        <v>0.56699999999999995</v>
      </c>
      <c r="K612" s="1" t="s">
        <v>21</v>
      </c>
      <c r="L612" s="1" t="s">
        <v>21</v>
      </c>
      <c r="M612" s="1" t="s">
        <v>29</v>
      </c>
      <c r="N612" s="1" t="s">
        <v>22</v>
      </c>
    </row>
    <row r="613" spans="1:14" x14ac:dyDescent="0.25">
      <c r="A613" s="1">
        <v>612</v>
      </c>
      <c r="B613" s="2" t="str">
        <f>HYPERLINK("https://leetcode.com/problems/shortest-distance-in-a-plane/", "Shortest Distance in a Plane")</f>
        <v>Shortest Distance in a Plane</v>
      </c>
      <c r="C613" s="1">
        <v>226</v>
      </c>
      <c r="D613" s="1">
        <v>72</v>
      </c>
      <c r="E613" s="3">
        <f>IF(INDEX(C:C, ROW())+INDEX(D:D, ROW())=0, 0, INDEX(C:C, ROW())/(INDEX(C:C, ROW())+INDEX(D:D, ROW())))</f>
        <v>0.75838926174496646</v>
      </c>
      <c r="F613" s="1" t="s">
        <v>297</v>
      </c>
      <c r="G613" s="1" t="s">
        <v>24</v>
      </c>
      <c r="H613" s="1">
        <v>48352</v>
      </c>
      <c r="I613" s="1">
        <v>79248</v>
      </c>
      <c r="J613" s="7">
        <v>0.61</v>
      </c>
      <c r="K613" s="1" t="s">
        <v>29</v>
      </c>
      <c r="L613" s="1" t="s">
        <v>21</v>
      </c>
      <c r="M613" s="1" t="s">
        <v>29</v>
      </c>
      <c r="N613" s="1" t="s">
        <v>297</v>
      </c>
    </row>
    <row r="614" spans="1:14" x14ac:dyDescent="0.25">
      <c r="A614" s="1">
        <v>613</v>
      </c>
      <c r="B614" s="2" t="str">
        <f>HYPERLINK("https://leetcode.com/problems/shortest-distance-in-a-line/", "Shortest Distance in a Line")</f>
        <v>Shortest Distance in a Line</v>
      </c>
      <c r="C614" s="1">
        <v>344</v>
      </c>
      <c r="D614" s="1">
        <v>41</v>
      </c>
      <c r="E614" s="3">
        <f>IF(INDEX(C:C, ROW())+INDEX(D:D, ROW())=0, 0, INDEX(C:C, ROW())/(INDEX(C:C, ROW())+INDEX(D:D, ROW())))</f>
        <v>0.89350649350649347</v>
      </c>
      <c r="F614" s="1" t="s">
        <v>297</v>
      </c>
      <c r="G614" s="1" t="s">
        <v>20</v>
      </c>
      <c r="H614" s="1">
        <v>84468</v>
      </c>
      <c r="I614" s="1">
        <v>105979</v>
      </c>
      <c r="J614" s="7">
        <v>0.79700000000000004</v>
      </c>
      <c r="K614" s="1" t="s">
        <v>29</v>
      </c>
      <c r="L614" s="1" t="s">
        <v>21</v>
      </c>
      <c r="M614" s="1" t="s">
        <v>29</v>
      </c>
      <c r="N614" s="1" t="s">
        <v>297</v>
      </c>
    </row>
    <row r="615" spans="1:14" x14ac:dyDescent="0.25">
      <c r="A615" s="1">
        <v>614</v>
      </c>
      <c r="B615" s="2" t="str">
        <f>HYPERLINK("https://leetcode.com/problems/second-degree-follower/", "Second Degree Follower")</f>
        <v>Second Degree Follower</v>
      </c>
      <c r="C615" s="1">
        <v>169</v>
      </c>
      <c r="D615" s="1">
        <v>745</v>
      </c>
      <c r="E615" s="3">
        <f>IF(INDEX(C:C, ROW())+INDEX(D:D, ROW())=0, 0, INDEX(C:C, ROW())/(INDEX(C:C, ROW())+INDEX(D:D, ROW())))</f>
        <v>0.18490153172866522</v>
      </c>
      <c r="F615" s="1" t="s">
        <v>297</v>
      </c>
      <c r="G615" s="1" t="s">
        <v>24</v>
      </c>
      <c r="H615" s="1">
        <v>63072</v>
      </c>
      <c r="I615" s="1">
        <v>154922</v>
      </c>
      <c r="J615" s="7">
        <v>0.40699999999999997</v>
      </c>
      <c r="K615" s="1" t="s">
        <v>29</v>
      </c>
      <c r="L615" s="1" t="s">
        <v>29</v>
      </c>
      <c r="M615" s="1" t="s">
        <v>29</v>
      </c>
      <c r="N615" s="1" t="s">
        <v>297</v>
      </c>
    </row>
    <row r="616" spans="1:14" x14ac:dyDescent="0.25">
      <c r="A616" s="1">
        <v>615</v>
      </c>
      <c r="B616" s="2" t="str">
        <f>HYPERLINK("https://leetcode.com/problems/average-salary-departments-vs-company/", "Average Salary: Departments VS Company")</f>
        <v>Average Salary: Departments VS Company</v>
      </c>
      <c r="C616" s="1">
        <v>242</v>
      </c>
      <c r="D616" s="1">
        <v>77</v>
      </c>
      <c r="E616" s="3">
        <f>IF(INDEX(C:C, ROW())+INDEX(D:D, ROW())=0, 0, INDEX(C:C, ROW())/(INDEX(C:C, ROW())+INDEX(D:D, ROW())))</f>
        <v>0.75862068965517238</v>
      </c>
      <c r="F616" s="1" t="s">
        <v>297</v>
      </c>
      <c r="G616" s="1" t="s">
        <v>28</v>
      </c>
      <c r="H616" s="1">
        <v>43364</v>
      </c>
      <c r="I616" s="1">
        <v>76423</v>
      </c>
      <c r="J616" s="7">
        <v>0.56699999999999995</v>
      </c>
      <c r="K616" s="1" t="s">
        <v>29</v>
      </c>
      <c r="L616" s="1" t="s">
        <v>21</v>
      </c>
      <c r="M616" s="1" t="s">
        <v>29</v>
      </c>
      <c r="N616" s="1" t="s">
        <v>297</v>
      </c>
    </row>
    <row r="617" spans="1:14" x14ac:dyDescent="0.25">
      <c r="A617" s="1">
        <v>616</v>
      </c>
      <c r="B617" s="2" t="str">
        <f>HYPERLINK("https://leetcode.com/problems/add-bold-tag-in-string/", "Add Bold Tag in String")</f>
        <v>Add Bold Tag in String</v>
      </c>
      <c r="C617" s="1">
        <v>1113</v>
      </c>
      <c r="D617" s="1">
        <v>202</v>
      </c>
      <c r="E617" s="3">
        <f>IF(INDEX(C:C, ROW())+INDEX(D:D, ROW())=0, 0, INDEX(C:C, ROW())/(INDEX(C:C, ROW())+INDEX(D:D, ROW())))</f>
        <v>0.84638783269961981</v>
      </c>
      <c r="F617" s="1" t="s">
        <v>682</v>
      </c>
      <c r="G617" s="1" t="s">
        <v>24</v>
      </c>
      <c r="H617" s="1">
        <v>104649</v>
      </c>
      <c r="I617" s="1">
        <v>203707</v>
      </c>
      <c r="J617" s="7">
        <v>0.51400000000000001</v>
      </c>
      <c r="K617" s="1" t="s">
        <v>29</v>
      </c>
      <c r="L617" s="1" t="s">
        <v>21</v>
      </c>
      <c r="M617" s="1" t="s">
        <v>29</v>
      </c>
      <c r="N617" s="1" t="s">
        <v>22</v>
      </c>
    </row>
    <row r="618" spans="1:14" x14ac:dyDescent="0.25">
      <c r="A618" s="1">
        <v>617</v>
      </c>
      <c r="B618" s="2" t="str">
        <f>HYPERLINK("https://leetcode.com/problems/merge-two-binary-trees/", "Merge Two Binary Trees")</f>
        <v>Merge Two Binary Trees</v>
      </c>
      <c r="C618" s="1">
        <v>9062</v>
      </c>
      <c r="D618" s="1">
        <v>322</v>
      </c>
      <c r="E618" s="3">
        <f>IF(INDEX(C:C, ROW())+INDEX(D:D, ROW())=0, 0, INDEX(C:C, ROW())/(INDEX(C:C, ROW())+INDEX(D:D, ROW())))</f>
        <v>0.96568627450980393</v>
      </c>
      <c r="F618" s="1" t="s">
        <v>80</v>
      </c>
      <c r="G618" s="1" t="s">
        <v>20</v>
      </c>
      <c r="H618" s="1">
        <v>888684</v>
      </c>
      <c r="I618" s="1">
        <v>1125136</v>
      </c>
      <c r="J618" s="7">
        <v>0.79</v>
      </c>
      <c r="K618" s="1" t="s">
        <v>21</v>
      </c>
      <c r="L618" s="1" t="s">
        <v>21</v>
      </c>
      <c r="M618" s="1" t="s">
        <v>29</v>
      </c>
      <c r="N618" s="1" t="s">
        <v>22</v>
      </c>
    </row>
    <row r="619" spans="1:14" x14ac:dyDescent="0.25">
      <c r="A619" s="1">
        <v>618</v>
      </c>
      <c r="B619" s="2" t="str">
        <f>HYPERLINK("https://leetcode.com/problems/students-report-by-geography/", "Students Report By Geography")</f>
        <v>Students Report By Geography</v>
      </c>
      <c r="C619" s="1">
        <v>192</v>
      </c>
      <c r="D619" s="1">
        <v>170</v>
      </c>
      <c r="E619" s="3">
        <f>IF(INDEX(C:C, ROW())+INDEX(D:D, ROW())=0, 0, INDEX(C:C, ROW())/(INDEX(C:C, ROW())+INDEX(D:D, ROW())))</f>
        <v>0.53038674033149169</v>
      </c>
      <c r="F619" s="1" t="s">
        <v>297</v>
      </c>
      <c r="G619" s="1" t="s">
        <v>28</v>
      </c>
      <c r="H619" s="1">
        <v>29052</v>
      </c>
      <c r="I619" s="1">
        <v>45728</v>
      </c>
      <c r="J619" s="7">
        <v>0.63500000000000001</v>
      </c>
      <c r="K619" s="1" t="s">
        <v>29</v>
      </c>
      <c r="L619" s="1" t="s">
        <v>21</v>
      </c>
      <c r="M619" s="1" t="s">
        <v>29</v>
      </c>
      <c r="N619" s="1" t="s">
        <v>297</v>
      </c>
    </row>
    <row r="620" spans="1:14" x14ac:dyDescent="0.25">
      <c r="A620" s="1">
        <v>619</v>
      </c>
      <c r="B620" s="2" t="str">
        <f>HYPERLINK("https://leetcode.com/problems/biggest-single-number/", "Biggest Single Number")</f>
        <v>Biggest Single Number</v>
      </c>
      <c r="C620" s="1">
        <v>947</v>
      </c>
      <c r="D620" s="1">
        <v>203</v>
      </c>
      <c r="E620" s="3">
        <f>IF(INDEX(C:C, ROW())+INDEX(D:D, ROW())=0, 0, INDEX(C:C, ROW())/(INDEX(C:C, ROW())+INDEX(D:D, ROW())))</f>
        <v>0.82347826086956522</v>
      </c>
      <c r="F620" s="1" t="s">
        <v>297</v>
      </c>
      <c r="G620" s="1" t="s">
        <v>20</v>
      </c>
      <c r="H620" s="1">
        <v>527303</v>
      </c>
      <c r="I620" s="1">
        <v>743787</v>
      </c>
      <c r="J620" s="7">
        <v>0.70899999999999996</v>
      </c>
      <c r="K620" s="1" t="s">
        <v>21</v>
      </c>
      <c r="L620" s="1" t="s">
        <v>21</v>
      </c>
      <c r="M620" s="1" t="s">
        <v>29</v>
      </c>
      <c r="N620" s="1" t="s">
        <v>297</v>
      </c>
    </row>
    <row r="621" spans="1:14" x14ac:dyDescent="0.25">
      <c r="A621" s="1">
        <v>620</v>
      </c>
      <c r="B621" s="2" t="str">
        <f>HYPERLINK("https://leetcode.com/problems/not-boring-movies/", "Not Boring Movies")</f>
        <v>Not Boring Movies</v>
      </c>
      <c r="C621" s="1">
        <v>1511</v>
      </c>
      <c r="D621" s="1">
        <v>563</v>
      </c>
      <c r="E621" s="3">
        <f>IF(INDEX(C:C, ROW())+INDEX(D:D, ROW())=0, 0, INDEX(C:C, ROW())/(INDEX(C:C, ROW())+INDEX(D:D, ROW())))</f>
        <v>0.72854387656702024</v>
      </c>
      <c r="F621" s="1" t="s">
        <v>297</v>
      </c>
      <c r="G621" s="1" t="s">
        <v>20</v>
      </c>
      <c r="H621" s="1">
        <v>1053896</v>
      </c>
      <c r="I621" s="1">
        <v>1402872</v>
      </c>
      <c r="J621" s="7">
        <v>0.751</v>
      </c>
      <c r="K621" s="1" t="s">
        <v>21</v>
      </c>
      <c r="L621" s="1" t="s">
        <v>21</v>
      </c>
      <c r="M621" s="1" t="s">
        <v>29</v>
      </c>
      <c r="N621" s="1" t="s">
        <v>297</v>
      </c>
    </row>
    <row r="622" spans="1:14" x14ac:dyDescent="0.25">
      <c r="A622" s="1">
        <v>621</v>
      </c>
      <c r="B622" s="2" t="str">
        <f>HYPERLINK("https://leetcode.com/problems/task-scheduler/", "Task Scheduler")</f>
        <v>Task Scheduler</v>
      </c>
      <c r="C622" s="1">
        <v>11724</v>
      </c>
      <c r="D622" s="1">
        <v>2212</v>
      </c>
      <c r="E622" s="3">
        <f>IF(INDEX(C:C, ROW())+INDEX(D:D, ROW())=0, 0, INDEX(C:C, ROW())/(INDEX(C:C, ROW())+INDEX(D:D, ROW())))</f>
        <v>0.84127439724454645</v>
      </c>
      <c r="F622" s="1" t="s">
        <v>114</v>
      </c>
      <c r="G622" s="1" t="s">
        <v>24</v>
      </c>
      <c r="H622" s="1">
        <v>929705</v>
      </c>
      <c r="I622" s="1">
        <v>1483608</v>
      </c>
      <c r="J622" s="7">
        <v>0.627</v>
      </c>
      <c r="K622" s="1" t="s">
        <v>21</v>
      </c>
      <c r="L622" s="1" t="s">
        <v>21</v>
      </c>
      <c r="M622" s="1" t="s">
        <v>29</v>
      </c>
      <c r="N622" s="1" t="s">
        <v>22</v>
      </c>
    </row>
    <row r="623" spans="1:14" x14ac:dyDescent="0.25">
      <c r="A623" s="1">
        <v>622</v>
      </c>
      <c r="B623" s="2" t="str">
        <f>HYPERLINK("https://leetcode.com/problems/design-circular-queue/", "Design Circular Queue")</f>
        <v>Design Circular Queue</v>
      </c>
      <c r="C623" s="1">
        <v>3826</v>
      </c>
      <c r="D623" s="1">
        <v>348</v>
      </c>
      <c r="E623" s="3">
        <f>IF(INDEX(C:C, ROW())+INDEX(D:D, ROW())=0, 0, INDEX(C:C, ROW())/(INDEX(C:C, ROW())+INDEX(D:D, ROW())))</f>
        <v>0.91662673694298036</v>
      </c>
      <c r="F623" s="1" t="s">
        <v>323</v>
      </c>
      <c r="G623" s="1" t="s">
        <v>24</v>
      </c>
      <c r="H623" s="1">
        <v>455782</v>
      </c>
      <c r="I623" s="1">
        <v>844353</v>
      </c>
      <c r="J623" s="7">
        <v>0.54</v>
      </c>
      <c r="K623" s="1" t="s">
        <v>21</v>
      </c>
      <c r="L623" s="1" t="s">
        <v>21</v>
      </c>
      <c r="M623" s="1" t="s">
        <v>29</v>
      </c>
      <c r="N623" s="1" t="s">
        <v>22</v>
      </c>
    </row>
    <row r="624" spans="1:14" x14ac:dyDescent="0.25">
      <c r="A624" s="1">
        <v>623</v>
      </c>
      <c r="B624" s="2" t="str">
        <f>HYPERLINK("https://leetcode.com/problems/add-one-row-to-tree/", "Add One Row to Tree")</f>
        <v>Add One Row to Tree</v>
      </c>
      <c r="C624" s="1">
        <v>3667</v>
      </c>
      <c r="D624" s="1">
        <v>271</v>
      </c>
      <c r="E624" s="3">
        <f>IF(INDEX(C:C, ROW())+INDEX(D:D, ROW())=0, 0, INDEX(C:C, ROW())/(INDEX(C:C, ROW())+INDEX(D:D, ROW())))</f>
        <v>0.93118334179786699</v>
      </c>
      <c r="F624" s="1" t="s">
        <v>80</v>
      </c>
      <c r="G624" s="1" t="s">
        <v>24</v>
      </c>
      <c r="H624" s="1">
        <v>301813</v>
      </c>
      <c r="I624" s="1">
        <v>470849</v>
      </c>
      <c r="J624" s="7">
        <v>0.64100000000000001</v>
      </c>
      <c r="K624" s="1" t="s">
        <v>21</v>
      </c>
      <c r="L624" s="1" t="s">
        <v>21</v>
      </c>
      <c r="M624" s="1" t="s">
        <v>29</v>
      </c>
      <c r="N624" s="1" t="s">
        <v>22</v>
      </c>
    </row>
    <row r="625" spans="1:14" x14ac:dyDescent="0.25">
      <c r="A625" s="1">
        <v>624</v>
      </c>
      <c r="B625" s="2" t="str">
        <f>HYPERLINK("https://leetcode.com/problems/maximum-distance-in-arrays/", "Maximum Distance in Arrays")</f>
        <v>Maximum Distance in Arrays</v>
      </c>
      <c r="C625" s="1">
        <v>1507</v>
      </c>
      <c r="D625" s="1">
        <v>122</v>
      </c>
      <c r="E625" s="3">
        <f>IF(INDEX(C:C, ROW())+INDEX(D:D, ROW())=0, 0, INDEX(C:C, ROW())/(INDEX(C:C, ROW())+INDEX(D:D, ROW())))</f>
        <v>0.92510742786985878</v>
      </c>
      <c r="F625" s="1" t="s">
        <v>96</v>
      </c>
      <c r="G625" s="1" t="s">
        <v>24</v>
      </c>
      <c r="H625" s="1">
        <v>202703</v>
      </c>
      <c r="I625" s="1">
        <v>444373</v>
      </c>
      <c r="J625" s="7">
        <v>0.45600000000000002</v>
      </c>
      <c r="K625" s="1" t="s">
        <v>21</v>
      </c>
      <c r="L625" s="1" t="s">
        <v>21</v>
      </c>
      <c r="M625" s="1" t="s">
        <v>29</v>
      </c>
      <c r="N625" s="1" t="s">
        <v>22</v>
      </c>
    </row>
    <row r="626" spans="1:14" x14ac:dyDescent="0.25">
      <c r="A626" s="1">
        <v>625</v>
      </c>
      <c r="B626" s="2" t="str">
        <f>HYPERLINK("https://leetcode.com/problems/minimum-factorization/", "Minimum Factorization")</f>
        <v>Minimum Factorization</v>
      </c>
      <c r="C626" s="1">
        <v>133</v>
      </c>
      <c r="D626" s="1">
        <v>112</v>
      </c>
      <c r="E626" s="3">
        <f>IF(INDEX(C:C, ROW())+INDEX(D:D, ROW())=0, 0, INDEX(C:C, ROW())/(INDEX(C:C, ROW())+INDEX(D:D, ROW())))</f>
        <v>0.54285714285714282</v>
      </c>
      <c r="F626" s="1" t="s">
        <v>296</v>
      </c>
      <c r="G626" s="1" t="s">
        <v>24</v>
      </c>
      <c r="H626" s="1">
        <v>12178</v>
      </c>
      <c r="I626" s="1">
        <v>35902</v>
      </c>
      <c r="J626" s="7">
        <v>0.33900000000000002</v>
      </c>
      <c r="K626" s="1" t="s">
        <v>29</v>
      </c>
      <c r="L626" s="1" t="s">
        <v>21</v>
      </c>
      <c r="M626" s="1" t="s">
        <v>21</v>
      </c>
      <c r="N626" s="1" t="s">
        <v>22</v>
      </c>
    </row>
    <row r="627" spans="1:14" x14ac:dyDescent="0.25">
      <c r="A627" s="1">
        <v>626</v>
      </c>
      <c r="B627" s="2" t="str">
        <f>HYPERLINK("https://leetcode.com/problems/exchange-seats/", "Exchange Seats")</f>
        <v>Exchange Seats</v>
      </c>
      <c r="C627" s="1">
        <v>1877</v>
      </c>
      <c r="D627" s="1">
        <v>613</v>
      </c>
      <c r="E627" s="3">
        <f>IF(INDEX(C:C, ROW())+INDEX(D:D, ROW())=0, 0, INDEX(C:C, ROW())/(INDEX(C:C, ROW())+INDEX(D:D, ROW())))</f>
        <v>0.75381526104417673</v>
      </c>
      <c r="F627" s="1" t="s">
        <v>297</v>
      </c>
      <c r="G627" s="1" t="s">
        <v>24</v>
      </c>
      <c r="H627" s="1">
        <v>435389</v>
      </c>
      <c r="I627" s="1">
        <v>589766</v>
      </c>
      <c r="J627" s="7">
        <v>0.73799999999999999</v>
      </c>
      <c r="K627" s="1" t="s">
        <v>21</v>
      </c>
      <c r="L627" s="1" t="s">
        <v>21</v>
      </c>
      <c r="M627" s="1" t="s">
        <v>29</v>
      </c>
      <c r="N627" s="1" t="s">
        <v>297</v>
      </c>
    </row>
    <row r="628" spans="1:14" x14ac:dyDescent="0.25">
      <c r="A628" s="1">
        <v>627</v>
      </c>
      <c r="B628" s="2" t="str">
        <f>HYPERLINK("https://leetcode.com/problems/swap-sex-of-employees/", "Swap Sex of Employees")</f>
        <v>Swap Sex of Employees</v>
      </c>
      <c r="C628" s="1">
        <v>1859</v>
      </c>
      <c r="D628" s="1">
        <v>572</v>
      </c>
      <c r="E628" s="3">
        <f>IF(INDEX(C:C, ROW())+INDEX(D:D, ROW())=0, 0, INDEX(C:C, ROW())/(INDEX(C:C, ROW())+INDEX(D:D, ROW())))</f>
        <v>0.76470588235294112</v>
      </c>
      <c r="F628" s="1" t="s">
        <v>297</v>
      </c>
      <c r="G628" s="1" t="s">
        <v>20</v>
      </c>
      <c r="H628" s="1">
        <v>538345</v>
      </c>
      <c r="I628" s="1">
        <v>637007</v>
      </c>
      <c r="J628" s="7">
        <v>0.84499999999999997</v>
      </c>
      <c r="K628" s="1" t="s">
        <v>21</v>
      </c>
      <c r="L628" s="1" t="s">
        <v>21</v>
      </c>
      <c r="M628" s="1" t="s">
        <v>29</v>
      </c>
      <c r="N628" s="1" t="s">
        <v>297</v>
      </c>
    </row>
    <row r="629" spans="1:14" x14ac:dyDescent="0.25">
      <c r="A629" s="1">
        <v>628</v>
      </c>
      <c r="B629" s="2" t="str">
        <f>HYPERLINK("https://leetcode.com/problems/maximum-product-of-three-numbers/", "Maximum Product of Three Numbers")</f>
        <v>Maximum Product of Three Numbers</v>
      </c>
      <c r="C629" s="1">
        <v>4524</v>
      </c>
      <c r="D629" s="1">
        <v>715</v>
      </c>
      <c r="E629" s="3">
        <f>IF(INDEX(C:C, ROW())+INDEX(D:D, ROW())=0, 0, INDEX(C:C, ROW())/(INDEX(C:C, ROW())+INDEX(D:D, ROW())))</f>
        <v>0.8635235732009926</v>
      </c>
      <c r="F629" s="1" t="s">
        <v>284</v>
      </c>
      <c r="G629" s="1" t="s">
        <v>20</v>
      </c>
      <c r="H629" s="1">
        <v>476816</v>
      </c>
      <c r="I629" s="1">
        <v>1042847</v>
      </c>
      <c r="J629" s="7">
        <v>0.45700000000000002</v>
      </c>
      <c r="K629" s="1" t="s">
        <v>21</v>
      </c>
      <c r="L629" s="1" t="s">
        <v>21</v>
      </c>
      <c r="M629" s="1" t="s">
        <v>29</v>
      </c>
      <c r="N629" s="1" t="s">
        <v>22</v>
      </c>
    </row>
    <row r="630" spans="1:14" x14ac:dyDescent="0.25">
      <c r="A630" s="1">
        <v>629</v>
      </c>
      <c r="B630" s="2" t="str">
        <f>HYPERLINK("https://leetcode.com/problems/k-inverse-pairs-array/", "K Inverse Pairs Array")</f>
        <v>K Inverse Pairs Array</v>
      </c>
      <c r="C630" s="1">
        <v>2776</v>
      </c>
      <c r="D630" s="1">
        <v>331</v>
      </c>
      <c r="E630" s="3">
        <f>IF(INDEX(C:C, ROW())+INDEX(D:D, ROW())=0, 0, INDEX(C:C, ROW())/(INDEX(C:C, ROW())+INDEX(D:D, ROW())))</f>
        <v>0.89346636626971354</v>
      </c>
      <c r="F630" s="1" t="s">
        <v>251</v>
      </c>
      <c r="G630" s="1" t="s">
        <v>28</v>
      </c>
      <c r="H630" s="1">
        <v>139574</v>
      </c>
      <c r="I630" s="1">
        <v>285042</v>
      </c>
      <c r="J630" s="7">
        <v>0.49</v>
      </c>
      <c r="K630" s="1" t="s">
        <v>21</v>
      </c>
      <c r="L630" s="1" t="s">
        <v>21</v>
      </c>
      <c r="M630" s="1" t="s">
        <v>29</v>
      </c>
      <c r="N630" s="1" t="s">
        <v>22</v>
      </c>
    </row>
    <row r="631" spans="1:14" x14ac:dyDescent="0.25">
      <c r="A631" s="1">
        <v>630</v>
      </c>
      <c r="B631" s="2" t="str">
        <f>HYPERLINK("https://leetcode.com/problems/course-schedule-iii/", "Course Schedule III")</f>
        <v>Course Schedule III</v>
      </c>
      <c r="C631" s="1">
        <v>3998</v>
      </c>
      <c r="D631" s="1">
        <v>102</v>
      </c>
      <c r="E631" s="3">
        <f>IF(INDEX(C:C, ROW())+INDEX(D:D, ROW())=0, 0, INDEX(C:C, ROW())/(INDEX(C:C, ROW())+INDEX(D:D, ROW())))</f>
        <v>0.97512195121951217</v>
      </c>
      <c r="F631" s="1" t="s">
        <v>302</v>
      </c>
      <c r="G631" s="1" t="s">
        <v>28</v>
      </c>
      <c r="H631" s="1">
        <v>137248</v>
      </c>
      <c r="I631" s="1">
        <v>331622</v>
      </c>
      <c r="J631" s="7">
        <v>0.41399999999999998</v>
      </c>
      <c r="K631" s="1" t="s">
        <v>21</v>
      </c>
      <c r="L631" s="1" t="s">
        <v>21</v>
      </c>
      <c r="M631" s="1" t="s">
        <v>29</v>
      </c>
      <c r="N631" s="1" t="s">
        <v>22</v>
      </c>
    </row>
    <row r="632" spans="1:14" x14ac:dyDescent="0.25">
      <c r="A632" s="1">
        <v>631</v>
      </c>
      <c r="B632" s="2" t="str">
        <f>HYPERLINK("https://leetcode.com/problems/design-excel-sum-formula/", "Design Excel Sum Formula")</f>
        <v>Design Excel Sum Formula</v>
      </c>
      <c r="C632" s="1">
        <v>267</v>
      </c>
      <c r="D632" s="1">
        <v>292</v>
      </c>
      <c r="E632" s="3">
        <f>IF(INDEX(C:C, ROW())+INDEX(D:D, ROW())=0, 0, INDEX(C:C, ROW())/(INDEX(C:C, ROW())+INDEX(D:D, ROW())))</f>
        <v>0.47763864042933812</v>
      </c>
      <c r="F632" s="1" t="s">
        <v>1057</v>
      </c>
      <c r="G632" s="1" t="s">
        <v>28</v>
      </c>
      <c r="H632" s="1">
        <v>31494</v>
      </c>
      <c r="I632" s="1">
        <v>79065</v>
      </c>
      <c r="J632" s="7">
        <v>0.39800000000000002</v>
      </c>
      <c r="K632" s="1" t="s">
        <v>29</v>
      </c>
      <c r="L632" s="1" t="s">
        <v>21</v>
      </c>
      <c r="M632" s="1" t="s">
        <v>29</v>
      </c>
      <c r="N632" s="1" t="s">
        <v>22</v>
      </c>
    </row>
    <row r="633" spans="1:14" x14ac:dyDescent="0.25">
      <c r="A633" s="1">
        <v>632</v>
      </c>
      <c r="B633" s="2" t="str">
        <f>HYPERLINK("https://leetcode.com/problems/smallest-range-covering-elements-from-k-lists/", "Smallest Range Covering Elements from K Lists")</f>
        <v>Smallest Range Covering Elements from K Lists</v>
      </c>
      <c r="C633" s="1">
        <v>4382</v>
      </c>
      <c r="D633" s="1">
        <v>101</v>
      </c>
      <c r="E633" s="3">
        <f>IF(INDEX(C:C, ROW())+INDEX(D:D, ROW())=0, 0, INDEX(C:C, ROW())/(INDEX(C:C, ROW())+INDEX(D:D, ROW())))</f>
        <v>0.9774704438991747</v>
      </c>
      <c r="F633" s="1" t="s">
        <v>291</v>
      </c>
      <c r="G633" s="1" t="s">
        <v>28</v>
      </c>
      <c r="H633" s="1">
        <v>238976</v>
      </c>
      <c r="I633" s="1">
        <v>341147</v>
      </c>
      <c r="J633" s="7">
        <v>0.70099999999999996</v>
      </c>
      <c r="K633" s="1" t="s">
        <v>21</v>
      </c>
      <c r="L633" s="1" t="s">
        <v>21</v>
      </c>
      <c r="M633" s="1" t="s">
        <v>29</v>
      </c>
      <c r="N633" s="1" t="s">
        <v>22</v>
      </c>
    </row>
    <row r="634" spans="1:14" x14ac:dyDescent="0.25">
      <c r="A634" s="1">
        <v>633</v>
      </c>
      <c r="B634" s="2" t="str">
        <f>HYPERLINK("https://leetcode.com/problems/sum-of-square-numbers/", "Sum of Square Numbers")</f>
        <v>Sum of Square Numbers</v>
      </c>
      <c r="C634" s="1">
        <v>3441</v>
      </c>
      <c r="D634" s="1">
        <v>618</v>
      </c>
      <c r="E634" s="3">
        <f>IF(INDEX(C:C, ROW())+INDEX(D:D, ROW())=0, 0, INDEX(C:C, ROW())/(INDEX(C:C, ROW())+INDEX(D:D, ROW())))</f>
        <v>0.8477457501847746</v>
      </c>
      <c r="F634" s="1" t="s">
        <v>351</v>
      </c>
      <c r="G634" s="1" t="s">
        <v>24</v>
      </c>
      <c r="H634" s="1">
        <v>432708</v>
      </c>
      <c r="I634" s="1">
        <v>1178046</v>
      </c>
      <c r="J634" s="7">
        <v>0.36699999999999999</v>
      </c>
      <c r="K634" s="1" t="s">
        <v>21</v>
      </c>
      <c r="L634" s="1" t="s">
        <v>21</v>
      </c>
      <c r="M634" s="1" t="s">
        <v>29</v>
      </c>
      <c r="N634" s="1" t="s">
        <v>22</v>
      </c>
    </row>
    <row r="635" spans="1:14" x14ac:dyDescent="0.25">
      <c r="A635" s="1">
        <v>634</v>
      </c>
      <c r="B635" s="2" t="str">
        <f>HYPERLINK("https://leetcode.com/problems/find-the-derangement-of-an-array/", "Find the Derangement of An Array")</f>
        <v>Find the Derangement of An Array</v>
      </c>
      <c r="C635" s="1">
        <v>222</v>
      </c>
      <c r="D635" s="1">
        <v>166</v>
      </c>
      <c r="E635" s="3">
        <f>IF(INDEX(C:C, ROW())+INDEX(D:D, ROW())=0, 0, INDEX(C:C, ROW())/(INDEX(C:C, ROW())+INDEX(D:D, ROW())))</f>
        <v>0.57216494845360821</v>
      </c>
      <c r="F635" s="1" t="s">
        <v>70</v>
      </c>
      <c r="G635" s="1" t="s">
        <v>24</v>
      </c>
      <c r="H635" s="1">
        <v>12495</v>
      </c>
      <c r="I635" s="1">
        <v>29955</v>
      </c>
      <c r="J635" s="7">
        <v>0.41699999999999998</v>
      </c>
      <c r="K635" s="1" t="s">
        <v>29</v>
      </c>
      <c r="L635" s="1" t="s">
        <v>21</v>
      </c>
      <c r="M635" s="1" t="s">
        <v>29</v>
      </c>
      <c r="N635" s="1" t="s">
        <v>22</v>
      </c>
    </row>
    <row r="636" spans="1:14" x14ac:dyDescent="0.25">
      <c r="A636" s="1">
        <v>635</v>
      </c>
      <c r="B636" s="2" t="str">
        <f>HYPERLINK("https://leetcode.com/problems/design-log-storage-system/", "Design Log Storage System")</f>
        <v>Design Log Storage System</v>
      </c>
      <c r="C636" s="1">
        <v>489</v>
      </c>
      <c r="D636" s="1">
        <v>225</v>
      </c>
      <c r="E636" s="3">
        <f>IF(INDEX(C:C, ROW())+INDEX(D:D, ROW())=0, 0, INDEX(C:C, ROW())/(INDEX(C:C, ROW())+INDEX(D:D, ROW())))</f>
        <v>0.68487394957983194</v>
      </c>
      <c r="F636" s="1" t="s">
        <v>928</v>
      </c>
      <c r="G636" s="1" t="s">
        <v>24</v>
      </c>
      <c r="H636" s="1">
        <v>41369</v>
      </c>
      <c r="I636" s="1">
        <v>69836</v>
      </c>
      <c r="J636" s="7">
        <v>0.59199999999999997</v>
      </c>
      <c r="K636" s="1" t="s">
        <v>29</v>
      </c>
      <c r="L636" s="1" t="s">
        <v>21</v>
      </c>
      <c r="M636" s="1" t="s">
        <v>29</v>
      </c>
      <c r="N636" s="1" t="s">
        <v>22</v>
      </c>
    </row>
    <row r="637" spans="1:14" x14ac:dyDescent="0.25">
      <c r="A637" s="1">
        <v>636</v>
      </c>
      <c r="B637" s="2" t="str">
        <f>HYPERLINK("https://leetcode.com/problems/exclusive-time-of-functions/", "Exclusive Time of Functions")</f>
        <v>Exclusive Time of Functions</v>
      </c>
      <c r="C637" s="1">
        <v>2313</v>
      </c>
      <c r="D637" s="1">
        <v>2974</v>
      </c>
      <c r="E637" s="3">
        <f>IF(INDEX(C:C, ROW())+INDEX(D:D, ROW())=0, 0, INDEX(C:C, ROW())/(INDEX(C:C, ROW())+INDEX(D:D, ROW())))</f>
        <v>0.43748817855116323</v>
      </c>
      <c r="F637" s="1" t="s">
        <v>454</v>
      </c>
      <c r="G637" s="1" t="s">
        <v>24</v>
      </c>
      <c r="H637" s="1">
        <v>340491</v>
      </c>
      <c r="I637" s="1">
        <v>514887</v>
      </c>
      <c r="J637" s="7">
        <v>0.66100000000000003</v>
      </c>
      <c r="K637" s="1" t="s">
        <v>21</v>
      </c>
      <c r="L637" s="1" t="s">
        <v>21</v>
      </c>
      <c r="M637" s="1" t="s">
        <v>29</v>
      </c>
      <c r="N637" s="1" t="s">
        <v>22</v>
      </c>
    </row>
    <row r="638" spans="1:14" x14ac:dyDescent="0.25">
      <c r="A638" s="1">
        <v>637</v>
      </c>
      <c r="B638" s="2" t="str">
        <f>HYPERLINK("https://leetcode.com/problems/average-of-levels-in-binary-tree/", "Average of Levels in Binary Tree")</f>
        <v>Average of Levels in Binary Tree</v>
      </c>
      <c r="C638" s="1">
        <v>5552</v>
      </c>
      <c r="D638" s="1">
        <v>352</v>
      </c>
      <c r="E638" s="3">
        <f>IF(INDEX(C:C, ROW())+INDEX(D:D, ROW())=0, 0, INDEX(C:C, ROW())/(INDEX(C:C, ROW())+INDEX(D:D, ROW())))</f>
        <v>0.94037940379403795</v>
      </c>
      <c r="F638" s="1" t="s">
        <v>80</v>
      </c>
      <c r="G638" s="1" t="s">
        <v>20</v>
      </c>
      <c r="H638" s="1">
        <v>727589</v>
      </c>
      <c r="I638" s="1">
        <v>973671</v>
      </c>
      <c r="J638" s="7">
        <v>0.747</v>
      </c>
      <c r="K638" s="1" t="s">
        <v>21</v>
      </c>
      <c r="L638" s="1" t="s">
        <v>21</v>
      </c>
      <c r="M638" s="1" t="s">
        <v>29</v>
      </c>
      <c r="N638" s="1" t="s">
        <v>22</v>
      </c>
    </row>
    <row r="639" spans="1:14" x14ac:dyDescent="0.25">
      <c r="A639" s="1">
        <v>638</v>
      </c>
      <c r="B639" s="2" t="str">
        <f>HYPERLINK("https://leetcode.com/problems/shopping-offers/", "Shopping Offers")</f>
        <v>Shopping Offers</v>
      </c>
      <c r="C639" s="1">
        <v>1626</v>
      </c>
      <c r="D639" s="1">
        <v>790</v>
      </c>
      <c r="E639" s="3">
        <f>IF(INDEX(C:C, ROW())+INDEX(D:D, ROW())=0, 0, INDEX(C:C, ROW())/(INDEX(C:C, ROW())+INDEX(D:D, ROW())))</f>
        <v>0.67301324503311255</v>
      </c>
      <c r="F639" s="1" t="s">
        <v>183</v>
      </c>
      <c r="G639" s="1" t="s">
        <v>24</v>
      </c>
      <c r="H639" s="1">
        <v>79613</v>
      </c>
      <c r="I639" s="1">
        <v>152361</v>
      </c>
      <c r="J639" s="7">
        <v>0.52300000000000002</v>
      </c>
      <c r="K639" s="1" t="s">
        <v>21</v>
      </c>
      <c r="L639" s="1" t="s">
        <v>21</v>
      </c>
      <c r="M639" s="1" t="s">
        <v>29</v>
      </c>
      <c r="N639" s="1" t="s">
        <v>22</v>
      </c>
    </row>
    <row r="640" spans="1:14" x14ac:dyDescent="0.25">
      <c r="A640" s="1">
        <v>639</v>
      </c>
      <c r="B640" s="2" t="str">
        <f>HYPERLINK("https://leetcode.com/problems/decode-ways-ii/", "Decode Ways II")</f>
        <v>Decode Ways II</v>
      </c>
      <c r="C640" s="1">
        <v>1653</v>
      </c>
      <c r="D640" s="1">
        <v>825</v>
      </c>
      <c r="E640" s="3">
        <f>IF(INDEX(C:C, ROW())+INDEX(D:D, ROW())=0, 0, INDEX(C:C, ROW())/(INDEX(C:C, ROW())+INDEX(D:D, ROW())))</f>
        <v>0.66707021791767551</v>
      </c>
      <c r="F640" s="1" t="s">
        <v>82</v>
      </c>
      <c r="G640" s="1" t="s">
        <v>28</v>
      </c>
      <c r="H640" s="1">
        <v>87808</v>
      </c>
      <c r="I640" s="1">
        <v>276854</v>
      </c>
      <c r="J640" s="7">
        <v>0.317</v>
      </c>
      <c r="K640" s="1" t="s">
        <v>21</v>
      </c>
      <c r="L640" s="1" t="s">
        <v>21</v>
      </c>
      <c r="M640" s="1" t="s">
        <v>29</v>
      </c>
      <c r="N640" s="1" t="s">
        <v>22</v>
      </c>
    </row>
    <row r="641" spans="1:14" x14ac:dyDescent="0.25">
      <c r="A641" s="1">
        <v>640</v>
      </c>
      <c r="B641" s="2" t="str">
        <f>HYPERLINK("https://leetcode.com/problems/solve-the-equation/", "Solve the Equation")</f>
        <v>Solve the Equation</v>
      </c>
      <c r="C641" s="1">
        <v>546</v>
      </c>
      <c r="D641" s="1">
        <v>854</v>
      </c>
      <c r="E641" s="3">
        <f>IF(INDEX(C:C, ROW())+INDEX(D:D, ROW())=0, 0, INDEX(C:C, ROW())/(INDEX(C:C, ROW())+INDEX(D:D, ROW())))</f>
        <v>0.39</v>
      </c>
      <c r="F641" s="1" t="s">
        <v>178</v>
      </c>
      <c r="G641" s="1" t="s">
        <v>24</v>
      </c>
      <c r="H641" s="1">
        <v>50079</v>
      </c>
      <c r="I641" s="1">
        <v>108753</v>
      </c>
      <c r="J641" s="7">
        <v>0.46</v>
      </c>
      <c r="K641" s="1" t="s">
        <v>21</v>
      </c>
      <c r="L641" s="1" t="s">
        <v>21</v>
      </c>
      <c r="M641" s="1" t="s">
        <v>29</v>
      </c>
      <c r="N641" s="1" t="s">
        <v>22</v>
      </c>
    </row>
    <row r="642" spans="1:14" x14ac:dyDescent="0.25">
      <c r="A642" s="1">
        <v>641</v>
      </c>
      <c r="B642" s="2" t="str">
        <f>HYPERLINK("https://leetcode.com/problems/design-circular-deque/", "Design Circular Deque")</f>
        <v>Design Circular Deque</v>
      </c>
      <c r="C642" s="1">
        <v>1678</v>
      </c>
      <c r="D642" s="1">
        <v>108</v>
      </c>
      <c r="E642" s="3">
        <f>IF(INDEX(C:C, ROW())+INDEX(D:D, ROW())=0, 0, INDEX(C:C, ROW())/(INDEX(C:C, ROW())+INDEX(D:D, ROW())))</f>
        <v>0.93952967525195974</v>
      </c>
      <c r="F642" s="1" t="s">
        <v>323</v>
      </c>
      <c r="G642" s="1" t="s">
        <v>24</v>
      </c>
      <c r="H642" s="1">
        <v>196796</v>
      </c>
      <c r="I642" s="1">
        <v>305475</v>
      </c>
      <c r="J642" s="7">
        <v>0.64400000000000002</v>
      </c>
      <c r="K642" s="1" t="s">
        <v>21</v>
      </c>
      <c r="L642" s="1" t="s">
        <v>21</v>
      </c>
      <c r="M642" s="1" t="s">
        <v>29</v>
      </c>
      <c r="N642" s="1" t="s">
        <v>22</v>
      </c>
    </row>
    <row r="643" spans="1:14" x14ac:dyDescent="0.25">
      <c r="A643" s="1">
        <v>642</v>
      </c>
      <c r="B643" s="2" t="str">
        <f>HYPERLINK("https://leetcode.com/problems/design-search-autocomplete-system/", "Design Search Autocomplete System")</f>
        <v>Design Search Autocomplete System</v>
      </c>
      <c r="C643" s="1">
        <v>2178</v>
      </c>
      <c r="D643" s="1">
        <v>200</v>
      </c>
      <c r="E643" s="3">
        <f>IF(INDEX(C:C, ROW())+INDEX(D:D, ROW())=0, 0, INDEX(C:C, ROW())/(INDEX(C:C, ROW())+INDEX(D:D, ROW())))</f>
        <v>0.91589571068124476</v>
      </c>
      <c r="F643" s="1" t="s">
        <v>474</v>
      </c>
      <c r="G643" s="1" t="s">
        <v>28</v>
      </c>
      <c r="H643" s="1">
        <v>164793</v>
      </c>
      <c r="I643" s="1">
        <v>331717</v>
      </c>
      <c r="J643" s="7">
        <v>0.497</v>
      </c>
      <c r="K643" s="1" t="s">
        <v>29</v>
      </c>
      <c r="L643" s="1" t="s">
        <v>21</v>
      </c>
      <c r="M643" s="1" t="s">
        <v>29</v>
      </c>
      <c r="N643" s="1" t="s">
        <v>22</v>
      </c>
    </row>
    <row r="644" spans="1:14" x14ac:dyDescent="0.25">
      <c r="A644" s="1">
        <v>643</v>
      </c>
      <c r="B644" s="2" t="str">
        <f>HYPERLINK("https://leetcode.com/problems/maximum-average-subarray-i/", "Maximum Average Subarray I")</f>
        <v>Maximum Average Subarray I</v>
      </c>
      <c r="C644" s="1">
        <v>4324</v>
      </c>
      <c r="D644" s="1">
        <v>384</v>
      </c>
      <c r="E644" s="3">
        <f>IF(INDEX(C:C, ROW())+INDEX(D:D, ROW())=0, 0, INDEX(C:C, ROW())/(INDEX(C:C, ROW())+INDEX(D:D, ROW())))</f>
        <v>0.91843670348343243</v>
      </c>
      <c r="F644" s="1" t="s">
        <v>295</v>
      </c>
      <c r="G644" s="1" t="s">
        <v>20</v>
      </c>
      <c r="H644" s="1">
        <v>1116327</v>
      </c>
      <c r="I644" s="1">
        <v>2371109</v>
      </c>
      <c r="J644" s="7">
        <v>0.47099999999999997</v>
      </c>
      <c r="K644" s="1" t="s">
        <v>21</v>
      </c>
      <c r="L644" s="1" t="s">
        <v>21</v>
      </c>
      <c r="M644" s="1" t="s">
        <v>29</v>
      </c>
      <c r="N644" s="1" t="s">
        <v>22</v>
      </c>
    </row>
    <row r="645" spans="1:14" x14ac:dyDescent="0.25">
      <c r="A645" s="1">
        <v>644</v>
      </c>
      <c r="B645" s="2" t="str">
        <f>HYPERLINK("https://leetcode.com/problems/maximum-average-subarray-ii/", "Maximum Average Subarray II")</f>
        <v>Maximum Average Subarray II</v>
      </c>
      <c r="C645" s="1">
        <v>637</v>
      </c>
      <c r="D645" s="1">
        <v>74</v>
      </c>
      <c r="E645" s="3">
        <f>IF(INDEX(C:C, ROW())+INDEX(D:D, ROW())=0, 0, INDEX(C:C, ROW())/(INDEX(C:C, ROW())+INDEX(D:D, ROW())))</f>
        <v>0.8959212376933896</v>
      </c>
      <c r="F645" s="1" t="s">
        <v>710</v>
      </c>
      <c r="G645" s="1" t="s">
        <v>28</v>
      </c>
      <c r="H645" s="1">
        <v>22901</v>
      </c>
      <c r="I645" s="1">
        <v>60788</v>
      </c>
      <c r="J645" s="7">
        <v>0.377</v>
      </c>
      <c r="K645" s="1" t="s">
        <v>29</v>
      </c>
      <c r="L645" s="1" t="s">
        <v>21</v>
      </c>
      <c r="M645" s="1" t="s">
        <v>21</v>
      </c>
      <c r="N645" s="1" t="s">
        <v>22</v>
      </c>
    </row>
    <row r="646" spans="1:14" x14ac:dyDescent="0.25">
      <c r="A646" s="1">
        <v>645</v>
      </c>
      <c r="B646" s="2" t="str">
        <f>HYPERLINK("https://leetcode.com/problems/set-mismatch/", "Set Mismatch")</f>
        <v>Set Mismatch</v>
      </c>
      <c r="C646" s="1">
        <v>5394</v>
      </c>
      <c r="D646" s="1">
        <v>1347</v>
      </c>
      <c r="E646" s="3">
        <f>IF(INDEX(C:C, ROW())+INDEX(D:D, ROW())=0, 0, INDEX(C:C, ROW())/(INDEX(C:C, ROW())+INDEX(D:D, ROW())))</f>
        <v>0.80017801513128617</v>
      </c>
      <c r="F646" s="1" t="s">
        <v>247</v>
      </c>
      <c r="G646" s="1" t="s">
        <v>20</v>
      </c>
      <c r="H646" s="1">
        <v>691711</v>
      </c>
      <c r="I646" s="1">
        <v>1564936</v>
      </c>
      <c r="J646" s="7">
        <v>0.442</v>
      </c>
      <c r="K646" s="1" t="s">
        <v>21</v>
      </c>
      <c r="L646" s="1" t="s">
        <v>21</v>
      </c>
      <c r="M646" s="1" t="s">
        <v>29</v>
      </c>
      <c r="N646" s="1" t="s">
        <v>22</v>
      </c>
    </row>
    <row r="647" spans="1:14" x14ac:dyDescent="0.25">
      <c r="A647" s="1">
        <v>646</v>
      </c>
      <c r="B647" s="2" t="str">
        <f>HYPERLINK("https://leetcode.com/problems/maximum-length-of-pair-chain/", "Maximum Length of Pair Chain")</f>
        <v>Maximum Length of Pair Chain</v>
      </c>
      <c r="C647" s="1">
        <v>4890</v>
      </c>
      <c r="D647" s="1">
        <v>137</v>
      </c>
      <c r="E647" s="3">
        <f>IF(INDEX(C:C, ROW())+INDEX(D:D, ROW())=0, 0, INDEX(C:C, ROW())/(INDEX(C:C, ROW())+INDEX(D:D, ROW())))</f>
        <v>0.9727471653073404</v>
      </c>
      <c r="F647" s="1" t="s">
        <v>154</v>
      </c>
      <c r="G647" s="1" t="s">
        <v>24</v>
      </c>
      <c r="H647" s="1">
        <v>307175</v>
      </c>
      <c r="I647" s="1">
        <v>499070</v>
      </c>
      <c r="J647" s="7">
        <v>0.61499999999999999</v>
      </c>
      <c r="K647" s="1" t="s">
        <v>21</v>
      </c>
      <c r="L647" s="1" t="s">
        <v>21</v>
      </c>
      <c r="M647" s="1" t="s">
        <v>29</v>
      </c>
      <c r="N647" s="1" t="s">
        <v>22</v>
      </c>
    </row>
    <row r="648" spans="1:14" x14ac:dyDescent="0.25">
      <c r="A648" s="1">
        <v>647</v>
      </c>
      <c r="B648" s="2" t="str">
        <f>HYPERLINK("https://leetcode.com/problems/palindromic-substrings/", "Palindromic Substrings")</f>
        <v>Palindromic Substrings</v>
      </c>
      <c r="C648" s="1">
        <v>11466</v>
      </c>
      <c r="D648" s="1">
        <v>257</v>
      </c>
      <c r="E648" s="3">
        <f>IF(INDEX(C:C, ROW())+INDEX(D:D, ROW())=0, 0, INDEX(C:C, ROW())/(INDEX(C:C, ROW())+INDEX(D:D, ROW())))</f>
        <v>0.97807728397167959</v>
      </c>
      <c r="F648" s="1" t="s">
        <v>33</v>
      </c>
      <c r="G648" s="1" t="s">
        <v>24</v>
      </c>
      <c r="H648" s="1">
        <v>1146831</v>
      </c>
      <c r="I648" s="1">
        <v>1580908</v>
      </c>
      <c r="J648" s="7">
        <v>0.72499999999999998</v>
      </c>
      <c r="K648" s="1" t="s">
        <v>21</v>
      </c>
      <c r="L648" s="1" t="s">
        <v>21</v>
      </c>
      <c r="M648" s="1" t="s">
        <v>29</v>
      </c>
      <c r="N648" s="1" t="s">
        <v>22</v>
      </c>
    </row>
    <row r="649" spans="1:14" x14ac:dyDescent="0.25">
      <c r="A649" s="1">
        <v>648</v>
      </c>
      <c r="B649" s="2" t="str">
        <f>HYPERLINK("https://leetcode.com/problems/replace-words/", "Replace Words")</f>
        <v>Replace Words</v>
      </c>
      <c r="C649" s="1">
        <v>3100</v>
      </c>
      <c r="D649" s="1">
        <v>219</v>
      </c>
      <c r="E649" s="3">
        <f>IF(INDEX(C:C, ROW())+INDEX(D:D, ROW())=0, 0, INDEX(C:C, ROW())/(INDEX(C:C, ROW())+INDEX(D:D, ROW())))</f>
        <v>0.93401626996083154</v>
      </c>
      <c r="F649" s="1" t="s">
        <v>279</v>
      </c>
      <c r="G649" s="1" t="s">
        <v>24</v>
      </c>
      <c r="H649" s="1">
        <v>315565</v>
      </c>
      <c r="I649" s="1">
        <v>459742</v>
      </c>
      <c r="J649" s="7">
        <v>0.68600000000000005</v>
      </c>
      <c r="K649" s="1" t="s">
        <v>21</v>
      </c>
      <c r="L649" s="1" t="s">
        <v>21</v>
      </c>
      <c r="M649" s="1" t="s">
        <v>29</v>
      </c>
      <c r="N649" s="1" t="s">
        <v>22</v>
      </c>
    </row>
    <row r="650" spans="1:14" x14ac:dyDescent="0.25">
      <c r="A650" s="1">
        <v>649</v>
      </c>
      <c r="B650" s="2" t="str">
        <f>HYPERLINK("https://leetcode.com/problems/dota2-senate/", "Dota2 Senate")</f>
        <v>Dota2 Senate</v>
      </c>
      <c r="C650" s="1">
        <v>2762</v>
      </c>
      <c r="D650" s="1">
        <v>2078</v>
      </c>
      <c r="E650" s="3">
        <f>IF(INDEX(C:C, ROW())+INDEX(D:D, ROW())=0, 0, INDEX(C:C, ROW())/(INDEX(C:C, ROW())+INDEX(D:D, ROW())))</f>
        <v>0.57066115702479336</v>
      </c>
      <c r="F650" s="1" t="s">
        <v>395</v>
      </c>
      <c r="G650" s="1" t="s">
        <v>24</v>
      </c>
      <c r="H650" s="1">
        <v>276409</v>
      </c>
      <c r="I650" s="1">
        <v>557559</v>
      </c>
      <c r="J650" s="7">
        <v>0.496</v>
      </c>
      <c r="K650" s="1" t="s">
        <v>21</v>
      </c>
      <c r="L650" s="1" t="s">
        <v>21</v>
      </c>
      <c r="M650" s="1" t="s">
        <v>29</v>
      </c>
      <c r="N650" s="1" t="s">
        <v>22</v>
      </c>
    </row>
    <row r="651" spans="1:14" x14ac:dyDescent="0.25">
      <c r="A651" s="1">
        <v>650</v>
      </c>
      <c r="B651" s="2" t="str">
        <f>HYPERLINK("https://leetcode.com/problems/2-keys-keyboard/", "2 Keys Keyboard")</f>
        <v>2 Keys Keyboard</v>
      </c>
      <c r="C651" s="1">
        <v>4404</v>
      </c>
      <c r="D651" s="1">
        <v>247</v>
      </c>
      <c r="E651" s="3">
        <f>IF(INDEX(C:C, ROW())+INDEX(D:D, ROW())=0, 0, INDEX(C:C, ROW())/(INDEX(C:C, ROW())+INDEX(D:D, ROW())))</f>
        <v>0.94689314125994406</v>
      </c>
      <c r="F651" s="1" t="s">
        <v>250</v>
      </c>
      <c r="G651" s="1" t="s">
        <v>24</v>
      </c>
      <c r="H651" s="1">
        <v>294131</v>
      </c>
      <c r="I651" s="1">
        <v>496195</v>
      </c>
      <c r="J651" s="7">
        <v>0.59299999999999997</v>
      </c>
      <c r="K651" s="1" t="s">
        <v>21</v>
      </c>
      <c r="L651" s="1" t="s">
        <v>21</v>
      </c>
      <c r="M651" s="1" t="s">
        <v>29</v>
      </c>
      <c r="N651" s="1" t="s">
        <v>22</v>
      </c>
    </row>
    <row r="652" spans="1:14" x14ac:dyDescent="0.25">
      <c r="A652" s="1">
        <v>651</v>
      </c>
      <c r="B652" s="2" t="str">
        <f>HYPERLINK("https://leetcode.com/problems/4-keys-keyboard/", "4 Keys Keyboard")</f>
        <v>4 Keys Keyboard</v>
      </c>
      <c r="C652" s="1">
        <v>745</v>
      </c>
      <c r="D652" s="1">
        <v>94</v>
      </c>
      <c r="E652" s="3">
        <f>IF(INDEX(C:C, ROW())+INDEX(D:D, ROW())=0, 0, INDEX(C:C, ROW())/(INDEX(C:C, ROW())+INDEX(D:D, ROW())))</f>
        <v>0.88796185935637661</v>
      </c>
      <c r="F652" s="1" t="s">
        <v>250</v>
      </c>
      <c r="G652" s="1" t="s">
        <v>24</v>
      </c>
      <c r="H652" s="1">
        <v>35638</v>
      </c>
      <c r="I652" s="1">
        <v>63078</v>
      </c>
      <c r="J652" s="7">
        <v>0.56499999999999995</v>
      </c>
      <c r="K652" s="1" t="s">
        <v>29</v>
      </c>
      <c r="L652" s="1" t="s">
        <v>21</v>
      </c>
      <c r="M652" s="1" t="s">
        <v>29</v>
      </c>
      <c r="N652" s="1" t="s">
        <v>22</v>
      </c>
    </row>
    <row r="653" spans="1:14" x14ac:dyDescent="0.25">
      <c r="A653" s="1">
        <v>652</v>
      </c>
      <c r="B653" s="2" t="str">
        <f>HYPERLINK("https://leetcode.com/problems/find-duplicate-subtrees/", "Find Duplicate Subtrees")</f>
        <v>Find Duplicate Subtrees</v>
      </c>
      <c r="C653" s="1">
        <v>6112</v>
      </c>
      <c r="D653" s="1">
        <v>503</v>
      </c>
      <c r="E653" s="3">
        <f>IF(INDEX(C:C, ROW())+INDEX(D:D, ROW())=0, 0, INDEX(C:C, ROW())/(INDEX(C:C, ROW())+INDEX(D:D, ROW())))</f>
        <v>0.92396069538926684</v>
      </c>
      <c r="F653" s="1" t="s">
        <v>224</v>
      </c>
      <c r="G653" s="1" t="s">
        <v>24</v>
      </c>
      <c r="H653" s="1">
        <v>311654</v>
      </c>
      <c r="I653" s="1">
        <v>514443</v>
      </c>
      <c r="J653" s="7">
        <v>0.60599999999999998</v>
      </c>
      <c r="K653" s="1" t="s">
        <v>21</v>
      </c>
      <c r="L653" s="1" t="s">
        <v>21</v>
      </c>
      <c r="M653" s="1" t="s">
        <v>29</v>
      </c>
      <c r="N653" s="1" t="s">
        <v>22</v>
      </c>
    </row>
    <row r="654" spans="1:14" x14ac:dyDescent="0.25">
      <c r="A654" s="1">
        <v>653</v>
      </c>
      <c r="B654" s="2" t="str">
        <f>HYPERLINK("https://leetcode.com/problems/two-sum-iv-input-is-a-bst/", "Two Sum IV - Input is a BST")</f>
        <v>Two Sum IV - Input is a BST</v>
      </c>
      <c r="C654" s="1">
        <v>7251</v>
      </c>
      <c r="D654" s="1">
        <v>291</v>
      </c>
      <c r="E654" s="3">
        <f>IF(INDEX(C:C, ROW())+INDEX(D:D, ROW())=0, 0, INDEX(C:C, ROW())/(INDEX(C:C, ROW())+INDEX(D:D, ROW())))</f>
        <v>0.96141607000795548</v>
      </c>
      <c r="F654" s="1" t="s">
        <v>189</v>
      </c>
      <c r="G654" s="1" t="s">
        <v>20</v>
      </c>
      <c r="H654" s="1">
        <v>744641</v>
      </c>
      <c r="I654" s="1">
        <v>1181705</v>
      </c>
      <c r="J654" s="7">
        <v>0.63</v>
      </c>
      <c r="K654" s="1" t="s">
        <v>21</v>
      </c>
      <c r="L654" s="1" t="s">
        <v>21</v>
      </c>
      <c r="M654" s="1" t="s">
        <v>29</v>
      </c>
      <c r="N654" s="1" t="s">
        <v>22</v>
      </c>
    </row>
    <row r="655" spans="1:14" x14ac:dyDescent="0.25">
      <c r="A655" s="1">
        <v>654</v>
      </c>
      <c r="B655" s="2" t="str">
        <f>HYPERLINK("https://leetcode.com/problems/maximum-binary-tree/", "Maximum Binary Tree")</f>
        <v>Maximum Binary Tree</v>
      </c>
      <c r="C655" s="1">
        <v>5413</v>
      </c>
      <c r="D655" s="1">
        <v>350</v>
      </c>
      <c r="E655" s="3">
        <f>IF(INDEX(C:C, ROW())+INDEX(D:D, ROW())=0, 0, INDEX(C:C, ROW())/(INDEX(C:C, ROW())+INDEX(D:D, ROW())))</f>
        <v>0.93926774249522815</v>
      </c>
      <c r="F655" s="1" t="s">
        <v>245</v>
      </c>
      <c r="G655" s="1" t="s">
        <v>24</v>
      </c>
      <c r="H655" s="1">
        <v>357623</v>
      </c>
      <c r="I655" s="1">
        <v>414504</v>
      </c>
      <c r="J655" s="7">
        <v>0.86299999999999999</v>
      </c>
      <c r="K655" s="1" t="s">
        <v>21</v>
      </c>
      <c r="L655" s="1" t="s">
        <v>21</v>
      </c>
      <c r="M655" s="1" t="s">
        <v>29</v>
      </c>
      <c r="N655" s="1" t="s">
        <v>22</v>
      </c>
    </row>
    <row r="656" spans="1:14" x14ac:dyDescent="0.25">
      <c r="A656" s="1">
        <v>655</v>
      </c>
      <c r="B656" s="2" t="str">
        <f>HYPERLINK("https://leetcode.com/problems/print-binary-tree/", "Print Binary Tree")</f>
        <v>Print Binary Tree</v>
      </c>
      <c r="C656" s="1">
        <v>563</v>
      </c>
      <c r="D656" s="1">
        <v>469</v>
      </c>
      <c r="E656" s="3">
        <f>IF(INDEX(C:C, ROW())+INDEX(D:D, ROW())=0, 0, INDEX(C:C, ROW())/(INDEX(C:C, ROW())+INDEX(D:D, ROW())))</f>
        <v>0.5455426356589147</v>
      </c>
      <c r="F656" s="1" t="s">
        <v>80</v>
      </c>
      <c r="G656" s="1" t="s">
        <v>24</v>
      </c>
      <c r="H656" s="1">
        <v>85164</v>
      </c>
      <c r="I656" s="1">
        <v>128286</v>
      </c>
      <c r="J656" s="7">
        <v>0.66400000000000003</v>
      </c>
      <c r="K656" s="1" t="s">
        <v>21</v>
      </c>
      <c r="L656" s="1" t="s">
        <v>21</v>
      </c>
      <c r="M656" s="1" t="s">
        <v>29</v>
      </c>
      <c r="N656" s="1" t="s">
        <v>22</v>
      </c>
    </row>
    <row r="657" spans="1:14" x14ac:dyDescent="0.25">
      <c r="A657" s="1">
        <v>656</v>
      </c>
      <c r="B657" s="2" t="str">
        <f>HYPERLINK("https://leetcode.com/problems/coin-path/", "Coin Path")</f>
        <v>Coin Path</v>
      </c>
      <c r="C657" s="1">
        <v>260</v>
      </c>
      <c r="D657" s="1">
        <v>115</v>
      </c>
      <c r="E657" s="3">
        <f>IF(INDEX(C:C, ROW())+INDEX(D:D, ROW())=0, 0, INDEX(C:C, ROW())/(INDEX(C:C, ROW())+INDEX(D:D, ROW())))</f>
        <v>0.69333333333333336</v>
      </c>
      <c r="F657" s="1" t="s">
        <v>30</v>
      </c>
      <c r="G657" s="1" t="s">
        <v>28</v>
      </c>
      <c r="H657" s="1">
        <v>17203</v>
      </c>
      <c r="I657" s="1">
        <v>50269</v>
      </c>
      <c r="J657" s="7">
        <v>0.34200000000000003</v>
      </c>
      <c r="K657" s="1" t="s">
        <v>29</v>
      </c>
      <c r="L657" s="1" t="s">
        <v>21</v>
      </c>
      <c r="M657" s="1" t="s">
        <v>29</v>
      </c>
      <c r="N657" s="1" t="s">
        <v>22</v>
      </c>
    </row>
    <row r="658" spans="1:14" x14ac:dyDescent="0.25">
      <c r="A658" s="1">
        <v>657</v>
      </c>
      <c r="B658" s="2" t="str">
        <f>HYPERLINK("https://leetcode.com/problems/robot-return-to-origin/", "Robot Return to Origin")</f>
        <v>Robot Return to Origin</v>
      </c>
      <c r="C658" s="1">
        <v>2586</v>
      </c>
      <c r="D658" s="1">
        <v>753</v>
      </c>
      <c r="E658" s="3">
        <f>IF(INDEX(C:C, ROW())+INDEX(D:D, ROW())=0, 0, INDEX(C:C, ROW())/(INDEX(C:C, ROW())+INDEX(D:D, ROW())))</f>
        <v>0.77448337825696312</v>
      </c>
      <c r="F658" s="1" t="s">
        <v>414</v>
      </c>
      <c r="G658" s="1" t="s">
        <v>20</v>
      </c>
      <c r="H658" s="1">
        <v>540747</v>
      </c>
      <c r="I658" s="1">
        <v>706862</v>
      </c>
      <c r="J658" s="7">
        <v>0.76500000000000001</v>
      </c>
      <c r="K658" s="1" t="s">
        <v>21</v>
      </c>
      <c r="L658" s="1" t="s">
        <v>21</v>
      </c>
      <c r="M658" s="1" t="s">
        <v>29</v>
      </c>
      <c r="N658" s="1" t="s">
        <v>22</v>
      </c>
    </row>
    <row r="659" spans="1:14" x14ac:dyDescent="0.25">
      <c r="A659" s="1">
        <v>658</v>
      </c>
      <c r="B659" s="2" t="str">
        <f>HYPERLINK("https://leetcode.com/problems/find-k-closest-elements/", "Find K Closest Elements")</f>
        <v>Find K Closest Elements</v>
      </c>
      <c r="C659" s="1">
        <v>9002</v>
      </c>
      <c r="D659" s="1">
        <v>904</v>
      </c>
      <c r="E659" s="3">
        <f>IF(INDEX(C:C, ROW())+INDEX(D:D, ROW())=0, 0, INDEX(C:C, ROW())/(INDEX(C:C, ROW())+INDEX(D:D, ROW())))</f>
        <v>0.90874217645871191</v>
      </c>
      <c r="F659" s="1" t="s">
        <v>156</v>
      </c>
      <c r="G659" s="1" t="s">
        <v>24</v>
      </c>
      <c r="H659" s="1">
        <v>795330</v>
      </c>
      <c r="I659" s="1">
        <v>1608996</v>
      </c>
      <c r="J659" s="7">
        <v>0.49399999999999999</v>
      </c>
      <c r="K659" s="1" t="s">
        <v>21</v>
      </c>
      <c r="L659" s="1" t="s">
        <v>21</v>
      </c>
      <c r="M659" s="1" t="s">
        <v>29</v>
      </c>
      <c r="N659" s="1" t="s">
        <v>22</v>
      </c>
    </row>
    <row r="660" spans="1:14" x14ac:dyDescent="0.25">
      <c r="A660" s="1">
        <v>659</v>
      </c>
      <c r="B660" s="2" t="str">
        <f>HYPERLINK("https://leetcode.com/problems/split-array-into-consecutive-subsequences/", "Split Array into Consecutive Subsequences")</f>
        <v>Split Array into Consecutive Subsequences</v>
      </c>
      <c r="C660" s="1">
        <v>4567</v>
      </c>
      <c r="D660" s="1">
        <v>814</v>
      </c>
      <c r="E660" s="3">
        <f>IF(INDEX(C:C, ROW())+INDEX(D:D, ROW())=0, 0, INDEX(C:C, ROW())/(INDEX(C:C, ROW())+INDEX(D:D, ROW())))</f>
        <v>0.84872700241590782</v>
      </c>
      <c r="F660" s="1" t="s">
        <v>281</v>
      </c>
      <c r="G660" s="1" t="s">
        <v>24</v>
      </c>
      <c r="H660" s="1">
        <v>146952</v>
      </c>
      <c r="I660" s="1">
        <v>282541</v>
      </c>
      <c r="J660" s="7">
        <v>0.52</v>
      </c>
      <c r="K660" s="1" t="s">
        <v>21</v>
      </c>
      <c r="L660" s="1" t="s">
        <v>21</v>
      </c>
      <c r="M660" s="1" t="s">
        <v>29</v>
      </c>
      <c r="N660" s="1" t="s">
        <v>22</v>
      </c>
    </row>
    <row r="661" spans="1:14" x14ac:dyDescent="0.25">
      <c r="A661" s="1">
        <v>660</v>
      </c>
      <c r="B661" s="2" t="str">
        <f>HYPERLINK("https://leetcode.com/problems/remove-9/", "Remove 9")</f>
        <v>Remove 9</v>
      </c>
      <c r="C661" s="1">
        <v>166</v>
      </c>
      <c r="D661" s="1">
        <v>204</v>
      </c>
      <c r="E661" s="3">
        <f>IF(INDEX(C:C, ROW())+INDEX(D:D, ROW())=0, 0, INDEX(C:C, ROW())/(INDEX(C:C, ROW())+INDEX(D:D, ROW())))</f>
        <v>0.44864864864864867</v>
      </c>
      <c r="F661" s="1" t="s">
        <v>84</v>
      </c>
      <c r="G661" s="1" t="s">
        <v>28</v>
      </c>
      <c r="H661" s="1">
        <v>11290</v>
      </c>
      <c r="I661" s="1">
        <v>19655</v>
      </c>
      <c r="J661" s="7">
        <v>0.57399999999999995</v>
      </c>
      <c r="K661" s="1" t="s">
        <v>29</v>
      </c>
      <c r="L661" s="1" t="s">
        <v>21</v>
      </c>
      <c r="M661" s="1" t="s">
        <v>29</v>
      </c>
      <c r="N661" s="1" t="s">
        <v>22</v>
      </c>
    </row>
    <row r="662" spans="1:14" x14ac:dyDescent="0.25">
      <c r="A662" s="1">
        <v>661</v>
      </c>
      <c r="B662" s="2" t="str">
        <f>HYPERLINK("https://leetcode.com/problems/image-smoother/", "Image Smoother")</f>
        <v>Image Smoother</v>
      </c>
      <c r="C662" s="1">
        <v>1237</v>
      </c>
      <c r="D662" s="1">
        <v>2995</v>
      </c>
      <c r="E662" s="3">
        <f>IF(INDEX(C:C, ROW())+INDEX(D:D, ROW())=0, 0, INDEX(C:C, ROW())/(INDEX(C:C, ROW())+INDEX(D:D, ROW())))</f>
        <v>0.29229678638941398</v>
      </c>
      <c r="F662" s="1" t="s">
        <v>266</v>
      </c>
      <c r="G662" s="1" t="s">
        <v>20</v>
      </c>
      <c r="H662" s="1">
        <v>198542</v>
      </c>
      <c r="I662" s="1">
        <v>287307</v>
      </c>
      <c r="J662" s="7">
        <v>0.69099999999999995</v>
      </c>
      <c r="K662" s="1" t="s">
        <v>21</v>
      </c>
      <c r="L662" s="1" t="s">
        <v>21</v>
      </c>
      <c r="M662" s="1" t="s">
        <v>29</v>
      </c>
      <c r="N662" s="1" t="s">
        <v>22</v>
      </c>
    </row>
    <row r="663" spans="1:14" x14ac:dyDescent="0.25">
      <c r="A663" s="1">
        <v>662</v>
      </c>
      <c r="B663" s="2" t="str">
        <f>HYPERLINK("https://leetcode.com/problems/maximum-width-of-binary-tree/", "Maximum Width of Binary Tree")</f>
        <v>Maximum Width of Binary Tree</v>
      </c>
      <c r="C663" s="1">
        <v>9663</v>
      </c>
      <c r="D663" s="1">
        <v>1317</v>
      </c>
      <c r="E663" s="3">
        <f>IF(INDEX(C:C, ROW())+INDEX(D:D, ROW())=0, 0, INDEX(C:C, ROW())/(INDEX(C:C, ROW())+INDEX(D:D, ROW())))</f>
        <v>0.88005464480874318</v>
      </c>
      <c r="F663" s="1" t="s">
        <v>80</v>
      </c>
      <c r="G663" s="1" t="s">
        <v>24</v>
      </c>
      <c r="H663" s="1">
        <v>574603</v>
      </c>
      <c r="I663" s="1">
        <v>1269541</v>
      </c>
      <c r="J663" s="7">
        <v>0.45300000000000001</v>
      </c>
      <c r="K663" s="1" t="s">
        <v>21</v>
      </c>
      <c r="L663" s="1" t="s">
        <v>21</v>
      </c>
      <c r="M663" s="1" t="s">
        <v>29</v>
      </c>
      <c r="N663" s="1" t="s">
        <v>22</v>
      </c>
    </row>
    <row r="664" spans="1:14" x14ac:dyDescent="0.25">
      <c r="A664" s="1">
        <v>663</v>
      </c>
      <c r="B664" s="2" t="str">
        <f>HYPERLINK("https://leetcode.com/problems/equal-tree-partition/", "Equal Tree Partition")</f>
        <v>Equal Tree Partition</v>
      </c>
      <c r="C664" s="1">
        <v>507</v>
      </c>
      <c r="D664" s="1">
        <v>37</v>
      </c>
      <c r="E664" s="3">
        <f>IF(INDEX(C:C, ROW())+INDEX(D:D, ROW())=0, 0, INDEX(C:C, ROW())/(INDEX(C:C, ROW())+INDEX(D:D, ROW())))</f>
        <v>0.93198529411764708</v>
      </c>
      <c r="F664" s="1" t="s">
        <v>67</v>
      </c>
      <c r="G664" s="1" t="s">
        <v>24</v>
      </c>
      <c r="H664" s="1">
        <v>36669</v>
      </c>
      <c r="I664" s="1">
        <v>86734</v>
      </c>
      <c r="J664" s="7">
        <v>0.42299999999999999</v>
      </c>
      <c r="K664" s="1" t="s">
        <v>29</v>
      </c>
      <c r="L664" s="1" t="s">
        <v>21</v>
      </c>
      <c r="M664" s="1" t="s">
        <v>29</v>
      </c>
      <c r="N664" s="1" t="s">
        <v>22</v>
      </c>
    </row>
    <row r="665" spans="1:14" x14ac:dyDescent="0.25">
      <c r="A665" s="1">
        <v>664</v>
      </c>
      <c r="B665" s="2" t="str">
        <f>HYPERLINK("https://leetcode.com/problems/strange-printer/", "Strange Printer")</f>
        <v>Strange Printer</v>
      </c>
      <c r="C665" s="1">
        <v>2767</v>
      </c>
      <c r="D665" s="1">
        <v>289</v>
      </c>
      <c r="E665" s="3">
        <f>IF(INDEX(C:C, ROW())+INDEX(D:D, ROW())=0, 0, INDEX(C:C, ROW())/(INDEX(C:C, ROW())+INDEX(D:D, ROW())))</f>
        <v>0.90543193717277481</v>
      </c>
      <c r="F665" s="1" t="s">
        <v>82</v>
      </c>
      <c r="G665" s="1" t="s">
        <v>28</v>
      </c>
      <c r="H665" s="1">
        <v>159655</v>
      </c>
      <c r="I665" s="1">
        <v>262302</v>
      </c>
      <c r="J665" s="7">
        <v>0.60899999999999999</v>
      </c>
      <c r="K665" s="1" t="s">
        <v>21</v>
      </c>
      <c r="L665" s="1" t="s">
        <v>21</v>
      </c>
      <c r="M665" s="1" t="s">
        <v>29</v>
      </c>
      <c r="N665" s="1" t="s">
        <v>22</v>
      </c>
    </row>
    <row r="666" spans="1:14" x14ac:dyDescent="0.25">
      <c r="A666" s="1">
        <v>665</v>
      </c>
      <c r="B666" s="2" t="str">
        <f>HYPERLINK("https://leetcode.com/problems/non-decreasing-array/", "Non-decreasing Array")</f>
        <v>Non-decreasing Array</v>
      </c>
      <c r="C666" s="1">
        <v>5852</v>
      </c>
      <c r="D666" s="1">
        <v>788</v>
      </c>
      <c r="E666" s="3">
        <f>IF(INDEX(C:C, ROW())+INDEX(D:D, ROW())=0, 0, INDEX(C:C, ROW())/(INDEX(C:C, ROW())+INDEX(D:D, ROW())))</f>
        <v>0.88132530120481922</v>
      </c>
      <c r="F666" s="1" t="s">
        <v>113</v>
      </c>
      <c r="G666" s="1" t="s">
        <v>24</v>
      </c>
      <c r="H666" s="1">
        <v>291799</v>
      </c>
      <c r="I666" s="1">
        <v>1150460</v>
      </c>
      <c r="J666" s="7">
        <v>0.254</v>
      </c>
      <c r="K666" s="1" t="s">
        <v>21</v>
      </c>
      <c r="L666" s="1" t="s">
        <v>21</v>
      </c>
      <c r="M666" s="1" t="s">
        <v>29</v>
      </c>
      <c r="N666" s="1" t="s">
        <v>22</v>
      </c>
    </row>
    <row r="667" spans="1:14" x14ac:dyDescent="0.25">
      <c r="A667" s="1">
        <v>666</v>
      </c>
      <c r="B667" s="2" t="str">
        <f>HYPERLINK("https://leetcode.com/problems/path-sum-iv/", "Path Sum IV")</f>
        <v>Path Sum IV</v>
      </c>
      <c r="C667" s="1">
        <v>427</v>
      </c>
      <c r="D667" s="1">
        <v>521</v>
      </c>
      <c r="E667" s="3">
        <f>IF(INDEX(C:C, ROW())+INDEX(D:D, ROW())=0, 0, INDEX(C:C, ROW())/(INDEX(C:C, ROW())+INDEX(D:D, ROW())))</f>
        <v>0.45042194092827004</v>
      </c>
      <c r="F667" s="1" t="s">
        <v>271</v>
      </c>
      <c r="G667" s="1" t="s">
        <v>24</v>
      </c>
      <c r="H667" s="1">
        <v>41474</v>
      </c>
      <c r="I667" s="1">
        <v>66016</v>
      </c>
      <c r="J667" s="7">
        <v>0.628</v>
      </c>
      <c r="K667" s="1" t="s">
        <v>29</v>
      </c>
      <c r="L667" s="1" t="s">
        <v>21</v>
      </c>
      <c r="M667" s="1" t="s">
        <v>29</v>
      </c>
      <c r="N667" s="1" t="s">
        <v>22</v>
      </c>
    </row>
    <row r="668" spans="1:14" x14ac:dyDescent="0.25">
      <c r="A668" s="1">
        <v>667</v>
      </c>
      <c r="B668" s="2" t="str">
        <f>HYPERLINK("https://leetcode.com/problems/beautiful-arrangement-ii/", "Beautiful Arrangement II")</f>
        <v>Beautiful Arrangement II</v>
      </c>
      <c r="C668" s="1">
        <v>826</v>
      </c>
      <c r="D668" s="1">
        <v>1059</v>
      </c>
      <c r="E668" s="3">
        <f>IF(INDEX(C:C, ROW())+INDEX(D:D, ROW())=0, 0, INDEX(C:C, ROW())/(INDEX(C:C, ROW())+INDEX(D:D, ROW())))</f>
        <v>0.43819628647214853</v>
      </c>
      <c r="F668" s="1" t="s">
        <v>115</v>
      </c>
      <c r="G668" s="1" t="s">
        <v>24</v>
      </c>
      <c r="H668" s="1">
        <v>60970</v>
      </c>
      <c r="I668" s="1">
        <v>99891</v>
      </c>
      <c r="J668" s="7">
        <v>0.61</v>
      </c>
      <c r="K668" s="1" t="s">
        <v>21</v>
      </c>
      <c r="L668" s="1" t="s">
        <v>21</v>
      </c>
      <c r="M668" s="1" t="s">
        <v>29</v>
      </c>
      <c r="N668" s="1" t="s">
        <v>22</v>
      </c>
    </row>
    <row r="669" spans="1:14" x14ac:dyDescent="0.25">
      <c r="A669" s="1">
        <v>668</v>
      </c>
      <c r="B669" s="2" t="str">
        <f>HYPERLINK("https://leetcode.com/problems/kth-smallest-number-in-multiplication-table/", "Kth Smallest Number in Multiplication Table")</f>
        <v>Kth Smallest Number in Multiplication Table</v>
      </c>
      <c r="C669" s="1">
        <v>2266</v>
      </c>
      <c r="D669" s="1">
        <v>61</v>
      </c>
      <c r="E669" s="3">
        <f>IF(INDEX(C:C, ROW())+INDEX(D:D, ROW())=0, 0, INDEX(C:C, ROW())/(INDEX(C:C, ROW())+INDEX(D:D, ROW())))</f>
        <v>0.97378599054576709</v>
      </c>
      <c r="F669" s="1" t="s">
        <v>139</v>
      </c>
      <c r="G669" s="1" t="s">
        <v>28</v>
      </c>
      <c r="H669" s="1">
        <v>83063</v>
      </c>
      <c r="I669" s="1">
        <v>154479</v>
      </c>
      <c r="J669" s="7">
        <v>0.53800000000000003</v>
      </c>
      <c r="K669" s="1" t="s">
        <v>21</v>
      </c>
      <c r="L669" s="1" t="s">
        <v>21</v>
      </c>
      <c r="M669" s="1" t="s">
        <v>29</v>
      </c>
      <c r="N669" s="1" t="s">
        <v>22</v>
      </c>
    </row>
    <row r="670" spans="1:14" x14ac:dyDescent="0.25">
      <c r="A670" s="1">
        <v>669</v>
      </c>
      <c r="B670" s="2" t="str">
        <f>HYPERLINK("https://leetcode.com/problems/trim-a-binary-search-tree/", "Trim a Binary Search Tree")</f>
        <v>Trim a Binary Search Tree</v>
      </c>
      <c r="C670" s="1">
        <v>6080</v>
      </c>
      <c r="D670" s="1">
        <v>265</v>
      </c>
      <c r="E670" s="3">
        <f>IF(INDEX(C:C, ROW())+INDEX(D:D, ROW())=0, 0, INDEX(C:C, ROW())/(INDEX(C:C, ROW())+INDEX(D:D, ROW())))</f>
        <v>0.95823483057525616</v>
      </c>
      <c r="F670" s="1" t="s">
        <v>69</v>
      </c>
      <c r="G670" s="1" t="s">
        <v>24</v>
      </c>
      <c r="H670" s="1">
        <v>342392</v>
      </c>
      <c r="I670" s="1">
        <v>514111</v>
      </c>
      <c r="J670" s="7">
        <v>0.66600000000000004</v>
      </c>
      <c r="K670" s="1" t="s">
        <v>21</v>
      </c>
      <c r="L670" s="1" t="s">
        <v>21</v>
      </c>
      <c r="M670" s="1" t="s">
        <v>21</v>
      </c>
      <c r="N670" s="1" t="s">
        <v>22</v>
      </c>
    </row>
    <row r="671" spans="1:14" x14ac:dyDescent="0.25">
      <c r="A671" s="1">
        <v>670</v>
      </c>
      <c r="B671" s="2" t="str">
        <f>HYPERLINK("https://leetcode.com/problems/maximum-swap/", "Maximum Swap")</f>
        <v>Maximum Swap</v>
      </c>
      <c r="C671" s="1">
        <v>4279</v>
      </c>
      <c r="D671" s="1">
        <v>274</v>
      </c>
      <c r="E671" s="3">
        <f>IF(INDEX(C:C, ROW())+INDEX(D:D, ROW())=0, 0, INDEX(C:C, ROW())/(INDEX(C:C, ROW())+INDEX(D:D, ROW())))</f>
        <v>0.93981989896771356</v>
      </c>
      <c r="F671" s="1" t="s">
        <v>296</v>
      </c>
      <c r="G671" s="1" t="s">
        <v>24</v>
      </c>
      <c r="H671" s="1">
        <v>509038</v>
      </c>
      <c r="I671" s="1">
        <v>979981</v>
      </c>
      <c r="J671" s="7">
        <v>0.51900000000000002</v>
      </c>
      <c r="K671" s="1" t="s">
        <v>21</v>
      </c>
      <c r="L671" s="1" t="s">
        <v>21</v>
      </c>
      <c r="M671" s="1" t="s">
        <v>29</v>
      </c>
      <c r="N671" s="1" t="s">
        <v>22</v>
      </c>
    </row>
    <row r="672" spans="1:14" x14ac:dyDescent="0.25">
      <c r="A672" s="1">
        <v>671</v>
      </c>
      <c r="B672" s="2" t="str">
        <f>HYPERLINK("https://leetcode.com/problems/second-minimum-node-in-a-binary-tree/", "Second Minimum Node In a Binary Tree")</f>
        <v>Second Minimum Node In a Binary Tree</v>
      </c>
      <c r="C672" s="1">
        <v>2000</v>
      </c>
      <c r="D672" s="1">
        <v>1902</v>
      </c>
      <c r="E672" s="3">
        <f>IF(INDEX(C:C, ROW())+INDEX(D:D, ROW())=0, 0, INDEX(C:C, ROW())/(INDEX(C:C, ROW())+INDEX(D:D, ROW())))</f>
        <v>0.51255766273705794</v>
      </c>
      <c r="F672" s="1" t="s">
        <v>67</v>
      </c>
      <c r="G672" s="1" t="s">
        <v>20</v>
      </c>
      <c r="H672" s="1">
        <v>240244</v>
      </c>
      <c r="I672" s="1">
        <v>523063</v>
      </c>
      <c r="J672" s="7">
        <v>0.45900000000000002</v>
      </c>
      <c r="K672" s="1" t="s">
        <v>21</v>
      </c>
      <c r="L672" s="1" t="s">
        <v>21</v>
      </c>
      <c r="M672" s="1" t="s">
        <v>29</v>
      </c>
      <c r="N672" s="1" t="s">
        <v>22</v>
      </c>
    </row>
    <row r="673" spans="1:14" x14ac:dyDescent="0.25">
      <c r="A673" s="1">
        <v>672</v>
      </c>
      <c r="B673" s="2" t="str">
        <f>HYPERLINK("https://leetcode.com/problems/bulb-switcher-ii/", "Bulb Switcher II")</f>
        <v>Bulb Switcher II</v>
      </c>
      <c r="C673" s="1">
        <v>195</v>
      </c>
      <c r="D673" s="1">
        <v>245</v>
      </c>
      <c r="E673" s="3">
        <f>IF(INDEX(C:C, ROW())+INDEX(D:D, ROW())=0, 0, INDEX(C:C, ROW())/(INDEX(C:C, ROW())+INDEX(D:D, ROW())))</f>
        <v>0.44318181818181818</v>
      </c>
      <c r="F673" s="1" t="s">
        <v>1101</v>
      </c>
      <c r="G673" s="1" t="s">
        <v>24</v>
      </c>
      <c r="H673" s="1">
        <v>29712</v>
      </c>
      <c r="I673" s="1">
        <v>59501</v>
      </c>
      <c r="J673" s="7">
        <v>0.499</v>
      </c>
      <c r="K673" s="1" t="s">
        <v>21</v>
      </c>
      <c r="L673" s="1" t="s">
        <v>21</v>
      </c>
      <c r="M673" s="1" t="s">
        <v>29</v>
      </c>
      <c r="N673" s="1" t="s">
        <v>22</v>
      </c>
    </row>
    <row r="674" spans="1:14" x14ac:dyDescent="0.25">
      <c r="A674" s="1">
        <v>673</v>
      </c>
      <c r="B674" s="2" t="str">
        <f>HYPERLINK("https://leetcode.com/problems/number-of-longest-increasing-subsequence/", "Number of Longest Increasing Subsequence")</f>
        <v>Number of Longest Increasing Subsequence</v>
      </c>
      <c r="C674" s="1">
        <v>7278</v>
      </c>
      <c r="D674" s="1">
        <v>288</v>
      </c>
      <c r="E674" s="3">
        <f>IF(INDEX(C:C, ROW())+INDEX(D:D, ROW())=0, 0, INDEX(C:C, ROW())/(INDEX(C:C, ROW())+INDEX(D:D, ROW())))</f>
        <v>0.96193497224425062</v>
      </c>
      <c r="F674" s="1" t="s">
        <v>186</v>
      </c>
      <c r="G674" s="1" t="s">
        <v>24</v>
      </c>
      <c r="H674" s="1">
        <v>326718</v>
      </c>
      <c r="I674" s="1">
        <v>636027</v>
      </c>
      <c r="J674" s="7">
        <v>0.51400000000000001</v>
      </c>
      <c r="K674" s="1" t="s">
        <v>21</v>
      </c>
      <c r="L674" s="1" t="s">
        <v>21</v>
      </c>
      <c r="M674" s="1" t="s">
        <v>29</v>
      </c>
      <c r="N674" s="1" t="s">
        <v>22</v>
      </c>
    </row>
    <row r="675" spans="1:14" x14ac:dyDescent="0.25">
      <c r="A675" s="1">
        <v>674</v>
      </c>
      <c r="B675" s="2" t="str">
        <f>HYPERLINK("https://leetcode.com/problems/longest-continuous-increasing-subsequence/", "Longest Continuous Increasing Subsequence")</f>
        <v>Longest Continuous Increasing Subsequence</v>
      </c>
      <c r="C675" s="1">
        <v>2462</v>
      </c>
      <c r="D675" s="1">
        <v>195</v>
      </c>
      <c r="E675" s="3">
        <f>IF(INDEX(C:C, ROW())+INDEX(D:D, ROW())=0, 0, INDEX(C:C, ROW())/(INDEX(C:C, ROW())+INDEX(D:D, ROW())))</f>
        <v>0.92660895747083172</v>
      </c>
      <c r="F675" s="1" t="s">
        <v>113</v>
      </c>
      <c r="G675" s="1" t="s">
        <v>20</v>
      </c>
      <c r="H675" s="1">
        <v>342618</v>
      </c>
      <c r="I675" s="1">
        <v>661119</v>
      </c>
      <c r="J675" s="7">
        <v>0.51800000000000002</v>
      </c>
      <c r="K675" s="1" t="s">
        <v>21</v>
      </c>
      <c r="L675" s="1" t="s">
        <v>21</v>
      </c>
      <c r="M675" s="1" t="s">
        <v>29</v>
      </c>
      <c r="N675" s="1" t="s">
        <v>22</v>
      </c>
    </row>
    <row r="676" spans="1:14" x14ac:dyDescent="0.25">
      <c r="A676" s="1">
        <v>675</v>
      </c>
      <c r="B676" s="2" t="str">
        <f>HYPERLINK("https://leetcode.com/problems/cut-off-trees-for-golf-event/", "Cut Off Trees for Golf Event")</f>
        <v>Cut Off Trees for Golf Event</v>
      </c>
      <c r="C676" s="1">
        <v>1290</v>
      </c>
      <c r="D676" s="1">
        <v>690</v>
      </c>
      <c r="E676" s="3">
        <f>IF(INDEX(C:C, ROW())+INDEX(D:D, ROW())=0, 0, INDEX(C:C, ROW())/(INDEX(C:C, ROW())+INDEX(D:D, ROW())))</f>
        <v>0.65151515151515149</v>
      </c>
      <c r="F676" s="1" t="s">
        <v>261</v>
      </c>
      <c r="G676" s="1" t="s">
        <v>28</v>
      </c>
      <c r="H676" s="1">
        <v>83537</v>
      </c>
      <c r="I676" s="1">
        <v>231267</v>
      </c>
      <c r="J676" s="7">
        <v>0.36099999999999999</v>
      </c>
      <c r="K676" s="1" t="s">
        <v>21</v>
      </c>
      <c r="L676" s="1" t="s">
        <v>29</v>
      </c>
      <c r="M676" s="1" t="s">
        <v>29</v>
      </c>
      <c r="N676" s="1" t="s">
        <v>22</v>
      </c>
    </row>
    <row r="677" spans="1:14" x14ac:dyDescent="0.25">
      <c r="A677" s="1">
        <v>676</v>
      </c>
      <c r="B677" s="2" t="str">
        <f>HYPERLINK("https://leetcode.com/problems/implement-magic-dictionary/", "Implement Magic Dictionary")</f>
        <v>Implement Magic Dictionary</v>
      </c>
      <c r="C677" s="1">
        <v>1466</v>
      </c>
      <c r="D677" s="1">
        <v>215</v>
      </c>
      <c r="E677" s="3">
        <f>IF(INDEX(C:C, ROW())+INDEX(D:D, ROW())=0, 0, INDEX(C:C, ROW())/(INDEX(C:C, ROW())+INDEX(D:D, ROW())))</f>
        <v>0.87209994051160022</v>
      </c>
      <c r="F677" s="1" t="s">
        <v>597</v>
      </c>
      <c r="G677" s="1" t="s">
        <v>24</v>
      </c>
      <c r="H677" s="1">
        <v>105098</v>
      </c>
      <c r="I677" s="1">
        <v>182243</v>
      </c>
      <c r="J677" s="7">
        <v>0.57699999999999996</v>
      </c>
      <c r="K677" s="1" t="s">
        <v>21</v>
      </c>
      <c r="L677" s="1" t="s">
        <v>21</v>
      </c>
      <c r="M677" s="1" t="s">
        <v>29</v>
      </c>
      <c r="N677" s="1" t="s">
        <v>22</v>
      </c>
    </row>
    <row r="678" spans="1:14" x14ac:dyDescent="0.25">
      <c r="A678" s="1">
        <v>677</v>
      </c>
      <c r="B678" s="2" t="str">
        <f>HYPERLINK("https://leetcode.com/problems/map-sum-pairs/", "Map Sum Pairs")</f>
        <v>Map Sum Pairs</v>
      </c>
      <c r="C678" s="1">
        <v>1732</v>
      </c>
      <c r="D678" s="1">
        <v>166</v>
      </c>
      <c r="E678" s="3">
        <f>IF(INDEX(C:C, ROW())+INDEX(D:D, ROW())=0, 0, INDEX(C:C, ROW())/(INDEX(C:C, ROW())+INDEX(D:D, ROW())))</f>
        <v>0.91253951527924126</v>
      </c>
      <c r="F678" s="1" t="s">
        <v>105</v>
      </c>
      <c r="G678" s="1" t="s">
        <v>24</v>
      </c>
      <c r="H678" s="1">
        <v>139373</v>
      </c>
      <c r="I678" s="1">
        <v>244157</v>
      </c>
      <c r="J678" s="7">
        <v>0.57099999999999995</v>
      </c>
      <c r="K678" s="1" t="s">
        <v>21</v>
      </c>
      <c r="L678" s="1" t="s">
        <v>21</v>
      </c>
      <c r="M678" s="1" t="s">
        <v>29</v>
      </c>
      <c r="N678" s="1" t="s">
        <v>22</v>
      </c>
    </row>
    <row r="679" spans="1:14" x14ac:dyDescent="0.25">
      <c r="A679" s="1">
        <v>678</v>
      </c>
      <c r="B679" s="2" t="str">
        <f>HYPERLINK("https://leetcode.com/problems/valid-parenthesis-string/", "Valid Parenthesis String")</f>
        <v>Valid Parenthesis String</v>
      </c>
      <c r="C679" s="1">
        <v>6943</v>
      </c>
      <c r="D679" s="1">
        <v>220</v>
      </c>
      <c r="E679" s="3">
        <f>IF(INDEX(C:C, ROW())+INDEX(D:D, ROW())=0, 0, INDEX(C:C, ROW())/(INDEX(C:C, ROW())+INDEX(D:D, ROW())))</f>
        <v>0.96928661175485131</v>
      </c>
      <c r="F679" s="1" t="s">
        <v>198</v>
      </c>
      <c r="G679" s="1" t="s">
        <v>24</v>
      </c>
      <c r="H679" s="1">
        <v>571204</v>
      </c>
      <c r="I679" s="1">
        <v>1434833</v>
      </c>
      <c r="J679" s="7">
        <v>0.39800000000000002</v>
      </c>
      <c r="K679" s="1" t="s">
        <v>21</v>
      </c>
      <c r="L679" s="1" t="s">
        <v>21</v>
      </c>
      <c r="M679" s="1" t="s">
        <v>29</v>
      </c>
      <c r="N679" s="1" t="s">
        <v>22</v>
      </c>
    </row>
    <row r="680" spans="1:14" x14ac:dyDescent="0.25">
      <c r="A680" s="1">
        <v>679</v>
      </c>
      <c r="B680" s="2" t="str">
        <f>HYPERLINK("https://leetcode.com/problems/24-game/", "24 Game")</f>
        <v>24 Game</v>
      </c>
      <c r="C680" s="1">
        <v>1888</v>
      </c>
      <c r="D680" s="1">
        <v>288</v>
      </c>
      <c r="E680" s="3">
        <f>IF(INDEX(C:C, ROW())+INDEX(D:D, ROW())=0, 0, INDEX(C:C, ROW())/(INDEX(C:C, ROW())+INDEX(D:D, ROW())))</f>
        <v>0.86764705882352944</v>
      </c>
      <c r="F680" s="1" t="s">
        <v>521</v>
      </c>
      <c r="G680" s="1" t="s">
        <v>28</v>
      </c>
      <c r="H680" s="1">
        <v>168189</v>
      </c>
      <c r="I680" s="1">
        <v>283447</v>
      </c>
      <c r="J680" s="7">
        <v>0.59299999999999997</v>
      </c>
      <c r="K680" s="1" t="s">
        <v>21</v>
      </c>
      <c r="L680" s="1" t="s">
        <v>21</v>
      </c>
      <c r="M680" s="1" t="s">
        <v>29</v>
      </c>
      <c r="N680" s="1" t="s">
        <v>22</v>
      </c>
    </row>
    <row r="681" spans="1:14" x14ac:dyDescent="0.25">
      <c r="A681" s="1">
        <v>680</v>
      </c>
      <c r="B681" s="2" t="str">
        <f>HYPERLINK("https://leetcode.com/problems/valid-palindrome-ii/", "Valid Palindrome II")</f>
        <v>Valid Palindrome II</v>
      </c>
      <c r="C681" s="1">
        <v>8949</v>
      </c>
      <c r="D681" s="1">
        <v>513</v>
      </c>
      <c r="E681" s="3">
        <f>IF(INDEX(C:C, ROW())+INDEX(D:D, ROW())=0, 0, INDEX(C:C, ROW())/(INDEX(C:C, ROW())+INDEX(D:D, ROW())))</f>
        <v>0.94578313253012047</v>
      </c>
      <c r="F681" s="1" t="s">
        <v>158</v>
      </c>
      <c r="G681" s="1" t="s">
        <v>20</v>
      </c>
      <c r="H681" s="1">
        <v>1110827</v>
      </c>
      <c r="I681" s="1">
        <v>2526518</v>
      </c>
      <c r="J681" s="7">
        <v>0.44</v>
      </c>
      <c r="K681" s="1" t="s">
        <v>21</v>
      </c>
      <c r="L681" s="1" t="s">
        <v>21</v>
      </c>
      <c r="M681" s="1" t="s">
        <v>29</v>
      </c>
      <c r="N681" s="1" t="s">
        <v>22</v>
      </c>
    </row>
    <row r="682" spans="1:14" x14ac:dyDescent="0.25">
      <c r="A682" s="1">
        <v>681</v>
      </c>
      <c r="B682" s="2" t="str">
        <f>HYPERLINK("https://leetcode.com/problems/next-closest-time/", "Next Closest Time")</f>
        <v>Next Closest Time</v>
      </c>
      <c r="C682" s="1">
        <v>742</v>
      </c>
      <c r="D682" s="1">
        <v>1078</v>
      </c>
      <c r="E682" s="3">
        <f>IF(INDEX(C:C, ROW())+INDEX(D:D, ROW())=0, 0, INDEX(C:C, ROW())/(INDEX(C:C, ROW())+INDEX(D:D, ROW())))</f>
        <v>0.40769230769230769</v>
      </c>
      <c r="F682" s="1" t="s">
        <v>785</v>
      </c>
      <c r="G682" s="1" t="s">
        <v>24</v>
      </c>
      <c r="H682" s="1">
        <v>117747</v>
      </c>
      <c r="I682" s="1">
        <v>250715</v>
      </c>
      <c r="J682" s="7">
        <v>0.47</v>
      </c>
      <c r="K682" s="1" t="s">
        <v>29</v>
      </c>
      <c r="L682" s="1" t="s">
        <v>21</v>
      </c>
      <c r="M682" s="1" t="s">
        <v>29</v>
      </c>
      <c r="N682" s="1" t="s">
        <v>22</v>
      </c>
    </row>
    <row r="683" spans="1:14" x14ac:dyDescent="0.25">
      <c r="A683" s="1">
        <v>682</v>
      </c>
      <c r="B683" s="2" t="str">
        <f>HYPERLINK("https://leetcode.com/problems/baseball-game/", "Baseball Game")</f>
        <v>Baseball Game</v>
      </c>
      <c r="C683" s="1">
        <v>3310</v>
      </c>
      <c r="D683" s="1">
        <v>1963</v>
      </c>
      <c r="E683" s="3">
        <f>IF(INDEX(C:C, ROW())+INDEX(D:D, ROW())=0, 0, INDEX(C:C, ROW())/(INDEX(C:C, ROW())+INDEX(D:D, ROW())))</f>
        <v>0.62772615209558125</v>
      </c>
      <c r="F683" s="1" t="s">
        <v>145</v>
      </c>
      <c r="G683" s="1" t="s">
        <v>20</v>
      </c>
      <c r="H683" s="1">
        <v>568194</v>
      </c>
      <c r="I683" s="1">
        <v>709855</v>
      </c>
      <c r="J683" s="7">
        <v>0.8</v>
      </c>
      <c r="K683" s="1" t="s">
        <v>21</v>
      </c>
      <c r="L683" s="1" t="s">
        <v>21</v>
      </c>
      <c r="M683" s="1" t="s">
        <v>29</v>
      </c>
      <c r="N683" s="1" t="s">
        <v>22</v>
      </c>
    </row>
    <row r="684" spans="1:14" x14ac:dyDescent="0.25">
      <c r="A684" s="1">
        <v>683</v>
      </c>
      <c r="B684" s="2" t="str">
        <f>HYPERLINK("https://leetcode.com/problems/k-empty-slots/", "K Empty Slots")</f>
        <v>K Empty Slots</v>
      </c>
      <c r="C684" s="1">
        <v>829</v>
      </c>
      <c r="D684" s="1">
        <v>706</v>
      </c>
      <c r="E684" s="3">
        <f>IF(INDEX(C:C, ROW())+INDEX(D:D, ROW())=0, 0, INDEX(C:C, ROW())/(INDEX(C:C, ROW())+INDEX(D:D, ROW())))</f>
        <v>0.54006514657980453</v>
      </c>
      <c r="F684" s="1" t="s">
        <v>758</v>
      </c>
      <c r="G684" s="1" t="s">
        <v>28</v>
      </c>
      <c r="H684" s="1">
        <v>67074</v>
      </c>
      <c r="I684" s="1">
        <v>176777</v>
      </c>
      <c r="J684" s="7">
        <v>0.379</v>
      </c>
      <c r="K684" s="1" t="s">
        <v>29</v>
      </c>
      <c r="L684" s="1" t="s">
        <v>21</v>
      </c>
      <c r="M684" s="1" t="s">
        <v>29</v>
      </c>
      <c r="N684" s="1" t="s">
        <v>22</v>
      </c>
    </row>
    <row r="685" spans="1:14" x14ac:dyDescent="0.25">
      <c r="A685" s="1">
        <v>684</v>
      </c>
      <c r="B685" s="2" t="str">
        <f>HYPERLINK("https://leetcode.com/problems/redundant-connection/", "Redundant Connection")</f>
        <v>Redundant Connection</v>
      </c>
      <c r="C685" s="1">
        <v>7125</v>
      </c>
      <c r="D685" s="1">
        <v>450</v>
      </c>
      <c r="E685" s="3">
        <f>IF(INDEX(C:C, ROW())+INDEX(D:D, ROW())=0, 0, INDEX(C:C, ROW())/(INDEX(C:C, ROW())+INDEX(D:D, ROW())))</f>
        <v>0.94059405940594054</v>
      </c>
      <c r="F685" s="1" t="s">
        <v>122</v>
      </c>
      <c r="G685" s="1" t="s">
        <v>24</v>
      </c>
      <c r="H685" s="1">
        <v>626189</v>
      </c>
      <c r="I685" s="1">
        <v>931034</v>
      </c>
      <c r="J685" s="7">
        <v>0.67300000000000004</v>
      </c>
      <c r="K685" s="1" t="s">
        <v>21</v>
      </c>
      <c r="L685" s="1" t="s">
        <v>21</v>
      </c>
      <c r="M685" s="1" t="s">
        <v>29</v>
      </c>
      <c r="N685" s="1" t="s">
        <v>22</v>
      </c>
    </row>
    <row r="686" spans="1:14" x14ac:dyDescent="0.25">
      <c r="A686" s="1">
        <v>685</v>
      </c>
      <c r="B686" s="2" t="str">
        <f>HYPERLINK("https://leetcode.com/problems/redundant-connection-ii/", "Redundant Connection II")</f>
        <v>Redundant Connection II</v>
      </c>
      <c r="C686" s="1">
        <v>2512</v>
      </c>
      <c r="D686" s="1">
        <v>330</v>
      </c>
      <c r="E686" s="3">
        <f>IF(INDEX(C:C, ROW())+INDEX(D:D, ROW())=0, 0, INDEX(C:C, ROW())/(INDEX(C:C, ROW())+INDEX(D:D, ROW())))</f>
        <v>0.88388458831808581</v>
      </c>
      <c r="F686" s="1" t="s">
        <v>122</v>
      </c>
      <c r="G686" s="1" t="s">
        <v>28</v>
      </c>
      <c r="H686" s="1">
        <v>89776</v>
      </c>
      <c r="I686" s="1">
        <v>250033</v>
      </c>
      <c r="J686" s="7">
        <v>0.35899999999999999</v>
      </c>
      <c r="K686" s="1" t="s">
        <v>21</v>
      </c>
      <c r="L686" s="1" t="s">
        <v>21</v>
      </c>
      <c r="M686" s="1" t="s">
        <v>29</v>
      </c>
      <c r="N686" s="1" t="s">
        <v>22</v>
      </c>
    </row>
    <row r="687" spans="1:14" x14ac:dyDescent="0.25">
      <c r="A687" s="1">
        <v>686</v>
      </c>
      <c r="B687" s="2" t="str">
        <f>HYPERLINK("https://leetcode.com/problems/repeated-string-match/", "Repeated String Match")</f>
        <v>Repeated String Match</v>
      </c>
      <c r="C687" s="1">
        <v>2862</v>
      </c>
      <c r="D687" s="1">
        <v>1007</v>
      </c>
      <c r="E687" s="3">
        <f>IF(INDEX(C:C, ROW())+INDEX(D:D, ROW())=0, 0, INDEX(C:C, ROW())/(INDEX(C:C, ROW())+INDEX(D:D, ROW())))</f>
        <v>0.73972602739726023</v>
      </c>
      <c r="F687" s="1" t="s">
        <v>207</v>
      </c>
      <c r="G687" s="1" t="s">
        <v>24</v>
      </c>
      <c r="H687" s="1">
        <v>249985</v>
      </c>
      <c r="I687" s="1">
        <v>651821</v>
      </c>
      <c r="J687" s="7">
        <v>0.38400000000000001</v>
      </c>
      <c r="K687" s="1" t="s">
        <v>21</v>
      </c>
      <c r="L687" s="1" t="s">
        <v>21</v>
      </c>
      <c r="M687" s="1" t="s">
        <v>29</v>
      </c>
      <c r="N687" s="1" t="s">
        <v>22</v>
      </c>
    </row>
    <row r="688" spans="1:14" x14ac:dyDescent="0.25">
      <c r="A688" s="1">
        <v>687</v>
      </c>
      <c r="B688" s="2" t="str">
        <f>HYPERLINK("https://leetcode.com/problems/longest-univalue-path/", "Longest Univalue Path")</f>
        <v>Longest Univalue Path</v>
      </c>
      <c r="C688" s="1">
        <v>4446</v>
      </c>
      <c r="D688" s="1">
        <v>680</v>
      </c>
      <c r="E688" s="3">
        <f>IF(INDEX(C:C, ROW())+INDEX(D:D, ROW())=0, 0, INDEX(C:C, ROW())/(INDEX(C:C, ROW())+INDEX(D:D, ROW())))</f>
        <v>0.86734295747171286</v>
      </c>
      <c r="F688" s="1" t="s">
        <v>67</v>
      </c>
      <c r="G688" s="1" t="s">
        <v>24</v>
      </c>
      <c r="H688" s="1">
        <v>220240</v>
      </c>
      <c r="I688" s="1">
        <v>505797</v>
      </c>
      <c r="J688" s="7">
        <v>0.435</v>
      </c>
      <c r="K688" s="1" t="s">
        <v>21</v>
      </c>
      <c r="L688" s="1" t="s">
        <v>21</v>
      </c>
      <c r="M688" s="1" t="s">
        <v>29</v>
      </c>
      <c r="N688" s="1" t="s">
        <v>22</v>
      </c>
    </row>
    <row r="689" spans="1:14" x14ac:dyDescent="0.25">
      <c r="A689" s="1">
        <v>688</v>
      </c>
      <c r="B689" s="2" t="str">
        <f>HYPERLINK("https://leetcode.com/problems/knight-probability-in-chessboard/", "Knight Probability in Chessboard")</f>
        <v>Knight Probability in Chessboard</v>
      </c>
      <c r="C689" s="1">
        <v>4018</v>
      </c>
      <c r="D689" s="1">
        <v>494</v>
      </c>
      <c r="E689" s="3">
        <f>IF(INDEX(C:C, ROW())+INDEX(D:D, ROW())=0, 0, INDEX(C:C, ROW())/(INDEX(C:C, ROW())+INDEX(D:D, ROW())))</f>
        <v>0.89051418439716312</v>
      </c>
      <c r="F689" s="1" t="s">
        <v>251</v>
      </c>
      <c r="G689" s="1" t="s">
        <v>24</v>
      </c>
      <c r="H689" s="1">
        <v>182720</v>
      </c>
      <c r="I689" s="1">
        <v>321072</v>
      </c>
      <c r="J689" s="7">
        <v>0.56899999999999995</v>
      </c>
      <c r="K689" s="1" t="s">
        <v>21</v>
      </c>
      <c r="L689" s="1" t="s">
        <v>21</v>
      </c>
      <c r="M689" s="1" t="s">
        <v>29</v>
      </c>
      <c r="N689" s="1" t="s">
        <v>22</v>
      </c>
    </row>
    <row r="690" spans="1:14" x14ac:dyDescent="0.25">
      <c r="A690" s="1">
        <v>689</v>
      </c>
      <c r="B690" s="2" t="str">
        <f>HYPERLINK("https://leetcode.com/problems/maximum-sum-of-3-non-overlapping-subarrays/", "Maximum Sum of 3 Non-Overlapping Subarrays")</f>
        <v>Maximum Sum of 3 Non-Overlapping Subarrays</v>
      </c>
      <c r="C690" s="1">
        <v>2611</v>
      </c>
      <c r="D690" s="1">
        <v>159</v>
      </c>
      <c r="E690" s="3">
        <f>IF(INDEX(C:C, ROW())+INDEX(D:D, ROW())=0, 0, INDEX(C:C, ROW())/(INDEX(C:C, ROW())+INDEX(D:D, ROW())))</f>
        <v>0.94259927797833931</v>
      </c>
      <c r="F690" s="1" t="s">
        <v>410</v>
      </c>
      <c r="G690" s="1" t="s">
        <v>28</v>
      </c>
      <c r="H690" s="1">
        <v>154713</v>
      </c>
      <c r="I690" s="1">
        <v>259190</v>
      </c>
      <c r="J690" s="7">
        <v>0.59699999999999998</v>
      </c>
      <c r="K690" s="1" t="s">
        <v>21</v>
      </c>
      <c r="L690" s="1" t="s">
        <v>21</v>
      </c>
      <c r="M690" s="1" t="s">
        <v>29</v>
      </c>
      <c r="N690" s="1" t="s">
        <v>22</v>
      </c>
    </row>
    <row r="691" spans="1:14" x14ac:dyDescent="0.25">
      <c r="A691" s="1">
        <v>690</v>
      </c>
      <c r="B691" s="2" t="str">
        <f>HYPERLINK("https://leetcode.com/problems/employee-importance/", "Employee Importance")</f>
        <v>Employee Importance</v>
      </c>
      <c r="C691" s="1">
        <v>2204</v>
      </c>
      <c r="D691" s="1">
        <v>1360</v>
      </c>
      <c r="E691" s="3">
        <f>IF(INDEX(C:C, ROW())+INDEX(D:D, ROW())=0, 0, INDEX(C:C, ROW())/(INDEX(C:C, ROW())+INDEX(D:D, ROW())))</f>
        <v>0.6184062850729517</v>
      </c>
      <c r="F691" s="1" t="s">
        <v>471</v>
      </c>
      <c r="G691" s="1" t="s">
        <v>24</v>
      </c>
      <c r="H691" s="1">
        <v>249962</v>
      </c>
      <c r="I691" s="1">
        <v>360689</v>
      </c>
      <c r="J691" s="7">
        <v>0.69299999999999995</v>
      </c>
      <c r="K691" s="1" t="s">
        <v>21</v>
      </c>
      <c r="L691" s="1" t="s">
        <v>21</v>
      </c>
      <c r="M691" s="1" t="s">
        <v>29</v>
      </c>
      <c r="N691" s="1" t="s">
        <v>22</v>
      </c>
    </row>
    <row r="692" spans="1:14" x14ac:dyDescent="0.25">
      <c r="A692" s="1">
        <v>691</v>
      </c>
      <c r="B692" s="2" t="str">
        <f>HYPERLINK("https://leetcode.com/problems/stickers-to-spell-word/", "Stickers to Spell Word")</f>
        <v>Stickers to Spell Word</v>
      </c>
      <c r="C692" s="1">
        <v>1334</v>
      </c>
      <c r="D692" s="1">
        <v>130</v>
      </c>
      <c r="E692" s="3">
        <f>IF(INDEX(C:C, ROW())+INDEX(D:D, ROW())=0, 0, INDEX(C:C, ROW())/(INDEX(C:C, ROW())+INDEX(D:D, ROW())))</f>
        <v>0.91120218579234968</v>
      </c>
      <c r="F692" s="1" t="s">
        <v>628</v>
      </c>
      <c r="G692" s="1" t="s">
        <v>28</v>
      </c>
      <c r="H692" s="1">
        <v>95068</v>
      </c>
      <c r="I692" s="1">
        <v>187736</v>
      </c>
      <c r="J692" s="7">
        <v>0.50600000000000001</v>
      </c>
      <c r="K692" s="1" t="s">
        <v>21</v>
      </c>
      <c r="L692" s="1" t="s">
        <v>21</v>
      </c>
      <c r="M692" s="1" t="s">
        <v>29</v>
      </c>
      <c r="N692" s="1" t="s">
        <v>22</v>
      </c>
    </row>
    <row r="693" spans="1:14" x14ac:dyDescent="0.25">
      <c r="A693" s="1">
        <v>692</v>
      </c>
      <c r="B693" s="2" t="str">
        <f>HYPERLINK("https://leetcode.com/problems/top-k-frequent-words/", "Top K Frequent Words")</f>
        <v>Top K Frequent Words</v>
      </c>
      <c r="C693" s="1">
        <v>8004</v>
      </c>
      <c r="D693" s="1">
        <v>374</v>
      </c>
      <c r="E693" s="3">
        <f>IF(INDEX(C:C, ROW())+INDEX(D:D, ROW())=0, 0, INDEX(C:C, ROW())/(INDEX(C:C, ROW())+INDEX(D:D, ROW())))</f>
        <v>0.9553592742898066</v>
      </c>
      <c r="F693" s="1" t="s">
        <v>171</v>
      </c>
      <c r="G693" s="1" t="s">
        <v>24</v>
      </c>
      <c r="H693" s="1">
        <v>772215</v>
      </c>
      <c r="I693" s="1">
        <v>1287845</v>
      </c>
      <c r="J693" s="7">
        <v>0.6</v>
      </c>
      <c r="K693" s="1" t="s">
        <v>21</v>
      </c>
      <c r="L693" s="1" t="s">
        <v>21</v>
      </c>
      <c r="M693" s="1" t="s">
        <v>29</v>
      </c>
      <c r="N693" s="1" t="s">
        <v>22</v>
      </c>
    </row>
    <row r="694" spans="1:14" x14ac:dyDescent="0.25">
      <c r="A694" s="1">
        <v>693</v>
      </c>
      <c r="B694" s="2" t="str">
        <f>HYPERLINK("https://leetcode.com/problems/binary-number-with-alternating-bits/", "Binary Number with Alternating Bits")</f>
        <v>Binary Number with Alternating Bits</v>
      </c>
      <c r="C694" s="1">
        <v>1722</v>
      </c>
      <c r="D694" s="1">
        <v>125</v>
      </c>
      <c r="E694" s="3">
        <f>IF(INDEX(C:C, ROW())+INDEX(D:D, ROW())=0, 0, INDEX(C:C, ROW())/(INDEX(C:C, ROW())+INDEX(D:D, ROW())))</f>
        <v>0.93232268543584196</v>
      </c>
      <c r="F694" s="1" t="s">
        <v>298</v>
      </c>
      <c r="G694" s="1" t="s">
        <v>20</v>
      </c>
      <c r="H694" s="1">
        <v>294371</v>
      </c>
      <c r="I694" s="1">
        <v>422062</v>
      </c>
      <c r="J694" s="7">
        <v>0.69699999999999995</v>
      </c>
      <c r="K694" s="1" t="s">
        <v>21</v>
      </c>
      <c r="L694" s="1" t="s">
        <v>21</v>
      </c>
      <c r="M694" s="1" t="s">
        <v>29</v>
      </c>
      <c r="N694" s="1" t="s">
        <v>22</v>
      </c>
    </row>
    <row r="695" spans="1:14" x14ac:dyDescent="0.25">
      <c r="A695" s="1">
        <v>694</v>
      </c>
      <c r="B695" s="2" t="str">
        <f>HYPERLINK("https://leetcode.com/problems/number-of-distinct-islands/", "Number of Distinct Islands")</f>
        <v>Number of Distinct Islands</v>
      </c>
      <c r="C695" s="1">
        <v>2332</v>
      </c>
      <c r="D695" s="1">
        <v>151</v>
      </c>
      <c r="E695" s="3">
        <f>IF(INDEX(C:C, ROW())+INDEX(D:D, ROW())=0, 0, INDEX(C:C, ROW())/(INDEX(C:C, ROW())+INDEX(D:D, ROW())))</f>
        <v>0.93918646798227945</v>
      </c>
      <c r="F695" s="1" t="s">
        <v>451</v>
      </c>
      <c r="G695" s="1" t="s">
        <v>24</v>
      </c>
      <c r="H695" s="1">
        <v>205445</v>
      </c>
      <c r="I695" s="1">
        <v>327626</v>
      </c>
      <c r="J695" s="7">
        <v>0.627</v>
      </c>
      <c r="K695" s="1" t="s">
        <v>29</v>
      </c>
      <c r="L695" s="1" t="s">
        <v>21</v>
      </c>
      <c r="M695" s="1" t="s">
        <v>21</v>
      </c>
      <c r="N695" s="1" t="s">
        <v>22</v>
      </c>
    </row>
    <row r="696" spans="1:14" x14ac:dyDescent="0.25">
      <c r="A696" s="1">
        <v>695</v>
      </c>
      <c r="B696" s="2" t="str">
        <f>HYPERLINK("https://leetcode.com/problems/max-area-of-island/", "Max Area of Island")</f>
        <v>Max Area of Island</v>
      </c>
      <c r="C696" s="1">
        <v>10577</v>
      </c>
      <c r="D696" s="1">
        <v>221</v>
      </c>
      <c r="E696" s="3">
        <f>IF(INDEX(C:C, ROW())+INDEX(D:D, ROW())=0, 0, INDEX(C:C, ROW())/(INDEX(C:C, ROW())+INDEX(D:D, ROW())))</f>
        <v>0.9795332468975736</v>
      </c>
      <c r="F696" s="1" t="s">
        <v>40</v>
      </c>
      <c r="G696" s="1" t="s">
        <v>24</v>
      </c>
      <c r="H696" s="1">
        <v>1205691</v>
      </c>
      <c r="I696" s="1">
        <v>1634137</v>
      </c>
      <c r="J696" s="7">
        <v>0.73799999999999999</v>
      </c>
      <c r="K696" s="1" t="s">
        <v>21</v>
      </c>
      <c r="L696" s="1" t="s">
        <v>21</v>
      </c>
      <c r="M696" s="1" t="s">
        <v>29</v>
      </c>
      <c r="N696" s="1" t="s">
        <v>22</v>
      </c>
    </row>
    <row r="697" spans="1:14" x14ac:dyDescent="0.25">
      <c r="A697" s="1">
        <v>696</v>
      </c>
      <c r="B697" s="2" t="str">
        <f>HYPERLINK("https://leetcode.com/problems/count-binary-substrings/", "Count Binary Substrings")</f>
        <v>Count Binary Substrings</v>
      </c>
      <c r="C697" s="1">
        <v>4627</v>
      </c>
      <c r="D697" s="1">
        <v>971</v>
      </c>
      <c r="E697" s="3">
        <f>IF(INDEX(C:C, ROW())+INDEX(D:D, ROW())=0, 0, INDEX(C:C, ROW())/(INDEX(C:C, ROW())+INDEX(D:D, ROW())))</f>
        <v>0.82654519471239729</v>
      </c>
      <c r="F697" s="1" t="s">
        <v>117</v>
      </c>
      <c r="G697" s="1" t="s">
        <v>20</v>
      </c>
      <c r="H697" s="1">
        <v>363779</v>
      </c>
      <c r="I697" s="1">
        <v>517692</v>
      </c>
      <c r="J697" s="7">
        <v>0.70299999999999996</v>
      </c>
      <c r="K697" s="1" t="s">
        <v>21</v>
      </c>
      <c r="L697" s="1" t="s">
        <v>21</v>
      </c>
      <c r="M697" s="1" t="s">
        <v>29</v>
      </c>
      <c r="N697" s="1" t="s">
        <v>22</v>
      </c>
    </row>
    <row r="698" spans="1:14" x14ac:dyDescent="0.25">
      <c r="A698" s="1">
        <v>697</v>
      </c>
      <c r="B698" s="2" t="str">
        <f>HYPERLINK("https://leetcode.com/problems/degree-of-an-array/", "Degree of an Array")</f>
        <v>Degree of an Array</v>
      </c>
      <c r="C698" s="1">
        <v>3259</v>
      </c>
      <c r="D698" s="1">
        <v>1808</v>
      </c>
      <c r="E698" s="3">
        <f>IF(INDEX(C:C, ROW())+INDEX(D:D, ROW())=0, 0, INDEX(C:C, ROW())/(INDEX(C:C, ROW())+INDEX(D:D, ROW())))</f>
        <v>0.64318136964673378</v>
      </c>
      <c r="F698" s="1" t="s">
        <v>19</v>
      </c>
      <c r="G698" s="1" t="s">
        <v>20</v>
      </c>
      <c r="H698" s="1">
        <v>273800</v>
      </c>
      <c r="I698" s="1">
        <v>470586</v>
      </c>
      <c r="J698" s="7">
        <v>0.58199999999999996</v>
      </c>
      <c r="K698" s="1" t="s">
        <v>21</v>
      </c>
      <c r="L698" s="1" t="s">
        <v>21</v>
      </c>
      <c r="M698" s="1" t="s">
        <v>29</v>
      </c>
      <c r="N698" s="1" t="s">
        <v>22</v>
      </c>
    </row>
    <row r="699" spans="1:14" x14ac:dyDescent="0.25">
      <c r="A699" s="1">
        <v>698</v>
      </c>
      <c r="B699" s="2" t="str">
        <f>HYPERLINK("https://leetcode.com/problems/partition-to-k-equal-sum-subsets/", "Partition to K Equal Sum Subsets")</f>
        <v>Partition to K Equal Sum Subsets</v>
      </c>
      <c r="C699" s="1">
        <v>7521</v>
      </c>
      <c r="D699" s="1">
        <v>552</v>
      </c>
      <c r="E699" s="3">
        <f>IF(INDEX(C:C, ROW())+INDEX(D:D, ROW())=0, 0, INDEX(C:C, ROW())/(INDEX(C:C, ROW())+INDEX(D:D, ROW())))</f>
        <v>0.93162393162393164</v>
      </c>
      <c r="F699" s="1" t="s">
        <v>183</v>
      </c>
      <c r="G699" s="1" t="s">
        <v>24</v>
      </c>
      <c r="H699" s="1">
        <v>336635</v>
      </c>
      <c r="I699" s="1">
        <v>876296</v>
      </c>
      <c r="J699" s="7">
        <v>0.38400000000000001</v>
      </c>
      <c r="K699" s="1" t="s">
        <v>21</v>
      </c>
      <c r="L699" s="1" t="s">
        <v>21</v>
      </c>
      <c r="M699" s="1" t="s">
        <v>29</v>
      </c>
      <c r="N699" s="1" t="s">
        <v>22</v>
      </c>
    </row>
    <row r="700" spans="1:14" x14ac:dyDescent="0.25">
      <c r="A700" s="1">
        <v>699</v>
      </c>
      <c r="B700" s="2" t="str">
        <f>HYPERLINK("https://leetcode.com/problems/falling-squares/", "Falling Squares")</f>
        <v>Falling Squares</v>
      </c>
      <c r="C700" s="1">
        <v>678</v>
      </c>
      <c r="D700" s="1">
        <v>76</v>
      </c>
      <c r="E700" s="3">
        <f>IF(INDEX(C:C, ROW())+INDEX(D:D, ROW())=0, 0, INDEX(C:C, ROW())/(INDEX(C:C, ROW())+INDEX(D:D, ROW())))</f>
        <v>0.89920424403183019</v>
      </c>
      <c r="F700" s="1" t="s">
        <v>810</v>
      </c>
      <c r="G700" s="1" t="s">
        <v>28</v>
      </c>
      <c r="H700" s="1">
        <v>35406</v>
      </c>
      <c r="I700" s="1">
        <v>74797</v>
      </c>
      <c r="J700" s="7">
        <v>0.47299999999999998</v>
      </c>
      <c r="K700" s="1" t="s">
        <v>21</v>
      </c>
      <c r="L700" s="1" t="s">
        <v>21</v>
      </c>
      <c r="M700" s="1" t="s">
        <v>29</v>
      </c>
      <c r="N700" s="1" t="s">
        <v>22</v>
      </c>
    </row>
    <row r="701" spans="1:14" x14ac:dyDescent="0.25">
      <c r="A701" s="1">
        <v>700</v>
      </c>
      <c r="B701" s="2" t="str">
        <f>HYPERLINK("https://leetcode.com/problems/search-in-a-binary-search-tree/", "Search in a Binary Search Tree")</f>
        <v>Search in a Binary Search Tree</v>
      </c>
      <c r="C701" s="1">
        <v>6542</v>
      </c>
      <c r="D701" s="1">
        <v>218</v>
      </c>
      <c r="E701" s="3">
        <f>IF(INDEX(C:C, ROW())+INDEX(D:D, ROW())=0, 0, INDEX(C:C, ROW())/(INDEX(C:C, ROW())+INDEX(D:D, ROW())))</f>
        <v>0.96775147928994087</v>
      </c>
      <c r="F701" s="1" t="s">
        <v>133</v>
      </c>
      <c r="G701" s="1" t="s">
        <v>20</v>
      </c>
      <c r="H701" s="1">
        <v>1339192</v>
      </c>
      <c r="I701" s="1">
        <v>1623750</v>
      </c>
      <c r="J701" s="7">
        <v>0.82499999999999996</v>
      </c>
      <c r="K701" s="1" t="s">
        <v>21</v>
      </c>
      <c r="L701" s="1" t="s">
        <v>21</v>
      </c>
      <c r="M701" s="1" t="s">
        <v>29</v>
      </c>
      <c r="N701" s="1" t="s">
        <v>22</v>
      </c>
    </row>
    <row r="702" spans="1:14" x14ac:dyDescent="0.25">
      <c r="A702" s="1">
        <v>701</v>
      </c>
      <c r="B702" s="2" t="str">
        <f>HYPERLINK("https://leetcode.com/problems/insert-into-a-binary-search-tree/", "Insert into a Binary Search Tree")</f>
        <v>Insert into a Binary Search Tree</v>
      </c>
      <c r="C702" s="1">
        <v>6410</v>
      </c>
      <c r="D702" s="1">
        <v>187</v>
      </c>
      <c r="E702" s="3">
        <f>IF(INDEX(C:C, ROW())+INDEX(D:D, ROW())=0, 0, INDEX(C:C, ROW())/(INDEX(C:C, ROW())+INDEX(D:D, ROW())))</f>
        <v>0.97165378202213126</v>
      </c>
      <c r="F702" s="1" t="s">
        <v>133</v>
      </c>
      <c r="G702" s="1" t="s">
        <v>24</v>
      </c>
      <c r="H702" s="1">
        <v>832373</v>
      </c>
      <c r="I702" s="1">
        <v>1134578</v>
      </c>
      <c r="J702" s="7">
        <v>0.73399999999999999</v>
      </c>
      <c r="K702" s="1" t="s">
        <v>21</v>
      </c>
      <c r="L702" s="1" t="s">
        <v>21</v>
      </c>
      <c r="M702" s="1" t="s">
        <v>29</v>
      </c>
      <c r="N702" s="1" t="s">
        <v>22</v>
      </c>
    </row>
    <row r="703" spans="1:14" x14ac:dyDescent="0.25">
      <c r="A703" s="1">
        <v>702</v>
      </c>
      <c r="B703" s="2" t="str">
        <f>HYPERLINK("https://leetcode.com/problems/search-in-a-sorted-array-of-unknown-size/", "Search in a Sorted Array of Unknown Size")</f>
        <v>Search in a Sorted Array of Unknown Size</v>
      </c>
      <c r="C703" s="1">
        <v>940</v>
      </c>
      <c r="D703" s="1">
        <v>51</v>
      </c>
      <c r="E703" s="3">
        <f>IF(INDEX(C:C, ROW())+INDEX(D:D, ROW())=0, 0, INDEX(C:C, ROW())/(INDEX(C:C, ROW())+INDEX(D:D, ROW())))</f>
        <v>0.94853683148335011</v>
      </c>
      <c r="F703" s="1" t="s">
        <v>341</v>
      </c>
      <c r="G703" s="1" t="s">
        <v>24</v>
      </c>
      <c r="H703" s="1">
        <v>112488</v>
      </c>
      <c r="I703" s="1">
        <v>153934</v>
      </c>
      <c r="J703" s="7">
        <v>0.73099999999999998</v>
      </c>
      <c r="K703" s="1" t="s">
        <v>29</v>
      </c>
      <c r="L703" s="1" t="s">
        <v>21</v>
      </c>
      <c r="M703" s="1" t="s">
        <v>29</v>
      </c>
      <c r="N703" s="1" t="s">
        <v>22</v>
      </c>
    </row>
    <row r="704" spans="1:14" x14ac:dyDescent="0.25">
      <c r="A704" s="1">
        <v>703</v>
      </c>
      <c r="B704" s="2" t="str">
        <f>HYPERLINK("https://leetcode.com/problems/kth-largest-element-in-a-stream/", "Kth Largest Element in a Stream")</f>
        <v>Kth Largest Element in a Stream</v>
      </c>
      <c r="C704" s="1">
        <v>6396</v>
      </c>
      <c r="D704" s="1">
        <v>4060</v>
      </c>
      <c r="E704" s="3">
        <f>IF(INDEX(C:C, ROW())+INDEX(D:D, ROW())=0, 0, INDEX(C:C, ROW())/(INDEX(C:C, ROW())+INDEX(D:D, ROW())))</f>
        <v>0.61170619739862275</v>
      </c>
      <c r="F704" s="1" t="s">
        <v>216</v>
      </c>
      <c r="G704" s="1" t="s">
        <v>20</v>
      </c>
      <c r="H704" s="1">
        <v>952159</v>
      </c>
      <c r="I704" s="1">
        <v>1568836</v>
      </c>
      <c r="J704" s="7">
        <v>0.60699999999999998</v>
      </c>
      <c r="K704" s="1" t="s">
        <v>21</v>
      </c>
      <c r="L704" s="1" t="s">
        <v>21</v>
      </c>
      <c r="M704" s="1" t="s">
        <v>29</v>
      </c>
      <c r="N704" s="1" t="s">
        <v>22</v>
      </c>
    </row>
    <row r="705" spans="1:14" x14ac:dyDescent="0.25">
      <c r="A705" s="1">
        <v>704</v>
      </c>
      <c r="B705" s="2" t="str">
        <f>HYPERLINK("https://leetcode.com/problems/binary-search/", "Binary Search")</f>
        <v>Binary Search</v>
      </c>
      <c r="C705" s="1">
        <v>13363</v>
      </c>
      <c r="D705" s="1">
        <v>298</v>
      </c>
      <c r="E705" s="3">
        <f>IF(INDEX(C:C, ROW())+INDEX(D:D, ROW())=0, 0, INDEX(C:C, ROW())/(INDEX(C:C, ROW())+INDEX(D:D, ROW())))</f>
        <v>0.9781860771539419</v>
      </c>
      <c r="F705" s="1" t="s">
        <v>35</v>
      </c>
      <c r="G705" s="1" t="s">
        <v>20</v>
      </c>
      <c r="H705" s="1">
        <v>3756198</v>
      </c>
      <c r="I705" s="1">
        <v>6206332</v>
      </c>
      <c r="J705" s="7">
        <v>0.60499999999999998</v>
      </c>
      <c r="K705" s="1" t="s">
        <v>21</v>
      </c>
      <c r="L705" s="1" t="s">
        <v>21</v>
      </c>
      <c r="M705" s="1" t="s">
        <v>29</v>
      </c>
      <c r="N705" s="1" t="s">
        <v>22</v>
      </c>
    </row>
    <row r="706" spans="1:14" x14ac:dyDescent="0.25">
      <c r="A706" s="1">
        <v>705</v>
      </c>
      <c r="B706" s="2" t="str">
        <f>HYPERLINK("https://leetcode.com/problems/design-hashset/", "Design HashSet")</f>
        <v>Design HashSet</v>
      </c>
      <c r="C706" s="1">
        <v>4023</v>
      </c>
      <c r="D706" s="1">
        <v>328</v>
      </c>
      <c r="E706" s="3">
        <f>IF(INDEX(C:C, ROW())+INDEX(D:D, ROW())=0, 0, INDEX(C:C, ROW())/(INDEX(C:C, ROW())+INDEX(D:D, ROW())))</f>
        <v>0.92461503102734999</v>
      </c>
      <c r="F706" s="1" t="s">
        <v>246</v>
      </c>
      <c r="G706" s="1" t="s">
        <v>20</v>
      </c>
      <c r="H706" s="1">
        <v>559070</v>
      </c>
      <c r="I706" s="1">
        <v>825091</v>
      </c>
      <c r="J706" s="7">
        <v>0.67800000000000005</v>
      </c>
      <c r="K706" s="1" t="s">
        <v>21</v>
      </c>
      <c r="L706" s="1" t="s">
        <v>21</v>
      </c>
      <c r="M706" s="1" t="s">
        <v>29</v>
      </c>
      <c r="N706" s="1" t="s">
        <v>22</v>
      </c>
    </row>
    <row r="707" spans="1:14" x14ac:dyDescent="0.25">
      <c r="A707" s="1">
        <v>706</v>
      </c>
      <c r="B707" s="2" t="str">
        <f>HYPERLINK("https://leetcode.com/problems/design-hashmap/", "Design HashMap")</f>
        <v>Design HashMap</v>
      </c>
      <c r="C707" s="1">
        <v>5408</v>
      </c>
      <c r="D707" s="1">
        <v>497</v>
      </c>
      <c r="E707" s="3">
        <f>IF(INDEX(C:C, ROW())+INDEX(D:D, ROW())=0, 0, INDEX(C:C, ROW())/(INDEX(C:C, ROW())+INDEX(D:D, ROW())))</f>
        <v>0.91583403895004234</v>
      </c>
      <c r="F707" s="1" t="s">
        <v>246</v>
      </c>
      <c r="G707" s="1" t="s">
        <v>20</v>
      </c>
      <c r="H707" s="1">
        <v>748424</v>
      </c>
      <c r="I707" s="1">
        <v>1127755</v>
      </c>
      <c r="J707" s="7">
        <v>0.66400000000000003</v>
      </c>
      <c r="K707" s="1" t="s">
        <v>21</v>
      </c>
      <c r="L707" s="1" t="s">
        <v>21</v>
      </c>
      <c r="M707" s="1" t="s">
        <v>29</v>
      </c>
      <c r="N707" s="1" t="s">
        <v>22</v>
      </c>
    </row>
    <row r="708" spans="1:14" x14ac:dyDescent="0.25">
      <c r="A708" s="1">
        <v>707</v>
      </c>
      <c r="B708" s="2" t="str">
        <f>HYPERLINK("https://leetcode.com/problems/design-linked-list/", "Design Linked List")</f>
        <v>Design Linked List</v>
      </c>
      <c r="C708" s="1">
        <v>3038</v>
      </c>
      <c r="D708" s="1">
        <v>1680</v>
      </c>
      <c r="E708" s="3">
        <f>IF(INDEX(C:C, ROW())+INDEX(D:D, ROW())=0, 0, INDEX(C:C, ROW())/(INDEX(C:C, ROW())+INDEX(D:D, ROW())))</f>
        <v>0.64391691394658757</v>
      </c>
      <c r="F708" s="1" t="s">
        <v>375</v>
      </c>
      <c r="G708" s="1" t="s">
        <v>24</v>
      </c>
      <c r="H708" s="1">
        <v>474007</v>
      </c>
      <c r="I708" s="1">
        <v>1587332</v>
      </c>
      <c r="J708" s="7">
        <v>0.29899999999999999</v>
      </c>
      <c r="K708" s="1" t="s">
        <v>21</v>
      </c>
      <c r="L708" s="1" t="s">
        <v>21</v>
      </c>
      <c r="M708" s="1" t="s">
        <v>29</v>
      </c>
      <c r="N708" s="1" t="s">
        <v>22</v>
      </c>
    </row>
    <row r="709" spans="1:14" x14ac:dyDescent="0.25">
      <c r="A709" s="1">
        <v>708</v>
      </c>
      <c r="B709" s="2" t="str">
        <f>HYPERLINK("https://leetcode.com/problems/insert-into-a-sorted-circular-linked-list/", "Insert into a Sorted Circular Linked List")</f>
        <v>Insert into a Sorted Circular Linked List</v>
      </c>
      <c r="C709" s="1">
        <v>1337</v>
      </c>
      <c r="D709" s="1">
        <v>801</v>
      </c>
      <c r="E709" s="3">
        <f>IF(INDEX(C:C, ROW())+INDEX(D:D, ROW())=0, 0, INDEX(C:C, ROW())/(INDEX(C:C, ROW())+INDEX(D:D, ROW())))</f>
        <v>0.62535079513564074</v>
      </c>
      <c r="F709" s="1" t="s">
        <v>104</v>
      </c>
      <c r="G709" s="1" t="s">
        <v>24</v>
      </c>
      <c r="H709" s="1">
        <v>244035</v>
      </c>
      <c r="I709" s="1">
        <v>633440</v>
      </c>
      <c r="J709" s="7">
        <v>0.38500000000000001</v>
      </c>
      <c r="K709" s="1" t="s">
        <v>29</v>
      </c>
      <c r="L709" s="1" t="s">
        <v>21</v>
      </c>
      <c r="M709" s="1" t="s">
        <v>29</v>
      </c>
      <c r="N709" s="1" t="s">
        <v>22</v>
      </c>
    </row>
    <row r="710" spans="1:14" x14ac:dyDescent="0.25">
      <c r="A710" s="1">
        <v>709</v>
      </c>
      <c r="B710" s="2" t="str">
        <f>HYPERLINK("https://leetcode.com/problems/to-lower-case/", "To Lower Case")</f>
        <v>To Lower Case</v>
      </c>
      <c r="C710" s="1">
        <v>2032</v>
      </c>
      <c r="D710" s="1">
        <v>2797</v>
      </c>
      <c r="E710" s="3">
        <f>IF(INDEX(C:C, ROW())+INDEX(D:D, ROW())=0, 0, INDEX(C:C, ROW())/(INDEX(C:C, ROW())+INDEX(D:D, ROW())))</f>
        <v>0.42079105404845724</v>
      </c>
      <c r="F710" s="1" t="s">
        <v>146</v>
      </c>
      <c r="G710" s="1" t="s">
        <v>20</v>
      </c>
      <c r="H710" s="1">
        <v>713909</v>
      </c>
      <c r="I710" s="1">
        <v>842608</v>
      </c>
      <c r="J710" s="7">
        <v>0.84699999999999998</v>
      </c>
      <c r="K710" s="1" t="s">
        <v>21</v>
      </c>
      <c r="L710" s="1" t="s">
        <v>21</v>
      </c>
      <c r="M710" s="1" t="s">
        <v>29</v>
      </c>
      <c r="N710" s="1" t="s">
        <v>22</v>
      </c>
    </row>
    <row r="711" spans="1:14" x14ac:dyDescent="0.25">
      <c r="A711" s="1">
        <v>710</v>
      </c>
      <c r="B711" s="2" t="str">
        <f>HYPERLINK("https://leetcode.com/problems/random-pick-with-blacklist/", "Random Pick with Blacklist")</f>
        <v>Random Pick with Blacklist</v>
      </c>
      <c r="C711" s="1">
        <v>895</v>
      </c>
      <c r="D711" s="1">
        <v>121</v>
      </c>
      <c r="E711" s="3">
        <f>IF(INDEX(C:C, ROW())+INDEX(D:D, ROW())=0, 0, INDEX(C:C, ROW())/(INDEX(C:C, ROW())+INDEX(D:D, ROW())))</f>
        <v>0.88090551181102361</v>
      </c>
      <c r="F711" s="1" t="s">
        <v>739</v>
      </c>
      <c r="G711" s="1" t="s">
        <v>28</v>
      </c>
      <c r="H711" s="1">
        <v>51601</v>
      </c>
      <c r="I711" s="1">
        <v>149074</v>
      </c>
      <c r="J711" s="7">
        <v>0.34599999999999997</v>
      </c>
      <c r="K711" s="1" t="s">
        <v>21</v>
      </c>
      <c r="L711" s="1" t="s">
        <v>29</v>
      </c>
      <c r="M711" s="1" t="s">
        <v>29</v>
      </c>
      <c r="N711" s="1" t="s">
        <v>22</v>
      </c>
    </row>
    <row r="712" spans="1:14" x14ac:dyDescent="0.25">
      <c r="A712" s="1">
        <v>711</v>
      </c>
      <c r="B712" s="2" t="str">
        <f>HYPERLINK("https://leetcode.com/problems/number-of-distinct-islands-ii/", "Number of Distinct Islands II")</f>
        <v>Number of Distinct Islands II</v>
      </c>
      <c r="C712" s="1">
        <v>280</v>
      </c>
      <c r="D712" s="1">
        <v>286</v>
      </c>
      <c r="E712" s="3">
        <f>IF(INDEX(C:C, ROW())+INDEX(D:D, ROW())=0, 0, INDEX(C:C, ROW())/(INDEX(C:C, ROW())+INDEX(D:D, ROW())))</f>
        <v>0.49469964664310956</v>
      </c>
      <c r="F712" s="1" t="s">
        <v>451</v>
      </c>
      <c r="G712" s="1" t="s">
        <v>28</v>
      </c>
      <c r="H712" s="1">
        <v>14155</v>
      </c>
      <c r="I712" s="1">
        <v>25605</v>
      </c>
      <c r="J712" s="7">
        <v>0.55300000000000005</v>
      </c>
      <c r="K712" s="1" t="s">
        <v>29</v>
      </c>
      <c r="L712" s="1" t="s">
        <v>21</v>
      </c>
      <c r="M712" s="1" t="s">
        <v>29</v>
      </c>
      <c r="N712" s="1" t="s">
        <v>22</v>
      </c>
    </row>
    <row r="713" spans="1:14" x14ac:dyDescent="0.25">
      <c r="A713" s="1">
        <v>712</v>
      </c>
      <c r="B713" s="2" t="str">
        <f>HYPERLINK("https://leetcode.com/problems/minimum-ascii-delete-sum-for-two-strings/", "Minimum ASCII Delete Sum for Two Strings")</f>
        <v>Minimum ASCII Delete Sum for Two Strings</v>
      </c>
      <c r="C713" s="1">
        <v>4531</v>
      </c>
      <c r="D713" s="1">
        <v>128</v>
      </c>
      <c r="E713" s="3">
        <f>IF(INDEX(C:C, ROW())+INDEX(D:D, ROW())=0, 0, INDEX(C:C, ROW())/(INDEX(C:C, ROW())+INDEX(D:D, ROW())))</f>
        <v>0.97252629319596484</v>
      </c>
      <c r="F713" s="1" t="s">
        <v>82</v>
      </c>
      <c r="G713" s="1" t="s">
        <v>24</v>
      </c>
      <c r="H713" s="1">
        <v>272235</v>
      </c>
      <c r="I713" s="1">
        <v>384086</v>
      </c>
      <c r="J713" s="7">
        <v>0.70899999999999996</v>
      </c>
      <c r="K713" s="1" t="s">
        <v>21</v>
      </c>
      <c r="L713" s="1" t="s">
        <v>21</v>
      </c>
      <c r="M713" s="1" t="s">
        <v>29</v>
      </c>
      <c r="N713" s="1" t="s">
        <v>22</v>
      </c>
    </row>
    <row r="714" spans="1:14" x14ac:dyDescent="0.25">
      <c r="A714" s="1">
        <v>713</v>
      </c>
      <c r="B714" s="2" t="str">
        <f>HYPERLINK("https://leetcode.com/problems/subarray-product-less-than-k/", "Subarray Product Less Than K")</f>
        <v>Subarray Product Less Than K</v>
      </c>
      <c r="C714" s="1">
        <v>7472</v>
      </c>
      <c r="D714" s="1">
        <v>235</v>
      </c>
      <c r="E714" s="3">
        <f>IF(INDEX(C:C, ROW())+INDEX(D:D, ROW())=0, 0, INDEX(C:C, ROW())/(INDEX(C:C, ROW())+INDEX(D:D, ROW())))</f>
        <v>0.96950823926300767</v>
      </c>
      <c r="F714" s="1" t="s">
        <v>88</v>
      </c>
      <c r="G714" s="1" t="s">
        <v>24</v>
      </c>
      <c r="H714" s="1">
        <v>584631</v>
      </c>
      <c r="I714" s="1">
        <v>1084892</v>
      </c>
      <c r="J714" s="7">
        <v>0.53900000000000003</v>
      </c>
      <c r="K714" s="1" t="s">
        <v>21</v>
      </c>
      <c r="L714" s="1" t="s">
        <v>21</v>
      </c>
      <c r="M714" s="1" t="s">
        <v>29</v>
      </c>
      <c r="N714" s="1" t="s">
        <v>22</v>
      </c>
    </row>
    <row r="715" spans="1:14" x14ac:dyDescent="0.25">
      <c r="A715" s="1">
        <v>714</v>
      </c>
      <c r="B715" s="2" t="str">
        <f>HYPERLINK("https://leetcode.com/problems/best-time-to-buy-and-sell-stock-with-transaction-fee/", "Best Time to Buy and Sell Stock with Transaction Fee")</f>
        <v>Best Time to Buy and Sell Stock with Transaction Fee</v>
      </c>
      <c r="C715" s="1">
        <v>7597</v>
      </c>
      <c r="D715" s="1">
        <v>235</v>
      </c>
      <c r="E715" s="3">
        <f>IF(INDEX(C:C, ROW())+INDEX(D:D, ROW())=0, 0, INDEX(C:C, ROW())/(INDEX(C:C, ROW())+INDEX(D:D, ROW())))</f>
        <v>0.96999489274770179</v>
      </c>
      <c r="F715" s="1" t="s">
        <v>50</v>
      </c>
      <c r="G715" s="1" t="s">
        <v>24</v>
      </c>
      <c r="H715" s="1">
        <v>559868</v>
      </c>
      <c r="I715" s="1">
        <v>780849</v>
      </c>
      <c r="J715" s="7">
        <v>0.71699999999999997</v>
      </c>
      <c r="K715" s="1" t="s">
        <v>21</v>
      </c>
      <c r="L715" s="1" t="s">
        <v>21</v>
      </c>
      <c r="M715" s="1" t="s">
        <v>29</v>
      </c>
      <c r="N715" s="1" t="s">
        <v>22</v>
      </c>
    </row>
    <row r="716" spans="1:14" x14ac:dyDescent="0.25">
      <c r="A716" s="1">
        <v>715</v>
      </c>
      <c r="B716" s="2" t="str">
        <f>HYPERLINK("https://leetcode.com/problems/range-module/", "Range Module")</f>
        <v>Range Module</v>
      </c>
      <c r="C716" s="1">
        <v>1589</v>
      </c>
      <c r="D716" s="1">
        <v>138</v>
      </c>
      <c r="E716" s="3">
        <f>IF(INDEX(C:C, ROW())+INDEX(D:D, ROW())=0, 0, INDEX(C:C, ROW())/(INDEX(C:C, ROW())+INDEX(D:D, ROW())))</f>
        <v>0.92009264620729592</v>
      </c>
      <c r="F716" s="1" t="s">
        <v>562</v>
      </c>
      <c r="G716" s="1" t="s">
        <v>28</v>
      </c>
      <c r="H716" s="1">
        <v>92103</v>
      </c>
      <c r="I716" s="1">
        <v>205993</v>
      </c>
      <c r="J716" s="7">
        <v>0.44700000000000001</v>
      </c>
      <c r="K716" s="1" t="s">
        <v>21</v>
      </c>
      <c r="L716" s="1" t="s">
        <v>21</v>
      </c>
      <c r="M716" s="1" t="s">
        <v>29</v>
      </c>
      <c r="N716" s="1" t="s">
        <v>22</v>
      </c>
    </row>
    <row r="717" spans="1:14" x14ac:dyDescent="0.25">
      <c r="A717" s="1">
        <v>716</v>
      </c>
      <c r="B717" s="2" t="str">
        <f>HYPERLINK("https://leetcode.com/problems/max-stack/", "Max Stack")</f>
        <v>Max Stack</v>
      </c>
      <c r="C717" s="1">
        <v>2014</v>
      </c>
      <c r="D717" s="1">
        <v>513</v>
      </c>
      <c r="E717" s="3">
        <f>IF(INDEX(C:C, ROW())+INDEX(D:D, ROW())=0, 0, INDEX(C:C, ROW())/(INDEX(C:C, ROW())+INDEX(D:D, ROW())))</f>
        <v>0.79699248120300747</v>
      </c>
      <c r="F717" s="1" t="s">
        <v>500</v>
      </c>
      <c r="G717" s="1" t="s">
        <v>28</v>
      </c>
      <c r="H717" s="1">
        <v>182467</v>
      </c>
      <c r="I717" s="1">
        <v>397849</v>
      </c>
      <c r="J717" s="7">
        <v>0.45900000000000002</v>
      </c>
      <c r="K717" s="1" t="s">
        <v>29</v>
      </c>
      <c r="L717" s="1" t="s">
        <v>21</v>
      </c>
      <c r="M717" s="1" t="s">
        <v>29</v>
      </c>
      <c r="N717" s="1" t="s">
        <v>22</v>
      </c>
    </row>
    <row r="718" spans="1:14" x14ac:dyDescent="0.25">
      <c r="A718" s="1">
        <v>717</v>
      </c>
      <c r="B718" s="2" t="str">
        <f>HYPERLINK("https://leetcode.com/problems/1-bit-and-2-bit-characters/", "1-bit and 2-bit Characters")</f>
        <v>1-bit and 2-bit Characters</v>
      </c>
      <c r="C718" s="1">
        <v>1245</v>
      </c>
      <c r="D718" s="1">
        <v>2362</v>
      </c>
      <c r="E718" s="3">
        <f>IF(INDEX(C:C, ROW())+INDEX(D:D, ROW())=0, 0, INDEX(C:C, ROW())/(INDEX(C:C, ROW())+INDEX(D:D, ROW())))</f>
        <v>0.34516218464097587</v>
      </c>
      <c r="F718" s="1" t="s">
        <v>113</v>
      </c>
      <c r="G718" s="1" t="s">
        <v>20</v>
      </c>
      <c r="H718" s="1">
        <v>266701</v>
      </c>
      <c r="I718" s="1">
        <v>538301</v>
      </c>
      <c r="J718" s="7">
        <v>0.495</v>
      </c>
      <c r="K718" s="1" t="s">
        <v>21</v>
      </c>
      <c r="L718" s="1" t="s">
        <v>21</v>
      </c>
      <c r="M718" s="1" t="s">
        <v>29</v>
      </c>
      <c r="N718" s="1" t="s">
        <v>22</v>
      </c>
    </row>
    <row r="719" spans="1:14" x14ac:dyDescent="0.25">
      <c r="A719" s="1">
        <v>718</v>
      </c>
      <c r="B719" s="2" t="str">
        <f>HYPERLINK("https://leetcode.com/problems/maximum-length-of-repeated-subarray/", "Maximum Length of Repeated Subarray")</f>
        <v>Maximum Length of Repeated Subarray</v>
      </c>
      <c r="C719" s="1">
        <v>7066</v>
      </c>
      <c r="D719" s="1">
        <v>180</v>
      </c>
      <c r="E719" s="3">
        <f>IF(INDEX(C:C, ROW())+INDEX(D:D, ROW())=0, 0, INDEX(C:C, ROW())/(INDEX(C:C, ROW())+INDEX(D:D, ROW())))</f>
        <v>0.97515870825282913</v>
      </c>
      <c r="F719" s="1" t="s">
        <v>196</v>
      </c>
      <c r="G719" s="1" t="s">
        <v>24</v>
      </c>
      <c r="H719" s="1">
        <v>359926</v>
      </c>
      <c r="I719" s="1">
        <v>702250</v>
      </c>
      <c r="J719" s="7">
        <v>0.51300000000000001</v>
      </c>
      <c r="K719" s="1" t="s">
        <v>21</v>
      </c>
      <c r="L719" s="1" t="s">
        <v>21</v>
      </c>
      <c r="M719" s="1" t="s">
        <v>29</v>
      </c>
      <c r="N719" s="1" t="s">
        <v>22</v>
      </c>
    </row>
    <row r="720" spans="1:14" x14ac:dyDescent="0.25">
      <c r="A720" s="1">
        <v>719</v>
      </c>
      <c r="B720" s="2" t="str">
        <f>HYPERLINK("https://leetcode.com/problems/find-k-th-smallest-pair-distance/", "Find K-th Smallest Pair Distance")</f>
        <v>Find K-th Smallest Pair Distance</v>
      </c>
      <c r="C720" s="1">
        <v>3914</v>
      </c>
      <c r="D720" s="1">
        <v>125</v>
      </c>
      <c r="E720" s="3">
        <f>IF(INDEX(C:C, ROW())+INDEX(D:D, ROW())=0, 0, INDEX(C:C, ROW())/(INDEX(C:C, ROW())+INDEX(D:D, ROW())))</f>
        <v>0.96905174548155482</v>
      </c>
      <c r="F720" s="1" t="s">
        <v>277</v>
      </c>
      <c r="G720" s="1" t="s">
        <v>28</v>
      </c>
      <c r="H720" s="1">
        <v>209761</v>
      </c>
      <c r="I720" s="1">
        <v>452704</v>
      </c>
      <c r="J720" s="7">
        <v>0.46300000000000002</v>
      </c>
      <c r="K720" s="1" t="s">
        <v>21</v>
      </c>
      <c r="L720" s="1" t="s">
        <v>21</v>
      </c>
      <c r="M720" s="1" t="s">
        <v>29</v>
      </c>
      <c r="N720" s="1" t="s">
        <v>22</v>
      </c>
    </row>
    <row r="721" spans="1:14" x14ac:dyDescent="0.25">
      <c r="A721" s="1">
        <v>720</v>
      </c>
      <c r="B721" s="2" t="str">
        <f>HYPERLINK("https://leetcode.com/problems/longest-word-in-dictionary/", "Longest Word in Dictionary")</f>
        <v>Longest Word in Dictionary</v>
      </c>
      <c r="C721" s="1">
        <v>2076</v>
      </c>
      <c r="D721" s="1">
        <v>1507</v>
      </c>
      <c r="E721" s="3">
        <f>IF(INDEX(C:C, ROW())+INDEX(D:D, ROW())=0, 0, INDEX(C:C, ROW())/(INDEX(C:C, ROW())+INDEX(D:D, ROW())))</f>
        <v>0.57940273513815244</v>
      </c>
      <c r="F721" s="1" t="s">
        <v>492</v>
      </c>
      <c r="G721" s="1" t="s">
        <v>24</v>
      </c>
      <c r="H721" s="1">
        <v>188385</v>
      </c>
      <c r="I721" s="1">
        <v>345852</v>
      </c>
      <c r="J721" s="7">
        <v>0.54500000000000004</v>
      </c>
      <c r="K721" s="1" t="s">
        <v>21</v>
      </c>
      <c r="L721" s="1" t="s">
        <v>21</v>
      </c>
      <c r="M721" s="1" t="s">
        <v>29</v>
      </c>
      <c r="N721" s="1" t="s">
        <v>22</v>
      </c>
    </row>
    <row r="722" spans="1:14" x14ac:dyDescent="0.25">
      <c r="A722" s="1">
        <v>721</v>
      </c>
      <c r="B722" s="2" t="str">
        <f>HYPERLINK("https://leetcode.com/problems/accounts-merge/", "Accounts Merge")</f>
        <v>Accounts Merge</v>
      </c>
      <c r="C722" s="1">
        <v>7637</v>
      </c>
      <c r="D722" s="1">
        <v>1304</v>
      </c>
      <c r="E722" s="3">
        <f>IF(INDEX(C:C, ROW())+INDEX(D:D, ROW())=0, 0, INDEX(C:C, ROW())/(INDEX(C:C, ROW())+INDEX(D:D, ROW())))</f>
        <v>0.85415501621742529</v>
      </c>
      <c r="F722" s="1" t="s">
        <v>179</v>
      </c>
      <c r="G722" s="1" t="s">
        <v>24</v>
      </c>
      <c r="H722" s="1">
        <v>605190</v>
      </c>
      <c r="I722" s="1">
        <v>993570</v>
      </c>
      <c r="J722" s="7">
        <v>0.60899999999999999</v>
      </c>
      <c r="K722" s="1" t="s">
        <v>21</v>
      </c>
      <c r="L722" s="1" t="s">
        <v>21</v>
      </c>
      <c r="M722" s="1" t="s">
        <v>29</v>
      </c>
      <c r="N722" s="1" t="s">
        <v>22</v>
      </c>
    </row>
    <row r="723" spans="1:14" x14ac:dyDescent="0.25">
      <c r="A723" s="1">
        <v>722</v>
      </c>
      <c r="B723" s="2" t="str">
        <f>HYPERLINK("https://leetcode.com/problems/remove-comments/", "Remove Comments")</f>
        <v>Remove Comments</v>
      </c>
      <c r="C723" s="1">
        <v>756</v>
      </c>
      <c r="D723" s="1">
        <v>1845</v>
      </c>
      <c r="E723" s="3">
        <f>IF(INDEX(C:C, ROW())+INDEX(D:D, ROW())=0, 0, INDEX(C:C, ROW())/(INDEX(C:C, ROW())+INDEX(D:D, ROW())))</f>
        <v>0.29065743944636679</v>
      </c>
      <c r="F723" s="1" t="s">
        <v>369</v>
      </c>
      <c r="G723" s="1" t="s">
        <v>24</v>
      </c>
      <c r="H723" s="1">
        <v>84757</v>
      </c>
      <c r="I723" s="1">
        <v>211800</v>
      </c>
      <c r="J723" s="7">
        <v>0.4</v>
      </c>
      <c r="K723" s="1" t="s">
        <v>21</v>
      </c>
      <c r="L723" s="1" t="s">
        <v>21</v>
      </c>
      <c r="M723" s="1" t="s">
        <v>29</v>
      </c>
      <c r="N723" s="1" t="s">
        <v>22</v>
      </c>
    </row>
    <row r="724" spans="1:14" x14ac:dyDescent="0.25">
      <c r="A724" s="1">
        <v>723</v>
      </c>
      <c r="B724" s="2" t="str">
        <f>HYPERLINK("https://leetcode.com/problems/candy-crush/", "Candy Crush")</f>
        <v>Candy Crush</v>
      </c>
      <c r="C724" s="1">
        <v>1067</v>
      </c>
      <c r="D724" s="1">
        <v>546</v>
      </c>
      <c r="E724" s="3">
        <f>IF(INDEX(C:C, ROW())+INDEX(D:D, ROW())=0, 0, INDEX(C:C, ROW())/(INDEX(C:C, ROW())+INDEX(D:D, ROW())))</f>
        <v>0.66150030998140108</v>
      </c>
      <c r="F724" s="1" t="s">
        <v>699</v>
      </c>
      <c r="G724" s="1" t="s">
        <v>24</v>
      </c>
      <c r="H724" s="1">
        <v>89118</v>
      </c>
      <c r="I724" s="1">
        <v>115241</v>
      </c>
      <c r="J724" s="7">
        <v>0.77300000000000002</v>
      </c>
      <c r="K724" s="1" t="s">
        <v>29</v>
      </c>
      <c r="L724" s="1" t="s">
        <v>21</v>
      </c>
      <c r="M724" s="1" t="s">
        <v>29</v>
      </c>
      <c r="N724" s="1" t="s">
        <v>22</v>
      </c>
    </row>
    <row r="725" spans="1:14" x14ac:dyDescent="0.25">
      <c r="A725" s="1">
        <v>724</v>
      </c>
      <c r="B725" s="2" t="str">
        <f>HYPERLINK("https://leetcode.com/problems/find-pivot-index/", "Find Pivot Index")</f>
        <v>Find Pivot Index</v>
      </c>
      <c r="C725" s="1">
        <v>9219</v>
      </c>
      <c r="D725" s="1">
        <v>925</v>
      </c>
      <c r="E725" s="3">
        <f>IF(INDEX(C:C, ROW())+INDEX(D:D, ROW())=0, 0, INDEX(C:C, ROW())/(INDEX(C:C, ROW())+INDEX(D:D, ROW())))</f>
        <v>0.90881309148264988</v>
      </c>
      <c r="F725" s="1" t="s">
        <v>37</v>
      </c>
      <c r="G725" s="1" t="s">
        <v>20</v>
      </c>
      <c r="H725" s="1">
        <v>1609261</v>
      </c>
      <c r="I725" s="1">
        <v>2591371</v>
      </c>
      <c r="J725" s="7">
        <v>0.621</v>
      </c>
      <c r="K725" s="1" t="s">
        <v>21</v>
      </c>
      <c r="L725" s="1" t="s">
        <v>21</v>
      </c>
      <c r="M725" s="1" t="s">
        <v>29</v>
      </c>
      <c r="N725" s="1" t="s">
        <v>22</v>
      </c>
    </row>
    <row r="726" spans="1:14" x14ac:dyDescent="0.25">
      <c r="A726" s="1">
        <v>725</v>
      </c>
      <c r="B726" s="2" t="str">
        <f>HYPERLINK("https://leetcode.com/problems/split-linked-list-in-parts/", "Split Linked List in Parts")</f>
        <v>Split Linked List in Parts</v>
      </c>
      <c r="C726" s="1">
        <v>4711</v>
      </c>
      <c r="D726" s="1">
        <v>373</v>
      </c>
      <c r="E726" s="3">
        <f>IF(INDEX(C:C, ROW())+INDEX(D:D, ROW())=0, 0, INDEX(C:C, ROW())/(INDEX(C:C, ROW())+INDEX(D:D, ROW())))</f>
        <v>0.92663257277734068</v>
      </c>
      <c r="F726" s="1" t="s">
        <v>104</v>
      </c>
      <c r="G726" s="1" t="s">
        <v>24</v>
      </c>
      <c r="H726" s="1">
        <v>351851</v>
      </c>
      <c r="I726" s="1">
        <v>499307</v>
      </c>
      <c r="J726" s="7">
        <v>0.70499999999999996</v>
      </c>
      <c r="K726" s="1" t="s">
        <v>21</v>
      </c>
      <c r="L726" s="1" t="s">
        <v>21</v>
      </c>
      <c r="M726" s="1" t="s">
        <v>29</v>
      </c>
      <c r="N726" s="1" t="s">
        <v>22</v>
      </c>
    </row>
    <row r="727" spans="1:14" x14ac:dyDescent="0.25">
      <c r="A727" s="1">
        <v>726</v>
      </c>
      <c r="B727" s="2" t="str">
        <f>HYPERLINK("https://leetcode.com/problems/number-of-atoms/", "Number of Atoms")</f>
        <v>Number of Atoms</v>
      </c>
      <c r="C727" s="1">
        <v>1970</v>
      </c>
      <c r="D727" s="1">
        <v>411</v>
      </c>
      <c r="E727" s="3">
        <f>IF(INDEX(C:C, ROW())+INDEX(D:D, ROW())=0, 0, INDEX(C:C, ROW())/(INDEX(C:C, ROW())+INDEX(D:D, ROW())))</f>
        <v>0.82738345233095334</v>
      </c>
      <c r="F727" s="1" t="s">
        <v>506</v>
      </c>
      <c r="G727" s="1" t="s">
        <v>28</v>
      </c>
      <c r="H727" s="1">
        <v>160394</v>
      </c>
      <c r="I727" s="1">
        <v>246548</v>
      </c>
      <c r="J727" s="7">
        <v>0.65100000000000002</v>
      </c>
      <c r="K727" s="1" t="s">
        <v>21</v>
      </c>
      <c r="L727" s="1" t="s">
        <v>21</v>
      </c>
      <c r="M727" s="1" t="s">
        <v>29</v>
      </c>
      <c r="N727" s="1" t="s">
        <v>22</v>
      </c>
    </row>
    <row r="728" spans="1:14" x14ac:dyDescent="0.25">
      <c r="A728" s="1">
        <v>727</v>
      </c>
      <c r="B728" s="2" t="str">
        <f>HYPERLINK("https://leetcode.com/problems/minimum-window-subsequence/", "Minimum Window Subsequence")</f>
        <v>Minimum Window Subsequence</v>
      </c>
      <c r="C728" s="1">
        <v>1484</v>
      </c>
      <c r="D728" s="1">
        <v>95</v>
      </c>
      <c r="E728" s="3">
        <f>IF(INDEX(C:C, ROW())+INDEX(D:D, ROW())=0, 0, INDEX(C:C, ROW())/(INDEX(C:C, ROW())+INDEX(D:D, ROW())))</f>
        <v>0.93983533882203929</v>
      </c>
      <c r="F728" s="1" t="s">
        <v>595</v>
      </c>
      <c r="G728" s="1" t="s">
        <v>28</v>
      </c>
      <c r="H728" s="1">
        <v>98496</v>
      </c>
      <c r="I728" s="1">
        <v>225101</v>
      </c>
      <c r="J728" s="7">
        <v>0.438</v>
      </c>
      <c r="K728" s="1" t="s">
        <v>29</v>
      </c>
      <c r="L728" s="1" t="s">
        <v>21</v>
      </c>
      <c r="M728" s="1" t="s">
        <v>29</v>
      </c>
      <c r="N728" s="1" t="s">
        <v>22</v>
      </c>
    </row>
    <row r="729" spans="1:14" x14ac:dyDescent="0.25">
      <c r="A729" s="1">
        <v>728</v>
      </c>
      <c r="B729" s="2" t="str">
        <f>HYPERLINK("https://leetcode.com/problems/self-dividing-numbers/", "Self Dividing Numbers")</f>
        <v>Self Dividing Numbers</v>
      </c>
      <c r="C729" s="1">
        <v>1924</v>
      </c>
      <c r="D729" s="1">
        <v>384</v>
      </c>
      <c r="E729" s="3">
        <f>IF(INDEX(C:C, ROW())+INDEX(D:D, ROW())=0, 0, INDEX(C:C, ROW())/(INDEX(C:C, ROW())+INDEX(D:D, ROW())))</f>
        <v>0.83362218370883878</v>
      </c>
      <c r="F729" s="1" t="s">
        <v>84</v>
      </c>
      <c r="G729" s="1" t="s">
        <v>20</v>
      </c>
      <c r="H729" s="1">
        <v>324356</v>
      </c>
      <c r="I729" s="1">
        <v>402792</v>
      </c>
      <c r="J729" s="7">
        <v>0.80500000000000005</v>
      </c>
      <c r="K729" s="1" t="s">
        <v>21</v>
      </c>
      <c r="L729" s="1" t="s">
        <v>21</v>
      </c>
      <c r="M729" s="1" t="s">
        <v>29</v>
      </c>
      <c r="N729" s="1" t="s">
        <v>22</v>
      </c>
    </row>
    <row r="730" spans="1:14" x14ac:dyDescent="0.25">
      <c r="A730" s="1">
        <v>729</v>
      </c>
      <c r="B730" s="2" t="str">
        <f>HYPERLINK("https://leetcode.com/problems/my-calendar-i/", "My Calendar I")</f>
        <v>My Calendar I</v>
      </c>
      <c r="C730" s="1">
        <v>4810</v>
      </c>
      <c r="D730" s="1">
        <v>138</v>
      </c>
      <c r="E730" s="3">
        <f>IF(INDEX(C:C, ROW())+INDEX(D:D, ROW())=0, 0, INDEX(C:C, ROW())/(INDEX(C:C, ROW())+INDEX(D:D, ROW())))</f>
        <v>0.97210994341147938</v>
      </c>
      <c r="F730" s="1" t="s">
        <v>269</v>
      </c>
      <c r="G730" s="1" t="s">
        <v>24</v>
      </c>
      <c r="H730" s="1">
        <v>453958</v>
      </c>
      <c r="I730" s="1">
        <v>779400</v>
      </c>
      <c r="J730" s="7">
        <v>0.58199999999999996</v>
      </c>
      <c r="K730" s="1" t="s">
        <v>21</v>
      </c>
      <c r="L730" s="1" t="s">
        <v>21</v>
      </c>
      <c r="M730" s="1" t="s">
        <v>29</v>
      </c>
      <c r="N730" s="1" t="s">
        <v>22</v>
      </c>
    </row>
    <row r="731" spans="1:14" x14ac:dyDescent="0.25">
      <c r="A731" s="1">
        <v>730</v>
      </c>
      <c r="B731" s="2" t="str">
        <f>HYPERLINK("https://leetcode.com/problems/count-different-palindromic-subsequences/", "Count Different Palindromic Subsequences")</f>
        <v>Count Different Palindromic Subsequences</v>
      </c>
      <c r="C731" s="1">
        <v>2000</v>
      </c>
      <c r="D731" s="1">
        <v>103</v>
      </c>
      <c r="E731" s="3">
        <f>IF(INDEX(C:C, ROW())+INDEX(D:D, ROW())=0, 0, INDEX(C:C, ROW())/(INDEX(C:C, ROW())+INDEX(D:D, ROW())))</f>
        <v>0.95102234902520211</v>
      </c>
      <c r="F731" s="1" t="s">
        <v>82</v>
      </c>
      <c r="G731" s="1" t="s">
        <v>28</v>
      </c>
      <c r="H731" s="1">
        <v>44709</v>
      </c>
      <c r="I731" s="1">
        <v>94119</v>
      </c>
      <c r="J731" s="7">
        <v>0.47499999999999998</v>
      </c>
      <c r="K731" s="1" t="s">
        <v>21</v>
      </c>
      <c r="L731" s="1" t="s">
        <v>21</v>
      </c>
      <c r="M731" s="1" t="s">
        <v>29</v>
      </c>
      <c r="N731" s="1" t="s">
        <v>22</v>
      </c>
    </row>
    <row r="732" spans="1:14" x14ac:dyDescent="0.25">
      <c r="A732" s="1">
        <v>731</v>
      </c>
      <c r="B732" s="2" t="str">
        <f>HYPERLINK("https://leetcode.com/problems/my-calendar-ii/", "My Calendar II")</f>
        <v>My Calendar II</v>
      </c>
      <c r="C732" s="1">
        <v>2264</v>
      </c>
      <c r="D732" s="1">
        <v>188</v>
      </c>
      <c r="E732" s="3">
        <f>IF(INDEX(C:C, ROW())+INDEX(D:D, ROW())=0, 0, INDEX(C:C, ROW())/(INDEX(C:C, ROW())+INDEX(D:D, ROW())))</f>
        <v>0.92332789559543227</v>
      </c>
      <c r="F732" s="1" t="s">
        <v>463</v>
      </c>
      <c r="G732" s="1" t="s">
        <v>24</v>
      </c>
      <c r="H732" s="1">
        <v>210985</v>
      </c>
      <c r="I732" s="1">
        <v>335397</v>
      </c>
      <c r="J732" s="7">
        <v>0.629</v>
      </c>
      <c r="K732" s="1" t="s">
        <v>21</v>
      </c>
      <c r="L732" s="1" t="s">
        <v>21</v>
      </c>
      <c r="M732" s="1" t="s">
        <v>29</v>
      </c>
      <c r="N732" s="1" t="s">
        <v>22</v>
      </c>
    </row>
    <row r="733" spans="1:14" x14ac:dyDescent="0.25">
      <c r="A733" s="1">
        <v>732</v>
      </c>
      <c r="B733" s="2" t="str">
        <f>HYPERLINK("https://leetcode.com/problems/my-calendar-iii/", "My Calendar III")</f>
        <v>My Calendar III</v>
      </c>
      <c r="C733" s="1">
        <v>2080</v>
      </c>
      <c r="D733" s="1">
        <v>275</v>
      </c>
      <c r="E733" s="3">
        <f>IF(INDEX(C:C, ROW())+INDEX(D:D, ROW())=0, 0, INDEX(C:C, ROW())/(INDEX(C:C, ROW())+INDEX(D:D, ROW())))</f>
        <v>0.88322717622080682</v>
      </c>
      <c r="F733" s="1" t="s">
        <v>490</v>
      </c>
      <c r="G733" s="1" t="s">
        <v>28</v>
      </c>
      <c r="H733" s="1">
        <v>109759</v>
      </c>
      <c r="I733" s="1">
        <v>153650</v>
      </c>
      <c r="J733" s="7">
        <v>0.71399999999999997</v>
      </c>
      <c r="K733" s="1" t="s">
        <v>21</v>
      </c>
      <c r="L733" s="1" t="s">
        <v>21</v>
      </c>
      <c r="M733" s="1" t="s">
        <v>29</v>
      </c>
      <c r="N733" s="1" t="s">
        <v>22</v>
      </c>
    </row>
    <row r="734" spans="1:14" x14ac:dyDescent="0.25">
      <c r="A734" s="1">
        <v>733</v>
      </c>
      <c r="B734" s="2" t="str">
        <f>HYPERLINK("https://leetcode.com/problems/flood-fill/", "Flood Fill")</f>
        <v>Flood Fill</v>
      </c>
      <c r="C734" s="1">
        <v>9393</v>
      </c>
      <c r="D734" s="1">
        <v>951</v>
      </c>
      <c r="E734" s="3">
        <f>IF(INDEX(C:C, ROW())+INDEX(D:D, ROW())=0, 0, INDEX(C:C, ROW())/(INDEX(C:C, ROW())+INDEX(D:D, ROW())))</f>
        <v>0.90806264501160094</v>
      </c>
      <c r="F734" s="1" t="s">
        <v>143</v>
      </c>
      <c r="G734" s="1" t="s">
        <v>20</v>
      </c>
      <c r="H734" s="1">
        <v>1352746</v>
      </c>
      <c r="I734" s="1">
        <v>1993861</v>
      </c>
      <c r="J734" s="7">
        <v>0.67800000000000005</v>
      </c>
      <c r="K734" s="1" t="s">
        <v>21</v>
      </c>
      <c r="L734" s="1" t="s">
        <v>21</v>
      </c>
      <c r="M734" s="1" t="s">
        <v>29</v>
      </c>
      <c r="N734" s="1" t="s">
        <v>22</v>
      </c>
    </row>
    <row r="735" spans="1:14" x14ac:dyDescent="0.25">
      <c r="A735" s="1">
        <v>734</v>
      </c>
      <c r="B735" s="2" t="str">
        <f>HYPERLINK("https://leetcode.com/problems/sentence-similarity/", "Sentence Similarity")</f>
        <v>Sentence Similarity</v>
      </c>
      <c r="C735" s="1">
        <v>67</v>
      </c>
      <c r="D735" s="1">
        <v>72</v>
      </c>
      <c r="E735" s="3">
        <f>IF(INDEX(C:C, ROW())+INDEX(D:D, ROW())=0, 0, INDEX(C:C, ROW())/(INDEX(C:C, ROW())+INDEX(D:D, ROW())))</f>
        <v>0.48201438848920863</v>
      </c>
      <c r="F735" s="1" t="s">
        <v>258</v>
      </c>
      <c r="G735" s="1" t="s">
        <v>20</v>
      </c>
      <c r="H735" s="1">
        <v>75152</v>
      </c>
      <c r="I735" s="1">
        <v>167777</v>
      </c>
      <c r="J735" s="7">
        <v>0.44800000000000001</v>
      </c>
      <c r="K735" s="1" t="s">
        <v>29</v>
      </c>
      <c r="L735" s="1" t="s">
        <v>21</v>
      </c>
      <c r="M735" s="1" t="s">
        <v>29</v>
      </c>
      <c r="N735" s="1" t="s">
        <v>22</v>
      </c>
    </row>
    <row r="736" spans="1:14" x14ac:dyDescent="0.25">
      <c r="A736" s="1">
        <v>735</v>
      </c>
      <c r="B736" s="2" t="str">
        <f>HYPERLINK("https://leetcode.com/problems/asteroid-collision/", "Asteroid Collision")</f>
        <v>Asteroid Collision</v>
      </c>
      <c r="C736" s="1">
        <v>9269</v>
      </c>
      <c r="D736" s="1">
        <v>1298</v>
      </c>
      <c r="E736" s="3">
        <f>IF(INDEX(C:C, ROW())+INDEX(D:D, ROW())=0, 0, INDEX(C:C, ROW())/(INDEX(C:C, ROW())+INDEX(D:D, ROW())))</f>
        <v>0.87716475820952022</v>
      </c>
      <c r="F736" s="1" t="s">
        <v>145</v>
      </c>
      <c r="G736" s="1" t="s">
        <v>24</v>
      </c>
      <c r="H736" s="1">
        <v>974462</v>
      </c>
      <c r="I736" s="1">
        <v>2067006</v>
      </c>
      <c r="J736" s="7">
        <v>0.47099999999999997</v>
      </c>
      <c r="K736" s="1" t="s">
        <v>21</v>
      </c>
      <c r="L736" s="1" t="s">
        <v>21</v>
      </c>
      <c r="M736" s="1" t="s">
        <v>29</v>
      </c>
      <c r="N736" s="1" t="s">
        <v>22</v>
      </c>
    </row>
    <row r="737" spans="1:14" x14ac:dyDescent="0.25">
      <c r="A737" s="1">
        <v>736</v>
      </c>
      <c r="B737" s="2" t="str">
        <f>HYPERLINK("https://leetcode.com/problems/parse-lisp-expression/", "Parse Lisp Expression")</f>
        <v>Parse Lisp Expression</v>
      </c>
      <c r="C737" s="1">
        <v>499</v>
      </c>
      <c r="D737" s="1">
        <v>368</v>
      </c>
      <c r="E737" s="3">
        <f>IF(INDEX(C:C, ROW())+INDEX(D:D, ROW())=0, 0, INDEX(C:C, ROW())/(INDEX(C:C, ROW())+INDEX(D:D, ROW())))</f>
        <v>0.57554786620530562</v>
      </c>
      <c r="F737" s="1" t="s">
        <v>922</v>
      </c>
      <c r="G737" s="1" t="s">
        <v>28</v>
      </c>
      <c r="H737" s="1">
        <v>27468</v>
      </c>
      <c r="I737" s="1">
        <v>51364</v>
      </c>
      <c r="J737" s="7">
        <v>0.53500000000000003</v>
      </c>
      <c r="K737" s="1" t="s">
        <v>21</v>
      </c>
      <c r="L737" s="1" t="s">
        <v>21</v>
      </c>
      <c r="M737" s="1" t="s">
        <v>29</v>
      </c>
      <c r="N737" s="1" t="s">
        <v>22</v>
      </c>
    </row>
    <row r="738" spans="1:14" x14ac:dyDescent="0.25">
      <c r="A738" s="1">
        <v>737</v>
      </c>
      <c r="B738" s="2" t="str">
        <f>HYPERLINK("https://leetcode.com/problems/sentence-similarity-ii/", "Sentence Similarity II")</f>
        <v>Sentence Similarity II</v>
      </c>
      <c r="C738" s="1">
        <v>854</v>
      </c>
      <c r="D738" s="1">
        <v>43</v>
      </c>
      <c r="E738" s="3">
        <f>IF(INDEX(C:C, ROW())+INDEX(D:D, ROW())=0, 0, INDEX(C:C, ROW())/(INDEX(C:C, ROW())+INDEX(D:D, ROW())))</f>
        <v>0.95206243032329985</v>
      </c>
      <c r="F738" s="1" t="s">
        <v>433</v>
      </c>
      <c r="G738" s="1" t="s">
        <v>24</v>
      </c>
      <c r="H738" s="1">
        <v>78519</v>
      </c>
      <c r="I738" s="1">
        <v>153542</v>
      </c>
      <c r="J738" s="7">
        <v>0.51100000000000001</v>
      </c>
      <c r="K738" s="1" t="s">
        <v>29</v>
      </c>
      <c r="L738" s="1" t="s">
        <v>21</v>
      </c>
      <c r="M738" s="1" t="s">
        <v>29</v>
      </c>
      <c r="N738" s="1" t="s">
        <v>22</v>
      </c>
    </row>
    <row r="739" spans="1:14" x14ac:dyDescent="0.25">
      <c r="A739" s="1">
        <v>738</v>
      </c>
      <c r="B739" s="2" t="str">
        <f>HYPERLINK("https://leetcode.com/problems/monotone-increasing-digits/", "Monotone Increasing Digits")</f>
        <v>Monotone Increasing Digits</v>
      </c>
      <c r="C739" s="1">
        <v>1404</v>
      </c>
      <c r="D739" s="1">
        <v>115</v>
      </c>
      <c r="E739" s="3">
        <f>IF(INDEX(C:C, ROW())+INDEX(D:D, ROW())=0, 0, INDEX(C:C, ROW())/(INDEX(C:C, ROW())+INDEX(D:D, ROW())))</f>
        <v>0.92429229756418696</v>
      </c>
      <c r="F739" s="1" t="s">
        <v>296</v>
      </c>
      <c r="G739" s="1" t="s">
        <v>24</v>
      </c>
      <c r="H739" s="1">
        <v>67793</v>
      </c>
      <c r="I739" s="1">
        <v>137252</v>
      </c>
      <c r="J739" s="7">
        <v>0.49399999999999999</v>
      </c>
      <c r="K739" s="1" t="s">
        <v>21</v>
      </c>
      <c r="L739" s="1" t="s">
        <v>21</v>
      </c>
      <c r="M739" s="1" t="s">
        <v>29</v>
      </c>
      <c r="N739" s="1" t="s">
        <v>22</v>
      </c>
    </row>
    <row r="740" spans="1:14" x14ac:dyDescent="0.25">
      <c r="A740" s="1">
        <v>739</v>
      </c>
      <c r="B740" s="2" t="str">
        <f>HYPERLINK("https://leetcode.com/problems/daily-temperatures/", "Daily Temperatures")</f>
        <v>Daily Temperatures</v>
      </c>
      <c r="C740" s="1">
        <v>14559</v>
      </c>
      <c r="D740" s="1">
        <v>372</v>
      </c>
      <c r="E740" s="3">
        <f>IF(INDEX(C:C, ROW())+INDEX(D:D, ROW())=0, 0, INDEX(C:C, ROW())/(INDEX(C:C, ROW())+INDEX(D:D, ROW())))</f>
        <v>0.97508539280691175</v>
      </c>
      <c r="F740" s="1" t="s">
        <v>61</v>
      </c>
      <c r="G740" s="1" t="s">
        <v>24</v>
      </c>
      <c r="H740" s="1">
        <v>1623561</v>
      </c>
      <c r="I740" s="1">
        <v>2376021</v>
      </c>
      <c r="J740" s="7">
        <v>0.68300000000000005</v>
      </c>
      <c r="K740" s="1" t="s">
        <v>21</v>
      </c>
      <c r="L740" s="1" t="s">
        <v>21</v>
      </c>
      <c r="M740" s="1" t="s">
        <v>29</v>
      </c>
      <c r="N740" s="1" t="s">
        <v>22</v>
      </c>
    </row>
    <row r="741" spans="1:14" x14ac:dyDescent="0.25">
      <c r="A741" s="1">
        <v>740</v>
      </c>
      <c r="B741" s="2" t="str">
        <f>HYPERLINK("https://leetcode.com/problems/delete-and-earn/", "Delete and Earn")</f>
        <v>Delete and Earn</v>
      </c>
      <c r="C741" s="1">
        <v>7936</v>
      </c>
      <c r="D741" s="1">
        <v>404</v>
      </c>
      <c r="E741" s="3">
        <f>IF(INDEX(C:C, ROW())+INDEX(D:D, ROW())=0, 0, INDEX(C:C, ROW())/(INDEX(C:C, ROW())+INDEX(D:D, ROW())))</f>
        <v>0.95155875299760195</v>
      </c>
      <c r="F741" s="1" t="s">
        <v>174</v>
      </c>
      <c r="G741" s="1" t="s">
        <v>24</v>
      </c>
      <c r="H741" s="1">
        <v>439965</v>
      </c>
      <c r="I741" s="1">
        <v>770875</v>
      </c>
      <c r="J741" s="7">
        <v>0.57099999999999995</v>
      </c>
      <c r="K741" s="1" t="s">
        <v>21</v>
      </c>
      <c r="L741" s="1" t="s">
        <v>21</v>
      </c>
      <c r="M741" s="1" t="s">
        <v>29</v>
      </c>
      <c r="N741" s="1" t="s">
        <v>22</v>
      </c>
    </row>
    <row r="742" spans="1:14" x14ac:dyDescent="0.25">
      <c r="A742" s="1">
        <v>741</v>
      </c>
      <c r="B742" s="2" t="str">
        <f>HYPERLINK("https://leetcode.com/problems/cherry-pickup/", "Cherry Pickup")</f>
        <v>Cherry Pickup</v>
      </c>
      <c r="C742" s="1">
        <v>4641</v>
      </c>
      <c r="D742" s="1">
        <v>170</v>
      </c>
      <c r="E742" s="3">
        <f>IF(INDEX(C:C, ROW())+INDEX(D:D, ROW())=0, 0, INDEX(C:C, ROW())/(INDEX(C:C, ROW())+INDEX(D:D, ROW())))</f>
        <v>0.96466431095406358</v>
      </c>
      <c r="F742" s="1" t="s">
        <v>94</v>
      </c>
      <c r="G742" s="1" t="s">
        <v>28</v>
      </c>
      <c r="H742" s="1">
        <v>109052</v>
      </c>
      <c r="I742" s="1">
        <v>279063</v>
      </c>
      <c r="J742" s="7">
        <v>0.39100000000000001</v>
      </c>
      <c r="K742" s="1" t="s">
        <v>21</v>
      </c>
      <c r="L742" s="1" t="s">
        <v>21</v>
      </c>
      <c r="M742" s="1" t="s">
        <v>29</v>
      </c>
      <c r="N742" s="1" t="s">
        <v>22</v>
      </c>
    </row>
    <row r="743" spans="1:14" x14ac:dyDescent="0.25">
      <c r="A743" s="1">
        <v>742</v>
      </c>
      <c r="B743" s="2" t="str">
        <f>HYPERLINK("https://leetcode.com/problems/closest-leaf-in-a-binary-tree/", "Closest Leaf in a Binary Tree")</f>
        <v>Closest Leaf in a Binary Tree</v>
      </c>
      <c r="C743" s="1">
        <v>887</v>
      </c>
      <c r="D743" s="1">
        <v>189</v>
      </c>
      <c r="E743" s="3">
        <f>IF(INDEX(C:C, ROW())+INDEX(D:D, ROW())=0, 0, INDEX(C:C, ROW())/(INDEX(C:C, ROW())+INDEX(D:D, ROW())))</f>
        <v>0.82434944237918217</v>
      </c>
      <c r="F743" s="1" t="s">
        <v>80</v>
      </c>
      <c r="G743" s="1" t="s">
        <v>24</v>
      </c>
      <c r="H743" s="1">
        <v>55514</v>
      </c>
      <c r="I743" s="1">
        <v>117096</v>
      </c>
      <c r="J743" s="7">
        <v>0.47399999999999998</v>
      </c>
      <c r="K743" s="1" t="s">
        <v>29</v>
      </c>
      <c r="L743" s="1" t="s">
        <v>21</v>
      </c>
      <c r="M743" s="1" t="s">
        <v>29</v>
      </c>
      <c r="N743" s="1" t="s">
        <v>22</v>
      </c>
    </row>
    <row r="744" spans="1:14" x14ac:dyDescent="0.25">
      <c r="A744" s="1">
        <v>743</v>
      </c>
      <c r="B744" s="2" t="str">
        <f>HYPERLINK("https://leetcode.com/problems/network-delay-time/", "Network Delay Time")</f>
        <v>Network Delay Time</v>
      </c>
      <c r="C744" s="1">
        <v>8337</v>
      </c>
      <c r="D744" s="1">
        <v>391</v>
      </c>
      <c r="E744" s="3">
        <f>IF(INDEX(C:C, ROW())+INDEX(D:D, ROW())=0, 0, INDEX(C:C, ROW())/(INDEX(C:C, ROW())+INDEX(D:D, ROW())))</f>
        <v>0.95520164986251144</v>
      </c>
      <c r="F744" s="1" t="s">
        <v>166</v>
      </c>
      <c r="G744" s="1" t="s">
        <v>24</v>
      </c>
      <c r="H744" s="1">
        <v>833961</v>
      </c>
      <c r="I744" s="1">
        <v>1396601</v>
      </c>
      <c r="J744" s="7">
        <v>0.59699999999999998</v>
      </c>
      <c r="K744" s="1" t="s">
        <v>21</v>
      </c>
      <c r="L744" s="1" t="s">
        <v>21</v>
      </c>
      <c r="M744" s="1" t="s">
        <v>29</v>
      </c>
      <c r="N744" s="1" t="s">
        <v>22</v>
      </c>
    </row>
    <row r="745" spans="1:14" x14ac:dyDescent="0.25">
      <c r="A745" s="1">
        <v>744</v>
      </c>
      <c r="B745" s="2" t="str">
        <f>HYPERLINK("https://leetcode.com/problems/find-smallest-letter-greater-than-target/", "Find Smallest Letter Greater Than Target")</f>
        <v>Find Smallest Letter Greater Than Target</v>
      </c>
      <c r="C745" s="1">
        <v>5124</v>
      </c>
      <c r="D745" s="1">
        <v>2226</v>
      </c>
      <c r="E745" s="3">
        <f>IF(INDEX(C:C, ROW())+INDEX(D:D, ROW())=0, 0, INDEX(C:C, ROW())/(INDEX(C:C, ROW())+INDEX(D:D, ROW())))</f>
        <v>0.69714285714285718</v>
      </c>
      <c r="F745" s="1" t="s">
        <v>35</v>
      </c>
      <c r="G745" s="1" t="s">
        <v>20</v>
      </c>
      <c r="H745" s="1">
        <v>821490</v>
      </c>
      <c r="I745" s="1">
        <v>1394998</v>
      </c>
      <c r="J745" s="7">
        <v>0.58899999999999997</v>
      </c>
      <c r="K745" s="1" t="s">
        <v>21</v>
      </c>
      <c r="L745" s="1" t="s">
        <v>21</v>
      </c>
      <c r="M745" s="1" t="s">
        <v>29</v>
      </c>
      <c r="N745" s="1" t="s">
        <v>22</v>
      </c>
    </row>
    <row r="746" spans="1:14" x14ac:dyDescent="0.25">
      <c r="A746" s="1">
        <v>745</v>
      </c>
      <c r="B746" s="2" t="str">
        <f>HYPERLINK("https://leetcode.com/problems/prefix-and-suffix-search/", "Prefix and Suffix Search")</f>
        <v>Prefix and Suffix Search</v>
      </c>
      <c r="C746" s="1">
        <v>2345</v>
      </c>
      <c r="D746" s="1">
        <v>499</v>
      </c>
      <c r="E746" s="3">
        <f>IF(INDEX(C:C, ROW())+INDEX(D:D, ROW())=0, 0, INDEX(C:C, ROW())/(INDEX(C:C, ROW())+INDEX(D:D, ROW())))</f>
        <v>0.82454289732770747</v>
      </c>
      <c r="F746" s="1" t="s">
        <v>448</v>
      </c>
      <c r="G746" s="1" t="s">
        <v>28</v>
      </c>
      <c r="H746" s="1">
        <v>109582</v>
      </c>
      <c r="I746" s="1">
        <v>268850</v>
      </c>
      <c r="J746" s="7">
        <v>0.40799999999999997</v>
      </c>
      <c r="K746" s="1" t="s">
        <v>21</v>
      </c>
      <c r="L746" s="1" t="s">
        <v>21</v>
      </c>
      <c r="M746" s="1" t="s">
        <v>29</v>
      </c>
      <c r="N746" s="1" t="s">
        <v>22</v>
      </c>
    </row>
    <row r="747" spans="1:14" x14ac:dyDescent="0.25">
      <c r="A747" s="1">
        <v>746</v>
      </c>
      <c r="B747" s="2" t="str">
        <f>HYPERLINK("https://leetcode.com/problems/min-cost-climbing-stairs/", "Min Cost Climbing Stairs")</f>
        <v>Min Cost Climbing Stairs</v>
      </c>
      <c r="C747" s="1">
        <v>12312</v>
      </c>
      <c r="D747" s="1">
        <v>1888</v>
      </c>
      <c r="E747" s="3">
        <f>IF(INDEX(C:C, ROW())+INDEX(D:D, ROW())=0, 0, INDEX(C:C, ROW())/(INDEX(C:C, ROW())+INDEX(D:D, ROW())))</f>
        <v>0.86704225352112674</v>
      </c>
      <c r="F747" s="1" t="s">
        <v>30</v>
      </c>
      <c r="G747" s="1" t="s">
        <v>20</v>
      </c>
      <c r="H747" s="1">
        <v>1700531</v>
      </c>
      <c r="I747" s="1">
        <v>2499925</v>
      </c>
      <c r="J747" s="7">
        <v>0.68</v>
      </c>
      <c r="K747" s="1" t="s">
        <v>21</v>
      </c>
      <c r="L747" s="1" t="s">
        <v>21</v>
      </c>
      <c r="M747" s="1" t="s">
        <v>29</v>
      </c>
      <c r="N747" s="1" t="s">
        <v>22</v>
      </c>
    </row>
    <row r="748" spans="1:14" x14ac:dyDescent="0.25">
      <c r="A748" s="1">
        <v>747</v>
      </c>
      <c r="B748" s="2" t="str">
        <f>HYPERLINK("https://leetcode.com/problems/largest-number-at-least-twice-of-others/", "Largest Number At Least Twice of Others")</f>
        <v>Largest Number At Least Twice of Others</v>
      </c>
      <c r="C748" s="1">
        <v>1369</v>
      </c>
      <c r="D748" s="1">
        <v>953</v>
      </c>
      <c r="E748" s="3">
        <f>IF(INDEX(C:C, ROW())+INDEX(D:D, ROW())=0, 0, INDEX(C:C, ROW())/(INDEX(C:C, ROW())+INDEX(D:D, ROW())))</f>
        <v>0.58957795004306635</v>
      </c>
      <c r="F748" s="1" t="s">
        <v>42</v>
      </c>
      <c r="G748" s="1" t="s">
        <v>20</v>
      </c>
      <c r="H748" s="1">
        <v>332052</v>
      </c>
      <c r="I748" s="1">
        <v>637636</v>
      </c>
      <c r="J748" s="7">
        <v>0.52100000000000002</v>
      </c>
      <c r="K748" s="1" t="s">
        <v>21</v>
      </c>
      <c r="L748" s="1" t="s">
        <v>21</v>
      </c>
      <c r="M748" s="1" t="s">
        <v>29</v>
      </c>
      <c r="N748" s="1" t="s">
        <v>22</v>
      </c>
    </row>
    <row r="749" spans="1:14" x14ac:dyDescent="0.25">
      <c r="A749" s="1">
        <v>748</v>
      </c>
      <c r="B749" s="2" t="str">
        <f>HYPERLINK("https://leetcode.com/problems/shortest-completing-word/", "Shortest Completing Word")</f>
        <v>Shortest Completing Word</v>
      </c>
      <c r="C749" s="1">
        <v>629</v>
      </c>
      <c r="D749" s="1">
        <v>1130</v>
      </c>
      <c r="E749" s="3">
        <f>IF(INDEX(C:C, ROW())+INDEX(D:D, ROW())=0, 0, INDEX(C:C, ROW())/(INDEX(C:C, ROW())+INDEX(D:D, ROW())))</f>
        <v>0.35758953951108585</v>
      </c>
      <c r="F749" s="1" t="s">
        <v>258</v>
      </c>
      <c r="G749" s="1" t="s">
        <v>20</v>
      </c>
      <c r="H749" s="1">
        <v>106952</v>
      </c>
      <c r="I749" s="1">
        <v>170409</v>
      </c>
      <c r="J749" s="7">
        <v>0.628</v>
      </c>
      <c r="K749" s="1" t="s">
        <v>21</v>
      </c>
      <c r="L749" s="1" t="s">
        <v>21</v>
      </c>
      <c r="M749" s="1" t="s">
        <v>29</v>
      </c>
      <c r="N749" s="1" t="s">
        <v>22</v>
      </c>
    </row>
    <row r="750" spans="1:14" x14ac:dyDescent="0.25">
      <c r="A750" s="1">
        <v>749</v>
      </c>
      <c r="B750" s="2" t="str">
        <f>HYPERLINK("https://leetcode.com/problems/contain-virus/", "Contain Virus")</f>
        <v>Contain Virus</v>
      </c>
      <c r="C750" s="1">
        <v>441</v>
      </c>
      <c r="D750" s="1">
        <v>466</v>
      </c>
      <c r="E750" s="3">
        <f>IF(INDEX(C:C, ROW())+INDEX(D:D, ROW())=0, 0, INDEX(C:C, ROW())/(INDEX(C:C, ROW())+INDEX(D:D, ROW())))</f>
        <v>0.48621830209481809</v>
      </c>
      <c r="F750" s="1" t="s">
        <v>903</v>
      </c>
      <c r="G750" s="1" t="s">
        <v>28</v>
      </c>
      <c r="H750" s="1">
        <v>18069</v>
      </c>
      <c r="I750" s="1">
        <v>33257</v>
      </c>
      <c r="J750" s="7">
        <v>0.54300000000000004</v>
      </c>
      <c r="K750" s="1" t="s">
        <v>21</v>
      </c>
      <c r="L750" s="1" t="s">
        <v>21</v>
      </c>
      <c r="M750" s="1" t="s">
        <v>29</v>
      </c>
      <c r="N750" s="1" t="s">
        <v>22</v>
      </c>
    </row>
    <row r="751" spans="1:14" x14ac:dyDescent="0.25">
      <c r="A751" s="1">
        <v>750</v>
      </c>
      <c r="B751" s="2" t="str">
        <f>HYPERLINK("https://leetcode.com/problems/number-of-corner-rectangles/", "Number Of Corner Rectangles")</f>
        <v>Number Of Corner Rectangles</v>
      </c>
      <c r="C751" s="1">
        <v>633</v>
      </c>
      <c r="D751" s="1">
        <v>92</v>
      </c>
      <c r="E751" s="3">
        <f>IF(INDEX(C:C, ROW())+INDEX(D:D, ROW())=0, 0, INDEX(C:C, ROW())/(INDEX(C:C, ROW())+INDEX(D:D, ROW())))</f>
        <v>0.87310344827586206</v>
      </c>
      <c r="F751" s="1" t="s">
        <v>829</v>
      </c>
      <c r="G751" s="1" t="s">
        <v>24</v>
      </c>
      <c r="H751" s="1">
        <v>40257</v>
      </c>
      <c r="I751" s="1">
        <v>59304</v>
      </c>
      <c r="J751" s="7">
        <v>0.67900000000000005</v>
      </c>
      <c r="K751" s="1" t="s">
        <v>29</v>
      </c>
      <c r="L751" s="1" t="s">
        <v>21</v>
      </c>
      <c r="M751" s="1" t="s">
        <v>29</v>
      </c>
      <c r="N751" s="1" t="s">
        <v>22</v>
      </c>
    </row>
    <row r="752" spans="1:14" x14ac:dyDescent="0.25">
      <c r="A752" s="1">
        <v>751</v>
      </c>
      <c r="B752" s="2" t="str">
        <f>HYPERLINK("https://leetcode.com/problems/ip-to-cidr/", "IP to CIDR")</f>
        <v>IP to CIDR</v>
      </c>
      <c r="C752" s="1">
        <v>113</v>
      </c>
      <c r="D752" s="1">
        <v>363</v>
      </c>
      <c r="E752" s="3">
        <f>IF(INDEX(C:C, ROW())+INDEX(D:D, ROW())=0, 0, INDEX(C:C, ROW())/(INDEX(C:C, ROW())+INDEX(D:D, ROW())))</f>
        <v>0.23739495798319327</v>
      </c>
      <c r="F752" s="1" t="s">
        <v>1059</v>
      </c>
      <c r="G752" s="1" t="s">
        <v>24</v>
      </c>
      <c r="H752" s="1">
        <v>38085</v>
      </c>
      <c r="I752" s="1">
        <v>71001</v>
      </c>
      <c r="J752" s="7">
        <v>0.53600000000000003</v>
      </c>
      <c r="K752" s="1" t="s">
        <v>29</v>
      </c>
      <c r="L752" s="1" t="s">
        <v>29</v>
      </c>
      <c r="M752" s="1" t="s">
        <v>29</v>
      </c>
      <c r="N752" s="1" t="s">
        <v>22</v>
      </c>
    </row>
    <row r="753" spans="1:14" x14ac:dyDescent="0.25">
      <c r="A753" s="1">
        <v>752</v>
      </c>
      <c r="B753" s="2" t="str">
        <f>HYPERLINK("https://leetcode.com/problems/open-the-lock/", "Open the Lock")</f>
        <v>Open the Lock</v>
      </c>
      <c r="C753" s="1">
        <v>5108</v>
      </c>
      <c r="D753" s="1">
        <v>235</v>
      </c>
      <c r="E753" s="3">
        <f>IF(INDEX(C:C, ROW())+INDEX(D:D, ROW())=0, 0, INDEX(C:C, ROW())/(INDEX(C:C, ROW())+INDEX(D:D, ROW())))</f>
        <v>0.95601721879094137</v>
      </c>
      <c r="F753" s="1" t="s">
        <v>257</v>
      </c>
      <c r="G753" s="1" t="s">
        <v>24</v>
      </c>
      <c r="H753" s="1">
        <v>396421</v>
      </c>
      <c r="I753" s="1">
        <v>648331</v>
      </c>
      <c r="J753" s="7">
        <v>0.61099999999999999</v>
      </c>
      <c r="K753" s="1" t="s">
        <v>21</v>
      </c>
      <c r="L753" s="1" t="s">
        <v>21</v>
      </c>
      <c r="M753" s="1" t="s">
        <v>29</v>
      </c>
      <c r="N753" s="1" t="s">
        <v>22</v>
      </c>
    </row>
    <row r="754" spans="1:14" x14ac:dyDescent="0.25">
      <c r="A754" s="1">
        <v>753</v>
      </c>
      <c r="B754" s="2" t="str">
        <f>HYPERLINK("https://leetcode.com/problems/cracking-the-safe/", "Cracking the Safe")</f>
        <v>Cracking the Safe</v>
      </c>
      <c r="C754" s="1">
        <v>661</v>
      </c>
      <c r="D754" s="1">
        <v>129</v>
      </c>
      <c r="E754" s="3">
        <f>IF(INDEX(C:C, ROW())+INDEX(D:D, ROW())=0, 0, INDEX(C:C, ROW())/(INDEX(C:C, ROW())+INDEX(D:D, ROW())))</f>
        <v>0.83670886075949369</v>
      </c>
      <c r="F754" s="1" t="s">
        <v>818</v>
      </c>
      <c r="G754" s="1" t="s">
        <v>28</v>
      </c>
      <c r="H754" s="1">
        <v>70430</v>
      </c>
      <c r="I754" s="1">
        <v>120659</v>
      </c>
      <c r="J754" s="7">
        <v>0.58399999999999996</v>
      </c>
      <c r="K754" s="1" t="s">
        <v>21</v>
      </c>
      <c r="L754" s="1" t="s">
        <v>21</v>
      </c>
      <c r="M754" s="1" t="s">
        <v>29</v>
      </c>
      <c r="N754" s="1" t="s">
        <v>22</v>
      </c>
    </row>
    <row r="755" spans="1:14" x14ac:dyDescent="0.25">
      <c r="A755" s="1">
        <v>754</v>
      </c>
      <c r="B755" s="2" t="str">
        <f>HYPERLINK("https://leetcode.com/problems/reach-a-number/", "Reach a Number")</f>
        <v>Reach a Number</v>
      </c>
      <c r="C755" s="1">
        <v>1936</v>
      </c>
      <c r="D755" s="1">
        <v>842</v>
      </c>
      <c r="E755" s="3">
        <f>IF(INDEX(C:C, ROW())+INDEX(D:D, ROW())=0, 0, INDEX(C:C, ROW())/(INDEX(C:C, ROW())+INDEX(D:D, ROW())))</f>
        <v>0.69690424766018721</v>
      </c>
      <c r="F755" s="1" t="s">
        <v>139</v>
      </c>
      <c r="G755" s="1" t="s">
        <v>24</v>
      </c>
      <c r="H755" s="1">
        <v>70087</v>
      </c>
      <c r="I755" s="1">
        <v>157041</v>
      </c>
      <c r="J755" s="7">
        <v>0.44600000000000001</v>
      </c>
      <c r="K755" s="1" t="s">
        <v>21</v>
      </c>
      <c r="L755" s="1" t="s">
        <v>21</v>
      </c>
      <c r="M755" s="1" t="s">
        <v>29</v>
      </c>
      <c r="N755" s="1" t="s">
        <v>22</v>
      </c>
    </row>
    <row r="756" spans="1:14" x14ac:dyDescent="0.25">
      <c r="A756" s="1">
        <v>755</v>
      </c>
      <c r="B756" s="2" t="str">
        <f>HYPERLINK("https://leetcode.com/problems/pour-water/", "Pour Water")</f>
        <v>Pour Water</v>
      </c>
      <c r="C756" s="1">
        <v>314</v>
      </c>
      <c r="D756" s="1">
        <v>813</v>
      </c>
      <c r="E756" s="3">
        <f>IF(INDEX(C:C, ROW())+INDEX(D:D, ROW())=0, 0, INDEX(C:C, ROW())/(INDEX(C:C, ROW())+INDEX(D:D, ROW())))</f>
        <v>0.27861579414374443</v>
      </c>
      <c r="F756" s="1" t="s">
        <v>306</v>
      </c>
      <c r="G756" s="1" t="s">
        <v>24</v>
      </c>
      <c r="H756" s="1">
        <v>45348</v>
      </c>
      <c r="I756" s="1">
        <v>93553</v>
      </c>
      <c r="J756" s="7">
        <v>0.48499999999999999</v>
      </c>
      <c r="K756" s="1" t="s">
        <v>29</v>
      </c>
      <c r="L756" s="1" t="s">
        <v>21</v>
      </c>
      <c r="M756" s="1" t="s">
        <v>29</v>
      </c>
      <c r="N756" s="1" t="s">
        <v>22</v>
      </c>
    </row>
    <row r="757" spans="1:14" x14ac:dyDescent="0.25">
      <c r="A757" s="1">
        <v>756</v>
      </c>
      <c r="B757" s="2" t="str">
        <f>HYPERLINK("https://leetcode.com/problems/pyramid-transition-matrix/", "Pyramid Transition Matrix")</f>
        <v>Pyramid Transition Matrix</v>
      </c>
      <c r="C757" s="1">
        <v>959</v>
      </c>
      <c r="D757" s="1">
        <v>551</v>
      </c>
      <c r="E757" s="3">
        <f>IF(INDEX(C:C, ROW())+INDEX(D:D, ROW())=0, 0, INDEX(C:C, ROW())/(INDEX(C:C, ROW())+INDEX(D:D, ROW())))</f>
        <v>0.63509933774834437</v>
      </c>
      <c r="F757" s="1" t="s">
        <v>722</v>
      </c>
      <c r="G757" s="1" t="s">
        <v>24</v>
      </c>
      <c r="H757" s="1">
        <v>106397</v>
      </c>
      <c r="I757" s="1">
        <v>175537</v>
      </c>
      <c r="J757" s="7">
        <v>0.60599999999999998</v>
      </c>
      <c r="K757" s="1" t="s">
        <v>21</v>
      </c>
      <c r="L757" s="1" t="s">
        <v>21</v>
      </c>
      <c r="M757" s="1" t="s">
        <v>29</v>
      </c>
      <c r="N757" s="1" t="s">
        <v>22</v>
      </c>
    </row>
    <row r="758" spans="1:14" x14ac:dyDescent="0.25">
      <c r="A758" s="1">
        <v>757</v>
      </c>
      <c r="B758" s="2" t="str">
        <f>HYPERLINK("https://leetcode.com/problems/set-intersection-size-at-least-two/", "Set Intersection Size At Least Two")</f>
        <v>Set Intersection Size At Least Two</v>
      </c>
      <c r="C758" s="1">
        <v>1120</v>
      </c>
      <c r="D758" s="1">
        <v>110</v>
      </c>
      <c r="E758" s="3">
        <f>IF(INDEX(C:C, ROW())+INDEX(D:D, ROW())=0, 0, INDEX(C:C, ROW())/(INDEX(C:C, ROW())+INDEX(D:D, ROW())))</f>
        <v>0.91056910569105687</v>
      </c>
      <c r="F758" s="1" t="s">
        <v>169</v>
      </c>
      <c r="G758" s="1" t="s">
        <v>28</v>
      </c>
      <c r="H758" s="1">
        <v>95702</v>
      </c>
      <c r="I758" s="1">
        <v>165241</v>
      </c>
      <c r="J758" s="7">
        <v>0.57899999999999996</v>
      </c>
      <c r="K758" s="1" t="s">
        <v>21</v>
      </c>
      <c r="L758" s="1" t="s">
        <v>21</v>
      </c>
      <c r="M758" s="1" t="s">
        <v>29</v>
      </c>
      <c r="N758" s="1" t="s">
        <v>22</v>
      </c>
    </row>
    <row r="759" spans="1:14" x14ac:dyDescent="0.25">
      <c r="A759" s="1">
        <v>758</v>
      </c>
      <c r="B759" s="2" t="str">
        <f>HYPERLINK("https://leetcode.com/problems/bold-words-in-string/", "Bold Words in String")</f>
        <v>Bold Words in String</v>
      </c>
      <c r="C759" s="1">
        <v>282</v>
      </c>
      <c r="D759" s="1">
        <v>124</v>
      </c>
      <c r="E759" s="3">
        <f>IF(INDEX(C:C, ROW())+INDEX(D:D, ROW())=0, 0, INDEX(C:C, ROW())/(INDEX(C:C, ROW())+INDEX(D:D, ROW())))</f>
        <v>0.69458128078817738</v>
      </c>
      <c r="F759" s="1" t="s">
        <v>682</v>
      </c>
      <c r="G759" s="1" t="s">
        <v>24</v>
      </c>
      <c r="H759" s="1">
        <v>20750</v>
      </c>
      <c r="I759" s="1">
        <v>39524</v>
      </c>
      <c r="J759" s="7">
        <v>0.52500000000000002</v>
      </c>
      <c r="K759" s="1" t="s">
        <v>29</v>
      </c>
      <c r="L759" s="1" t="s">
        <v>21</v>
      </c>
      <c r="M759" s="1" t="s">
        <v>29</v>
      </c>
      <c r="N759" s="1" t="s">
        <v>22</v>
      </c>
    </row>
    <row r="760" spans="1:14" x14ac:dyDescent="0.25">
      <c r="A760" s="1">
        <v>759</v>
      </c>
      <c r="B760" s="2" t="str">
        <f>HYPERLINK("https://leetcode.com/problems/employee-free-time/", "Employee Free Time")</f>
        <v>Employee Free Time</v>
      </c>
      <c r="C760" s="1">
        <v>1952</v>
      </c>
      <c r="D760" s="1">
        <v>146</v>
      </c>
      <c r="E760" s="3">
        <f>IF(INDEX(C:C, ROW())+INDEX(D:D, ROW())=0, 0, INDEX(C:C, ROW())/(INDEX(C:C, ROW())+INDEX(D:D, ROW())))</f>
        <v>0.93040991420400376</v>
      </c>
      <c r="F760" s="1" t="s">
        <v>511</v>
      </c>
      <c r="G760" s="1" t="s">
        <v>28</v>
      </c>
      <c r="H760" s="1">
        <v>176117</v>
      </c>
      <c r="I760" s="1">
        <v>242050</v>
      </c>
      <c r="J760" s="7">
        <v>0.72799999999999998</v>
      </c>
      <c r="K760" s="1" t="s">
        <v>29</v>
      </c>
      <c r="L760" s="1" t="s">
        <v>21</v>
      </c>
      <c r="M760" s="1" t="s">
        <v>29</v>
      </c>
      <c r="N760" s="1" t="s">
        <v>22</v>
      </c>
    </row>
    <row r="761" spans="1:14" x14ac:dyDescent="0.25">
      <c r="A761" s="1">
        <v>760</v>
      </c>
      <c r="B761" s="2" t="str">
        <f>HYPERLINK("https://leetcode.com/problems/find-anagram-mappings/", "Find Anagram Mappings")</f>
        <v>Find Anagram Mappings</v>
      </c>
      <c r="C761" s="1">
        <v>623</v>
      </c>
      <c r="D761" s="1">
        <v>234</v>
      </c>
      <c r="E761" s="3">
        <f>IF(INDEX(C:C, ROW())+INDEX(D:D, ROW())=0, 0, INDEX(C:C, ROW())/(INDEX(C:C, ROW())+INDEX(D:D, ROW())))</f>
        <v>0.72695449241540255</v>
      </c>
      <c r="F761" s="1" t="s">
        <v>19</v>
      </c>
      <c r="G761" s="1" t="s">
        <v>20</v>
      </c>
      <c r="H761" s="1">
        <v>111680</v>
      </c>
      <c r="I761" s="1">
        <v>132987</v>
      </c>
      <c r="J761" s="7">
        <v>0.84</v>
      </c>
      <c r="K761" s="1" t="s">
        <v>29</v>
      </c>
      <c r="L761" s="1" t="s">
        <v>21</v>
      </c>
      <c r="M761" s="1" t="s">
        <v>21</v>
      </c>
      <c r="N761" s="1" t="s">
        <v>22</v>
      </c>
    </row>
    <row r="762" spans="1:14" x14ac:dyDescent="0.25">
      <c r="A762" s="1">
        <v>761</v>
      </c>
      <c r="B762" s="2" t="str">
        <f>HYPERLINK("https://leetcode.com/problems/special-binary-string/", "Special Binary String")</f>
        <v>Special Binary String</v>
      </c>
      <c r="C762" s="1">
        <v>1141</v>
      </c>
      <c r="D762" s="1">
        <v>297</v>
      </c>
      <c r="E762" s="3">
        <f>IF(INDEX(C:C, ROW())+INDEX(D:D, ROW())=0, 0, INDEX(C:C, ROW())/(INDEX(C:C, ROW())+INDEX(D:D, ROW())))</f>
        <v>0.79346314325452016</v>
      </c>
      <c r="F762" s="1" t="s">
        <v>673</v>
      </c>
      <c r="G762" s="1" t="s">
        <v>28</v>
      </c>
      <c r="H762" s="1">
        <v>93154</v>
      </c>
      <c r="I762" s="1">
        <v>117503</v>
      </c>
      <c r="J762" s="7">
        <v>0.79300000000000004</v>
      </c>
      <c r="K762" s="1" t="s">
        <v>21</v>
      </c>
      <c r="L762" s="1" t="s">
        <v>21</v>
      </c>
      <c r="M762" s="1" t="s">
        <v>29</v>
      </c>
      <c r="N762" s="1" t="s">
        <v>22</v>
      </c>
    </row>
    <row r="763" spans="1:14" x14ac:dyDescent="0.25">
      <c r="A763" s="1">
        <v>762</v>
      </c>
      <c r="B763" s="2" t="str">
        <f>HYPERLINK("https://leetcode.com/problems/prime-number-of-set-bits-in-binary-representation/", "Prime Number of Set Bits in Binary Representation")</f>
        <v>Prime Number of Set Bits in Binary Representation</v>
      </c>
      <c r="C763" s="1">
        <v>1020</v>
      </c>
      <c r="D763" s="1">
        <v>526</v>
      </c>
      <c r="E763" s="3">
        <f>IF(INDEX(C:C, ROW())+INDEX(D:D, ROW())=0, 0, INDEX(C:C, ROW())/(INDEX(C:C, ROW())+INDEX(D:D, ROW())))</f>
        <v>0.65976714100905565</v>
      </c>
      <c r="F763" s="1" t="s">
        <v>227</v>
      </c>
      <c r="G763" s="1" t="s">
        <v>20</v>
      </c>
      <c r="H763" s="1">
        <v>248970</v>
      </c>
      <c r="I763" s="1">
        <v>316893</v>
      </c>
      <c r="J763" s="7">
        <v>0.78600000000000003</v>
      </c>
      <c r="K763" s="1" t="s">
        <v>21</v>
      </c>
      <c r="L763" s="1" t="s">
        <v>21</v>
      </c>
      <c r="M763" s="1" t="s">
        <v>29</v>
      </c>
      <c r="N763" s="1" t="s">
        <v>22</v>
      </c>
    </row>
    <row r="764" spans="1:14" x14ac:dyDescent="0.25">
      <c r="A764" s="1">
        <v>763</v>
      </c>
      <c r="B764" s="2" t="str">
        <f>HYPERLINK("https://leetcode.com/problems/partition-labels/", "Partition Labels")</f>
        <v>Partition Labels</v>
      </c>
      <c r="C764" s="1">
        <v>11198</v>
      </c>
      <c r="D764" s="1">
        <v>441</v>
      </c>
      <c r="E764" s="3">
        <f>IF(INDEX(C:C, ROW())+INDEX(D:D, ROW())=0, 0, INDEX(C:C, ROW())/(INDEX(C:C, ROW())+INDEX(D:D, ROW())))</f>
        <v>0.96211014691983843</v>
      </c>
      <c r="F764" s="1" t="s">
        <v>119</v>
      </c>
      <c r="G764" s="1" t="s">
        <v>24</v>
      </c>
      <c r="H764" s="1">
        <v>780673</v>
      </c>
      <c r="I764" s="1">
        <v>954377</v>
      </c>
      <c r="J764" s="7">
        <v>0.81799999999999995</v>
      </c>
      <c r="K764" s="1" t="s">
        <v>21</v>
      </c>
      <c r="L764" s="1" t="s">
        <v>21</v>
      </c>
      <c r="M764" s="1" t="s">
        <v>29</v>
      </c>
      <c r="N764" s="1" t="s">
        <v>22</v>
      </c>
    </row>
    <row r="765" spans="1:14" x14ac:dyDescent="0.25">
      <c r="A765" s="1">
        <v>764</v>
      </c>
      <c r="B765" s="2" t="str">
        <f>HYPERLINK("https://leetcode.com/problems/largest-plus-sign/", "Largest Plus Sign")</f>
        <v>Largest Plus Sign</v>
      </c>
      <c r="C765" s="1">
        <v>1536</v>
      </c>
      <c r="D765" s="1">
        <v>241</v>
      </c>
      <c r="E765" s="3">
        <f>IF(INDEX(C:C, ROW())+INDEX(D:D, ROW())=0, 0, INDEX(C:C, ROW())/(INDEX(C:C, ROW())+INDEX(D:D, ROW())))</f>
        <v>0.86437816544738322</v>
      </c>
      <c r="F765" s="1" t="s">
        <v>30</v>
      </c>
      <c r="G765" s="1" t="s">
        <v>24</v>
      </c>
      <c r="H765" s="1">
        <v>69082</v>
      </c>
      <c r="I765" s="1">
        <v>140857</v>
      </c>
      <c r="J765" s="7">
        <v>0.49</v>
      </c>
      <c r="K765" s="1" t="s">
        <v>21</v>
      </c>
      <c r="L765" s="1" t="s">
        <v>21</v>
      </c>
      <c r="M765" s="1" t="s">
        <v>29</v>
      </c>
      <c r="N765" s="1" t="s">
        <v>22</v>
      </c>
    </row>
    <row r="766" spans="1:14" x14ac:dyDescent="0.25">
      <c r="A766" s="1">
        <v>765</v>
      </c>
      <c r="B766" s="2" t="str">
        <f>HYPERLINK("https://leetcode.com/problems/couples-holding-hands/", "Couples Holding Hands")</f>
        <v>Couples Holding Hands</v>
      </c>
      <c r="C766" s="1">
        <v>2477</v>
      </c>
      <c r="D766" s="1">
        <v>130</v>
      </c>
      <c r="E766" s="3">
        <f>IF(INDEX(C:C, ROW())+INDEX(D:D, ROW())=0, 0, INDEX(C:C, ROW())/(INDEX(C:C, ROW())+INDEX(D:D, ROW())))</f>
        <v>0.95013425393172224</v>
      </c>
      <c r="F766" s="1" t="s">
        <v>430</v>
      </c>
      <c r="G766" s="1" t="s">
        <v>28</v>
      </c>
      <c r="H766" s="1">
        <v>81565</v>
      </c>
      <c r="I766" s="1">
        <v>137892</v>
      </c>
      <c r="J766" s="7">
        <v>0.59199999999999997</v>
      </c>
      <c r="K766" s="1" t="s">
        <v>21</v>
      </c>
      <c r="L766" s="1" t="s">
        <v>21</v>
      </c>
      <c r="M766" s="1" t="s">
        <v>29</v>
      </c>
      <c r="N766" s="1" t="s">
        <v>22</v>
      </c>
    </row>
    <row r="767" spans="1:14" x14ac:dyDescent="0.25">
      <c r="A767" s="1">
        <v>766</v>
      </c>
      <c r="B767" s="2" t="str">
        <f>HYPERLINK("https://leetcode.com/problems/toeplitz-matrix/", "Toeplitz Matrix")</f>
        <v>Toeplitz Matrix</v>
      </c>
      <c r="C767" s="1">
        <v>3717</v>
      </c>
      <c r="D767" s="1">
        <v>179</v>
      </c>
      <c r="E767" s="3">
        <f>IF(INDEX(C:C, ROW())+INDEX(D:D, ROW())=0, 0, INDEX(C:C, ROW())/(INDEX(C:C, ROW())+INDEX(D:D, ROW())))</f>
        <v>0.95405544147843946</v>
      </c>
      <c r="F767" s="1" t="s">
        <v>266</v>
      </c>
      <c r="G767" s="1" t="s">
        <v>20</v>
      </c>
      <c r="H767" s="1">
        <v>446034</v>
      </c>
      <c r="I767" s="1">
        <v>640487</v>
      </c>
      <c r="J767" s="7">
        <v>0.69599999999999995</v>
      </c>
      <c r="K767" s="1" t="s">
        <v>21</v>
      </c>
      <c r="L767" s="1" t="s">
        <v>21</v>
      </c>
      <c r="M767" s="1" t="s">
        <v>29</v>
      </c>
      <c r="N767" s="1" t="s">
        <v>22</v>
      </c>
    </row>
    <row r="768" spans="1:14" x14ac:dyDescent="0.25">
      <c r="A768" s="1">
        <v>767</v>
      </c>
      <c r="B768" s="2" t="str">
        <f>HYPERLINK("https://leetcode.com/problems/reorganize-string/", "Reorganize String")</f>
        <v>Reorganize String</v>
      </c>
      <c r="C768" s="1">
        <v>9186</v>
      </c>
      <c r="D768" s="1">
        <v>285</v>
      </c>
      <c r="E768" s="3">
        <f>IF(INDEX(C:C, ROW())+INDEX(D:D, ROW())=0, 0, INDEX(C:C, ROW())/(INDEX(C:C, ROW())+INDEX(D:D, ROW())))</f>
        <v>0.96990814063984798</v>
      </c>
      <c r="F768" s="1" t="s">
        <v>148</v>
      </c>
      <c r="G768" s="1" t="s">
        <v>24</v>
      </c>
      <c r="H768" s="1">
        <v>582283</v>
      </c>
      <c r="I768" s="1">
        <v>1024584</v>
      </c>
      <c r="J768" s="7">
        <v>0.56799999999999995</v>
      </c>
      <c r="K768" s="1" t="s">
        <v>21</v>
      </c>
      <c r="L768" s="1" t="s">
        <v>21</v>
      </c>
      <c r="M768" s="1" t="s">
        <v>29</v>
      </c>
      <c r="N768" s="1" t="s">
        <v>22</v>
      </c>
    </row>
    <row r="769" spans="1:14" x14ac:dyDescent="0.25">
      <c r="A769" s="1">
        <v>768</v>
      </c>
      <c r="B769" s="2" t="str">
        <f>HYPERLINK("https://leetcode.com/problems/max-chunks-to-make-sorted-ii/", "Max Chunks To Make Sorted II")</f>
        <v>Max Chunks To Make Sorted II</v>
      </c>
      <c r="C769" s="1">
        <v>1994</v>
      </c>
      <c r="D769" s="1">
        <v>63</v>
      </c>
      <c r="E769" s="3">
        <f>IF(INDEX(C:C, ROW())+INDEX(D:D, ROW())=0, 0, INDEX(C:C, ROW())/(INDEX(C:C, ROW())+INDEX(D:D, ROW())))</f>
        <v>0.96937287311618858</v>
      </c>
      <c r="F769" s="1" t="s">
        <v>335</v>
      </c>
      <c r="G769" s="1" t="s">
        <v>28</v>
      </c>
      <c r="H769" s="1">
        <v>85424</v>
      </c>
      <c r="I769" s="1">
        <v>156308</v>
      </c>
      <c r="J769" s="7">
        <v>0.54700000000000004</v>
      </c>
      <c r="K769" s="1" t="s">
        <v>21</v>
      </c>
      <c r="L769" s="1" t="s">
        <v>21</v>
      </c>
      <c r="M769" s="1" t="s">
        <v>29</v>
      </c>
      <c r="N769" s="1" t="s">
        <v>22</v>
      </c>
    </row>
    <row r="770" spans="1:14" x14ac:dyDescent="0.25">
      <c r="A770" s="1">
        <v>769</v>
      </c>
      <c r="B770" s="2" t="str">
        <f>HYPERLINK("https://leetcode.com/problems/max-chunks-to-make-sorted/", "Max Chunks To Make Sorted")</f>
        <v>Max Chunks To Make Sorted</v>
      </c>
      <c r="C770" s="1">
        <v>3647</v>
      </c>
      <c r="D770" s="1">
        <v>365</v>
      </c>
      <c r="E770" s="3">
        <f>IF(INDEX(C:C, ROW())+INDEX(D:D, ROW())=0, 0, INDEX(C:C, ROW())/(INDEX(C:C, ROW())+INDEX(D:D, ROW())))</f>
        <v>0.90902293120638089</v>
      </c>
      <c r="F770" s="1" t="s">
        <v>335</v>
      </c>
      <c r="G770" s="1" t="s">
        <v>24</v>
      </c>
      <c r="H770" s="1">
        <v>235443</v>
      </c>
      <c r="I770" s="1">
        <v>367105</v>
      </c>
      <c r="J770" s="7">
        <v>0.64100000000000001</v>
      </c>
      <c r="K770" s="1" t="s">
        <v>21</v>
      </c>
      <c r="L770" s="1" t="s">
        <v>21</v>
      </c>
      <c r="M770" s="1" t="s">
        <v>29</v>
      </c>
      <c r="N770" s="1" t="s">
        <v>22</v>
      </c>
    </row>
    <row r="771" spans="1:14" x14ac:dyDescent="0.25">
      <c r="A771" s="1">
        <v>770</v>
      </c>
      <c r="B771" s="2" t="str">
        <f>HYPERLINK("https://leetcode.com/problems/basic-calculator-iv/", "Basic Calculator IV")</f>
        <v>Basic Calculator IV</v>
      </c>
      <c r="C771" s="1">
        <v>181</v>
      </c>
      <c r="D771" s="1">
        <v>1446</v>
      </c>
      <c r="E771" s="3">
        <f>IF(INDEX(C:C, ROW())+INDEX(D:D, ROW())=0, 0, INDEX(C:C, ROW())/(INDEX(C:C, ROW())+INDEX(D:D, ROW())))</f>
        <v>0.11124769514443761</v>
      </c>
      <c r="F771" s="1" t="s">
        <v>1110</v>
      </c>
      <c r="G771" s="1" t="s">
        <v>28</v>
      </c>
      <c r="H771" s="1">
        <v>15943</v>
      </c>
      <c r="I771" s="1">
        <v>32088</v>
      </c>
      <c r="J771" s="7">
        <v>0.497</v>
      </c>
      <c r="K771" s="1" t="s">
        <v>21</v>
      </c>
      <c r="L771" s="1" t="s">
        <v>21</v>
      </c>
      <c r="M771" s="1" t="s">
        <v>29</v>
      </c>
      <c r="N771" s="1" t="s">
        <v>22</v>
      </c>
    </row>
    <row r="772" spans="1:14" x14ac:dyDescent="0.25">
      <c r="A772" s="1">
        <v>771</v>
      </c>
      <c r="B772" s="2" t="str">
        <f>HYPERLINK("https://leetcode.com/problems/jewels-and-stones/", "Jewels and Stones")</f>
        <v>Jewels and Stones</v>
      </c>
      <c r="C772" s="1">
        <v>5443</v>
      </c>
      <c r="D772" s="1">
        <v>632</v>
      </c>
      <c r="E772" s="3">
        <f>IF(INDEX(C:C, ROW())+INDEX(D:D, ROW())=0, 0, INDEX(C:C, ROW())/(INDEX(C:C, ROW())+INDEX(D:D, ROW())))</f>
        <v>0.89596707818930044</v>
      </c>
      <c r="F772" s="1" t="s">
        <v>131</v>
      </c>
      <c r="G772" s="1" t="s">
        <v>20</v>
      </c>
      <c r="H772" s="1">
        <v>1348883</v>
      </c>
      <c r="I772" s="1">
        <v>1507226</v>
      </c>
      <c r="J772" s="7">
        <v>0.89500000000000002</v>
      </c>
      <c r="K772" s="1" t="s">
        <v>21</v>
      </c>
      <c r="L772" s="1" t="s">
        <v>21</v>
      </c>
      <c r="M772" s="1" t="s">
        <v>29</v>
      </c>
      <c r="N772" s="1" t="s">
        <v>22</v>
      </c>
    </row>
    <row r="773" spans="1:14" x14ac:dyDescent="0.25">
      <c r="A773" s="1">
        <v>772</v>
      </c>
      <c r="B773" s="2" t="str">
        <f>HYPERLINK("https://leetcode.com/problems/basic-calculator-iii/", "Basic Calculator III")</f>
        <v>Basic Calculator III</v>
      </c>
      <c r="C773" s="1">
        <v>1179</v>
      </c>
      <c r="D773" s="1">
        <v>295</v>
      </c>
      <c r="E773" s="3">
        <f>IF(INDEX(C:C, ROW())+INDEX(D:D, ROW())=0, 0, INDEX(C:C, ROW())/(INDEX(C:C, ROW())+INDEX(D:D, ROW())))</f>
        <v>0.79986431478968789</v>
      </c>
      <c r="F773" s="1" t="s">
        <v>200</v>
      </c>
      <c r="G773" s="1" t="s">
        <v>28</v>
      </c>
      <c r="H773" s="1">
        <v>154598</v>
      </c>
      <c r="I773" s="1">
        <v>290891</v>
      </c>
      <c r="J773" s="7">
        <v>0.53100000000000003</v>
      </c>
      <c r="K773" s="1" t="s">
        <v>29</v>
      </c>
      <c r="L773" s="1" t="s">
        <v>21</v>
      </c>
      <c r="M773" s="1" t="s">
        <v>29</v>
      </c>
      <c r="N773" s="1" t="s">
        <v>22</v>
      </c>
    </row>
    <row r="774" spans="1:14" x14ac:dyDescent="0.25">
      <c r="A774" s="1">
        <v>773</v>
      </c>
      <c r="B774" s="2" t="str">
        <f>HYPERLINK("https://leetcode.com/problems/sliding-puzzle/", "Sliding Puzzle")</f>
        <v>Sliding Puzzle</v>
      </c>
      <c r="C774" s="1">
        <v>2734</v>
      </c>
      <c r="D774" s="1">
        <v>76</v>
      </c>
      <c r="E774" s="3">
        <f>IF(INDEX(C:C, ROW())+INDEX(D:D, ROW())=0, 0, INDEX(C:C, ROW())/(INDEX(C:C, ROW())+INDEX(D:D, ROW())))</f>
        <v>0.97295373665480422</v>
      </c>
      <c r="F774" s="1" t="s">
        <v>396</v>
      </c>
      <c r="G774" s="1" t="s">
        <v>28</v>
      </c>
      <c r="H774" s="1">
        <v>196869</v>
      </c>
      <c r="I774" s="1">
        <v>265285</v>
      </c>
      <c r="J774" s="7">
        <v>0.74199999999999999</v>
      </c>
      <c r="K774" s="1" t="s">
        <v>21</v>
      </c>
      <c r="L774" s="1" t="s">
        <v>21</v>
      </c>
      <c r="M774" s="1" t="s">
        <v>29</v>
      </c>
      <c r="N774" s="1" t="s">
        <v>22</v>
      </c>
    </row>
    <row r="775" spans="1:14" x14ac:dyDescent="0.25">
      <c r="A775" s="1">
        <v>774</v>
      </c>
      <c r="B775" s="2" t="str">
        <f>HYPERLINK("https://leetcode.com/problems/minimize-max-distance-to-gas-station/", "Minimize Max Distance to Gas Station")</f>
        <v>Minimize Max Distance to Gas Station</v>
      </c>
      <c r="C775" s="1">
        <v>711</v>
      </c>
      <c r="D775" s="1">
        <v>104</v>
      </c>
      <c r="E775" s="3">
        <f>IF(INDEX(C:C, ROW())+INDEX(D:D, ROW())=0, 0, INDEX(C:C, ROW())/(INDEX(C:C, ROW())+INDEX(D:D, ROW())))</f>
        <v>0.87239263803680978</v>
      </c>
      <c r="F775" s="1" t="s">
        <v>35</v>
      </c>
      <c r="G775" s="1" t="s">
        <v>28</v>
      </c>
      <c r="H775" s="1">
        <v>37216</v>
      </c>
      <c r="I775" s="1">
        <v>69028</v>
      </c>
      <c r="J775" s="7">
        <v>0.53900000000000003</v>
      </c>
      <c r="K775" s="1" t="s">
        <v>29</v>
      </c>
      <c r="L775" s="1" t="s">
        <v>21</v>
      </c>
      <c r="M775" s="1" t="s">
        <v>29</v>
      </c>
      <c r="N775" s="1" t="s">
        <v>22</v>
      </c>
    </row>
    <row r="776" spans="1:14" x14ac:dyDescent="0.25">
      <c r="A776" s="1">
        <v>775</v>
      </c>
      <c r="B776" s="2" t="str">
        <f>HYPERLINK("https://leetcode.com/problems/global-and-local-inversions/", "Global and Local Inversions")</f>
        <v>Global and Local Inversions</v>
      </c>
      <c r="C776" s="1">
        <v>1875</v>
      </c>
      <c r="D776" s="1">
        <v>382</v>
      </c>
      <c r="E776" s="3">
        <f>IF(INDEX(C:C, ROW())+INDEX(D:D, ROW())=0, 0, INDEX(C:C, ROW())/(INDEX(C:C, ROW())+INDEX(D:D, ROW())))</f>
        <v>0.83074878156845366</v>
      </c>
      <c r="F776" s="1" t="s">
        <v>115</v>
      </c>
      <c r="G776" s="1" t="s">
        <v>24</v>
      </c>
      <c r="H776" s="1">
        <v>85212</v>
      </c>
      <c r="I776" s="1">
        <v>199475</v>
      </c>
      <c r="J776" s="7">
        <v>0.42699999999999999</v>
      </c>
      <c r="K776" s="1" t="s">
        <v>21</v>
      </c>
      <c r="L776" s="1" t="s">
        <v>21</v>
      </c>
      <c r="M776" s="1" t="s">
        <v>29</v>
      </c>
      <c r="N776" s="1" t="s">
        <v>22</v>
      </c>
    </row>
    <row r="777" spans="1:14" x14ac:dyDescent="0.25">
      <c r="A777" s="1">
        <v>776</v>
      </c>
      <c r="B777" s="2" t="str">
        <f>HYPERLINK("https://leetcode.com/problems/split-bst/", "Split BST")</f>
        <v>Split BST</v>
      </c>
      <c r="C777" s="1">
        <v>1092</v>
      </c>
      <c r="D777" s="1">
        <v>105</v>
      </c>
      <c r="E777" s="3">
        <f>IF(INDEX(C:C, ROW())+INDEX(D:D, ROW())=0, 0, INDEX(C:C, ROW())/(INDEX(C:C, ROW())+INDEX(D:D, ROW())))</f>
        <v>0.91228070175438591</v>
      </c>
      <c r="F777" s="1" t="s">
        <v>689</v>
      </c>
      <c r="G777" s="1" t="s">
        <v>24</v>
      </c>
      <c r="H777" s="1">
        <v>112161</v>
      </c>
      <c r="I777" s="1">
        <v>136409</v>
      </c>
      <c r="J777" s="7">
        <v>0.82199999999999995</v>
      </c>
      <c r="K777" s="1" t="s">
        <v>29</v>
      </c>
      <c r="L777" s="1" t="s">
        <v>21</v>
      </c>
      <c r="M777" s="1" t="s">
        <v>29</v>
      </c>
      <c r="N777" s="1" t="s">
        <v>22</v>
      </c>
    </row>
    <row r="778" spans="1:14" x14ac:dyDescent="0.25">
      <c r="A778" s="1">
        <v>777</v>
      </c>
      <c r="B778" s="2" t="str">
        <f>HYPERLINK("https://leetcode.com/problems/swap-adjacent-in-lr-string/", "Swap Adjacent in LR String")</f>
        <v>Swap Adjacent in LR String</v>
      </c>
      <c r="C778" s="1">
        <v>1333</v>
      </c>
      <c r="D778" s="1">
        <v>955</v>
      </c>
      <c r="E778" s="3">
        <f>IF(INDEX(C:C, ROW())+INDEX(D:D, ROW())=0, 0, INDEX(C:C, ROW())/(INDEX(C:C, ROW())+INDEX(D:D, ROW())))</f>
        <v>0.5826048951048951</v>
      </c>
      <c r="F778" s="1" t="s">
        <v>117</v>
      </c>
      <c r="G778" s="1" t="s">
        <v>24</v>
      </c>
      <c r="H778" s="1">
        <v>95082</v>
      </c>
      <c r="I778" s="1">
        <v>250936</v>
      </c>
      <c r="J778" s="7">
        <v>0.379</v>
      </c>
      <c r="K778" s="1" t="s">
        <v>21</v>
      </c>
      <c r="L778" s="1" t="s">
        <v>21</v>
      </c>
      <c r="M778" s="1" t="s">
        <v>29</v>
      </c>
      <c r="N778" s="1" t="s">
        <v>22</v>
      </c>
    </row>
    <row r="779" spans="1:14" x14ac:dyDescent="0.25">
      <c r="A779" s="1">
        <v>778</v>
      </c>
      <c r="B779" s="2" t="str">
        <f>HYPERLINK("https://leetcode.com/problems/swim-in-rising-water/", "Swim in Rising Water")</f>
        <v>Swim in Rising Water</v>
      </c>
      <c r="C779" s="1">
        <v>4554</v>
      </c>
      <c r="D779" s="1">
        <v>316</v>
      </c>
      <c r="E779" s="3">
        <f>IF(INDEX(C:C, ROW())+INDEX(D:D, ROW())=0, 0, INDEX(C:C, ROW())/(INDEX(C:C, ROW())+INDEX(D:D, ROW())))</f>
        <v>0.93511293634496917</v>
      </c>
      <c r="F779" s="1" t="s">
        <v>208</v>
      </c>
      <c r="G779" s="1" t="s">
        <v>28</v>
      </c>
      <c r="H779" s="1">
        <v>362090</v>
      </c>
      <c r="I779" s="1">
        <v>535897</v>
      </c>
      <c r="J779" s="7">
        <v>0.67600000000000005</v>
      </c>
      <c r="K779" s="1" t="s">
        <v>21</v>
      </c>
      <c r="L779" s="1" t="s">
        <v>21</v>
      </c>
      <c r="M779" s="1" t="s">
        <v>29</v>
      </c>
      <c r="N779" s="1" t="s">
        <v>22</v>
      </c>
    </row>
    <row r="780" spans="1:14" x14ac:dyDescent="0.25">
      <c r="A780" s="1">
        <v>779</v>
      </c>
      <c r="B780" s="2" t="str">
        <f>HYPERLINK("https://leetcode.com/problems/k-th-symbol-in-grammar/", "K-th Symbol in Grammar")</f>
        <v>K-th Symbol in Grammar</v>
      </c>
      <c r="C780" s="1">
        <v>4126</v>
      </c>
      <c r="D780" s="1">
        <v>425</v>
      </c>
      <c r="E780" s="3">
        <f>IF(INDEX(C:C, ROW())+INDEX(D:D, ROW())=0, 0, INDEX(C:C, ROW())/(INDEX(C:C, ROW())+INDEX(D:D, ROW())))</f>
        <v>0.90661393100417487</v>
      </c>
      <c r="F780" s="1" t="s">
        <v>172</v>
      </c>
      <c r="G780" s="1" t="s">
        <v>24</v>
      </c>
      <c r="H780" s="1">
        <v>253635</v>
      </c>
      <c r="I780" s="1">
        <v>527690</v>
      </c>
      <c r="J780" s="7">
        <v>0.48099999999999998</v>
      </c>
      <c r="K780" s="1" t="s">
        <v>21</v>
      </c>
      <c r="L780" s="1" t="s">
        <v>21</v>
      </c>
      <c r="M780" s="1" t="s">
        <v>29</v>
      </c>
      <c r="N780" s="1" t="s">
        <v>22</v>
      </c>
    </row>
    <row r="781" spans="1:14" x14ac:dyDescent="0.25">
      <c r="A781" s="1">
        <v>780</v>
      </c>
      <c r="B781" s="2" t="str">
        <f>HYPERLINK("https://leetcode.com/problems/reaching-points/", "Reaching Points")</f>
        <v>Reaching Points</v>
      </c>
      <c r="C781" s="1">
        <v>1584</v>
      </c>
      <c r="D781" s="1">
        <v>238</v>
      </c>
      <c r="E781" s="3">
        <f>IF(INDEX(C:C, ROW())+INDEX(D:D, ROW())=0, 0, INDEX(C:C, ROW())/(INDEX(C:C, ROW())+INDEX(D:D, ROW())))</f>
        <v>0.86937431394072451</v>
      </c>
      <c r="F781" s="1" t="s">
        <v>84</v>
      </c>
      <c r="G781" s="1" t="s">
        <v>28</v>
      </c>
      <c r="H781" s="1">
        <v>80591</v>
      </c>
      <c r="I781" s="1">
        <v>235597</v>
      </c>
      <c r="J781" s="7">
        <v>0.34200000000000003</v>
      </c>
      <c r="K781" s="1" t="s">
        <v>21</v>
      </c>
      <c r="L781" s="1" t="s">
        <v>21</v>
      </c>
      <c r="M781" s="1" t="s">
        <v>29</v>
      </c>
      <c r="N781" s="1" t="s">
        <v>22</v>
      </c>
    </row>
    <row r="782" spans="1:14" x14ac:dyDescent="0.25">
      <c r="A782" s="1">
        <v>781</v>
      </c>
      <c r="B782" s="2" t="str">
        <f>HYPERLINK("https://leetcode.com/problems/rabbits-in-forest/", "Rabbits in Forest")</f>
        <v>Rabbits in Forest</v>
      </c>
      <c r="C782" s="1">
        <v>2133</v>
      </c>
      <c r="D782" s="1">
        <v>988</v>
      </c>
      <c r="E782" s="3">
        <f>IF(INDEX(C:C, ROW())+INDEX(D:D, ROW())=0, 0, INDEX(C:C, ROW())/(INDEX(C:C, ROW())+INDEX(D:D, ROW())))</f>
        <v>0.68343479653957062</v>
      </c>
      <c r="F782" s="1" t="s">
        <v>480</v>
      </c>
      <c r="G782" s="1" t="s">
        <v>24</v>
      </c>
      <c r="H782" s="1">
        <v>185084</v>
      </c>
      <c r="I782" s="1">
        <v>318838</v>
      </c>
      <c r="J782" s="7">
        <v>0.57999999999999996</v>
      </c>
      <c r="K782" s="1" t="s">
        <v>21</v>
      </c>
      <c r="L782" s="1" t="s">
        <v>21</v>
      </c>
      <c r="M782" s="1" t="s">
        <v>29</v>
      </c>
      <c r="N782" s="1" t="s">
        <v>22</v>
      </c>
    </row>
    <row r="783" spans="1:14" x14ac:dyDescent="0.25">
      <c r="A783" s="1">
        <v>782</v>
      </c>
      <c r="B783" s="2" t="str">
        <f>HYPERLINK("https://leetcode.com/problems/transform-to-chessboard/", "Transform to Chessboard")</f>
        <v>Transform to Chessboard</v>
      </c>
      <c r="C783" s="1">
        <v>373</v>
      </c>
      <c r="D783" s="1">
        <v>313</v>
      </c>
      <c r="E783" s="3">
        <f>IF(INDEX(C:C, ROW())+INDEX(D:D, ROW())=0, 0, INDEX(C:C, ROW())/(INDEX(C:C, ROW())+INDEX(D:D, ROW())))</f>
        <v>0.54373177842565601</v>
      </c>
      <c r="F783" s="1" t="s">
        <v>936</v>
      </c>
      <c r="G783" s="1" t="s">
        <v>28</v>
      </c>
      <c r="H783" s="1">
        <v>21364</v>
      </c>
      <c r="I783" s="1">
        <v>41765</v>
      </c>
      <c r="J783" s="7">
        <v>0.51200000000000001</v>
      </c>
      <c r="K783" s="1" t="s">
        <v>21</v>
      </c>
      <c r="L783" s="1" t="s">
        <v>21</v>
      </c>
      <c r="M783" s="1" t="s">
        <v>29</v>
      </c>
      <c r="N783" s="1" t="s">
        <v>22</v>
      </c>
    </row>
    <row r="784" spans="1:14" x14ac:dyDescent="0.25">
      <c r="A784" s="1">
        <v>783</v>
      </c>
      <c r="B784" s="2" t="str">
        <f>HYPERLINK("https://leetcode.com/problems/minimum-distance-between-bst-nodes/", "Minimum Distance Between BST Nodes")</f>
        <v>Minimum Distance Between BST Nodes</v>
      </c>
      <c r="C784" s="1">
        <v>3678</v>
      </c>
      <c r="D784" s="1">
        <v>435</v>
      </c>
      <c r="E784" s="3">
        <f>IF(INDEX(C:C, ROW())+INDEX(D:D, ROW())=0, 0, INDEX(C:C, ROW())/(INDEX(C:C, ROW())+INDEX(D:D, ROW())))</f>
        <v>0.89423778264040843</v>
      </c>
      <c r="F784" s="1" t="s">
        <v>273</v>
      </c>
      <c r="G784" s="1" t="s">
        <v>20</v>
      </c>
      <c r="H784" s="1">
        <v>320509</v>
      </c>
      <c r="I784" s="1">
        <v>524691</v>
      </c>
      <c r="J784" s="7">
        <v>0.61099999999999999</v>
      </c>
      <c r="K784" s="1" t="s">
        <v>21</v>
      </c>
      <c r="L784" s="1" t="s">
        <v>21</v>
      </c>
      <c r="M784" s="1" t="s">
        <v>29</v>
      </c>
      <c r="N784" s="1" t="s">
        <v>22</v>
      </c>
    </row>
    <row r="785" spans="1:14" x14ac:dyDescent="0.25">
      <c r="A785" s="1">
        <v>784</v>
      </c>
      <c r="B785" s="2" t="str">
        <f>HYPERLINK("https://leetcode.com/problems/letter-case-permutation/", "Letter Case Permutation")</f>
        <v>Letter Case Permutation</v>
      </c>
      <c r="C785" s="1">
        <v>4831</v>
      </c>
      <c r="D785" s="1">
        <v>160</v>
      </c>
      <c r="E785" s="3">
        <f>IF(INDEX(C:C, ROW())+INDEX(D:D, ROW())=0, 0, INDEX(C:C, ROW())/(INDEX(C:C, ROW())+INDEX(D:D, ROW())))</f>
        <v>0.9679422961330395</v>
      </c>
      <c r="F785" s="1" t="s">
        <v>267</v>
      </c>
      <c r="G785" s="1" t="s">
        <v>24</v>
      </c>
      <c r="H785" s="1">
        <v>367245</v>
      </c>
      <c r="I785" s="1">
        <v>485150</v>
      </c>
      <c r="J785" s="7">
        <v>0.75700000000000001</v>
      </c>
      <c r="K785" s="1" t="s">
        <v>21</v>
      </c>
      <c r="L785" s="1" t="s">
        <v>21</v>
      </c>
      <c r="M785" s="1" t="s">
        <v>29</v>
      </c>
      <c r="N785" s="1" t="s">
        <v>22</v>
      </c>
    </row>
    <row r="786" spans="1:14" x14ac:dyDescent="0.25">
      <c r="A786" s="1">
        <v>785</v>
      </c>
      <c r="B786" s="2" t="str">
        <f>HYPERLINK("https://leetcode.com/problems/is-graph-bipartite/", "Is Graph Bipartite?")</f>
        <v>Is Graph Bipartite?</v>
      </c>
      <c r="C786" s="1">
        <v>9178</v>
      </c>
      <c r="D786" s="1">
        <v>419</v>
      </c>
      <c r="E786" s="3">
        <f>IF(INDEX(C:C, ROW())+INDEX(D:D, ROW())=0, 0, INDEX(C:C, ROW())/(INDEX(C:C, ROW())+INDEX(D:D, ROW())))</f>
        <v>0.95634052308012918</v>
      </c>
      <c r="F786" s="1" t="s">
        <v>122</v>
      </c>
      <c r="G786" s="1" t="s">
        <v>24</v>
      </c>
      <c r="H786" s="1">
        <v>845444</v>
      </c>
      <c r="I786" s="1">
        <v>1435269</v>
      </c>
      <c r="J786" s="7">
        <v>0.58899999999999997</v>
      </c>
      <c r="K786" s="1" t="s">
        <v>21</v>
      </c>
      <c r="L786" s="1" t="s">
        <v>21</v>
      </c>
      <c r="M786" s="1" t="s">
        <v>21</v>
      </c>
      <c r="N786" s="1" t="s">
        <v>22</v>
      </c>
    </row>
    <row r="787" spans="1:14" x14ac:dyDescent="0.25">
      <c r="A787" s="1">
        <v>786</v>
      </c>
      <c r="B787" s="2" t="str">
        <f>HYPERLINK("https://leetcode.com/problems/k-th-smallest-prime-fraction/", "K-th Smallest Prime Fraction")</f>
        <v>K-th Smallest Prime Fraction</v>
      </c>
      <c r="C787" s="1">
        <v>2132</v>
      </c>
      <c r="D787" s="1">
        <v>121</v>
      </c>
      <c r="E787" s="3">
        <f>IF(INDEX(C:C, ROW())+INDEX(D:D, ROW())=0, 0, INDEX(C:C, ROW())/(INDEX(C:C, ROW())+INDEX(D:D, ROW())))</f>
        <v>0.94629383044829118</v>
      </c>
      <c r="F787" s="1" t="s">
        <v>482</v>
      </c>
      <c r="G787" s="1" t="s">
        <v>24</v>
      </c>
      <c r="H787" s="1">
        <v>170303</v>
      </c>
      <c r="I787" s="1">
        <v>246927</v>
      </c>
      <c r="J787" s="7">
        <v>0.69</v>
      </c>
      <c r="K787" s="1" t="s">
        <v>21</v>
      </c>
      <c r="L787" s="1" t="s">
        <v>21</v>
      </c>
      <c r="M787" s="1" t="s">
        <v>29</v>
      </c>
      <c r="N787" s="1" t="s">
        <v>22</v>
      </c>
    </row>
    <row r="788" spans="1:14" x14ac:dyDescent="0.25">
      <c r="A788" s="1">
        <v>787</v>
      </c>
      <c r="B788" s="2" t="str">
        <f>HYPERLINK("https://leetcode.com/problems/cheapest-flights-within-k-stops/", "Cheapest Flights Within K Stops")</f>
        <v>Cheapest Flights Within K Stops</v>
      </c>
      <c r="C788" s="1">
        <v>11141</v>
      </c>
      <c r="D788" s="1">
        <v>468</v>
      </c>
      <c r="E788" s="3">
        <f>IF(INDEX(C:C, ROW())+INDEX(D:D, ROW())=0, 0, INDEX(C:C, ROW())/(INDEX(C:C, ROW())+INDEX(D:D, ROW())))</f>
        <v>0.95968645016797316</v>
      </c>
      <c r="F788" s="1" t="s">
        <v>120</v>
      </c>
      <c r="G788" s="1" t="s">
        <v>24</v>
      </c>
      <c r="H788" s="1">
        <v>876835</v>
      </c>
      <c r="I788" s="1">
        <v>2119471</v>
      </c>
      <c r="J788" s="7">
        <v>0.41399999999999998</v>
      </c>
      <c r="K788" s="1" t="s">
        <v>21</v>
      </c>
      <c r="L788" s="1" t="s">
        <v>21</v>
      </c>
      <c r="M788" s="1" t="s">
        <v>29</v>
      </c>
      <c r="N788" s="1" t="s">
        <v>22</v>
      </c>
    </row>
    <row r="789" spans="1:14" x14ac:dyDescent="0.25">
      <c r="A789" s="1">
        <v>788</v>
      </c>
      <c r="B789" s="2" t="str">
        <f>HYPERLINK("https://leetcode.com/problems/rotated-digits/", "Rotated Digits")</f>
        <v>Rotated Digits</v>
      </c>
      <c r="C789" s="1">
        <v>784</v>
      </c>
      <c r="D789" s="1">
        <v>1947</v>
      </c>
      <c r="E789" s="3">
        <f>IF(INDEX(C:C, ROW())+INDEX(D:D, ROW())=0, 0, INDEX(C:C, ROW())/(INDEX(C:C, ROW())+INDEX(D:D, ROW())))</f>
        <v>0.28707433174661295</v>
      </c>
      <c r="F789" s="1" t="s">
        <v>250</v>
      </c>
      <c r="G789" s="1" t="s">
        <v>24</v>
      </c>
      <c r="H789" s="1">
        <v>128547</v>
      </c>
      <c r="I789" s="1">
        <v>226433</v>
      </c>
      <c r="J789" s="7">
        <v>0.56799999999999995</v>
      </c>
      <c r="K789" s="1" t="s">
        <v>21</v>
      </c>
      <c r="L789" s="1" t="s">
        <v>21</v>
      </c>
      <c r="M789" s="1" t="s">
        <v>29</v>
      </c>
      <c r="N789" s="1" t="s">
        <v>22</v>
      </c>
    </row>
    <row r="790" spans="1:14" x14ac:dyDescent="0.25">
      <c r="A790" s="1">
        <v>789</v>
      </c>
      <c r="B790" s="2" t="str">
        <f>HYPERLINK("https://leetcode.com/problems/escape-the-ghosts/", "Escape The Ghosts")</f>
        <v>Escape The Ghosts</v>
      </c>
      <c r="C790" s="1">
        <v>325</v>
      </c>
      <c r="D790" s="1">
        <v>35</v>
      </c>
      <c r="E790" s="3">
        <f>IF(INDEX(C:C, ROW())+INDEX(D:D, ROW())=0, 0, INDEX(C:C, ROW())/(INDEX(C:C, ROW())+INDEX(D:D, ROW())))</f>
        <v>0.90277777777777779</v>
      </c>
      <c r="F790" s="1" t="s">
        <v>115</v>
      </c>
      <c r="G790" s="1" t="s">
        <v>24</v>
      </c>
      <c r="H790" s="1">
        <v>37793</v>
      </c>
      <c r="I790" s="1">
        <v>59568</v>
      </c>
      <c r="J790" s="7">
        <v>0.63400000000000001</v>
      </c>
      <c r="K790" s="1" t="s">
        <v>21</v>
      </c>
      <c r="L790" s="1" t="s">
        <v>21</v>
      </c>
      <c r="M790" s="1" t="s">
        <v>29</v>
      </c>
      <c r="N790" s="1" t="s">
        <v>22</v>
      </c>
    </row>
    <row r="791" spans="1:14" x14ac:dyDescent="0.25">
      <c r="A791" s="1">
        <v>790</v>
      </c>
      <c r="B791" s="2" t="str">
        <f>HYPERLINK("https://leetcode.com/problems/domino-and-tromino-tiling/", "Domino and Tromino Tiling")</f>
        <v>Domino and Tromino Tiling</v>
      </c>
      <c r="C791" s="1">
        <v>4139</v>
      </c>
      <c r="D791" s="1">
        <v>1316</v>
      </c>
      <c r="E791" s="3">
        <f>IF(INDEX(C:C, ROW())+INDEX(D:D, ROW())=0, 0, INDEX(C:C, ROW())/(INDEX(C:C, ROW())+INDEX(D:D, ROW())))</f>
        <v>0.75875343721356558</v>
      </c>
      <c r="F791" s="1" t="s">
        <v>251</v>
      </c>
      <c r="G791" s="1" t="s">
        <v>24</v>
      </c>
      <c r="H791" s="1">
        <v>277104</v>
      </c>
      <c r="I791" s="1">
        <v>538781</v>
      </c>
      <c r="J791" s="7">
        <v>0.51400000000000001</v>
      </c>
      <c r="K791" s="1" t="s">
        <v>21</v>
      </c>
      <c r="L791" s="1" t="s">
        <v>21</v>
      </c>
      <c r="M791" s="1" t="s">
        <v>21</v>
      </c>
      <c r="N791" s="1" t="s">
        <v>22</v>
      </c>
    </row>
    <row r="792" spans="1:14" x14ac:dyDescent="0.25">
      <c r="A792" s="1">
        <v>791</v>
      </c>
      <c r="B792" s="2" t="str">
        <f>HYPERLINK("https://leetcode.com/problems/custom-sort-string/", "Custom Sort String")</f>
        <v>Custom Sort String</v>
      </c>
      <c r="C792" s="1">
        <v>3821</v>
      </c>
      <c r="D792" s="1">
        <v>431</v>
      </c>
      <c r="E792" s="3">
        <f>IF(INDEX(C:C, ROW())+INDEX(D:D, ROW())=0, 0, INDEX(C:C, ROW())/(INDEX(C:C, ROW())+INDEX(D:D, ROW())))</f>
        <v>0.8986359360301035</v>
      </c>
      <c r="F792" s="1" t="s">
        <v>90</v>
      </c>
      <c r="G792" s="1" t="s">
        <v>24</v>
      </c>
      <c r="H792" s="1">
        <v>573117</v>
      </c>
      <c r="I792" s="1">
        <v>792929</v>
      </c>
      <c r="J792" s="7">
        <v>0.72299999999999998</v>
      </c>
      <c r="K792" s="1" t="s">
        <v>21</v>
      </c>
      <c r="L792" s="1" t="s">
        <v>21</v>
      </c>
      <c r="M792" s="1" t="s">
        <v>29</v>
      </c>
      <c r="N792" s="1" t="s">
        <v>22</v>
      </c>
    </row>
    <row r="793" spans="1:14" x14ac:dyDescent="0.25">
      <c r="A793" s="1">
        <v>792</v>
      </c>
      <c r="B793" s="2" t="str">
        <f>HYPERLINK("https://leetcode.com/problems/number-of-matching-subsequences/", "Number of Matching Subsequences")</f>
        <v>Number of Matching Subsequences</v>
      </c>
      <c r="C793" s="1">
        <v>5794</v>
      </c>
      <c r="D793" s="1">
        <v>246</v>
      </c>
      <c r="E793" s="3">
        <f>IF(INDEX(C:C, ROW())+INDEX(D:D, ROW())=0, 0, INDEX(C:C, ROW())/(INDEX(C:C, ROW())+INDEX(D:D, ROW())))</f>
        <v>0.95927152317880793</v>
      </c>
      <c r="F793" s="1" t="s">
        <v>234</v>
      </c>
      <c r="G793" s="1" t="s">
        <v>24</v>
      </c>
      <c r="H793" s="1">
        <v>272202</v>
      </c>
      <c r="I793" s="1">
        <v>537668</v>
      </c>
      <c r="J793" s="7">
        <v>0.50600000000000001</v>
      </c>
      <c r="K793" s="1" t="s">
        <v>21</v>
      </c>
      <c r="L793" s="1" t="s">
        <v>21</v>
      </c>
      <c r="M793" s="1" t="s">
        <v>29</v>
      </c>
      <c r="N793" s="1" t="s">
        <v>22</v>
      </c>
    </row>
    <row r="794" spans="1:14" x14ac:dyDescent="0.25">
      <c r="A794" s="1">
        <v>793</v>
      </c>
      <c r="B794" s="2" t="str">
        <f>HYPERLINK("https://leetcode.com/problems/preimage-size-of-factorial-zeroes-function/", "Preimage Size of Factorial Zeroes Function")</f>
        <v>Preimage Size of Factorial Zeroes Function</v>
      </c>
      <c r="C794" s="1">
        <v>471</v>
      </c>
      <c r="D794" s="1">
        <v>104</v>
      </c>
      <c r="E794" s="3">
        <f>IF(INDEX(C:C, ROW())+INDEX(D:D, ROW())=0, 0, INDEX(C:C, ROW())/(INDEX(C:C, ROW())+INDEX(D:D, ROW())))</f>
        <v>0.81913043478260872</v>
      </c>
      <c r="F794" s="1" t="s">
        <v>139</v>
      </c>
      <c r="G794" s="1" t="s">
        <v>28</v>
      </c>
      <c r="H794" s="1">
        <v>23858</v>
      </c>
      <c r="I794" s="1">
        <v>51157</v>
      </c>
      <c r="J794" s="7">
        <v>0.46600000000000003</v>
      </c>
      <c r="K794" s="1" t="s">
        <v>21</v>
      </c>
      <c r="L794" s="1" t="s">
        <v>21</v>
      </c>
      <c r="M794" s="1" t="s">
        <v>29</v>
      </c>
      <c r="N794" s="1" t="s">
        <v>22</v>
      </c>
    </row>
    <row r="795" spans="1:14" x14ac:dyDescent="0.25">
      <c r="A795" s="1">
        <v>794</v>
      </c>
      <c r="B795" s="2" t="str">
        <f>HYPERLINK("https://leetcode.com/problems/valid-tic-tac-toe-state/", "Valid Tic-Tac-Toe State")</f>
        <v>Valid Tic-Tac-Toe State</v>
      </c>
      <c r="C795" s="1">
        <v>587</v>
      </c>
      <c r="D795" s="1">
        <v>1168</v>
      </c>
      <c r="E795" s="3">
        <f>IF(INDEX(C:C, ROW())+INDEX(D:D, ROW())=0, 0, INDEX(C:C, ROW())/(INDEX(C:C, ROW())+INDEX(D:D, ROW())))</f>
        <v>0.33447293447293447</v>
      </c>
      <c r="F795" s="1" t="s">
        <v>266</v>
      </c>
      <c r="G795" s="1" t="s">
        <v>24</v>
      </c>
      <c r="H795" s="1">
        <v>66936</v>
      </c>
      <c r="I795" s="1">
        <v>192652</v>
      </c>
      <c r="J795" s="7">
        <v>0.34699999999999998</v>
      </c>
      <c r="K795" s="1" t="s">
        <v>21</v>
      </c>
      <c r="L795" s="1" t="s">
        <v>21</v>
      </c>
      <c r="M795" s="1" t="s">
        <v>29</v>
      </c>
      <c r="N795" s="1" t="s">
        <v>22</v>
      </c>
    </row>
    <row r="796" spans="1:14" x14ac:dyDescent="0.25">
      <c r="A796" s="1">
        <v>795</v>
      </c>
      <c r="B796" s="2" t="str">
        <f>HYPERLINK("https://leetcode.com/problems/number-of-subarrays-with-bounded-maximum/", "Number of Subarrays with Bounded Maximum")</f>
        <v>Number of Subarrays with Bounded Maximum</v>
      </c>
      <c r="C796" s="1">
        <v>2447</v>
      </c>
      <c r="D796" s="1">
        <v>135</v>
      </c>
      <c r="E796" s="3">
        <f>IF(INDEX(C:C, ROW())+INDEX(D:D, ROW())=0, 0, INDEX(C:C, ROW())/(INDEX(C:C, ROW())+INDEX(D:D, ROW())))</f>
        <v>0.94771494965143299</v>
      </c>
      <c r="F796" s="1" t="s">
        <v>51</v>
      </c>
      <c r="G796" s="1" t="s">
        <v>24</v>
      </c>
      <c r="H796" s="1">
        <v>88383</v>
      </c>
      <c r="I796" s="1">
        <v>161629</v>
      </c>
      <c r="J796" s="7">
        <v>0.54700000000000004</v>
      </c>
      <c r="K796" s="1" t="s">
        <v>21</v>
      </c>
      <c r="L796" s="1" t="s">
        <v>21</v>
      </c>
      <c r="M796" s="1" t="s">
        <v>29</v>
      </c>
      <c r="N796" s="1" t="s">
        <v>22</v>
      </c>
    </row>
    <row r="797" spans="1:14" x14ac:dyDescent="0.25">
      <c r="A797" s="1">
        <v>796</v>
      </c>
      <c r="B797" s="2" t="str">
        <f>HYPERLINK("https://leetcode.com/problems/rotate-string/", "Rotate String")</f>
        <v>Rotate String</v>
      </c>
      <c r="C797" s="1">
        <v>4799</v>
      </c>
      <c r="D797" s="1">
        <v>422</v>
      </c>
      <c r="E797" s="3">
        <f>IF(INDEX(C:C, ROW())+INDEX(D:D, ROW())=0, 0, INDEX(C:C, ROW())/(INDEX(C:C, ROW())+INDEX(D:D, ROW())))</f>
        <v>0.91917257230415628</v>
      </c>
      <c r="F797" s="1" t="s">
        <v>207</v>
      </c>
      <c r="G797" s="1" t="s">
        <v>20</v>
      </c>
      <c r="H797" s="1">
        <v>776659</v>
      </c>
      <c r="I797" s="1">
        <v>1193116</v>
      </c>
      <c r="J797" s="7">
        <v>0.65100000000000002</v>
      </c>
      <c r="K797" s="1" t="s">
        <v>21</v>
      </c>
      <c r="L797" s="1" t="s">
        <v>21</v>
      </c>
      <c r="M797" s="1" t="s">
        <v>29</v>
      </c>
      <c r="N797" s="1" t="s">
        <v>22</v>
      </c>
    </row>
    <row r="798" spans="1:14" x14ac:dyDescent="0.25">
      <c r="A798" s="1">
        <v>797</v>
      </c>
      <c r="B798" s="2" t="str">
        <f>HYPERLINK("https://leetcode.com/problems/all-paths-from-source-to-target/", "All Paths From Source to Target")</f>
        <v>All Paths From Source to Target</v>
      </c>
      <c r="C798" s="1">
        <v>7613</v>
      </c>
      <c r="D798" s="1">
        <v>152</v>
      </c>
      <c r="E798" s="3">
        <f>IF(INDEX(C:C, ROW())+INDEX(D:D, ROW())=0, 0, INDEX(C:C, ROW())/(INDEX(C:C, ROW())+INDEX(D:D, ROW())))</f>
        <v>0.98042498390212496</v>
      </c>
      <c r="F798" s="1" t="s">
        <v>180</v>
      </c>
      <c r="G798" s="1" t="s">
        <v>24</v>
      </c>
      <c r="H798" s="1">
        <v>675401</v>
      </c>
      <c r="I798" s="1">
        <v>808600</v>
      </c>
      <c r="J798" s="7">
        <v>0.83499999999999996</v>
      </c>
      <c r="K798" s="1" t="s">
        <v>21</v>
      </c>
      <c r="L798" s="1" t="s">
        <v>21</v>
      </c>
      <c r="M798" s="1" t="s">
        <v>29</v>
      </c>
      <c r="N798" s="1" t="s">
        <v>22</v>
      </c>
    </row>
    <row r="799" spans="1:14" x14ac:dyDescent="0.25">
      <c r="A799" s="1">
        <v>798</v>
      </c>
      <c r="B799" s="2" t="str">
        <f>HYPERLINK("https://leetcode.com/problems/smallest-rotation-with-highest-score/", "Smallest Rotation with Highest Score")</f>
        <v>Smallest Rotation with Highest Score</v>
      </c>
      <c r="C799" s="1">
        <v>564</v>
      </c>
      <c r="D799" s="1">
        <v>44</v>
      </c>
      <c r="E799" s="3">
        <f>IF(INDEX(C:C, ROW())+INDEX(D:D, ROW())=0, 0, INDEX(C:C, ROW())/(INDEX(C:C, ROW())+INDEX(D:D, ROW())))</f>
        <v>0.92763157894736847</v>
      </c>
      <c r="F799" s="1" t="s">
        <v>37</v>
      </c>
      <c r="G799" s="1" t="s">
        <v>28</v>
      </c>
      <c r="H799" s="1">
        <v>17867</v>
      </c>
      <c r="I799" s="1">
        <v>33450</v>
      </c>
      <c r="J799" s="7">
        <v>0.53400000000000003</v>
      </c>
      <c r="K799" s="1" t="s">
        <v>21</v>
      </c>
      <c r="L799" s="1" t="s">
        <v>21</v>
      </c>
      <c r="M799" s="1" t="s">
        <v>29</v>
      </c>
      <c r="N799" s="1" t="s">
        <v>22</v>
      </c>
    </row>
    <row r="800" spans="1:14" x14ac:dyDescent="0.25">
      <c r="A800" s="1">
        <v>799</v>
      </c>
      <c r="B800" s="2" t="str">
        <f>HYPERLINK("https://leetcode.com/problems/champagne-tower/", "Champagne Tower")</f>
        <v>Champagne Tower</v>
      </c>
      <c r="C800" s="1">
        <v>4137</v>
      </c>
      <c r="D800" s="1">
        <v>232</v>
      </c>
      <c r="E800" s="3">
        <f>IF(INDEX(C:C, ROW())+INDEX(D:D, ROW())=0, 0, INDEX(C:C, ROW())/(INDEX(C:C, ROW())+INDEX(D:D, ROW())))</f>
        <v>0.94689860379949642</v>
      </c>
      <c r="F800" s="1" t="s">
        <v>251</v>
      </c>
      <c r="G800" s="1" t="s">
        <v>24</v>
      </c>
      <c r="H800" s="1">
        <v>245931</v>
      </c>
      <c r="I800" s="1">
        <v>383990</v>
      </c>
      <c r="J800" s="7">
        <v>0.64</v>
      </c>
      <c r="K800" s="1" t="s">
        <v>21</v>
      </c>
      <c r="L800" s="1" t="s">
        <v>21</v>
      </c>
      <c r="M800" s="1" t="s">
        <v>29</v>
      </c>
      <c r="N800" s="1" t="s">
        <v>22</v>
      </c>
    </row>
    <row r="801" spans="1:14" x14ac:dyDescent="0.25">
      <c r="A801" s="1">
        <v>800</v>
      </c>
      <c r="B801" s="2" t="str">
        <f>HYPERLINK("https://leetcode.com/problems/similar-rgb-color/", "Similar RGB Color")</f>
        <v>Similar RGB Color</v>
      </c>
      <c r="C801" s="1">
        <v>112</v>
      </c>
      <c r="D801" s="1">
        <v>692</v>
      </c>
      <c r="E801" s="3">
        <f>IF(INDEX(C:C, ROW())+INDEX(D:D, ROW())=0, 0, INDEX(C:C, ROW())/(INDEX(C:C, ROW())+INDEX(D:D, ROW())))</f>
        <v>0.13930348258706468</v>
      </c>
      <c r="F801" s="1" t="s">
        <v>1002</v>
      </c>
      <c r="G801" s="1" t="s">
        <v>20</v>
      </c>
      <c r="H801" s="1">
        <v>18456</v>
      </c>
      <c r="I801" s="1">
        <v>27172</v>
      </c>
      <c r="J801" s="7">
        <v>0.67900000000000005</v>
      </c>
      <c r="K801" s="1" t="s">
        <v>29</v>
      </c>
      <c r="L801" s="1" t="s">
        <v>21</v>
      </c>
      <c r="M801" s="1" t="s">
        <v>29</v>
      </c>
      <c r="N801" s="1" t="s">
        <v>22</v>
      </c>
    </row>
    <row r="802" spans="1:14" x14ac:dyDescent="0.25">
      <c r="A802" s="1">
        <v>801</v>
      </c>
      <c r="B802" s="2" t="str">
        <f>HYPERLINK("https://leetcode.com/problems/minimum-swaps-to-make-sequences-increasing/", "Minimum Swaps To Make Sequences Increasing")</f>
        <v>Minimum Swaps To Make Sequences Increasing</v>
      </c>
      <c r="C802" s="1">
        <v>2940</v>
      </c>
      <c r="D802" s="1">
        <v>138</v>
      </c>
      <c r="E802" s="3">
        <f>IF(INDEX(C:C, ROW())+INDEX(D:D, ROW())=0, 0, INDEX(C:C, ROW())/(INDEX(C:C, ROW())+INDEX(D:D, ROW())))</f>
        <v>0.95516569200779722</v>
      </c>
      <c r="F802" s="1" t="s">
        <v>30</v>
      </c>
      <c r="G802" s="1" t="s">
        <v>28</v>
      </c>
      <c r="H802" s="1">
        <v>97039</v>
      </c>
      <c r="I802" s="1">
        <v>234929</v>
      </c>
      <c r="J802" s="7">
        <v>0.41299999999999998</v>
      </c>
      <c r="K802" s="1" t="s">
        <v>21</v>
      </c>
      <c r="L802" s="1" t="s">
        <v>21</v>
      </c>
      <c r="M802" s="1" t="s">
        <v>29</v>
      </c>
      <c r="N802" s="1" t="s">
        <v>22</v>
      </c>
    </row>
    <row r="803" spans="1:14" x14ac:dyDescent="0.25">
      <c r="A803" s="1">
        <v>802</v>
      </c>
      <c r="B803" s="2" t="str">
        <f>HYPERLINK("https://leetcode.com/problems/find-eventual-safe-states/", "Find Eventual Safe States")</f>
        <v>Find Eventual Safe States</v>
      </c>
      <c r="C803" s="1">
        <v>6970</v>
      </c>
      <c r="D803" s="1">
        <v>524</v>
      </c>
      <c r="E803" s="3">
        <f>IF(INDEX(C:C, ROW())+INDEX(D:D, ROW())=0, 0, INDEX(C:C, ROW())/(INDEX(C:C, ROW())+INDEX(D:D, ROW())))</f>
        <v>0.93007739524953292</v>
      </c>
      <c r="F803" s="1" t="s">
        <v>72</v>
      </c>
      <c r="G803" s="1" t="s">
        <v>24</v>
      </c>
      <c r="H803" s="1">
        <v>548585</v>
      </c>
      <c r="I803" s="1">
        <v>780410</v>
      </c>
      <c r="J803" s="7">
        <v>0.70299999999999996</v>
      </c>
      <c r="K803" s="1" t="s">
        <v>21</v>
      </c>
      <c r="L803" s="1" t="s">
        <v>21</v>
      </c>
      <c r="M803" s="1" t="s">
        <v>29</v>
      </c>
      <c r="N803" s="1" t="s">
        <v>22</v>
      </c>
    </row>
    <row r="804" spans="1:14" x14ac:dyDescent="0.25">
      <c r="A804" s="1">
        <v>803</v>
      </c>
      <c r="B804" s="2" t="str">
        <f>HYPERLINK("https://leetcode.com/problems/bricks-falling-when-hit/", "Bricks Falling When Hit")</f>
        <v>Bricks Falling When Hit</v>
      </c>
      <c r="C804" s="1">
        <v>1201</v>
      </c>
      <c r="D804" s="1">
        <v>191</v>
      </c>
      <c r="E804" s="3">
        <f>IF(INDEX(C:C, ROW())+INDEX(D:D, ROW())=0, 0, INDEX(C:C, ROW())/(INDEX(C:C, ROW())+INDEX(D:D, ROW())))</f>
        <v>0.86278735632183912</v>
      </c>
      <c r="F804" s="1" t="s">
        <v>655</v>
      </c>
      <c r="G804" s="1" t="s">
        <v>28</v>
      </c>
      <c r="H804" s="1">
        <v>37559</v>
      </c>
      <c r="I804" s="1">
        <v>101735</v>
      </c>
      <c r="J804" s="7">
        <v>0.36899999999999999</v>
      </c>
      <c r="K804" s="1" t="s">
        <v>21</v>
      </c>
      <c r="L804" s="1" t="s">
        <v>21</v>
      </c>
      <c r="M804" s="1" t="s">
        <v>29</v>
      </c>
      <c r="N804" s="1" t="s">
        <v>22</v>
      </c>
    </row>
    <row r="805" spans="1:14" x14ac:dyDescent="0.25">
      <c r="A805" s="1">
        <v>804</v>
      </c>
      <c r="B805" s="2" t="str">
        <f>HYPERLINK("https://leetcode.com/problems/unique-morse-code-words/", "Unique Morse Code Words")</f>
        <v>Unique Morse Code Words</v>
      </c>
      <c r="C805" s="1">
        <v>2610</v>
      </c>
      <c r="D805" s="1">
        <v>1554</v>
      </c>
      <c r="E805" s="3">
        <f>IF(INDEX(C:C, ROW())+INDEX(D:D, ROW())=0, 0, INDEX(C:C, ROW())/(INDEX(C:C, ROW())+INDEX(D:D, ROW())))</f>
        <v>0.62680115273775217</v>
      </c>
      <c r="F805" s="1" t="s">
        <v>258</v>
      </c>
      <c r="G805" s="1" t="s">
        <v>20</v>
      </c>
      <c r="H805" s="1">
        <v>403616</v>
      </c>
      <c r="I805" s="1">
        <v>483097</v>
      </c>
      <c r="J805" s="7">
        <v>0.83499999999999996</v>
      </c>
      <c r="K805" s="1" t="s">
        <v>21</v>
      </c>
      <c r="L805" s="1" t="s">
        <v>21</v>
      </c>
      <c r="M805" s="1" t="s">
        <v>29</v>
      </c>
      <c r="N805" s="1" t="s">
        <v>22</v>
      </c>
    </row>
    <row r="806" spans="1:14" x14ac:dyDescent="0.25">
      <c r="A806" s="1">
        <v>805</v>
      </c>
      <c r="B806" s="2" t="str">
        <f>HYPERLINK("https://leetcode.com/problems/split-array-with-same-average/", "Split Array With Same Average")</f>
        <v>Split Array With Same Average</v>
      </c>
      <c r="C806" s="1">
        <v>1341</v>
      </c>
      <c r="D806" s="1">
        <v>142</v>
      </c>
      <c r="E806" s="3">
        <f>IF(INDEX(C:C, ROW())+INDEX(D:D, ROW())=0, 0, INDEX(C:C, ROW())/(INDEX(C:C, ROW())+INDEX(D:D, ROW())))</f>
        <v>0.90424814565070799</v>
      </c>
      <c r="F806" s="1" t="s">
        <v>625</v>
      </c>
      <c r="G806" s="1" t="s">
        <v>28</v>
      </c>
      <c r="H806" s="1">
        <v>46436</v>
      </c>
      <c r="I806" s="1">
        <v>173361</v>
      </c>
      <c r="J806" s="7">
        <v>0.26800000000000002</v>
      </c>
      <c r="K806" s="1" t="s">
        <v>21</v>
      </c>
      <c r="L806" s="1" t="s">
        <v>21</v>
      </c>
      <c r="M806" s="1" t="s">
        <v>29</v>
      </c>
      <c r="N806" s="1" t="s">
        <v>22</v>
      </c>
    </row>
    <row r="807" spans="1:14" x14ac:dyDescent="0.25">
      <c r="A807" s="1">
        <v>806</v>
      </c>
      <c r="B807" s="2" t="str">
        <f>HYPERLINK("https://leetcode.com/problems/number-of-lines-to-write-string/", "Number of Lines To Write String")</f>
        <v>Number of Lines To Write String</v>
      </c>
      <c r="C807" s="1">
        <v>665</v>
      </c>
      <c r="D807" s="1">
        <v>1354</v>
      </c>
      <c r="E807" s="3">
        <f>IF(INDEX(C:C, ROW())+INDEX(D:D, ROW())=0, 0, INDEX(C:C, ROW())/(INDEX(C:C, ROW())+INDEX(D:D, ROW())))</f>
        <v>0.32937097573055968</v>
      </c>
      <c r="F807" s="1" t="s">
        <v>369</v>
      </c>
      <c r="G807" s="1" t="s">
        <v>20</v>
      </c>
      <c r="H807" s="1">
        <v>111255</v>
      </c>
      <c r="I807" s="1">
        <v>154256</v>
      </c>
      <c r="J807" s="7">
        <v>0.72099999999999997</v>
      </c>
      <c r="K807" s="1" t="s">
        <v>21</v>
      </c>
      <c r="L807" s="1" t="s">
        <v>21</v>
      </c>
      <c r="M807" s="1" t="s">
        <v>29</v>
      </c>
      <c r="N807" s="1" t="s">
        <v>22</v>
      </c>
    </row>
    <row r="808" spans="1:14" x14ac:dyDescent="0.25">
      <c r="A808" s="1">
        <v>807</v>
      </c>
      <c r="B808" s="2" t="str">
        <f>HYPERLINK("https://leetcode.com/problems/max-increase-to-keep-city-skyline/", "Max Increase to Keep City Skyline")</f>
        <v>Max Increase to Keep City Skyline</v>
      </c>
      <c r="C808" s="1">
        <v>2662</v>
      </c>
      <c r="D808" s="1">
        <v>546</v>
      </c>
      <c r="E808" s="3">
        <f>IF(INDEX(C:C, ROW())+INDEX(D:D, ROW())=0, 0, INDEX(C:C, ROW())/(INDEX(C:C, ROW())+INDEX(D:D, ROW())))</f>
        <v>0.82980049875311723</v>
      </c>
      <c r="F808" s="1" t="s">
        <v>405</v>
      </c>
      <c r="G808" s="1" t="s">
        <v>24</v>
      </c>
      <c r="H808" s="1">
        <v>186843</v>
      </c>
      <c r="I808" s="1">
        <v>216259</v>
      </c>
      <c r="J808" s="7">
        <v>0.86399999999999999</v>
      </c>
      <c r="K808" s="1" t="s">
        <v>21</v>
      </c>
      <c r="L808" s="1" t="s">
        <v>21</v>
      </c>
      <c r="M808" s="1" t="s">
        <v>29</v>
      </c>
      <c r="N808" s="1" t="s">
        <v>22</v>
      </c>
    </row>
    <row r="809" spans="1:14" x14ac:dyDescent="0.25">
      <c r="A809" s="1">
        <v>808</v>
      </c>
      <c r="B809" s="2" t="str">
        <f>HYPERLINK("https://leetcode.com/problems/soup-servings/", "Soup Servings")</f>
        <v>Soup Servings</v>
      </c>
      <c r="C809" s="1">
        <v>1453</v>
      </c>
      <c r="D809" s="1">
        <v>3942</v>
      </c>
      <c r="E809" s="3">
        <f>IF(INDEX(C:C, ROW())+INDEX(D:D, ROW())=0, 0, INDEX(C:C, ROW())/(INDEX(C:C, ROW())+INDEX(D:D, ROW())))</f>
        <v>0.26932344763670063</v>
      </c>
      <c r="F809" s="1" t="s">
        <v>600</v>
      </c>
      <c r="G809" s="1" t="s">
        <v>24</v>
      </c>
      <c r="H809" s="1">
        <v>149795</v>
      </c>
      <c r="I809" s="1">
        <v>250930</v>
      </c>
      <c r="J809" s="7">
        <v>0.59699999999999998</v>
      </c>
      <c r="K809" s="1" t="s">
        <v>21</v>
      </c>
      <c r="L809" s="1" t="s">
        <v>21</v>
      </c>
      <c r="M809" s="1" t="s">
        <v>29</v>
      </c>
      <c r="N809" s="1" t="s">
        <v>22</v>
      </c>
    </row>
    <row r="810" spans="1:14" x14ac:dyDescent="0.25">
      <c r="A810" s="1">
        <v>809</v>
      </c>
      <c r="B810" s="2" t="str">
        <f>HYPERLINK("https://leetcode.com/problems/expressive-words/", "Expressive Words")</f>
        <v>Expressive Words</v>
      </c>
      <c r="C810" s="1">
        <v>911</v>
      </c>
      <c r="D810" s="1">
        <v>1950</v>
      </c>
      <c r="E810" s="3">
        <f>IF(INDEX(C:C, ROW())+INDEX(D:D, ROW())=0, 0, INDEX(C:C, ROW())/(INDEX(C:C, ROW())+INDEX(D:D, ROW())))</f>
        <v>0.31842013282069209</v>
      </c>
      <c r="F810" s="1" t="s">
        <v>360</v>
      </c>
      <c r="G810" s="1" t="s">
        <v>24</v>
      </c>
      <c r="H810" s="1">
        <v>134749</v>
      </c>
      <c r="I810" s="1">
        <v>288481</v>
      </c>
      <c r="J810" s="7">
        <v>0.46700000000000003</v>
      </c>
      <c r="K810" s="1" t="s">
        <v>21</v>
      </c>
      <c r="L810" s="1" t="s">
        <v>21</v>
      </c>
      <c r="M810" s="1" t="s">
        <v>29</v>
      </c>
      <c r="N810" s="1" t="s">
        <v>22</v>
      </c>
    </row>
    <row r="811" spans="1:14" x14ac:dyDescent="0.25">
      <c r="A811" s="1">
        <v>810</v>
      </c>
      <c r="B811" s="2" t="str">
        <f>HYPERLINK("https://leetcode.com/problems/chalkboard-xor-game/", "Chalkboard XOR Game")</f>
        <v>Chalkboard XOR Game</v>
      </c>
      <c r="C811" s="1">
        <v>246</v>
      </c>
      <c r="D811" s="1">
        <v>287</v>
      </c>
      <c r="E811" s="3">
        <f>IF(INDEX(C:C, ROW())+INDEX(D:D, ROW())=0, 0, INDEX(C:C, ROW())/(INDEX(C:C, ROW())+INDEX(D:D, ROW())))</f>
        <v>0.46153846153846156</v>
      </c>
      <c r="F811" s="1" t="s">
        <v>1068</v>
      </c>
      <c r="G811" s="1" t="s">
        <v>28</v>
      </c>
      <c r="H811" s="1">
        <v>18548</v>
      </c>
      <c r="I811" s="1">
        <v>28266</v>
      </c>
      <c r="J811" s="7">
        <v>0.65600000000000003</v>
      </c>
      <c r="K811" s="1" t="s">
        <v>21</v>
      </c>
      <c r="L811" s="1" t="s">
        <v>21</v>
      </c>
      <c r="M811" s="1" t="s">
        <v>29</v>
      </c>
      <c r="N811" s="1" t="s">
        <v>22</v>
      </c>
    </row>
    <row r="812" spans="1:14" x14ac:dyDescent="0.25">
      <c r="A812" s="1">
        <v>811</v>
      </c>
      <c r="B812" s="2" t="str">
        <f>HYPERLINK("https://leetcode.com/problems/subdomain-visit-count/", "Subdomain Visit Count")</f>
        <v>Subdomain Visit Count</v>
      </c>
      <c r="C812" s="1">
        <v>1596</v>
      </c>
      <c r="D812" s="1">
        <v>1308</v>
      </c>
      <c r="E812" s="3">
        <f>IF(INDEX(C:C, ROW())+INDEX(D:D, ROW())=0, 0, INDEX(C:C, ROW())/(INDEX(C:C, ROW())+INDEX(D:D, ROW())))</f>
        <v>0.54958677685950408</v>
      </c>
      <c r="F812" s="1" t="s">
        <v>467</v>
      </c>
      <c r="G812" s="1" t="s">
        <v>24</v>
      </c>
      <c r="H812" s="1">
        <v>260228</v>
      </c>
      <c r="I812" s="1">
        <v>337248</v>
      </c>
      <c r="J812" s="7">
        <v>0.77200000000000002</v>
      </c>
      <c r="K812" s="1" t="s">
        <v>21</v>
      </c>
      <c r="L812" s="1" t="s">
        <v>21</v>
      </c>
      <c r="M812" s="1" t="s">
        <v>29</v>
      </c>
      <c r="N812" s="1" t="s">
        <v>22</v>
      </c>
    </row>
    <row r="813" spans="1:14" x14ac:dyDescent="0.25">
      <c r="A813" s="1">
        <v>812</v>
      </c>
      <c r="B813" s="2" t="str">
        <f>HYPERLINK("https://leetcode.com/problems/largest-triangle-area/", "Largest Triangle Area")</f>
        <v>Largest Triangle Area</v>
      </c>
      <c r="C813" s="1">
        <v>843</v>
      </c>
      <c r="D813" s="1">
        <v>1739</v>
      </c>
      <c r="E813" s="3">
        <f>IF(INDEX(C:C, ROW())+INDEX(D:D, ROW())=0, 0, INDEX(C:C, ROW())/(INDEX(C:C, ROW())+INDEX(D:D, ROW())))</f>
        <v>0.32649109217660727</v>
      </c>
      <c r="F813" s="1" t="s">
        <v>397</v>
      </c>
      <c r="G813" s="1" t="s">
        <v>20</v>
      </c>
      <c r="H813" s="1">
        <v>176401</v>
      </c>
      <c r="I813" s="1">
        <v>246784</v>
      </c>
      <c r="J813" s="7">
        <v>0.71499999999999997</v>
      </c>
      <c r="K813" s="1" t="s">
        <v>21</v>
      </c>
      <c r="L813" s="1" t="s">
        <v>21</v>
      </c>
      <c r="M813" s="1" t="s">
        <v>29</v>
      </c>
      <c r="N813" s="1" t="s">
        <v>22</v>
      </c>
    </row>
    <row r="814" spans="1:14" x14ac:dyDescent="0.25">
      <c r="A814" s="1">
        <v>813</v>
      </c>
      <c r="B814" s="2" t="str">
        <f>HYPERLINK("https://leetcode.com/problems/largest-sum-of-averages/", "Largest Sum of Averages")</f>
        <v>Largest Sum of Averages</v>
      </c>
      <c r="C814" s="1">
        <v>2199</v>
      </c>
      <c r="D814" s="1">
        <v>104</v>
      </c>
      <c r="E814" s="3">
        <f>IF(INDEX(C:C, ROW())+INDEX(D:D, ROW())=0, 0, INDEX(C:C, ROW())/(INDEX(C:C, ROW())+INDEX(D:D, ROW())))</f>
        <v>0.95484151107251414</v>
      </c>
      <c r="F814" s="1" t="s">
        <v>407</v>
      </c>
      <c r="G814" s="1" t="s">
        <v>24</v>
      </c>
      <c r="H814" s="1">
        <v>65998</v>
      </c>
      <c r="I814" s="1">
        <v>120409</v>
      </c>
      <c r="J814" s="7">
        <v>0.54800000000000004</v>
      </c>
      <c r="K814" s="1" t="s">
        <v>21</v>
      </c>
      <c r="L814" s="1" t="s">
        <v>21</v>
      </c>
      <c r="M814" s="1" t="s">
        <v>29</v>
      </c>
      <c r="N814" s="1" t="s">
        <v>22</v>
      </c>
    </row>
    <row r="815" spans="1:14" x14ac:dyDescent="0.25">
      <c r="A815" s="1">
        <v>814</v>
      </c>
      <c r="B815" s="2" t="str">
        <f>HYPERLINK("https://leetcode.com/problems/binary-tree-pruning/", "Binary Tree Pruning")</f>
        <v>Binary Tree Pruning</v>
      </c>
      <c r="C815" s="1">
        <v>4663</v>
      </c>
      <c r="D815" s="1">
        <v>122</v>
      </c>
      <c r="E815" s="3">
        <f>IF(INDEX(C:C, ROW())+INDEX(D:D, ROW())=0, 0, INDEX(C:C, ROW())/(INDEX(C:C, ROW())+INDEX(D:D, ROW())))</f>
        <v>0.97450365726227794</v>
      </c>
      <c r="F815" s="1" t="s">
        <v>67</v>
      </c>
      <c r="G815" s="1" t="s">
        <v>24</v>
      </c>
      <c r="H815" s="1">
        <v>283896</v>
      </c>
      <c r="I815" s="1">
        <v>391857</v>
      </c>
      <c r="J815" s="7">
        <v>0.72399999999999998</v>
      </c>
      <c r="K815" s="1" t="s">
        <v>21</v>
      </c>
      <c r="L815" s="1" t="s">
        <v>21</v>
      </c>
      <c r="M815" s="1" t="s">
        <v>29</v>
      </c>
      <c r="N815" s="1" t="s">
        <v>22</v>
      </c>
    </row>
    <row r="816" spans="1:14" x14ac:dyDescent="0.25">
      <c r="A816" s="1">
        <v>815</v>
      </c>
      <c r="B816" s="2" t="str">
        <f>HYPERLINK("https://leetcode.com/problems/bus-routes/", "Bus Routes")</f>
        <v>Bus Routes</v>
      </c>
      <c r="C816" s="1">
        <v>4661</v>
      </c>
      <c r="D816" s="1">
        <v>135</v>
      </c>
      <c r="E816" s="3">
        <f>IF(INDEX(C:C, ROW())+INDEX(D:D, ROW())=0, 0, INDEX(C:C, ROW())/(INDEX(C:C, ROW())+INDEX(D:D, ROW())))</f>
        <v>0.97185154295246035</v>
      </c>
      <c r="F816" s="1" t="s">
        <v>276</v>
      </c>
      <c r="G816" s="1" t="s">
        <v>28</v>
      </c>
      <c r="H816" s="1">
        <v>279198</v>
      </c>
      <c r="I816" s="1">
        <v>592441</v>
      </c>
      <c r="J816" s="7">
        <v>0.47099999999999997</v>
      </c>
      <c r="K816" s="1" t="s">
        <v>21</v>
      </c>
      <c r="L816" s="1" t="s">
        <v>21</v>
      </c>
      <c r="M816" s="1" t="s">
        <v>29</v>
      </c>
      <c r="N816" s="1" t="s">
        <v>22</v>
      </c>
    </row>
    <row r="817" spans="1:14" x14ac:dyDescent="0.25">
      <c r="A817" s="1">
        <v>816</v>
      </c>
      <c r="B817" s="2" t="str">
        <f>HYPERLINK("https://leetcode.com/problems/ambiguous-coordinates/", "Ambiguous Coordinates")</f>
        <v>Ambiguous Coordinates</v>
      </c>
      <c r="C817" s="1">
        <v>340</v>
      </c>
      <c r="D817" s="1">
        <v>668</v>
      </c>
      <c r="E817" s="3">
        <f>IF(INDEX(C:C, ROW())+INDEX(D:D, ROW())=0, 0, INDEX(C:C, ROW())/(INDEX(C:C, ROW())+INDEX(D:D, ROW())))</f>
        <v>0.33730158730158732</v>
      </c>
      <c r="F817" s="1" t="s">
        <v>876</v>
      </c>
      <c r="G817" s="1" t="s">
        <v>24</v>
      </c>
      <c r="H817" s="1">
        <v>34545</v>
      </c>
      <c r="I817" s="1">
        <v>61209</v>
      </c>
      <c r="J817" s="7">
        <v>0.56399999999999995</v>
      </c>
      <c r="K817" s="1" t="s">
        <v>21</v>
      </c>
      <c r="L817" s="1" t="s">
        <v>21</v>
      </c>
      <c r="M817" s="1" t="s">
        <v>29</v>
      </c>
      <c r="N817" s="1" t="s">
        <v>22</v>
      </c>
    </row>
    <row r="818" spans="1:14" x14ac:dyDescent="0.25">
      <c r="A818" s="1">
        <v>817</v>
      </c>
      <c r="B818" s="2" t="str">
        <f>HYPERLINK("https://leetcode.com/problems/linked-list-components/", "Linked List Components")</f>
        <v>Linked List Components</v>
      </c>
      <c r="C818" s="1">
        <v>1194</v>
      </c>
      <c r="D818" s="1">
        <v>2290</v>
      </c>
      <c r="E818" s="3">
        <f>IF(INDEX(C:C, ROW())+INDEX(D:D, ROW())=0, 0, INDEX(C:C, ROW())/(INDEX(C:C, ROW())+INDEX(D:D, ROW())))</f>
        <v>0.34270952927669346</v>
      </c>
      <c r="F818" s="1" t="s">
        <v>656</v>
      </c>
      <c r="G818" s="1" t="s">
        <v>24</v>
      </c>
      <c r="H818" s="1">
        <v>122408</v>
      </c>
      <c r="I818" s="1">
        <v>212004</v>
      </c>
      <c r="J818" s="7">
        <v>0.57699999999999996</v>
      </c>
      <c r="K818" s="1" t="s">
        <v>21</v>
      </c>
      <c r="L818" s="1" t="s">
        <v>21</v>
      </c>
      <c r="M818" s="1" t="s">
        <v>29</v>
      </c>
      <c r="N818" s="1" t="s">
        <v>22</v>
      </c>
    </row>
    <row r="819" spans="1:14" x14ac:dyDescent="0.25">
      <c r="A819" s="1">
        <v>818</v>
      </c>
      <c r="B819" s="2" t="str">
        <f>HYPERLINK("https://leetcode.com/problems/race-car/", "Race Car")</f>
        <v>Race Car</v>
      </c>
      <c r="C819" s="1">
        <v>2014</v>
      </c>
      <c r="D819" s="1">
        <v>190</v>
      </c>
      <c r="E819" s="3">
        <f>IF(INDEX(C:C, ROW())+INDEX(D:D, ROW())=0, 0, INDEX(C:C, ROW())/(INDEX(C:C, ROW())+INDEX(D:D, ROW())))</f>
        <v>0.91379310344827591</v>
      </c>
      <c r="F819" s="1" t="s">
        <v>251</v>
      </c>
      <c r="G819" s="1" t="s">
        <v>28</v>
      </c>
      <c r="H819" s="1">
        <v>105113</v>
      </c>
      <c r="I819" s="1">
        <v>235666</v>
      </c>
      <c r="J819" s="7">
        <v>0.44600000000000001</v>
      </c>
      <c r="K819" s="1" t="s">
        <v>21</v>
      </c>
      <c r="L819" s="1" t="s">
        <v>21</v>
      </c>
      <c r="M819" s="1" t="s">
        <v>29</v>
      </c>
      <c r="N819" s="1" t="s">
        <v>22</v>
      </c>
    </row>
    <row r="820" spans="1:14" x14ac:dyDescent="0.25">
      <c r="A820" s="1">
        <v>819</v>
      </c>
      <c r="B820" s="2" t="str">
        <f>HYPERLINK("https://leetcode.com/problems/most-common-word/", "Most Common Word")</f>
        <v>Most Common Word</v>
      </c>
      <c r="C820" s="1">
        <v>1842</v>
      </c>
      <c r="D820" s="1">
        <v>3118</v>
      </c>
      <c r="E820" s="3">
        <f>IF(INDEX(C:C, ROW())+INDEX(D:D, ROW())=0, 0, INDEX(C:C, ROW())/(INDEX(C:C, ROW())+INDEX(D:D, ROW())))</f>
        <v>0.37137096774193551</v>
      </c>
      <c r="F820" s="1" t="s">
        <v>467</v>
      </c>
      <c r="G820" s="1" t="s">
        <v>20</v>
      </c>
      <c r="H820" s="1">
        <v>445560</v>
      </c>
      <c r="I820" s="1">
        <v>990431</v>
      </c>
      <c r="J820" s="7">
        <v>0.45</v>
      </c>
      <c r="K820" s="1" t="s">
        <v>21</v>
      </c>
      <c r="L820" s="1" t="s">
        <v>21</v>
      </c>
      <c r="M820" s="1" t="s">
        <v>29</v>
      </c>
      <c r="N820" s="1" t="s">
        <v>22</v>
      </c>
    </row>
    <row r="821" spans="1:14" x14ac:dyDescent="0.25">
      <c r="A821" s="1">
        <v>820</v>
      </c>
      <c r="B821" s="2" t="str">
        <f>HYPERLINK("https://leetcode.com/problems/short-encoding-of-words/", "Short Encoding of Words")</f>
        <v>Short Encoding of Words</v>
      </c>
      <c r="C821" s="1">
        <v>1783</v>
      </c>
      <c r="D821" s="1">
        <v>671</v>
      </c>
      <c r="E821" s="3">
        <f>IF(INDEX(C:C, ROW())+INDEX(D:D, ROW())=0, 0, INDEX(C:C, ROW())/(INDEX(C:C, ROW())+INDEX(D:D, ROW())))</f>
        <v>0.72656886715566427</v>
      </c>
      <c r="F821" s="1" t="s">
        <v>279</v>
      </c>
      <c r="G821" s="1" t="s">
        <v>24</v>
      </c>
      <c r="H821" s="1">
        <v>105176</v>
      </c>
      <c r="I821" s="1">
        <v>172935</v>
      </c>
      <c r="J821" s="7">
        <v>0.60799999999999998</v>
      </c>
      <c r="K821" s="1" t="s">
        <v>21</v>
      </c>
      <c r="L821" s="1" t="s">
        <v>21</v>
      </c>
      <c r="M821" s="1" t="s">
        <v>29</v>
      </c>
      <c r="N821" s="1" t="s">
        <v>22</v>
      </c>
    </row>
    <row r="822" spans="1:14" x14ac:dyDescent="0.25">
      <c r="A822" s="1">
        <v>821</v>
      </c>
      <c r="B822" s="2" t="str">
        <f>HYPERLINK("https://leetcode.com/problems/shortest-distance-to-a-character/", "Shortest Distance to a Character")</f>
        <v>Shortest Distance to a Character</v>
      </c>
      <c r="C822" s="1">
        <v>3316</v>
      </c>
      <c r="D822" s="1">
        <v>193</v>
      </c>
      <c r="E822" s="3">
        <f>IF(INDEX(C:C, ROW())+INDEX(D:D, ROW())=0, 0, INDEX(C:C, ROW())/(INDEX(C:C, ROW())+INDEX(D:D, ROW())))</f>
        <v>0.94499857509261898</v>
      </c>
      <c r="F822" s="1" t="s">
        <v>360</v>
      </c>
      <c r="G822" s="1" t="s">
        <v>20</v>
      </c>
      <c r="H822" s="1">
        <v>237130</v>
      </c>
      <c r="I822" s="1">
        <v>326392</v>
      </c>
      <c r="J822" s="7">
        <v>0.72699999999999998</v>
      </c>
      <c r="K822" s="1" t="s">
        <v>21</v>
      </c>
      <c r="L822" s="1" t="s">
        <v>21</v>
      </c>
      <c r="M822" s="1" t="s">
        <v>29</v>
      </c>
      <c r="N822" s="1" t="s">
        <v>22</v>
      </c>
    </row>
    <row r="823" spans="1:14" x14ac:dyDescent="0.25">
      <c r="A823" s="1">
        <v>822</v>
      </c>
      <c r="B823" s="2" t="str">
        <f>HYPERLINK("https://leetcode.com/problems/card-flipping-game/", "Card Flipping Game")</f>
        <v>Card Flipping Game</v>
      </c>
      <c r="C823" s="1">
        <v>191</v>
      </c>
      <c r="D823" s="1">
        <v>795</v>
      </c>
      <c r="E823" s="3">
        <f>IF(INDEX(C:C, ROW())+INDEX(D:D, ROW())=0, 0, INDEX(C:C, ROW())/(INDEX(C:C, ROW())+INDEX(D:D, ROW())))</f>
        <v>0.19371196754563894</v>
      </c>
      <c r="F823" s="1" t="s">
        <v>19</v>
      </c>
      <c r="G823" s="1" t="s">
        <v>24</v>
      </c>
      <c r="H823" s="1">
        <v>25485</v>
      </c>
      <c r="I823" s="1">
        <v>51145</v>
      </c>
      <c r="J823" s="7">
        <v>0.498</v>
      </c>
      <c r="K823" s="1" t="s">
        <v>21</v>
      </c>
      <c r="L823" s="1" t="s">
        <v>21</v>
      </c>
      <c r="M823" s="1" t="s">
        <v>29</v>
      </c>
      <c r="N823" s="1" t="s">
        <v>22</v>
      </c>
    </row>
    <row r="824" spans="1:14" x14ac:dyDescent="0.25">
      <c r="A824" s="1">
        <v>823</v>
      </c>
      <c r="B824" s="2" t="str">
        <f>HYPERLINK("https://leetcode.com/problems/binary-trees-with-factors/", "Binary Trees With Factors")</f>
        <v>Binary Trees With Factors</v>
      </c>
      <c r="C824" s="1">
        <v>3369</v>
      </c>
      <c r="D824" s="1">
        <v>262</v>
      </c>
      <c r="E824" s="3">
        <f>IF(INDEX(C:C, ROW())+INDEX(D:D, ROW())=0, 0, INDEX(C:C, ROW())/(INDEX(C:C, ROW())+INDEX(D:D, ROW())))</f>
        <v>0.92784356926466538</v>
      </c>
      <c r="F824" s="1" t="s">
        <v>356</v>
      </c>
      <c r="G824" s="1" t="s">
        <v>24</v>
      </c>
      <c r="H824" s="1">
        <v>158986</v>
      </c>
      <c r="I824" s="1">
        <v>299599</v>
      </c>
      <c r="J824" s="7">
        <v>0.53100000000000003</v>
      </c>
      <c r="K824" s="1" t="s">
        <v>21</v>
      </c>
      <c r="L824" s="1" t="s">
        <v>21</v>
      </c>
      <c r="M824" s="1" t="s">
        <v>29</v>
      </c>
      <c r="N824" s="1" t="s">
        <v>22</v>
      </c>
    </row>
    <row r="825" spans="1:14" x14ac:dyDescent="0.25">
      <c r="A825" s="1">
        <v>824</v>
      </c>
      <c r="B825" s="2" t="str">
        <f>HYPERLINK("https://leetcode.com/problems/goat-latin/", "Goat Latin")</f>
        <v>Goat Latin</v>
      </c>
      <c r="C825" s="1">
        <v>1028</v>
      </c>
      <c r="D825" s="1">
        <v>1301</v>
      </c>
      <c r="E825" s="3">
        <f>IF(INDEX(C:C, ROW())+INDEX(D:D, ROW())=0, 0, INDEX(C:C, ROW())/(INDEX(C:C, ROW())+INDEX(D:D, ROW())))</f>
        <v>0.44139115500214682</v>
      </c>
      <c r="F825" s="1" t="s">
        <v>146</v>
      </c>
      <c r="G825" s="1" t="s">
        <v>20</v>
      </c>
      <c r="H825" s="1">
        <v>241073</v>
      </c>
      <c r="I825" s="1">
        <v>344866</v>
      </c>
      <c r="J825" s="7">
        <v>0.69899999999999995</v>
      </c>
      <c r="K825" s="1" t="s">
        <v>21</v>
      </c>
      <c r="L825" s="1" t="s">
        <v>21</v>
      </c>
      <c r="M825" s="1" t="s">
        <v>29</v>
      </c>
      <c r="N825" s="1" t="s">
        <v>22</v>
      </c>
    </row>
    <row r="826" spans="1:14" x14ac:dyDescent="0.25">
      <c r="A826" s="1">
        <v>825</v>
      </c>
      <c r="B826" s="2" t="str">
        <f>HYPERLINK("https://leetcode.com/problems/friends-of-appropriate-ages/", "Friends Of Appropriate Ages")</f>
        <v>Friends Of Appropriate Ages</v>
      </c>
      <c r="C826" s="1">
        <v>879</v>
      </c>
      <c r="D826" s="1">
        <v>1275</v>
      </c>
      <c r="E826" s="3">
        <f>IF(INDEX(C:C, ROW())+INDEX(D:D, ROW())=0, 0, INDEX(C:C, ROW())/(INDEX(C:C, ROW())+INDEX(D:D, ROW())))</f>
        <v>0.40807799442896936</v>
      </c>
      <c r="F826" s="1" t="s">
        <v>277</v>
      </c>
      <c r="G826" s="1" t="s">
        <v>24</v>
      </c>
      <c r="H826" s="1">
        <v>128211</v>
      </c>
      <c r="I826" s="1">
        <v>257241</v>
      </c>
      <c r="J826" s="7">
        <v>0.498</v>
      </c>
      <c r="K826" s="1" t="s">
        <v>21</v>
      </c>
      <c r="L826" s="1" t="s">
        <v>21</v>
      </c>
      <c r="M826" s="1" t="s">
        <v>29</v>
      </c>
      <c r="N826" s="1" t="s">
        <v>22</v>
      </c>
    </row>
    <row r="827" spans="1:14" x14ac:dyDescent="0.25">
      <c r="A827" s="1">
        <v>826</v>
      </c>
      <c r="B827" s="2" t="str">
        <f>HYPERLINK("https://leetcode.com/problems/most-profit-assigning-work/", "Most Profit Assigning Work")</f>
        <v>Most Profit Assigning Work</v>
      </c>
      <c r="C827" s="1">
        <v>2535</v>
      </c>
      <c r="D827" s="1">
        <v>174</v>
      </c>
      <c r="E827" s="3">
        <f>IF(INDEX(C:C, ROW())+INDEX(D:D, ROW())=0, 0, INDEX(C:C, ROW())/(INDEX(C:C, ROW())+INDEX(D:D, ROW())))</f>
        <v>0.93576965669988921</v>
      </c>
      <c r="F827" s="1" t="s">
        <v>290</v>
      </c>
      <c r="G827" s="1" t="s">
        <v>24</v>
      </c>
      <c r="H827" s="1">
        <v>242198</v>
      </c>
      <c r="I827" s="1">
        <v>431466</v>
      </c>
      <c r="J827" s="7">
        <v>0.56100000000000005</v>
      </c>
      <c r="K827" s="1" t="s">
        <v>21</v>
      </c>
      <c r="L827" s="1" t="s">
        <v>21</v>
      </c>
      <c r="M827" s="1" t="s">
        <v>29</v>
      </c>
      <c r="N827" s="1" t="s">
        <v>22</v>
      </c>
    </row>
    <row r="828" spans="1:14" x14ac:dyDescent="0.25">
      <c r="A828" s="1">
        <v>827</v>
      </c>
      <c r="B828" s="2" t="str">
        <f>HYPERLINK("https://leetcode.com/problems/making-a-large-island/", "Making A Large Island")</f>
        <v>Making A Large Island</v>
      </c>
      <c r="C828" s="1">
        <v>5008</v>
      </c>
      <c r="D828" s="1">
        <v>99</v>
      </c>
      <c r="E828" s="3">
        <f>IF(INDEX(C:C, ROW())+INDEX(D:D, ROW())=0, 0, INDEX(C:C, ROW())/(INDEX(C:C, ROW())+INDEX(D:D, ROW())))</f>
        <v>0.98061484237321328</v>
      </c>
      <c r="F828" s="1" t="s">
        <v>40</v>
      </c>
      <c r="G828" s="1" t="s">
        <v>28</v>
      </c>
      <c r="H828" s="1">
        <v>410883</v>
      </c>
      <c r="I828" s="1">
        <v>730259</v>
      </c>
      <c r="J828" s="7">
        <v>0.56299999999999994</v>
      </c>
      <c r="K828" s="1" t="s">
        <v>21</v>
      </c>
      <c r="L828" s="1" t="s">
        <v>21</v>
      </c>
      <c r="M828" s="1" t="s">
        <v>29</v>
      </c>
      <c r="N828" s="1" t="s">
        <v>22</v>
      </c>
    </row>
    <row r="829" spans="1:14" x14ac:dyDescent="0.25">
      <c r="A829" s="1">
        <v>828</v>
      </c>
      <c r="B829" s="2" t="str">
        <f>HYPERLINK("https://leetcode.com/problems/count-unique-characters-of-all-substrings-of-a-given-string/", "Count Unique Characters of All Substrings of a Given String")</f>
        <v>Count Unique Characters of All Substrings of a Given String</v>
      </c>
      <c r="C829" s="1">
        <v>2250</v>
      </c>
      <c r="D829" s="1">
        <v>257</v>
      </c>
      <c r="E829" s="3">
        <f>IF(INDEX(C:C, ROW())+INDEX(D:D, ROW())=0, 0, INDEX(C:C, ROW())/(INDEX(C:C, ROW())+INDEX(D:D, ROW())))</f>
        <v>0.89748703629836457</v>
      </c>
      <c r="F829" s="1" t="s">
        <v>466</v>
      </c>
      <c r="G829" s="1" t="s">
        <v>28</v>
      </c>
      <c r="H829" s="1">
        <v>83201</v>
      </c>
      <c r="I829" s="1">
        <v>155565</v>
      </c>
      <c r="J829" s="7">
        <v>0.53500000000000003</v>
      </c>
      <c r="K829" s="1" t="s">
        <v>21</v>
      </c>
      <c r="L829" s="1" t="s">
        <v>21</v>
      </c>
      <c r="M829" s="1" t="s">
        <v>29</v>
      </c>
      <c r="N829" s="1" t="s">
        <v>22</v>
      </c>
    </row>
    <row r="830" spans="1:14" x14ac:dyDescent="0.25">
      <c r="A830" s="1">
        <v>829</v>
      </c>
      <c r="B830" s="2" t="str">
        <f>HYPERLINK("https://leetcode.com/problems/consecutive-numbers-sum/", "Consecutive Numbers Sum")</f>
        <v>Consecutive Numbers Sum</v>
      </c>
      <c r="C830" s="1">
        <v>1449</v>
      </c>
      <c r="D830" s="1">
        <v>1394</v>
      </c>
      <c r="E830" s="3">
        <f>IF(INDEX(C:C, ROW())+INDEX(D:D, ROW())=0, 0, INDEX(C:C, ROW())/(INDEX(C:C, ROW())+INDEX(D:D, ROW())))</f>
        <v>0.5096728807597608</v>
      </c>
      <c r="F830" s="1" t="s">
        <v>602</v>
      </c>
      <c r="G830" s="1" t="s">
        <v>28</v>
      </c>
      <c r="H830" s="1">
        <v>100430</v>
      </c>
      <c r="I830" s="1">
        <v>235920</v>
      </c>
      <c r="J830" s="7">
        <v>0.42599999999999999</v>
      </c>
      <c r="K830" s="1" t="s">
        <v>21</v>
      </c>
      <c r="L830" s="1" t="s">
        <v>21</v>
      </c>
      <c r="M830" s="1" t="s">
        <v>29</v>
      </c>
      <c r="N830" s="1" t="s">
        <v>22</v>
      </c>
    </row>
    <row r="831" spans="1:14" x14ac:dyDescent="0.25">
      <c r="A831" s="1">
        <v>830</v>
      </c>
      <c r="B831" s="2" t="str">
        <f>HYPERLINK("https://leetcode.com/problems/positions-of-large-groups/", "Positions of Large Groups")</f>
        <v>Positions of Large Groups</v>
      </c>
      <c r="C831" s="1">
        <v>925</v>
      </c>
      <c r="D831" s="1">
        <v>127</v>
      </c>
      <c r="E831" s="3">
        <f>IF(INDEX(C:C, ROW())+INDEX(D:D, ROW())=0, 0, INDEX(C:C, ROW())/(INDEX(C:C, ROW())+INDEX(D:D, ROW())))</f>
        <v>0.87927756653992395</v>
      </c>
      <c r="F831" s="1" t="s">
        <v>146</v>
      </c>
      <c r="G831" s="1" t="s">
        <v>20</v>
      </c>
      <c r="H831" s="1">
        <v>118590</v>
      </c>
      <c r="I831" s="1">
        <v>220672</v>
      </c>
      <c r="J831" s="7">
        <v>0.53700000000000003</v>
      </c>
      <c r="K831" s="1" t="s">
        <v>21</v>
      </c>
      <c r="L831" s="1" t="s">
        <v>21</v>
      </c>
      <c r="M831" s="1" t="s">
        <v>29</v>
      </c>
      <c r="N831" s="1" t="s">
        <v>22</v>
      </c>
    </row>
    <row r="832" spans="1:14" x14ac:dyDescent="0.25">
      <c r="A832" s="1">
        <v>831</v>
      </c>
      <c r="B832" s="2" t="str">
        <f>HYPERLINK("https://leetcode.com/problems/masking-personal-information/", "Masking Personal Information")</f>
        <v>Masking Personal Information</v>
      </c>
      <c r="C832" s="1">
        <v>199</v>
      </c>
      <c r="D832" s="1">
        <v>469</v>
      </c>
      <c r="E832" s="3">
        <f>IF(INDEX(C:C, ROW())+INDEX(D:D, ROW())=0, 0, INDEX(C:C, ROW())/(INDEX(C:C, ROW())+INDEX(D:D, ROW())))</f>
        <v>0.29790419161676646</v>
      </c>
      <c r="F832" s="1" t="s">
        <v>146</v>
      </c>
      <c r="G832" s="1" t="s">
        <v>24</v>
      </c>
      <c r="H832" s="1">
        <v>32139</v>
      </c>
      <c r="I832" s="1">
        <v>59505</v>
      </c>
      <c r="J832" s="7">
        <v>0.54</v>
      </c>
      <c r="K832" s="1" t="s">
        <v>21</v>
      </c>
      <c r="L832" s="1" t="s">
        <v>21</v>
      </c>
      <c r="M832" s="1" t="s">
        <v>29</v>
      </c>
      <c r="N832" s="1" t="s">
        <v>22</v>
      </c>
    </row>
    <row r="833" spans="1:14" x14ac:dyDescent="0.25">
      <c r="A833" s="1">
        <v>832</v>
      </c>
      <c r="B833" s="2" t="str">
        <f>HYPERLINK("https://leetcode.com/problems/flipping-an-image/", "Flipping an Image")</f>
        <v>Flipping an Image</v>
      </c>
      <c r="C833" s="1">
        <v>3698</v>
      </c>
      <c r="D833" s="1">
        <v>260</v>
      </c>
      <c r="E833" s="3">
        <f>IF(INDEX(C:C, ROW())+INDEX(D:D, ROW())=0, 0, INDEX(C:C, ROW())/(INDEX(C:C, ROW())+INDEX(D:D, ROW())))</f>
        <v>0.93431025770591203</v>
      </c>
      <c r="F833" s="1" t="s">
        <v>332</v>
      </c>
      <c r="G833" s="1" t="s">
        <v>20</v>
      </c>
      <c r="H833" s="1">
        <v>546641</v>
      </c>
      <c r="I833" s="1">
        <v>654191</v>
      </c>
      <c r="J833" s="7">
        <v>0.83599999999999997</v>
      </c>
      <c r="K833" s="1" t="s">
        <v>21</v>
      </c>
      <c r="L833" s="1" t="s">
        <v>21</v>
      </c>
      <c r="M833" s="1" t="s">
        <v>29</v>
      </c>
      <c r="N833" s="1" t="s">
        <v>22</v>
      </c>
    </row>
    <row r="834" spans="1:14" x14ac:dyDescent="0.25">
      <c r="A834" s="1">
        <v>833</v>
      </c>
      <c r="B834" s="2" t="str">
        <f>HYPERLINK("https://leetcode.com/problems/find-and-replace-in-string/", "Find And Replace in String")</f>
        <v>Find And Replace in String</v>
      </c>
      <c r="C834" s="1">
        <v>1243</v>
      </c>
      <c r="D834" s="1">
        <v>1046</v>
      </c>
      <c r="E834" s="3">
        <f>IF(INDEX(C:C, ROW())+INDEX(D:D, ROW())=0, 0, INDEX(C:C, ROW())/(INDEX(C:C, ROW())+INDEX(D:D, ROW())))</f>
        <v>0.54303189165574484</v>
      </c>
      <c r="F834" s="1" t="s">
        <v>49</v>
      </c>
      <c r="G834" s="1" t="s">
        <v>24</v>
      </c>
      <c r="H834" s="1">
        <v>167922</v>
      </c>
      <c r="I834" s="1">
        <v>329776</v>
      </c>
      <c r="J834" s="7">
        <v>0.50900000000000001</v>
      </c>
      <c r="K834" s="1" t="s">
        <v>21</v>
      </c>
      <c r="L834" s="1" t="s">
        <v>29</v>
      </c>
      <c r="M834" s="1" t="s">
        <v>29</v>
      </c>
      <c r="N834" s="1" t="s">
        <v>22</v>
      </c>
    </row>
    <row r="835" spans="1:14" x14ac:dyDescent="0.25">
      <c r="A835" s="1">
        <v>834</v>
      </c>
      <c r="B835" s="2" t="str">
        <f>HYPERLINK("https://leetcode.com/problems/sum-of-distances-in-tree/", "Sum of Distances in Tree")</f>
        <v>Sum of Distances in Tree</v>
      </c>
      <c r="C835" s="1">
        <v>5944</v>
      </c>
      <c r="D835" s="1">
        <v>139</v>
      </c>
      <c r="E835" s="3">
        <f>IF(INDEX(C:C, ROW())+INDEX(D:D, ROW())=0, 0, INDEX(C:C, ROW())/(INDEX(C:C, ROW())+INDEX(D:D, ROW())))</f>
        <v>0.97714943284563538</v>
      </c>
      <c r="F835" s="1" t="s">
        <v>230</v>
      </c>
      <c r="G835" s="1" t="s">
        <v>28</v>
      </c>
      <c r="H835" s="1">
        <v>180760</v>
      </c>
      <c r="I835" s="1">
        <v>276039</v>
      </c>
      <c r="J835" s="7">
        <v>0.65500000000000003</v>
      </c>
      <c r="K835" s="1" t="s">
        <v>21</v>
      </c>
      <c r="L835" s="1" t="s">
        <v>21</v>
      </c>
      <c r="M835" s="1" t="s">
        <v>29</v>
      </c>
      <c r="N835" s="1" t="s">
        <v>22</v>
      </c>
    </row>
    <row r="836" spans="1:14" x14ac:dyDescent="0.25">
      <c r="A836" s="1">
        <v>835</v>
      </c>
      <c r="B836" s="2" t="str">
        <f>HYPERLINK("https://leetcode.com/problems/image-overlap/", "Image Overlap")</f>
        <v>Image Overlap</v>
      </c>
      <c r="C836" s="1">
        <v>1406</v>
      </c>
      <c r="D836" s="1">
        <v>504</v>
      </c>
      <c r="E836" s="3">
        <f>IF(INDEX(C:C, ROW())+INDEX(D:D, ROW())=0, 0, INDEX(C:C, ROW())/(INDEX(C:C, ROW())+INDEX(D:D, ROW())))</f>
        <v>0.73612565445026179</v>
      </c>
      <c r="F836" s="1" t="s">
        <v>266</v>
      </c>
      <c r="G836" s="1" t="s">
        <v>24</v>
      </c>
      <c r="H836" s="1">
        <v>104835</v>
      </c>
      <c r="I836" s="1">
        <v>163867</v>
      </c>
      <c r="J836" s="7">
        <v>0.64</v>
      </c>
      <c r="K836" s="1" t="s">
        <v>21</v>
      </c>
      <c r="L836" s="1" t="s">
        <v>21</v>
      </c>
      <c r="M836" s="1" t="s">
        <v>29</v>
      </c>
      <c r="N836" s="1" t="s">
        <v>22</v>
      </c>
    </row>
    <row r="837" spans="1:14" x14ac:dyDescent="0.25">
      <c r="A837" s="1">
        <v>836</v>
      </c>
      <c r="B837" s="2" t="str">
        <f>HYPERLINK("https://leetcode.com/problems/rectangle-overlap/", "Rectangle Overlap")</f>
        <v>Rectangle Overlap</v>
      </c>
      <c r="C837" s="1">
        <v>2086</v>
      </c>
      <c r="D837" s="1">
        <v>483</v>
      </c>
      <c r="E837" s="3">
        <f>IF(INDEX(C:C, ROW())+INDEX(D:D, ROW())=0, 0, INDEX(C:C, ROW())/(INDEX(C:C, ROW())+INDEX(D:D, ROW())))</f>
        <v>0.81198910081743869</v>
      </c>
      <c r="F837" s="1" t="s">
        <v>477</v>
      </c>
      <c r="G837" s="1" t="s">
        <v>20</v>
      </c>
      <c r="H837" s="1">
        <v>180335</v>
      </c>
      <c r="I837" s="1">
        <v>388188</v>
      </c>
      <c r="J837" s="7">
        <v>0.46500000000000002</v>
      </c>
      <c r="K837" s="1" t="s">
        <v>21</v>
      </c>
      <c r="L837" s="1" t="s">
        <v>21</v>
      </c>
      <c r="M837" s="1" t="s">
        <v>29</v>
      </c>
      <c r="N837" s="1" t="s">
        <v>22</v>
      </c>
    </row>
    <row r="838" spans="1:14" x14ac:dyDescent="0.25">
      <c r="A838" s="1">
        <v>837</v>
      </c>
      <c r="B838" s="2" t="str">
        <f>HYPERLINK("https://leetcode.com/problems/new-21-game/", "New 21 Game")</f>
        <v>New 21 Game</v>
      </c>
      <c r="C838" s="1">
        <v>2492</v>
      </c>
      <c r="D838" s="1">
        <v>2004</v>
      </c>
      <c r="E838" s="3">
        <f>IF(INDEX(C:C, ROW())+INDEX(D:D, ROW())=0, 0, INDEX(C:C, ROW())/(INDEX(C:C, ROW())+INDEX(D:D, ROW())))</f>
        <v>0.55427046263345192</v>
      </c>
      <c r="F838" s="1" t="s">
        <v>426</v>
      </c>
      <c r="G838" s="1" t="s">
        <v>24</v>
      </c>
      <c r="H838" s="1">
        <v>160028</v>
      </c>
      <c r="I838" s="1">
        <v>307929</v>
      </c>
      <c r="J838" s="7">
        <v>0.52</v>
      </c>
      <c r="K838" s="1" t="s">
        <v>21</v>
      </c>
      <c r="L838" s="1" t="s">
        <v>21</v>
      </c>
      <c r="M838" s="1" t="s">
        <v>29</v>
      </c>
      <c r="N838" s="1" t="s">
        <v>22</v>
      </c>
    </row>
    <row r="839" spans="1:14" x14ac:dyDescent="0.25">
      <c r="A839" s="1">
        <v>838</v>
      </c>
      <c r="B839" s="2" t="str">
        <f>HYPERLINK("https://leetcode.com/problems/push-dominoes/", "Push Dominoes")</f>
        <v>Push Dominoes</v>
      </c>
      <c r="C839" s="1">
        <v>3950</v>
      </c>
      <c r="D839" s="1">
        <v>277</v>
      </c>
      <c r="E839" s="3">
        <f>IF(INDEX(C:C, ROW())+INDEX(D:D, ROW())=0, 0, INDEX(C:C, ROW())/(INDEX(C:C, ROW())+INDEX(D:D, ROW())))</f>
        <v>0.93446889046605153</v>
      </c>
      <c r="F839" s="1" t="s">
        <v>33</v>
      </c>
      <c r="G839" s="1" t="s">
        <v>24</v>
      </c>
      <c r="H839" s="1">
        <v>227832</v>
      </c>
      <c r="I839" s="1">
        <v>361554</v>
      </c>
      <c r="J839" s="7">
        <v>0.63</v>
      </c>
      <c r="K839" s="1" t="s">
        <v>21</v>
      </c>
      <c r="L839" s="1" t="s">
        <v>21</v>
      </c>
      <c r="M839" s="1" t="s">
        <v>29</v>
      </c>
      <c r="N839" s="1" t="s">
        <v>22</v>
      </c>
    </row>
    <row r="840" spans="1:14" x14ac:dyDescent="0.25">
      <c r="A840" s="1">
        <v>839</v>
      </c>
      <c r="B840" s="2" t="str">
        <f>HYPERLINK("https://leetcode.com/problems/similar-string-groups/", "Similar String Groups")</f>
        <v>Similar String Groups</v>
      </c>
      <c r="C840" s="1">
        <v>2460</v>
      </c>
      <c r="D840" s="1">
        <v>217</v>
      </c>
      <c r="E840" s="3">
        <f>IF(INDEX(C:C, ROW())+INDEX(D:D, ROW())=0, 0, INDEX(C:C, ROW())/(INDEX(C:C, ROW())+INDEX(D:D, ROW())))</f>
        <v>0.91893911094508773</v>
      </c>
      <c r="F840" s="1" t="s">
        <v>433</v>
      </c>
      <c r="G840" s="1" t="s">
        <v>28</v>
      </c>
      <c r="H840" s="1">
        <v>140758</v>
      </c>
      <c r="I840" s="1">
        <v>251063</v>
      </c>
      <c r="J840" s="7">
        <v>0.56100000000000005</v>
      </c>
      <c r="K840" s="1" t="s">
        <v>21</v>
      </c>
      <c r="L840" s="1" t="s">
        <v>21</v>
      </c>
      <c r="M840" s="1" t="s">
        <v>29</v>
      </c>
      <c r="N840" s="1" t="s">
        <v>22</v>
      </c>
    </row>
    <row r="841" spans="1:14" x14ac:dyDescent="0.25">
      <c r="A841" s="1">
        <v>840</v>
      </c>
      <c r="B841" s="2" t="str">
        <f>HYPERLINK("https://leetcode.com/problems/magic-squares-in-grid/", "Magic Squares In Grid")</f>
        <v>Magic Squares In Grid</v>
      </c>
      <c r="C841" s="1">
        <v>1105</v>
      </c>
      <c r="D841" s="1">
        <v>1901</v>
      </c>
      <c r="E841" s="3">
        <f>IF(INDEX(C:C, ROW())+INDEX(D:D, ROW())=0, 0, INDEX(C:C, ROW())/(INDEX(C:C, ROW())+INDEX(D:D, ROW())))</f>
        <v>0.3675981370592149</v>
      </c>
      <c r="F841" s="1" t="s">
        <v>685</v>
      </c>
      <c r="G841" s="1" t="s">
        <v>24</v>
      </c>
      <c r="H841" s="1">
        <v>225861</v>
      </c>
      <c r="I841" s="1">
        <v>409817</v>
      </c>
      <c r="J841" s="7">
        <v>0.55100000000000005</v>
      </c>
      <c r="K841" s="1" t="s">
        <v>21</v>
      </c>
      <c r="L841" s="1" t="s">
        <v>21</v>
      </c>
      <c r="M841" s="1" t="s">
        <v>29</v>
      </c>
      <c r="N841" s="1" t="s">
        <v>22</v>
      </c>
    </row>
    <row r="842" spans="1:14" x14ac:dyDescent="0.25">
      <c r="A842" s="1">
        <v>841</v>
      </c>
      <c r="B842" s="2" t="str">
        <f>HYPERLINK("https://leetcode.com/problems/keys-and-rooms/", "Keys and Rooms")</f>
        <v>Keys and Rooms</v>
      </c>
      <c r="C842" s="1">
        <v>6650</v>
      </c>
      <c r="D842" s="1">
        <v>300</v>
      </c>
      <c r="E842" s="3">
        <f>IF(INDEX(C:C, ROW())+INDEX(D:D, ROW())=0, 0, INDEX(C:C, ROW())/(INDEX(C:C, ROW())+INDEX(D:D, ROW())))</f>
        <v>0.95683453237410077</v>
      </c>
      <c r="F842" s="1" t="s">
        <v>212</v>
      </c>
      <c r="G842" s="1" t="s">
        <v>24</v>
      </c>
      <c r="H842" s="1">
        <v>667322</v>
      </c>
      <c r="I842" s="1">
        <v>883806</v>
      </c>
      <c r="J842" s="7">
        <v>0.755</v>
      </c>
      <c r="K842" s="1" t="s">
        <v>21</v>
      </c>
      <c r="L842" s="1" t="s">
        <v>21</v>
      </c>
      <c r="M842" s="1" t="s">
        <v>29</v>
      </c>
      <c r="N842" s="1" t="s">
        <v>22</v>
      </c>
    </row>
    <row r="843" spans="1:14" x14ac:dyDescent="0.25">
      <c r="A843" s="1">
        <v>842</v>
      </c>
      <c r="B843" s="2" t="str">
        <f>HYPERLINK("https://leetcode.com/problems/split-array-into-fibonacci-sequence/", "Split Array into Fibonacci Sequence")</f>
        <v>Split Array into Fibonacci Sequence</v>
      </c>
      <c r="C843" s="1">
        <v>1180</v>
      </c>
      <c r="D843" s="1">
        <v>309</v>
      </c>
      <c r="E843" s="3">
        <f>IF(INDEX(C:C, ROW())+INDEX(D:D, ROW())=0, 0, INDEX(C:C, ROW())/(INDEX(C:C, ROW())+INDEX(D:D, ROW())))</f>
        <v>0.7924781732706514</v>
      </c>
      <c r="F843" s="1" t="s">
        <v>238</v>
      </c>
      <c r="G843" s="1" t="s">
        <v>24</v>
      </c>
      <c r="H843" s="1">
        <v>46416</v>
      </c>
      <c r="I843" s="1">
        <v>115493</v>
      </c>
      <c r="J843" s="7">
        <v>0.40200000000000002</v>
      </c>
      <c r="K843" s="1" t="s">
        <v>21</v>
      </c>
      <c r="L843" s="1" t="s">
        <v>21</v>
      </c>
      <c r="M843" s="1" t="s">
        <v>29</v>
      </c>
      <c r="N843" s="1" t="s">
        <v>22</v>
      </c>
    </row>
    <row r="844" spans="1:14" x14ac:dyDescent="0.25">
      <c r="A844" s="1">
        <v>843</v>
      </c>
      <c r="B844" s="2" t="str">
        <f>HYPERLINK("https://leetcode.com/problems/guess-the-word/", "Guess the Word")</f>
        <v>Guess the Word</v>
      </c>
      <c r="C844" s="1">
        <v>1629</v>
      </c>
      <c r="D844" s="1">
        <v>1867</v>
      </c>
      <c r="E844" s="3">
        <f>IF(INDEX(C:C, ROW())+INDEX(D:D, ROW())=0, 0, INDEX(C:C, ROW())/(INDEX(C:C, ROW())+INDEX(D:D, ROW())))</f>
        <v>0.46596109839816935</v>
      </c>
      <c r="F844" s="1" t="s">
        <v>558</v>
      </c>
      <c r="G844" s="1" t="s">
        <v>28</v>
      </c>
      <c r="H844" s="1">
        <v>167627</v>
      </c>
      <c r="I844" s="1">
        <v>453909</v>
      </c>
      <c r="J844" s="7">
        <v>0.36899999999999999</v>
      </c>
      <c r="K844" s="1" t="s">
        <v>21</v>
      </c>
      <c r="L844" s="1" t="s">
        <v>29</v>
      </c>
      <c r="M844" s="1" t="s">
        <v>29</v>
      </c>
      <c r="N844" s="1" t="s">
        <v>22</v>
      </c>
    </row>
    <row r="845" spans="1:14" x14ac:dyDescent="0.25">
      <c r="A845" s="1">
        <v>844</v>
      </c>
      <c r="B845" s="2" t="str">
        <f>HYPERLINK("https://leetcode.com/problems/backspace-string-compare/", "Backspace String Compare")</f>
        <v>Backspace String Compare</v>
      </c>
      <c r="C845" s="1">
        <v>7907</v>
      </c>
      <c r="D845" s="1">
        <v>385</v>
      </c>
      <c r="E845" s="3">
        <f>IF(INDEX(C:C, ROW())+INDEX(D:D, ROW())=0, 0, INDEX(C:C, ROW())/(INDEX(C:C, ROW())+INDEX(D:D, ROW())))</f>
        <v>0.95356970574047273</v>
      </c>
      <c r="F845" s="1" t="s">
        <v>175</v>
      </c>
      <c r="G845" s="1" t="s">
        <v>20</v>
      </c>
      <c r="H845" s="1">
        <v>1026719</v>
      </c>
      <c r="I845" s="1">
        <v>2063642</v>
      </c>
      <c r="J845" s="7">
        <v>0.498</v>
      </c>
      <c r="K845" s="1" t="s">
        <v>21</v>
      </c>
      <c r="L845" s="1" t="s">
        <v>21</v>
      </c>
      <c r="M845" s="1" t="s">
        <v>29</v>
      </c>
      <c r="N845" s="1" t="s">
        <v>22</v>
      </c>
    </row>
    <row r="846" spans="1:14" x14ac:dyDescent="0.25">
      <c r="A846" s="1">
        <v>845</v>
      </c>
      <c r="B846" s="2" t="str">
        <f>HYPERLINK("https://leetcode.com/problems/longest-mountain-in-array/", "Longest Mountain in Array")</f>
        <v>Longest Mountain in Array</v>
      </c>
      <c r="C846" s="1">
        <v>3026</v>
      </c>
      <c r="D846" s="1">
        <v>92</v>
      </c>
      <c r="E846" s="3">
        <f>IF(INDEX(C:C, ROW())+INDEX(D:D, ROW())=0, 0, INDEX(C:C, ROW())/(INDEX(C:C, ROW())+INDEX(D:D, ROW())))</f>
        <v>0.97049390635022448</v>
      </c>
      <c r="F846" s="1" t="s">
        <v>376</v>
      </c>
      <c r="G846" s="1" t="s">
        <v>24</v>
      </c>
      <c r="H846" s="1">
        <v>193353</v>
      </c>
      <c r="I846" s="1">
        <v>461995</v>
      </c>
      <c r="J846" s="7">
        <v>0.41899999999999998</v>
      </c>
      <c r="K846" s="1" t="s">
        <v>21</v>
      </c>
      <c r="L846" s="1" t="s">
        <v>21</v>
      </c>
      <c r="M846" s="1" t="s">
        <v>29</v>
      </c>
      <c r="N846" s="1" t="s">
        <v>22</v>
      </c>
    </row>
    <row r="847" spans="1:14" x14ac:dyDescent="0.25">
      <c r="A847" s="1">
        <v>846</v>
      </c>
      <c r="B847" s="2" t="str">
        <f>HYPERLINK("https://leetcode.com/problems/hand-of-straights/", "Hand of Straights")</f>
        <v>Hand of Straights</v>
      </c>
      <c r="C847" s="1">
        <v>3688</v>
      </c>
      <c r="D847" s="1">
        <v>292</v>
      </c>
      <c r="E847" s="3">
        <f>IF(INDEX(C:C, ROW())+INDEX(D:D, ROW())=0, 0, INDEX(C:C, ROW())/(INDEX(C:C, ROW())+INDEX(D:D, ROW())))</f>
        <v>0.92663316582914568</v>
      </c>
      <c r="F847" s="1" t="s">
        <v>333</v>
      </c>
      <c r="G847" s="1" t="s">
        <v>24</v>
      </c>
      <c r="H847" s="1">
        <v>437050</v>
      </c>
      <c r="I847" s="1">
        <v>756183</v>
      </c>
      <c r="J847" s="7">
        <v>0.57799999999999996</v>
      </c>
      <c r="K847" s="1" t="s">
        <v>21</v>
      </c>
      <c r="L847" s="1" t="s">
        <v>21</v>
      </c>
      <c r="M847" s="1" t="s">
        <v>29</v>
      </c>
      <c r="N847" s="1" t="s">
        <v>22</v>
      </c>
    </row>
    <row r="848" spans="1:14" x14ac:dyDescent="0.25">
      <c r="A848" s="1">
        <v>847</v>
      </c>
      <c r="B848" s="2" t="str">
        <f>HYPERLINK("https://leetcode.com/problems/shortest-path-visiting-all-nodes/", "Shortest Path Visiting All Nodes")</f>
        <v>Shortest Path Visiting All Nodes</v>
      </c>
      <c r="C848" s="1">
        <v>4608</v>
      </c>
      <c r="D848" s="1">
        <v>181</v>
      </c>
      <c r="E848" s="3">
        <f>IF(INDEX(C:C, ROW())+INDEX(D:D, ROW())=0, 0, INDEX(C:C, ROW())/(INDEX(C:C, ROW())+INDEX(D:D, ROW())))</f>
        <v>0.96220505324702443</v>
      </c>
      <c r="F848" s="1" t="s">
        <v>280</v>
      </c>
      <c r="G848" s="1" t="s">
        <v>28</v>
      </c>
      <c r="H848" s="1">
        <v>147804</v>
      </c>
      <c r="I848" s="1">
        <v>224805</v>
      </c>
      <c r="J848" s="7">
        <v>0.65700000000000003</v>
      </c>
      <c r="K848" s="1" t="s">
        <v>21</v>
      </c>
      <c r="L848" s="1" t="s">
        <v>21</v>
      </c>
      <c r="M848" s="1" t="s">
        <v>29</v>
      </c>
      <c r="N848" s="1" t="s">
        <v>22</v>
      </c>
    </row>
    <row r="849" spans="1:14" x14ac:dyDescent="0.25">
      <c r="A849" s="1">
        <v>848</v>
      </c>
      <c r="B849" s="2" t="str">
        <f>HYPERLINK("https://leetcode.com/problems/shifting-letters/", "Shifting Letters")</f>
        <v>Shifting Letters</v>
      </c>
      <c r="C849" s="1">
        <v>1543</v>
      </c>
      <c r="D849" s="1">
        <v>142</v>
      </c>
      <c r="E849" s="3">
        <f>IF(INDEX(C:C, ROW())+INDEX(D:D, ROW())=0, 0, INDEX(C:C, ROW())/(INDEX(C:C, ROW())+INDEX(D:D, ROW())))</f>
        <v>0.91572700296735909</v>
      </c>
      <c r="F849" s="1" t="s">
        <v>372</v>
      </c>
      <c r="G849" s="1" t="s">
        <v>24</v>
      </c>
      <c r="H849" s="1">
        <v>133830</v>
      </c>
      <c r="I849" s="1">
        <v>290428</v>
      </c>
      <c r="J849" s="7">
        <v>0.46100000000000002</v>
      </c>
      <c r="K849" s="1" t="s">
        <v>21</v>
      </c>
      <c r="L849" s="1" t="s">
        <v>21</v>
      </c>
      <c r="M849" s="1" t="s">
        <v>29</v>
      </c>
      <c r="N849" s="1" t="s">
        <v>22</v>
      </c>
    </row>
    <row r="850" spans="1:14" x14ac:dyDescent="0.25">
      <c r="A850" s="1">
        <v>849</v>
      </c>
      <c r="B850" s="2" t="str">
        <f>HYPERLINK("https://leetcode.com/problems/maximize-distance-to-closest-person/", "Maximize Distance to Closest Person")</f>
        <v>Maximize Distance to Closest Person</v>
      </c>
      <c r="C850" s="1">
        <v>3329</v>
      </c>
      <c r="D850" s="1">
        <v>202</v>
      </c>
      <c r="E850" s="3">
        <f>IF(INDEX(C:C, ROW())+INDEX(D:D, ROW())=0, 0, INDEX(C:C, ROW())/(INDEX(C:C, ROW())+INDEX(D:D, ROW())))</f>
        <v>0.94279241008212966</v>
      </c>
      <c r="F850" s="1" t="s">
        <v>113</v>
      </c>
      <c r="G850" s="1" t="s">
        <v>24</v>
      </c>
      <c r="H850" s="1">
        <v>280752</v>
      </c>
      <c r="I850" s="1">
        <v>565962</v>
      </c>
      <c r="J850" s="7">
        <v>0.496</v>
      </c>
      <c r="K850" s="1" t="s">
        <v>21</v>
      </c>
      <c r="L850" s="1" t="s">
        <v>21</v>
      </c>
      <c r="M850" s="1" t="s">
        <v>29</v>
      </c>
      <c r="N850" s="1" t="s">
        <v>22</v>
      </c>
    </row>
    <row r="851" spans="1:14" x14ac:dyDescent="0.25">
      <c r="A851" s="1">
        <v>850</v>
      </c>
      <c r="B851" s="2" t="str">
        <f>HYPERLINK("https://leetcode.com/problems/rectangle-area-ii/", "Rectangle Area II")</f>
        <v>Rectangle Area II</v>
      </c>
      <c r="C851" s="1">
        <v>1041</v>
      </c>
      <c r="D851" s="1">
        <v>65</v>
      </c>
      <c r="E851" s="3">
        <f>IF(INDEX(C:C, ROW())+INDEX(D:D, ROW())=0, 0, INDEX(C:C, ROW())/(INDEX(C:C, ROW())+INDEX(D:D, ROW())))</f>
        <v>0.94122965641952983</v>
      </c>
      <c r="F851" s="1" t="s">
        <v>705</v>
      </c>
      <c r="G851" s="1" t="s">
        <v>28</v>
      </c>
      <c r="H851" s="1">
        <v>43352</v>
      </c>
      <c r="I851" s="1">
        <v>77529</v>
      </c>
      <c r="J851" s="7">
        <v>0.55900000000000005</v>
      </c>
      <c r="K851" s="1" t="s">
        <v>21</v>
      </c>
      <c r="L851" s="1" t="s">
        <v>21</v>
      </c>
      <c r="M851" s="1" t="s">
        <v>29</v>
      </c>
      <c r="N851" s="1" t="s">
        <v>22</v>
      </c>
    </row>
    <row r="852" spans="1:14" x14ac:dyDescent="0.25">
      <c r="A852" s="1">
        <v>851</v>
      </c>
      <c r="B852" s="2" t="str">
        <f>HYPERLINK("https://leetcode.com/problems/loud-and-rich/", "Loud and Rich")</f>
        <v>Loud and Rich</v>
      </c>
      <c r="C852" s="1">
        <v>1487</v>
      </c>
      <c r="D852" s="1">
        <v>876</v>
      </c>
      <c r="E852" s="3">
        <f>IF(INDEX(C:C, ROW())+INDEX(D:D, ROW())=0, 0, INDEX(C:C, ROW())/(INDEX(C:C, ROW())+INDEX(D:D, ROW())))</f>
        <v>0.62928480744815907</v>
      </c>
      <c r="F852" s="1" t="s">
        <v>593</v>
      </c>
      <c r="G852" s="1" t="s">
        <v>24</v>
      </c>
      <c r="H852" s="1">
        <v>75446</v>
      </c>
      <c r="I852" s="1">
        <v>119473</v>
      </c>
      <c r="J852" s="7">
        <v>0.63100000000000001</v>
      </c>
      <c r="K852" s="1" t="s">
        <v>21</v>
      </c>
      <c r="L852" s="1" t="s">
        <v>21</v>
      </c>
      <c r="M852" s="1" t="s">
        <v>29</v>
      </c>
      <c r="N852" s="1" t="s">
        <v>22</v>
      </c>
    </row>
    <row r="853" spans="1:14" x14ac:dyDescent="0.25">
      <c r="A853" s="1">
        <v>852</v>
      </c>
      <c r="B853" s="2" t="str">
        <f>HYPERLINK("https://leetcode.com/problems/peak-index-in-a-mountain-array/", "Peak Index in a Mountain Array")</f>
        <v>Peak Index in a Mountain Array</v>
      </c>
      <c r="C853" s="1">
        <v>8448</v>
      </c>
      <c r="D853" s="1">
        <v>1950</v>
      </c>
      <c r="E853" s="3">
        <f>IF(INDEX(C:C, ROW())+INDEX(D:D, ROW())=0, 0, INDEX(C:C, ROW())/(INDEX(C:C, ROW())+INDEX(D:D, ROW())))</f>
        <v>0.81246393537218697</v>
      </c>
      <c r="F853" s="1" t="s">
        <v>35</v>
      </c>
      <c r="G853" s="1" t="s">
        <v>24</v>
      </c>
      <c r="H853" s="1">
        <v>1162439</v>
      </c>
      <c r="I853" s="1">
        <v>1736847</v>
      </c>
      <c r="J853" s="7">
        <v>0.66900000000000004</v>
      </c>
      <c r="K853" s="1" t="s">
        <v>21</v>
      </c>
      <c r="L853" s="1" t="s">
        <v>21</v>
      </c>
      <c r="M853" s="1" t="s">
        <v>29</v>
      </c>
      <c r="N853" s="1" t="s">
        <v>22</v>
      </c>
    </row>
    <row r="854" spans="1:14" x14ac:dyDescent="0.25">
      <c r="A854" s="1">
        <v>853</v>
      </c>
      <c r="B854" s="2" t="str">
        <f>HYPERLINK("https://leetcode.com/problems/car-fleet/", "Car Fleet")</f>
        <v>Car Fleet</v>
      </c>
      <c r="C854" s="1">
        <v>4255</v>
      </c>
      <c r="D854" s="1">
        <v>1207</v>
      </c>
      <c r="E854" s="3">
        <f>IF(INDEX(C:C, ROW())+INDEX(D:D, ROW())=0, 0, INDEX(C:C, ROW())/(INDEX(C:C, ROW())+INDEX(D:D, ROW())))</f>
        <v>0.77901867447821316</v>
      </c>
      <c r="F854" s="1" t="s">
        <v>299</v>
      </c>
      <c r="G854" s="1" t="s">
        <v>24</v>
      </c>
      <c r="H854" s="1">
        <v>467067</v>
      </c>
      <c r="I854" s="1">
        <v>853362</v>
      </c>
      <c r="J854" s="7">
        <v>0.54700000000000004</v>
      </c>
      <c r="K854" s="1" t="s">
        <v>21</v>
      </c>
      <c r="L854" s="1" t="s">
        <v>21</v>
      </c>
      <c r="M854" s="1" t="s">
        <v>29</v>
      </c>
      <c r="N854" s="1" t="s">
        <v>22</v>
      </c>
    </row>
    <row r="855" spans="1:14" x14ac:dyDescent="0.25">
      <c r="A855" s="1">
        <v>854</v>
      </c>
      <c r="B855" s="2" t="str">
        <f>HYPERLINK("https://leetcode.com/problems/k-similar-strings/", "K-Similar Strings")</f>
        <v>K-Similar Strings</v>
      </c>
      <c r="C855" s="1">
        <v>1175</v>
      </c>
      <c r="D855" s="1">
        <v>63</v>
      </c>
      <c r="E855" s="3">
        <f>IF(INDEX(C:C, ROW())+INDEX(D:D, ROW())=0, 0, INDEX(C:C, ROW())/(INDEX(C:C, ROW())+INDEX(D:D, ROW())))</f>
        <v>0.94911147011308561</v>
      </c>
      <c r="F855" s="1" t="s">
        <v>95</v>
      </c>
      <c r="G855" s="1" t="s">
        <v>28</v>
      </c>
      <c r="H855" s="1">
        <v>53537</v>
      </c>
      <c r="I855" s="1">
        <v>131959</v>
      </c>
      <c r="J855" s="7">
        <v>0.40600000000000003</v>
      </c>
      <c r="K855" s="1" t="s">
        <v>21</v>
      </c>
      <c r="L855" s="1" t="s">
        <v>21</v>
      </c>
      <c r="M855" s="1" t="s">
        <v>29</v>
      </c>
      <c r="N855" s="1" t="s">
        <v>22</v>
      </c>
    </row>
    <row r="856" spans="1:14" x14ac:dyDescent="0.25">
      <c r="A856" s="1">
        <v>855</v>
      </c>
      <c r="B856" s="2" t="str">
        <f>HYPERLINK("https://leetcode.com/problems/exam-room/", "Exam Room")</f>
        <v>Exam Room</v>
      </c>
      <c r="C856" s="1">
        <v>1414</v>
      </c>
      <c r="D856" s="1">
        <v>524</v>
      </c>
      <c r="E856" s="3">
        <f>IF(INDEX(C:C, ROW())+INDEX(D:D, ROW())=0, 0, INDEX(C:C, ROW())/(INDEX(C:C, ROW())+INDEX(D:D, ROW())))</f>
        <v>0.72961816305469551</v>
      </c>
      <c r="F856" s="1" t="s">
        <v>611</v>
      </c>
      <c r="G856" s="1" t="s">
        <v>24</v>
      </c>
      <c r="H856" s="1">
        <v>73167</v>
      </c>
      <c r="I856" s="1">
        <v>169453</v>
      </c>
      <c r="J856" s="7">
        <v>0.432</v>
      </c>
      <c r="K856" s="1" t="s">
        <v>21</v>
      </c>
      <c r="L856" s="1" t="s">
        <v>21</v>
      </c>
      <c r="M856" s="1" t="s">
        <v>29</v>
      </c>
      <c r="N856" s="1" t="s">
        <v>22</v>
      </c>
    </row>
    <row r="857" spans="1:14" x14ac:dyDescent="0.25">
      <c r="A857" s="1">
        <v>856</v>
      </c>
      <c r="B857" s="2" t="str">
        <f>HYPERLINK("https://leetcode.com/problems/score-of-parentheses/", "Score of Parentheses")</f>
        <v>Score of Parentheses</v>
      </c>
      <c r="C857" s="1">
        <v>5597</v>
      </c>
      <c r="D857" s="1">
        <v>235</v>
      </c>
      <c r="E857" s="3">
        <f>IF(INDEX(C:C, ROW())+INDEX(D:D, ROW())=0, 0, INDEX(C:C, ROW())/(INDEX(C:C, ROW())+INDEX(D:D, ROW())))</f>
        <v>0.95970507544581618</v>
      </c>
      <c r="F857" s="1" t="s">
        <v>36</v>
      </c>
      <c r="G857" s="1" t="s">
        <v>24</v>
      </c>
      <c r="H857" s="1">
        <v>219331</v>
      </c>
      <c r="I857" s="1">
        <v>344639</v>
      </c>
      <c r="J857" s="7">
        <v>0.63600000000000001</v>
      </c>
      <c r="K857" s="1" t="s">
        <v>21</v>
      </c>
      <c r="L857" s="1" t="s">
        <v>21</v>
      </c>
      <c r="M857" s="1" t="s">
        <v>29</v>
      </c>
      <c r="N857" s="1" t="s">
        <v>22</v>
      </c>
    </row>
    <row r="858" spans="1:14" x14ac:dyDescent="0.25">
      <c r="A858" s="1">
        <v>857</v>
      </c>
      <c r="B858" s="2" t="str">
        <f>HYPERLINK("https://leetcode.com/problems/minimum-cost-to-hire-k-workers/", "Minimum Cost to Hire K Workers")</f>
        <v>Minimum Cost to Hire K Workers</v>
      </c>
      <c r="C858" s="1">
        <v>3046</v>
      </c>
      <c r="D858" s="1">
        <v>406</v>
      </c>
      <c r="E858" s="3">
        <f>IF(INDEX(C:C, ROW())+INDEX(D:D, ROW())=0, 0, INDEX(C:C, ROW())/(INDEX(C:C, ROW())+INDEX(D:D, ROW())))</f>
        <v>0.88238702201622243</v>
      </c>
      <c r="F858" s="1" t="s">
        <v>302</v>
      </c>
      <c r="G858" s="1" t="s">
        <v>28</v>
      </c>
      <c r="H858" s="1">
        <v>157905</v>
      </c>
      <c r="I858" s="1">
        <v>248292</v>
      </c>
      <c r="J858" s="7">
        <v>0.63600000000000001</v>
      </c>
      <c r="K858" s="1" t="s">
        <v>21</v>
      </c>
      <c r="L858" s="1" t="s">
        <v>21</v>
      </c>
      <c r="M858" s="1" t="s">
        <v>29</v>
      </c>
      <c r="N858" s="1" t="s">
        <v>22</v>
      </c>
    </row>
    <row r="859" spans="1:14" x14ac:dyDescent="0.25">
      <c r="A859" s="1">
        <v>858</v>
      </c>
      <c r="B859" s="2" t="str">
        <f>HYPERLINK("https://leetcode.com/problems/mirror-reflection/", "Mirror Reflection")</f>
        <v>Mirror Reflection</v>
      </c>
      <c r="C859" s="1">
        <v>1151</v>
      </c>
      <c r="D859" s="1">
        <v>2561</v>
      </c>
      <c r="E859" s="3">
        <f>IF(INDEX(C:C, ROW())+INDEX(D:D, ROW())=0, 0, INDEX(C:C, ROW())/(INDEX(C:C, ROW())+INDEX(D:D, ROW())))</f>
        <v>0.31007543103448276</v>
      </c>
      <c r="F859" s="1" t="s">
        <v>670</v>
      </c>
      <c r="G859" s="1" t="s">
        <v>24</v>
      </c>
      <c r="H859" s="1">
        <v>87215</v>
      </c>
      <c r="I859" s="1">
        <v>140959</v>
      </c>
      <c r="J859" s="7">
        <v>0.61899999999999999</v>
      </c>
      <c r="K859" s="1" t="s">
        <v>21</v>
      </c>
      <c r="L859" s="1" t="s">
        <v>21</v>
      </c>
      <c r="M859" s="1" t="s">
        <v>29</v>
      </c>
      <c r="N859" s="1" t="s">
        <v>22</v>
      </c>
    </row>
    <row r="860" spans="1:14" x14ac:dyDescent="0.25">
      <c r="A860" s="1">
        <v>859</v>
      </c>
      <c r="B860" s="2" t="str">
        <f>HYPERLINK("https://leetcode.com/problems/buddy-strings/", "Buddy Strings")</f>
        <v>Buddy Strings</v>
      </c>
      <c r="C860" s="1">
        <v>3346</v>
      </c>
      <c r="D860" s="1">
        <v>1848</v>
      </c>
      <c r="E860" s="3">
        <f>IF(INDEX(C:C, ROW())+INDEX(D:D, ROW())=0, 0, INDEX(C:C, ROW())/(INDEX(C:C, ROW())+INDEX(D:D, ROW())))</f>
        <v>0.64420485175202158</v>
      </c>
      <c r="F860" s="1" t="s">
        <v>131</v>
      </c>
      <c r="G860" s="1" t="s">
        <v>20</v>
      </c>
      <c r="H860" s="1">
        <v>291261</v>
      </c>
      <c r="I860" s="1">
        <v>858578</v>
      </c>
      <c r="J860" s="7">
        <v>0.33900000000000002</v>
      </c>
      <c r="K860" s="1" t="s">
        <v>21</v>
      </c>
      <c r="L860" s="1" t="s">
        <v>21</v>
      </c>
      <c r="M860" s="1" t="s">
        <v>29</v>
      </c>
      <c r="N860" s="1" t="s">
        <v>22</v>
      </c>
    </row>
    <row r="861" spans="1:14" x14ac:dyDescent="0.25">
      <c r="A861" s="1">
        <v>860</v>
      </c>
      <c r="B861" s="2" t="str">
        <f>HYPERLINK("https://leetcode.com/problems/lemonade-change/", "Lemonade Change")</f>
        <v>Lemonade Change</v>
      </c>
      <c r="C861" s="1">
        <v>3383</v>
      </c>
      <c r="D861" s="1">
        <v>216</v>
      </c>
      <c r="E861" s="3">
        <f>IF(INDEX(C:C, ROW())+INDEX(D:D, ROW())=0, 0, INDEX(C:C, ROW())/(INDEX(C:C, ROW())+INDEX(D:D, ROW())))</f>
        <v>0.9399833287024173</v>
      </c>
      <c r="F861" s="1" t="s">
        <v>96</v>
      </c>
      <c r="G861" s="1" t="s">
        <v>20</v>
      </c>
      <c r="H861" s="1">
        <v>561976</v>
      </c>
      <c r="I861" s="1">
        <v>953779</v>
      </c>
      <c r="J861" s="7">
        <v>0.58899999999999997</v>
      </c>
      <c r="K861" s="1" t="s">
        <v>21</v>
      </c>
      <c r="L861" s="1" t="s">
        <v>21</v>
      </c>
      <c r="M861" s="1" t="s">
        <v>29</v>
      </c>
      <c r="N861" s="1" t="s">
        <v>22</v>
      </c>
    </row>
    <row r="862" spans="1:14" x14ac:dyDescent="0.25">
      <c r="A862" s="1">
        <v>861</v>
      </c>
      <c r="B862" s="2" t="str">
        <f>HYPERLINK("https://leetcode.com/problems/score-after-flipping-matrix/", "Score After Flipping Matrix")</f>
        <v>Score After Flipping Matrix</v>
      </c>
      <c r="C862" s="1">
        <v>2479</v>
      </c>
      <c r="D862" s="1">
        <v>226</v>
      </c>
      <c r="E862" s="3">
        <f>IF(INDEX(C:C, ROW())+INDEX(D:D, ROW())=0, 0, INDEX(C:C, ROW())/(INDEX(C:C, ROW())+INDEX(D:D, ROW())))</f>
        <v>0.91645101663585948</v>
      </c>
      <c r="F862" s="1" t="s">
        <v>429</v>
      </c>
      <c r="G862" s="1" t="s">
        <v>24</v>
      </c>
      <c r="H862" s="1">
        <v>165994</v>
      </c>
      <c r="I862" s="1">
        <v>206725</v>
      </c>
      <c r="J862" s="7">
        <v>0.80300000000000005</v>
      </c>
      <c r="K862" s="1" t="s">
        <v>21</v>
      </c>
      <c r="L862" s="1" t="s">
        <v>21</v>
      </c>
      <c r="M862" s="1" t="s">
        <v>29</v>
      </c>
      <c r="N862" s="1" t="s">
        <v>22</v>
      </c>
    </row>
    <row r="863" spans="1:14" x14ac:dyDescent="0.25">
      <c r="A863" s="1">
        <v>862</v>
      </c>
      <c r="B863" s="2" t="str">
        <f>HYPERLINK("https://leetcode.com/problems/shortest-subarray-with-sum-at-least-k/", "Shortest Subarray with Sum at Least K")</f>
        <v>Shortest Subarray with Sum at Least K</v>
      </c>
      <c r="C863" s="1">
        <v>5166</v>
      </c>
      <c r="D863" s="1">
        <v>143</v>
      </c>
      <c r="E863" s="3">
        <f>IF(INDEX(C:C, ROW())+INDEX(D:D, ROW())=0, 0, INDEX(C:C, ROW())/(INDEX(C:C, ROW())+INDEX(D:D, ROW())))</f>
        <v>0.97306460727067245</v>
      </c>
      <c r="F863" s="1" t="s">
        <v>254</v>
      </c>
      <c r="G863" s="1" t="s">
        <v>28</v>
      </c>
      <c r="H863" s="1">
        <v>206594</v>
      </c>
      <c r="I863" s="1">
        <v>633640</v>
      </c>
      <c r="J863" s="7">
        <v>0.32600000000000001</v>
      </c>
      <c r="K863" s="1" t="s">
        <v>21</v>
      </c>
      <c r="L863" s="1" t="s">
        <v>21</v>
      </c>
      <c r="M863" s="1" t="s">
        <v>29</v>
      </c>
      <c r="N863" s="1" t="s">
        <v>22</v>
      </c>
    </row>
    <row r="864" spans="1:14" x14ac:dyDescent="0.25">
      <c r="A864" s="1">
        <v>863</v>
      </c>
      <c r="B864" s="2" t="str">
        <f>HYPERLINK("https://leetcode.com/problems/all-nodes-distance-k-in-binary-tree/", "All Nodes Distance K in Binary Tree")</f>
        <v>All Nodes Distance K in Binary Tree</v>
      </c>
      <c r="C864" s="1">
        <v>12058</v>
      </c>
      <c r="D864" s="1">
        <v>275</v>
      </c>
      <c r="E864" s="3">
        <f>IF(INDEX(C:C, ROW())+INDEX(D:D, ROW())=0, 0, INDEX(C:C, ROW())/(INDEX(C:C, ROW())+INDEX(D:D, ROW())))</f>
        <v>0.97770210005675828</v>
      </c>
      <c r="F864" s="1" t="s">
        <v>107</v>
      </c>
      <c r="G864" s="1" t="s">
        <v>24</v>
      </c>
      <c r="H864" s="1">
        <v>674733</v>
      </c>
      <c r="I864" s="1">
        <v>1000617</v>
      </c>
      <c r="J864" s="7">
        <v>0.67400000000000004</v>
      </c>
      <c r="K864" s="1" t="s">
        <v>21</v>
      </c>
      <c r="L864" s="1" t="s">
        <v>21</v>
      </c>
      <c r="M864" s="1" t="s">
        <v>29</v>
      </c>
      <c r="N864" s="1" t="s">
        <v>22</v>
      </c>
    </row>
    <row r="865" spans="1:14" x14ac:dyDescent="0.25">
      <c r="A865" s="1">
        <v>864</v>
      </c>
      <c r="B865" s="2" t="str">
        <f>HYPERLINK("https://leetcode.com/problems/shortest-path-to-get-all-keys/", "Shortest Path to Get All Keys")</f>
        <v>Shortest Path to Get All Keys</v>
      </c>
      <c r="C865" s="1">
        <v>2476</v>
      </c>
      <c r="D865" s="1">
        <v>107</v>
      </c>
      <c r="E865" s="3">
        <f>IF(INDEX(C:C, ROW())+INDEX(D:D, ROW())=0, 0, INDEX(C:C, ROW())/(INDEX(C:C, ROW())+INDEX(D:D, ROW())))</f>
        <v>0.95857530003871472</v>
      </c>
      <c r="F865" s="1" t="s">
        <v>431</v>
      </c>
      <c r="G865" s="1" t="s">
        <v>28</v>
      </c>
      <c r="H865" s="1">
        <v>93034</v>
      </c>
      <c r="I865" s="1">
        <v>171263</v>
      </c>
      <c r="J865" s="7">
        <v>0.54300000000000004</v>
      </c>
      <c r="K865" s="1" t="s">
        <v>21</v>
      </c>
      <c r="L865" s="1" t="s">
        <v>21</v>
      </c>
      <c r="M865" s="1" t="s">
        <v>29</v>
      </c>
      <c r="N865" s="1" t="s">
        <v>22</v>
      </c>
    </row>
    <row r="866" spans="1:14" x14ac:dyDescent="0.25">
      <c r="A866" s="1">
        <v>865</v>
      </c>
      <c r="B866" s="2" t="str">
        <f>HYPERLINK("https://leetcode.com/problems/smallest-subtree-with-all-the-deepest-nodes/", "Smallest Subtree with all the Deepest Nodes")</f>
        <v>Smallest Subtree with all the Deepest Nodes</v>
      </c>
      <c r="C866" s="1">
        <v>3259</v>
      </c>
      <c r="D866" s="1">
        <v>401</v>
      </c>
      <c r="E866" s="3">
        <f>IF(INDEX(C:C, ROW())+INDEX(D:D, ROW())=0, 0, INDEX(C:C, ROW())/(INDEX(C:C, ROW())+INDEX(D:D, ROW())))</f>
        <v>0.89043715846994531</v>
      </c>
      <c r="F866" s="1" t="s">
        <v>107</v>
      </c>
      <c r="G866" s="1" t="s">
        <v>24</v>
      </c>
      <c r="H866" s="1">
        <v>269375</v>
      </c>
      <c r="I866" s="1">
        <v>347544</v>
      </c>
      <c r="J866" s="7">
        <v>0.77500000000000002</v>
      </c>
      <c r="K866" s="1" t="s">
        <v>21</v>
      </c>
      <c r="L866" s="1" t="s">
        <v>21</v>
      </c>
      <c r="M866" s="1" t="s">
        <v>29</v>
      </c>
      <c r="N866" s="1" t="s">
        <v>22</v>
      </c>
    </row>
    <row r="867" spans="1:14" x14ac:dyDescent="0.25">
      <c r="A867" s="1">
        <v>866</v>
      </c>
      <c r="B867" s="2" t="str">
        <f>HYPERLINK("https://leetcode.com/problems/prime-palindrome/", "Prime Palindrome")</f>
        <v>Prime Palindrome</v>
      </c>
      <c r="C867" s="1">
        <v>516</v>
      </c>
      <c r="D867" s="1">
        <v>844</v>
      </c>
      <c r="E867" s="3">
        <f>IF(INDEX(C:C, ROW())+INDEX(D:D, ROW())=0, 0, INDEX(C:C, ROW())/(INDEX(C:C, ROW())+INDEX(D:D, ROW())))</f>
        <v>0.37941176470588234</v>
      </c>
      <c r="F867" s="1" t="s">
        <v>513</v>
      </c>
      <c r="G867" s="1" t="s">
        <v>24</v>
      </c>
      <c r="H867" s="1">
        <v>48485</v>
      </c>
      <c r="I867" s="1">
        <v>173490</v>
      </c>
      <c r="J867" s="7">
        <v>0.27900000000000003</v>
      </c>
      <c r="K867" s="1" t="s">
        <v>21</v>
      </c>
      <c r="L867" s="1" t="s">
        <v>21</v>
      </c>
      <c r="M867" s="1" t="s">
        <v>29</v>
      </c>
      <c r="N867" s="1" t="s">
        <v>22</v>
      </c>
    </row>
    <row r="868" spans="1:14" x14ac:dyDescent="0.25">
      <c r="A868" s="1">
        <v>867</v>
      </c>
      <c r="B868" s="2" t="str">
        <f>HYPERLINK("https://leetcode.com/problems/transpose-matrix/", "Transpose Matrix")</f>
        <v>Transpose Matrix</v>
      </c>
      <c r="C868" s="1">
        <v>4163</v>
      </c>
      <c r="D868" s="1">
        <v>459</v>
      </c>
      <c r="E868" s="3">
        <f>IF(INDEX(C:C, ROW())+INDEX(D:D, ROW())=0, 0, INDEX(C:C, ROW())/(INDEX(C:C, ROW())+INDEX(D:D, ROW())))</f>
        <v>0.9006923409779316</v>
      </c>
      <c r="F868" s="1" t="s">
        <v>77</v>
      </c>
      <c r="G868" s="1" t="s">
        <v>20</v>
      </c>
      <c r="H868" s="1">
        <v>578311</v>
      </c>
      <c r="I868" s="1">
        <v>762058</v>
      </c>
      <c r="J868" s="7">
        <v>0.75900000000000001</v>
      </c>
      <c r="K868" s="1" t="s">
        <v>21</v>
      </c>
      <c r="L868" s="1" t="s">
        <v>21</v>
      </c>
      <c r="M868" s="1" t="s">
        <v>29</v>
      </c>
      <c r="N868" s="1" t="s">
        <v>22</v>
      </c>
    </row>
    <row r="869" spans="1:14" x14ac:dyDescent="0.25">
      <c r="A869" s="1">
        <v>868</v>
      </c>
      <c r="B869" s="2" t="str">
        <f>HYPERLINK("https://leetcode.com/problems/binary-gap/", "Binary Gap")</f>
        <v>Binary Gap</v>
      </c>
      <c r="C869" s="1">
        <v>965</v>
      </c>
      <c r="D869" s="1">
        <v>738</v>
      </c>
      <c r="E869" s="3">
        <f>IF(INDEX(C:C, ROW())+INDEX(D:D, ROW())=0, 0, INDEX(C:C, ROW())/(INDEX(C:C, ROW())+INDEX(D:D, ROW())))</f>
        <v>0.56664709336465058</v>
      </c>
      <c r="F869" s="1" t="s">
        <v>298</v>
      </c>
      <c r="G869" s="1" t="s">
        <v>20</v>
      </c>
      <c r="H869" s="1">
        <v>206212</v>
      </c>
      <c r="I869" s="1">
        <v>278588</v>
      </c>
      <c r="J869" s="7">
        <v>0.74</v>
      </c>
      <c r="K869" s="1" t="s">
        <v>21</v>
      </c>
      <c r="L869" s="1" t="s">
        <v>21</v>
      </c>
      <c r="M869" s="1" t="s">
        <v>29</v>
      </c>
      <c r="N869" s="1" t="s">
        <v>22</v>
      </c>
    </row>
    <row r="870" spans="1:14" x14ac:dyDescent="0.25">
      <c r="A870" s="1">
        <v>869</v>
      </c>
      <c r="B870" s="2" t="str">
        <f>HYPERLINK("https://leetcode.com/problems/reordered-power-of-2/", "Reordered Power of 2")</f>
        <v>Reordered Power of 2</v>
      </c>
      <c r="C870" s="1">
        <v>2541</v>
      </c>
      <c r="D870" s="1">
        <v>499</v>
      </c>
      <c r="E870" s="3">
        <f>IF(INDEX(C:C, ROW())+INDEX(D:D, ROW())=0, 0, INDEX(C:C, ROW())/(INDEX(C:C, ROW())+INDEX(D:D, ROW())))</f>
        <v>0.83585526315789471</v>
      </c>
      <c r="F870" s="1" t="s">
        <v>419</v>
      </c>
      <c r="G870" s="1" t="s">
        <v>24</v>
      </c>
      <c r="H870" s="1">
        <v>228325</v>
      </c>
      <c r="I870" s="1">
        <v>346002</v>
      </c>
      <c r="J870" s="7">
        <v>0.66</v>
      </c>
      <c r="K870" s="1" t="s">
        <v>21</v>
      </c>
      <c r="L870" s="1" t="s">
        <v>21</v>
      </c>
      <c r="M870" s="1" t="s">
        <v>29</v>
      </c>
      <c r="N870" s="1" t="s">
        <v>22</v>
      </c>
    </row>
    <row r="871" spans="1:14" x14ac:dyDescent="0.25">
      <c r="A871" s="1">
        <v>870</v>
      </c>
      <c r="B871" s="2" t="str">
        <f>HYPERLINK("https://leetcode.com/problems/advantage-shuffle/", "Advantage Shuffle")</f>
        <v>Advantage Shuffle</v>
      </c>
      <c r="C871" s="1">
        <v>1689</v>
      </c>
      <c r="D871" s="1">
        <v>100</v>
      </c>
      <c r="E871" s="3">
        <f>IF(INDEX(C:C, ROW())+INDEX(D:D, ROW())=0, 0, INDEX(C:C, ROW())/(INDEX(C:C, ROW())+INDEX(D:D, ROW())))</f>
        <v>0.94410285075461153</v>
      </c>
      <c r="F871" s="1" t="s">
        <v>203</v>
      </c>
      <c r="G871" s="1" t="s">
        <v>24</v>
      </c>
      <c r="H871" s="1">
        <v>80496</v>
      </c>
      <c r="I871" s="1">
        <v>148395</v>
      </c>
      <c r="J871" s="7">
        <v>0.54200000000000004</v>
      </c>
      <c r="K871" s="1" t="s">
        <v>21</v>
      </c>
      <c r="L871" s="1" t="s">
        <v>21</v>
      </c>
      <c r="M871" s="1" t="s">
        <v>29</v>
      </c>
      <c r="N871" s="1" t="s">
        <v>22</v>
      </c>
    </row>
    <row r="872" spans="1:14" x14ac:dyDescent="0.25">
      <c r="A872" s="1">
        <v>871</v>
      </c>
      <c r="B872" s="2" t="str">
        <f>HYPERLINK("https://leetcode.com/problems/minimum-number-of-refueling-stops/", "Minimum Number of Refueling Stops")</f>
        <v>Minimum Number of Refueling Stops</v>
      </c>
      <c r="C872" s="1">
        <v>4862</v>
      </c>
      <c r="D872" s="1">
        <v>93</v>
      </c>
      <c r="E872" s="3">
        <f>IF(INDEX(C:C, ROW())+INDEX(D:D, ROW())=0, 0, INDEX(C:C, ROW())/(INDEX(C:C, ROW())+INDEX(D:D, ROW())))</f>
        <v>0.98123107971745716</v>
      </c>
      <c r="F872" s="1" t="s">
        <v>265</v>
      </c>
      <c r="G872" s="1" t="s">
        <v>28</v>
      </c>
      <c r="H872" s="1">
        <v>162342</v>
      </c>
      <c r="I872" s="1">
        <v>394835</v>
      </c>
      <c r="J872" s="7">
        <v>0.41099999999999998</v>
      </c>
      <c r="K872" s="1" t="s">
        <v>21</v>
      </c>
      <c r="L872" s="1" t="s">
        <v>21</v>
      </c>
      <c r="M872" s="1" t="s">
        <v>29</v>
      </c>
      <c r="N872" s="1" t="s">
        <v>22</v>
      </c>
    </row>
    <row r="873" spans="1:14" x14ac:dyDescent="0.25">
      <c r="A873" s="1">
        <v>872</v>
      </c>
      <c r="B873" s="2" t="str">
        <f>HYPERLINK("https://leetcode.com/problems/leaf-similar-trees/", "Leaf-Similar Trees")</f>
        <v>Leaf-Similar Trees</v>
      </c>
      <c r="C873" s="1">
        <v>4365</v>
      </c>
      <c r="D873" s="1">
        <v>124</v>
      </c>
      <c r="E873" s="3">
        <f>IF(INDEX(C:C, ROW())+INDEX(D:D, ROW())=0, 0, INDEX(C:C, ROW())/(INDEX(C:C, ROW())+INDEX(D:D, ROW())))</f>
        <v>0.97237692136333254</v>
      </c>
      <c r="F873" s="1" t="s">
        <v>67</v>
      </c>
      <c r="G873" s="1" t="s">
        <v>20</v>
      </c>
      <c r="H873" s="1">
        <v>668230</v>
      </c>
      <c r="I873" s="1">
        <v>952146</v>
      </c>
      <c r="J873" s="7">
        <v>0.70199999999999996</v>
      </c>
      <c r="K873" s="1" t="s">
        <v>21</v>
      </c>
      <c r="L873" s="1" t="s">
        <v>21</v>
      </c>
      <c r="M873" s="1" t="s">
        <v>29</v>
      </c>
      <c r="N873" s="1" t="s">
        <v>22</v>
      </c>
    </row>
    <row r="874" spans="1:14" x14ac:dyDescent="0.25">
      <c r="A874" s="1">
        <v>873</v>
      </c>
      <c r="B874" s="2" t="str">
        <f>HYPERLINK("https://leetcode.com/problems/length-of-longest-fibonacci-subsequence/", "Length of Longest Fibonacci Subsequence")</f>
        <v>Length of Longest Fibonacci Subsequence</v>
      </c>
      <c r="C874" s="1">
        <v>2694</v>
      </c>
      <c r="D874" s="1">
        <v>109</v>
      </c>
      <c r="E874" s="3">
        <f>IF(INDEX(C:C, ROW())+INDEX(D:D, ROW())=0, 0, INDEX(C:C, ROW())/(INDEX(C:C, ROW())+INDEX(D:D, ROW())))</f>
        <v>0.9611130931145202</v>
      </c>
      <c r="F874" s="1" t="s">
        <v>174</v>
      </c>
      <c r="G874" s="1" t="s">
        <v>24</v>
      </c>
      <c r="H874" s="1">
        <v>191197</v>
      </c>
      <c r="I874" s="1">
        <v>332287</v>
      </c>
      <c r="J874" s="7">
        <v>0.57499999999999996</v>
      </c>
      <c r="K874" s="1" t="s">
        <v>21</v>
      </c>
      <c r="L874" s="1" t="s">
        <v>21</v>
      </c>
      <c r="M874" s="1" t="s">
        <v>29</v>
      </c>
      <c r="N874" s="1" t="s">
        <v>22</v>
      </c>
    </row>
    <row r="875" spans="1:14" x14ac:dyDescent="0.25">
      <c r="A875" s="1">
        <v>874</v>
      </c>
      <c r="B875" s="2" t="str">
        <f>HYPERLINK("https://leetcode.com/problems/walking-robot-simulation/", "Walking Robot Simulation")</f>
        <v>Walking Robot Simulation</v>
      </c>
      <c r="C875" s="1">
        <v>898</v>
      </c>
      <c r="D875" s="1">
        <v>200</v>
      </c>
      <c r="E875" s="3">
        <f>IF(INDEX(C:C, ROW())+INDEX(D:D, ROW())=0, 0, INDEX(C:C, ROW())/(INDEX(C:C, ROW())+INDEX(D:D, ROW())))</f>
        <v>0.81785063752276865</v>
      </c>
      <c r="F875" s="1" t="s">
        <v>736</v>
      </c>
      <c r="G875" s="1" t="s">
        <v>24</v>
      </c>
      <c r="H875" s="1">
        <v>169060</v>
      </c>
      <c r="I875" s="1">
        <v>289604</v>
      </c>
      <c r="J875" s="7">
        <v>0.58399999999999996</v>
      </c>
      <c r="K875" s="1" t="s">
        <v>21</v>
      </c>
      <c r="L875" s="1" t="s">
        <v>21</v>
      </c>
      <c r="M875" s="1" t="s">
        <v>29</v>
      </c>
      <c r="N875" s="1" t="s">
        <v>22</v>
      </c>
    </row>
    <row r="876" spans="1:14" x14ac:dyDescent="0.25">
      <c r="A876" s="1">
        <v>875</v>
      </c>
      <c r="B876" s="2" t="str">
        <f>HYPERLINK("https://leetcode.com/problems/koko-eating-bananas/", "Koko Eating Bananas")</f>
        <v>Koko Eating Bananas</v>
      </c>
      <c r="C876" s="1">
        <v>13482</v>
      </c>
      <c r="D876" s="1">
        <v>906</v>
      </c>
      <c r="E876" s="3">
        <f>IF(INDEX(C:C, ROW())+INDEX(D:D, ROW())=0, 0, INDEX(C:C, ROW())/(INDEX(C:C, ROW())+INDEX(D:D, ROW())))</f>
        <v>0.93703085904920769</v>
      </c>
      <c r="F876" s="1" t="s">
        <v>35</v>
      </c>
      <c r="G876" s="1" t="s">
        <v>24</v>
      </c>
      <c r="H876" s="1">
        <v>1483327</v>
      </c>
      <c r="I876" s="1">
        <v>2984916</v>
      </c>
      <c r="J876" s="7">
        <v>0.497</v>
      </c>
      <c r="K876" s="1" t="s">
        <v>21</v>
      </c>
      <c r="L876" s="1" t="s">
        <v>21</v>
      </c>
      <c r="M876" s="1" t="s">
        <v>29</v>
      </c>
      <c r="N876" s="1" t="s">
        <v>22</v>
      </c>
    </row>
    <row r="877" spans="1:14" x14ac:dyDescent="0.25">
      <c r="A877" s="1">
        <v>876</v>
      </c>
      <c r="B877" s="2" t="str">
        <f>HYPERLINK("https://leetcode.com/problems/middle-of-the-linked-list/", "Middle of the Linked List")</f>
        <v>Middle of the Linked List</v>
      </c>
      <c r="C877" s="1">
        <v>13133</v>
      </c>
      <c r="D877" s="1">
        <v>438</v>
      </c>
      <c r="E877" s="3">
        <f>IF(INDEX(C:C, ROW())+INDEX(D:D, ROW())=0, 0, INDEX(C:C, ROW())/(INDEX(C:C, ROW())+INDEX(D:D, ROW())))</f>
        <v>0.9677252965883133</v>
      </c>
      <c r="F877" s="1" t="s">
        <v>53</v>
      </c>
      <c r="G877" s="1" t="s">
        <v>20</v>
      </c>
      <c r="H877" s="1">
        <v>2915183</v>
      </c>
      <c r="I877" s="1">
        <v>3574375</v>
      </c>
      <c r="J877" s="7">
        <v>0.81599999999999995</v>
      </c>
      <c r="K877" s="1" t="s">
        <v>21</v>
      </c>
      <c r="L877" s="1" t="s">
        <v>21</v>
      </c>
      <c r="M877" s="1" t="s">
        <v>21</v>
      </c>
      <c r="N877" s="1" t="s">
        <v>22</v>
      </c>
    </row>
    <row r="878" spans="1:14" x14ac:dyDescent="0.25">
      <c r="A878" s="1">
        <v>877</v>
      </c>
      <c r="B878" s="2" t="str">
        <f>HYPERLINK("https://leetcode.com/problems/stone-game/", "Stone Game")</f>
        <v>Stone Game</v>
      </c>
      <c r="C878" s="1">
        <v>3522</v>
      </c>
      <c r="D878" s="1">
        <v>2959</v>
      </c>
      <c r="E878" s="3">
        <f>IF(INDEX(C:C, ROW())+INDEX(D:D, ROW())=0, 0, INDEX(C:C, ROW())/(INDEX(C:C, ROW())+INDEX(D:D, ROW())))</f>
        <v>0.5434346551458108</v>
      </c>
      <c r="F878" s="1" t="s">
        <v>349</v>
      </c>
      <c r="G878" s="1" t="s">
        <v>24</v>
      </c>
      <c r="H878" s="1">
        <v>323492</v>
      </c>
      <c r="I878" s="1">
        <v>444792</v>
      </c>
      <c r="J878" s="7">
        <v>0.72699999999999998</v>
      </c>
      <c r="K878" s="1" t="s">
        <v>21</v>
      </c>
      <c r="L878" s="1" t="s">
        <v>21</v>
      </c>
      <c r="M878" s="1" t="s">
        <v>29</v>
      </c>
      <c r="N878" s="1" t="s">
        <v>22</v>
      </c>
    </row>
    <row r="879" spans="1:14" x14ac:dyDescent="0.25">
      <c r="A879" s="1">
        <v>878</v>
      </c>
      <c r="B879" s="2" t="str">
        <f>HYPERLINK("https://leetcode.com/problems/nth-magical-number/", "Nth Magical Number")</f>
        <v>Nth Magical Number</v>
      </c>
      <c r="C879" s="1">
        <v>1336</v>
      </c>
      <c r="D879" s="1">
        <v>171</v>
      </c>
      <c r="E879" s="3">
        <f>IF(INDEX(C:C, ROW())+INDEX(D:D, ROW())=0, 0, INDEX(C:C, ROW())/(INDEX(C:C, ROW())+INDEX(D:D, ROW())))</f>
        <v>0.88652952886529524</v>
      </c>
      <c r="F879" s="1" t="s">
        <v>139</v>
      </c>
      <c r="G879" s="1" t="s">
        <v>28</v>
      </c>
      <c r="H879" s="1">
        <v>49725</v>
      </c>
      <c r="I879" s="1">
        <v>136568</v>
      </c>
      <c r="J879" s="7">
        <v>0.36399999999999999</v>
      </c>
      <c r="K879" s="1" t="s">
        <v>21</v>
      </c>
      <c r="L879" s="1" t="s">
        <v>21</v>
      </c>
      <c r="M879" s="1" t="s">
        <v>29</v>
      </c>
      <c r="N879" s="1" t="s">
        <v>22</v>
      </c>
    </row>
    <row r="880" spans="1:14" x14ac:dyDescent="0.25">
      <c r="A880" s="1">
        <v>879</v>
      </c>
      <c r="B880" s="2" t="str">
        <f>HYPERLINK("https://leetcode.com/problems/profitable-schemes/", "Profitable Schemes")</f>
        <v>Profitable Schemes</v>
      </c>
      <c r="C880" s="1">
        <v>1943</v>
      </c>
      <c r="D880" s="1">
        <v>126</v>
      </c>
      <c r="E880" s="3">
        <f>IF(INDEX(C:C, ROW())+INDEX(D:D, ROW())=0, 0, INDEX(C:C, ROW())/(INDEX(C:C, ROW())+INDEX(D:D, ROW())))</f>
        <v>0.93910101498308363</v>
      </c>
      <c r="F880" s="1" t="s">
        <v>30</v>
      </c>
      <c r="G880" s="1" t="s">
        <v>28</v>
      </c>
      <c r="H880" s="1">
        <v>77052</v>
      </c>
      <c r="I880" s="1">
        <v>159884</v>
      </c>
      <c r="J880" s="7">
        <v>0.48199999999999998</v>
      </c>
      <c r="K880" s="1" t="s">
        <v>21</v>
      </c>
      <c r="L880" s="1" t="s">
        <v>21</v>
      </c>
      <c r="M880" s="1" t="s">
        <v>29</v>
      </c>
      <c r="N880" s="1" t="s">
        <v>22</v>
      </c>
    </row>
    <row r="881" spans="1:14" x14ac:dyDescent="0.25">
      <c r="A881" s="1">
        <v>880</v>
      </c>
      <c r="B881" s="2" t="str">
        <f>HYPERLINK("https://leetcode.com/problems/decoded-string-at-index/", "Decoded String at Index")</f>
        <v>Decoded String at Index</v>
      </c>
      <c r="C881" s="1">
        <v>2611</v>
      </c>
      <c r="D881" s="1">
        <v>366</v>
      </c>
      <c r="E881" s="3">
        <f>IF(INDEX(C:C, ROW())+INDEX(D:D, ROW())=0, 0, INDEX(C:C, ROW())/(INDEX(C:C, ROW())+INDEX(D:D, ROW())))</f>
        <v>0.87705744037621769</v>
      </c>
      <c r="F881" s="1" t="s">
        <v>36</v>
      </c>
      <c r="G881" s="1" t="s">
        <v>24</v>
      </c>
      <c r="H881" s="1">
        <v>107497</v>
      </c>
      <c r="I881" s="1">
        <v>288640</v>
      </c>
      <c r="J881" s="7">
        <v>0.372</v>
      </c>
      <c r="K881" s="1" t="s">
        <v>21</v>
      </c>
      <c r="L881" s="1" t="s">
        <v>21</v>
      </c>
      <c r="M881" s="1" t="s">
        <v>29</v>
      </c>
      <c r="N881" s="1" t="s">
        <v>22</v>
      </c>
    </row>
    <row r="882" spans="1:14" x14ac:dyDescent="0.25">
      <c r="A882" s="1">
        <v>881</v>
      </c>
      <c r="B882" s="2" t="str">
        <f>HYPERLINK("https://leetcode.com/problems/boats-to-save-people/", "Boats to Save People")</f>
        <v>Boats to Save People</v>
      </c>
      <c r="C882" s="1">
        <v>6895</v>
      </c>
      <c r="D882" s="1">
        <v>177</v>
      </c>
      <c r="E882" s="3">
        <f>IF(INDEX(C:C, ROW())+INDEX(D:D, ROW())=0, 0, INDEX(C:C, ROW())/(INDEX(C:C, ROW())+INDEX(D:D, ROW())))</f>
        <v>0.97497171945701355</v>
      </c>
      <c r="F882" s="1" t="s">
        <v>203</v>
      </c>
      <c r="G882" s="1" t="s">
        <v>24</v>
      </c>
      <c r="H882" s="1">
        <v>547639</v>
      </c>
      <c r="I882" s="1">
        <v>892296</v>
      </c>
      <c r="J882" s="7">
        <v>0.61399999999999999</v>
      </c>
      <c r="K882" s="1" t="s">
        <v>21</v>
      </c>
      <c r="L882" s="1" t="s">
        <v>21</v>
      </c>
      <c r="M882" s="1" t="s">
        <v>29</v>
      </c>
      <c r="N882" s="1" t="s">
        <v>22</v>
      </c>
    </row>
    <row r="883" spans="1:14" x14ac:dyDescent="0.25">
      <c r="A883" s="1">
        <v>882</v>
      </c>
      <c r="B883" s="2" t="str">
        <f>HYPERLINK("https://leetcode.com/problems/reachable-nodes-in-subdivided-graph/", "Reachable Nodes In Subdivided Graph")</f>
        <v>Reachable Nodes In Subdivided Graph</v>
      </c>
      <c r="C883" s="1">
        <v>897</v>
      </c>
      <c r="D883" s="1">
        <v>230</v>
      </c>
      <c r="E883" s="3">
        <f>IF(INDEX(C:C, ROW())+INDEX(D:D, ROW())=0, 0, INDEX(C:C, ROW())/(INDEX(C:C, ROW())+INDEX(D:D, ROW())))</f>
        <v>0.79591836734693877</v>
      </c>
      <c r="F883" s="1" t="s">
        <v>737</v>
      </c>
      <c r="G883" s="1" t="s">
        <v>28</v>
      </c>
      <c r="H883" s="1">
        <v>36617</v>
      </c>
      <c r="I883" s="1">
        <v>70728</v>
      </c>
      <c r="J883" s="7">
        <v>0.51800000000000002</v>
      </c>
      <c r="K883" s="1" t="s">
        <v>21</v>
      </c>
      <c r="L883" s="1" t="s">
        <v>21</v>
      </c>
      <c r="M883" s="1" t="s">
        <v>29</v>
      </c>
      <c r="N883" s="1" t="s">
        <v>22</v>
      </c>
    </row>
    <row r="884" spans="1:14" x14ac:dyDescent="0.25">
      <c r="A884" s="1">
        <v>883</v>
      </c>
      <c r="B884" s="2" t="str">
        <f>HYPERLINK("https://leetcode.com/problems/projection-area-of-3d-shapes/", "Projection Area of 3D Shapes")</f>
        <v>Projection Area of 3D Shapes</v>
      </c>
      <c r="C884" s="1">
        <v>638</v>
      </c>
      <c r="D884" s="1">
        <v>1451</v>
      </c>
      <c r="E884" s="3">
        <f>IF(INDEX(C:C, ROW())+INDEX(D:D, ROW())=0, 0, INDEX(C:C, ROW())/(INDEX(C:C, ROW())+INDEX(D:D, ROW())))</f>
        <v>0.30540928674006701</v>
      </c>
      <c r="F884" s="1" t="s">
        <v>826</v>
      </c>
      <c r="G884" s="1" t="s">
        <v>20</v>
      </c>
      <c r="H884" s="1">
        <v>74298</v>
      </c>
      <c r="I884" s="1">
        <v>98284</v>
      </c>
      <c r="J884" s="7">
        <v>0.75600000000000001</v>
      </c>
      <c r="K884" s="1" t="s">
        <v>21</v>
      </c>
      <c r="L884" s="1" t="s">
        <v>21</v>
      </c>
      <c r="M884" s="1" t="s">
        <v>29</v>
      </c>
      <c r="N884" s="1" t="s">
        <v>22</v>
      </c>
    </row>
    <row r="885" spans="1:14" x14ac:dyDescent="0.25">
      <c r="A885" s="1">
        <v>884</v>
      </c>
      <c r="B885" s="2" t="str">
        <f>HYPERLINK("https://leetcode.com/problems/uncommon-words-from-two-sentences/", "Uncommon Words from Two Sentences")</f>
        <v>Uncommon Words from Two Sentences</v>
      </c>
      <c r="C885" s="1">
        <v>1896</v>
      </c>
      <c r="D885" s="1">
        <v>209</v>
      </c>
      <c r="E885" s="3">
        <f>IF(INDEX(C:C, ROW())+INDEX(D:D, ROW())=0, 0, INDEX(C:C, ROW())/(INDEX(C:C, ROW())+INDEX(D:D, ROW())))</f>
        <v>0.90071258907363416</v>
      </c>
      <c r="F885" s="1" t="s">
        <v>237</v>
      </c>
      <c r="G885" s="1" t="s">
        <v>20</v>
      </c>
      <c r="H885" s="1">
        <v>334823</v>
      </c>
      <c r="I885" s="1">
        <v>443013</v>
      </c>
      <c r="J885" s="7">
        <v>0.75600000000000001</v>
      </c>
      <c r="K885" s="1" t="s">
        <v>21</v>
      </c>
      <c r="L885" s="1" t="s">
        <v>21</v>
      </c>
      <c r="M885" s="1" t="s">
        <v>29</v>
      </c>
      <c r="N885" s="1" t="s">
        <v>22</v>
      </c>
    </row>
    <row r="886" spans="1:14" x14ac:dyDescent="0.25">
      <c r="A886" s="1">
        <v>885</v>
      </c>
      <c r="B886" s="2" t="str">
        <f>HYPERLINK("https://leetcode.com/problems/spiral-matrix-iii/", "Spiral Matrix III")</f>
        <v>Spiral Matrix III</v>
      </c>
      <c r="C886" s="1">
        <v>1661</v>
      </c>
      <c r="D886" s="1">
        <v>1045</v>
      </c>
      <c r="E886" s="3">
        <f>IF(INDEX(C:C, ROW())+INDEX(D:D, ROW())=0, 0, INDEX(C:C, ROW())/(INDEX(C:C, ROW())+INDEX(D:D, ROW())))</f>
        <v>0.61382113821138207</v>
      </c>
      <c r="F886" s="1" t="s">
        <v>77</v>
      </c>
      <c r="G886" s="1" t="s">
        <v>24</v>
      </c>
      <c r="H886" s="1">
        <v>174358</v>
      </c>
      <c r="I886" s="1">
        <v>206245</v>
      </c>
      <c r="J886" s="7">
        <v>0.84499999999999997</v>
      </c>
      <c r="K886" s="1" t="s">
        <v>21</v>
      </c>
      <c r="L886" s="1" t="s">
        <v>21</v>
      </c>
      <c r="M886" s="1" t="s">
        <v>29</v>
      </c>
      <c r="N886" s="1" t="s">
        <v>22</v>
      </c>
    </row>
    <row r="887" spans="1:14" x14ac:dyDescent="0.25">
      <c r="A887" s="1">
        <v>886</v>
      </c>
      <c r="B887" s="2" t="str">
        <f>HYPERLINK("https://leetcode.com/problems/possible-bipartition/", "Possible Bipartition")</f>
        <v>Possible Bipartition</v>
      </c>
      <c r="C887" s="1">
        <v>4901</v>
      </c>
      <c r="D887" s="1">
        <v>120</v>
      </c>
      <c r="E887" s="3">
        <f>IF(INDEX(C:C, ROW())+INDEX(D:D, ROW())=0, 0, INDEX(C:C, ROW())/(INDEX(C:C, ROW())+INDEX(D:D, ROW())))</f>
        <v>0.97610037841067521</v>
      </c>
      <c r="F887" s="1" t="s">
        <v>122</v>
      </c>
      <c r="G887" s="1" t="s">
        <v>24</v>
      </c>
      <c r="H887" s="1">
        <v>261130</v>
      </c>
      <c r="I887" s="1">
        <v>498740</v>
      </c>
      <c r="J887" s="7">
        <v>0.52400000000000002</v>
      </c>
      <c r="K887" s="1" t="s">
        <v>21</v>
      </c>
      <c r="L887" s="1" t="s">
        <v>21</v>
      </c>
      <c r="M887" s="1" t="s">
        <v>29</v>
      </c>
      <c r="N887" s="1" t="s">
        <v>22</v>
      </c>
    </row>
    <row r="888" spans="1:14" x14ac:dyDescent="0.25">
      <c r="A888" s="1">
        <v>887</v>
      </c>
      <c r="B888" s="2" t="str">
        <f>HYPERLINK("https://leetcode.com/problems/super-egg-drop/", "Super Egg Drop")</f>
        <v>Super Egg Drop</v>
      </c>
      <c r="C888" s="1">
        <v>3819</v>
      </c>
      <c r="D888" s="1">
        <v>206</v>
      </c>
      <c r="E888" s="3">
        <f>IF(INDEX(C:C, ROW())+INDEX(D:D, ROW())=0, 0, INDEX(C:C, ROW())/(INDEX(C:C, ROW())+INDEX(D:D, ROW())))</f>
        <v>0.94881987577639748</v>
      </c>
      <c r="F888" s="1" t="s">
        <v>324</v>
      </c>
      <c r="G888" s="1" t="s">
        <v>28</v>
      </c>
      <c r="H888" s="1">
        <v>97294</v>
      </c>
      <c r="I888" s="1">
        <v>326155</v>
      </c>
      <c r="J888" s="7">
        <v>0.29799999999999999</v>
      </c>
      <c r="K888" s="1" t="s">
        <v>21</v>
      </c>
      <c r="L888" s="1" t="s">
        <v>21</v>
      </c>
      <c r="M888" s="1" t="s">
        <v>29</v>
      </c>
      <c r="N888" s="1" t="s">
        <v>22</v>
      </c>
    </row>
    <row r="889" spans="1:14" x14ac:dyDescent="0.25">
      <c r="A889" s="1">
        <v>888</v>
      </c>
      <c r="B889" s="2" t="str">
        <f>HYPERLINK("https://leetcode.com/problems/fair-candy-swap/", "Fair Candy Swap")</f>
        <v>Fair Candy Swap</v>
      </c>
      <c r="C889" s="1">
        <v>2262</v>
      </c>
      <c r="D889" s="1">
        <v>421</v>
      </c>
      <c r="E889" s="3">
        <f>IF(INDEX(C:C, ROW())+INDEX(D:D, ROW())=0, 0, INDEX(C:C, ROW())/(INDEX(C:C, ROW())+INDEX(D:D, ROW())))</f>
        <v>0.84308609765188225</v>
      </c>
      <c r="F889" s="1" t="s">
        <v>464</v>
      </c>
      <c r="G889" s="1" t="s">
        <v>20</v>
      </c>
      <c r="H889" s="1">
        <v>166709</v>
      </c>
      <c r="I889" s="1">
        <v>258239</v>
      </c>
      <c r="J889" s="7">
        <v>0.64600000000000002</v>
      </c>
      <c r="K889" s="1" t="s">
        <v>21</v>
      </c>
      <c r="L889" s="1" t="s">
        <v>21</v>
      </c>
      <c r="M889" s="1" t="s">
        <v>29</v>
      </c>
      <c r="N889" s="1" t="s">
        <v>22</v>
      </c>
    </row>
    <row r="890" spans="1:14" x14ac:dyDescent="0.25">
      <c r="A890" s="1">
        <v>889</v>
      </c>
      <c r="B890" s="2" t="str">
        <f>HYPERLINK("https://leetcode.com/problems/construct-binary-tree-from-preorder-and-postorder-traversal/", "Construct Binary Tree from Preorder and Postorder Traversal")</f>
        <v>Construct Binary Tree from Preorder and Postorder Traversal</v>
      </c>
      <c r="C890" s="1">
        <v>3383</v>
      </c>
      <c r="D890" s="1">
        <v>159</v>
      </c>
      <c r="E890" s="3">
        <f>IF(INDEX(C:C, ROW())+INDEX(D:D, ROW())=0, 0, INDEX(C:C, ROW())/(INDEX(C:C, ROW())+INDEX(D:D, ROW())))</f>
        <v>0.95511010728402035</v>
      </c>
      <c r="F890" s="1" t="s">
        <v>81</v>
      </c>
      <c r="G890" s="1" t="s">
        <v>24</v>
      </c>
      <c r="H890" s="1">
        <v>217297</v>
      </c>
      <c r="I890" s="1">
        <v>278294</v>
      </c>
      <c r="J890" s="7">
        <v>0.78100000000000003</v>
      </c>
      <c r="K890" s="1" t="s">
        <v>21</v>
      </c>
      <c r="L890" s="1" t="s">
        <v>21</v>
      </c>
      <c r="M890" s="1" t="s">
        <v>29</v>
      </c>
      <c r="N890" s="1" t="s">
        <v>22</v>
      </c>
    </row>
    <row r="891" spans="1:14" x14ac:dyDescent="0.25">
      <c r="A891" s="1">
        <v>890</v>
      </c>
      <c r="B891" s="2" t="str">
        <f>HYPERLINK("https://leetcode.com/problems/find-and-replace-pattern/", "Find and Replace Pattern")</f>
        <v>Find and Replace Pattern</v>
      </c>
      <c r="C891" s="1">
        <v>4024</v>
      </c>
      <c r="D891" s="1">
        <v>174</v>
      </c>
      <c r="E891" s="3">
        <f>IF(INDEX(C:C, ROW())+INDEX(D:D, ROW())=0, 0, INDEX(C:C, ROW())/(INDEX(C:C, ROW())+INDEX(D:D, ROW())))</f>
        <v>0.9585516912815627</v>
      </c>
      <c r="F891" s="1" t="s">
        <v>258</v>
      </c>
      <c r="G891" s="1" t="s">
        <v>24</v>
      </c>
      <c r="H891" s="1">
        <v>212385</v>
      </c>
      <c r="I891" s="1">
        <v>275921</v>
      </c>
      <c r="J891" s="7">
        <v>0.77</v>
      </c>
      <c r="K891" s="1" t="s">
        <v>21</v>
      </c>
      <c r="L891" s="1" t="s">
        <v>21</v>
      </c>
      <c r="M891" s="1" t="s">
        <v>29</v>
      </c>
      <c r="N891" s="1" t="s">
        <v>22</v>
      </c>
    </row>
    <row r="892" spans="1:14" x14ac:dyDescent="0.25">
      <c r="A892" s="1">
        <v>891</v>
      </c>
      <c r="B892" s="2" t="str">
        <f>HYPERLINK("https://leetcode.com/problems/sum-of-subsequence-widths/", "Sum of Subsequence Widths")</f>
        <v>Sum of Subsequence Widths</v>
      </c>
      <c r="C892" s="1">
        <v>736</v>
      </c>
      <c r="D892" s="1">
        <v>172</v>
      </c>
      <c r="E892" s="3">
        <f>IF(INDEX(C:C, ROW())+INDEX(D:D, ROW())=0, 0, INDEX(C:C, ROW())/(INDEX(C:C, ROW())+INDEX(D:D, ROW())))</f>
        <v>0.81057268722466957</v>
      </c>
      <c r="F892" s="1" t="s">
        <v>284</v>
      </c>
      <c r="G892" s="1" t="s">
        <v>28</v>
      </c>
      <c r="H892" s="1">
        <v>26133</v>
      </c>
      <c r="I892" s="1">
        <v>65016</v>
      </c>
      <c r="J892" s="7">
        <v>0.40200000000000002</v>
      </c>
      <c r="K892" s="1" t="s">
        <v>21</v>
      </c>
      <c r="L892" s="1" t="s">
        <v>21</v>
      </c>
      <c r="M892" s="1" t="s">
        <v>29</v>
      </c>
      <c r="N892" s="1" t="s">
        <v>22</v>
      </c>
    </row>
    <row r="893" spans="1:14" x14ac:dyDescent="0.25">
      <c r="A893" s="1">
        <v>892</v>
      </c>
      <c r="B893" s="2" t="str">
        <f>HYPERLINK("https://leetcode.com/problems/surface-area-of-3d-shapes/", "Surface Area of 3D Shapes")</f>
        <v>Surface Area of 3D Shapes</v>
      </c>
      <c r="C893" s="1">
        <v>611</v>
      </c>
      <c r="D893" s="1">
        <v>763</v>
      </c>
      <c r="E893" s="3">
        <f>IF(INDEX(C:C, ROW())+INDEX(D:D, ROW())=0, 0, INDEX(C:C, ROW())/(INDEX(C:C, ROW())+INDEX(D:D, ROW())))</f>
        <v>0.44468704512372637</v>
      </c>
      <c r="F893" s="1" t="s">
        <v>826</v>
      </c>
      <c r="G893" s="1" t="s">
        <v>20</v>
      </c>
      <c r="H893" s="1">
        <v>55592</v>
      </c>
      <c r="I893" s="1">
        <v>78953</v>
      </c>
      <c r="J893" s="7">
        <v>0.70399999999999996</v>
      </c>
      <c r="K893" s="1" t="s">
        <v>21</v>
      </c>
      <c r="L893" s="1" t="s">
        <v>21</v>
      </c>
      <c r="M893" s="1" t="s">
        <v>29</v>
      </c>
      <c r="N893" s="1" t="s">
        <v>22</v>
      </c>
    </row>
    <row r="894" spans="1:14" x14ac:dyDescent="0.25">
      <c r="A894" s="1">
        <v>893</v>
      </c>
      <c r="B894" s="2" t="str">
        <f>HYPERLINK("https://leetcode.com/problems/groups-of-special-equivalent-strings/", "Groups of Special-Equivalent Strings")</f>
        <v>Groups of Special-Equivalent Strings</v>
      </c>
      <c r="C894" s="1">
        <v>570</v>
      </c>
      <c r="D894" s="1">
        <v>1488</v>
      </c>
      <c r="E894" s="3">
        <f>IF(INDEX(C:C, ROW())+INDEX(D:D, ROW())=0, 0, INDEX(C:C, ROW())/(INDEX(C:C, ROW())+INDEX(D:D, ROW())))</f>
        <v>0.27696793002915454</v>
      </c>
      <c r="F894" s="1" t="s">
        <v>49</v>
      </c>
      <c r="G894" s="1" t="s">
        <v>24</v>
      </c>
      <c r="H894" s="1">
        <v>58513</v>
      </c>
      <c r="I894" s="1">
        <v>79635</v>
      </c>
      <c r="J894" s="7">
        <v>0.73499999999999999</v>
      </c>
      <c r="K894" s="1" t="s">
        <v>21</v>
      </c>
      <c r="L894" s="1" t="s">
        <v>21</v>
      </c>
      <c r="M894" s="1" t="s">
        <v>29</v>
      </c>
      <c r="N894" s="1" t="s">
        <v>22</v>
      </c>
    </row>
    <row r="895" spans="1:14" x14ac:dyDescent="0.25">
      <c r="A895" s="1">
        <v>894</v>
      </c>
      <c r="B895" s="2" t="str">
        <f>HYPERLINK("https://leetcode.com/problems/all-possible-full-binary-trees/", "All Possible Full Binary Trees")</f>
        <v>All Possible Full Binary Trees</v>
      </c>
      <c r="C895" s="1">
        <v>5235</v>
      </c>
      <c r="D895" s="1">
        <v>368</v>
      </c>
      <c r="E895" s="3">
        <f>IF(INDEX(C:C, ROW())+INDEX(D:D, ROW())=0, 0, INDEX(C:C, ROW())/(INDEX(C:C, ROW())+INDEX(D:D, ROW())))</f>
        <v>0.93432089951811526</v>
      </c>
      <c r="F895" s="1" t="s">
        <v>253</v>
      </c>
      <c r="G895" s="1" t="s">
        <v>24</v>
      </c>
      <c r="H895" s="1">
        <v>212303</v>
      </c>
      <c r="I895" s="1">
        <v>256560</v>
      </c>
      <c r="J895" s="7">
        <v>0.82699999999999996</v>
      </c>
      <c r="K895" s="1" t="s">
        <v>21</v>
      </c>
      <c r="L895" s="1" t="s">
        <v>21</v>
      </c>
      <c r="M895" s="1" t="s">
        <v>29</v>
      </c>
      <c r="N895" s="1" t="s">
        <v>22</v>
      </c>
    </row>
    <row r="896" spans="1:14" x14ac:dyDescent="0.25">
      <c r="A896" s="1">
        <v>895</v>
      </c>
      <c r="B896" s="2" t="str">
        <f>HYPERLINK("https://leetcode.com/problems/maximum-frequency-stack/", "Maximum Frequency Stack")</f>
        <v>Maximum Frequency Stack</v>
      </c>
      <c r="C896" s="1">
        <v>4933</v>
      </c>
      <c r="D896" s="1">
        <v>78</v>
      </c>
      <c r="E896" s="3">
        <f>IF(INDEX(C:C, ROW())+INDEX(D:D, ROW())=0, 0, INDEX(C:C, ROW())/(INDEX(C:C, ROW())+INDEX(D:D, ROW())))</f>
        <v>0.98443424466174412</v>
      </c>
      <c r="F896" s="1" t="s">
        <v>262</v>
      </c>
      <c r="G896" s="1" t="s">
        <v>28</v>
      </c>
      <c r="H896" s="1">
        <v>221461</v>
      </c>
      <c r="I896" s="1">
        <v>332366</v>
      </c>
      <c r="J896" s="7">
        <v>0.66600000000000004</v>
      </c>
      <c r="K896" s="1" t="s">
        <v>21</v>
      </c>
      <c r="L896" s="1" t="s">
        <v>21</v>
      </c>
      <c r="M896" s="1" t="s">
        <v>29</v>
      </c>
      <c r="N896" s="1" t="s">
        <v>22</v>
      </c>
    </row>
    <row r="897" spans="1:14" x14ac:dyDescent="0.25">
      <c r="A897" s="1">
        <v>896</v>
      </c>
      <c r="B897" s="2" t="str">
        <f>HYPERLINK("https://leetcode.com/problems/monotonic-array/", "Monotonic Array")</f>
        <v>Monotonic Array</v>
      </c>
      <c r="C897" s="1">
        <v>3261</v>
      </c>
      <c r="D897" s="1">
        <v>106</v>
      </c>
      <c r="E897" s="3">
        <f>IF(INDEX(C:C, ROW())+INDEX(D:D, ROW())=0, 0, INDEX(C:C, ROW())/(INDEX(C:C, ROW())+INDEX(D:D, ROW())))</f>
        <v>0.96851796851796856</v>
      </c>
      <c r="F897" s="1" t="s">
        <v>113</v>
      </c>
      <c r="G897" s="1" t="s">
        <v>20</v>
      </c>
      <c r="H897" s="1">
        <v>567329</v>
      </c>
      <c r="I897" s="1">
        <v>911996</v>
      </c>
      <c r="J897" s="7">
        <v>0.622</v>
      </c>
      <c r="K897" s="1" t="s">
        <v>21</v>
      </c>
      <c r="L897" s="1" t="s">
        <v>21</v>
      </c>
      <c r="M897" s="1" t="s">
        <v>29</v>
      </c>
      <c r="N897" s="1" t="s">
        <v>22</v>
      </c>
    </row>
    <row r="898" spans="1:14" x14ac:dyDescent="0.25">
      <c r="A898" s="1">
        <v>897</v>
      </c>
      <c r="B898" s="2" t="str">
        <f>HYPERLINK("https://leetcode.com/problems/increasing-order-search-tree/", "Increasing Order Search Tree")</f>
        <v>Increasing Order Search Tree</v>
      </c>
      <c r="C898" s="1">
        <v>4476</v>
      </c>
      <c r="D898" s="1">
        <v>685</v>
      </c>
      <c r="E898" s="3">
        <f>IF(INDEX(C:C, ROW())+INDEX(D:D, ROW())=0, 0, INDEX(C:C, ROW())/(INDEX(C:C, ROW())+INDEX(D:D, ROW())))</f>
        <v>0.8672737841503585</v>
      </c>
      <c r="F898" s="1" t="s">
        <v>288</v>
      </c>
      <c r="G898" s="1" t="s">
        <v>20</v>
      </c>
      <c r="H898" s="1">
        <v>334228</v>
      </c>
      <c r="I898" s="1">
        <v>423473</v>
      </c>
      <c r="J898" s="7">
        <v>0.78900000000000003</v>
      </c>
      <c r="K898" s="1" t="s">
        <v>21</v>
      </c>
      <c r="L898" s="1" t="s">
        <v>21</v>
      </c>
      <c r="M898" s="1" t="s">
        <v>29</v>
      </c>
      <c r="N898" s="1" t="s">
        <v>22</v>
      </c>
    </row>
    <row r="899" spans="1:14" x14ac:dyDescent="0.25">
      <c r="A899" s="1">
        <v>898</v>
      </c>
      <c r="B899" s="2" t="str">
        <f>HYPERLINK("https://leetcode.com/problems/bitwise-ors-of-subarrays/", "Bitwise ORs of Subarrays")</f>
        <v>Bitwise ORs of Subarrays</v>
      </c>
      <c r="C899" s="1">
        <v>1959</v>
      </c>
      <c r="D899" s="1">
        <v>245</v>
      </c>
      <c r="E899" s="3">
        <f>IF(INDEX(C:C, ROW())+INDEX(D:D, ROW())=0, 0, INDEX(C:C, ROW())/(INDEX(C:C, ROW())+INDEX(D:D, ROW())))</f>
        <v>0.88883847549909256</v>
      </c>
      <c r="F899" s="1" t="s">
        <v>508</v>
      </c>
      <c r="G899" s="1" t="s">
        <v>24</v>
      </c>
      <c r="H899" s="1">
        <v>132983</v>
      </c>
      <c r="I899" s="1">
        <v>234215</v>
      </c>
      <c r="J899" s="7">
        <v>0.56799999999999995</v>
      </c>
      <c r="K899" s="1" t="s">
        <v>21</v>
      </c>
      <c r="L899" s="1" t="s">
        <v>21</v>
      </c>
      <c r="M899" s="1" t="s">
        <v>29</v>
      </c>
      <c r="N899" s="1" t="s">
        <v>22</v>
      </c>
    </row>
    <row r="900" spans="1:14" x14ac:dyDescent="0.25">
      <c r="A900" s="1">
        <v>899</v>
      </c>
      <c r="B900" s="2" t="str">
        <f>HYPERLINK("https://leetcode.com/problems/orderly-queue/", "Orderly Queue")</f>
        <v>Orderly Queue</v>
      </c>
      <c r="C900" s="1">
        <v>1828</v>
      </c>
      <c r="D900" s="1">
        <v>620</v>
      </c>
      <c r="E900" s="3">
        <f>IF(INDEX(C:C, ROW())+INDEX(D:D, ROW())=0, 0, INDEX(C:C, ROW())/(INDEX(C:C, ROW())+INDEX(D:D, ROW())))</f>
        <v>0.74673202614379086</v>
      </c>
      <c r="F900" s="1" t="s">
        <v>531</v>
      </c>
      <c r="G900" s="1" t="s">
        <v>28</v>
      </c>
      <c r="H900" s="1">
        <v>82805</v>
      </c>
      <c r="I900" s="1">
        <v>124154</v>
      </c>
      <c r="J900" s="7">
        <v>0.66700000000000004</v>
      </c>
      <c r="K900" s="1" t="s">
        <v>21</v>
      </c>
      <c r="L900" s="1" t="s">
        <v>21</v>
      </c>
      <c r="M900" s="1" t="s">
        <v>29</v>
      </c>
      <c r="N900" s="1" t="s">
        <v>22</v>
      </c>
    </row>
    <row r="901" spans="1:14" x14ac:dyDescent="0.25">
      <c r="A901" s="1">
        <v>900</v>
      </c>
      <c r="B901" s="2" t="str">
        <f>HYPERLINK("https://leetcode.com/problems/rle-iterator/", "RLE Iterator")</f>
        <v>RLE Iterator</v>
      </c>
      <c r="C901" s="1">
        <v>768</v>
      </c>
      <c r="D901" s="1">
        <v>202</v>
      </c>
      <c r="E901" s="3">
        <f>IF(INDEX(C:C, ROW())+INDEX(D:D, ROW())=0, 0, INDEX(C:C, ROW())/(INDEX(C:C, ROW())+INDEX(D:D, ROW())))</f>
        <v>0.79175257731958759</v>
      </c>
      <c r="F901" s="1" t="s">
        <v>776</v>
      </c>
      <c r="G901" s="1" t="s">
        <v>24</v>
      </c>
      <c r="H901" s="1">
        <v>87491</v>
      </c>
      <c r="I901" s="1">
        <v>147760</v>
      </c>
      <c r="J901" s="7">
        <v>0.59199999999999997</v>
      </c>
      <c r="K901" s="1" t="s">
        <v>21</v>
      </c>
      <c r="L901" s="1" t="s">
        <v>21</v>
      </c>
      <c r="M901" s="1" t="s">
        <v>29</v>
      </c>
      <c r="N901" s="1" t="s">
        <v>22</v>
      </c>
    </row>
    <row r="902" spans="1:14" x14ac:dyDescent="0.25">
      <c r="A902" s="1">
        <v>901</v>
      </c>
      <c r="B902" s="2" t="str">
        <f>HYPERLINK("https://leetcode.com/problems/online-stock-span/", "Online Stock Span")</f>
        <v>Online Stock Span</v>
      </c>
      <c r="C902" s="1">
        <v>7188</v>
      </c>
      <c r="D902" s="1">
        <v>500</v>
      </c>
      <c r="E902" s="3">
        <f>IF(INDEX(C:C, ROW())+INDEX(D:D, ROW())=0, 0, INDEX(C:C, ROW())/(INDEX(C:C, ROW())+INDEX(D:D, ROW())))</f>
        <v>0.93496357960457854</v>
      </c>
      <c r="F902" s="1" t="s">
        <v>193</v>
      </c>
      <c r="G902" s="1" t="s">
        <v>24</v>
      </c>
      <c r="H902" s="1">
        <v>573387</v>
      </c>
      <c r="I902" s="1">
        <v>834644</v>
      </c>
      <c r="J902" s="7">
        <v>0.68700000000000006</v>
      </c>
      <c r="K902" s="1" t="s">
        <v>21</v>
      </c>
      <c r="L902" s="1" t="s">
        <v>21</v>
      </c>
      <c r="M902" s="1" t="s">
        <v>29</v>
      </c>
      <c r="N902" s="1" t="s">
        <v>22</v>
      </c>
    </row>
    <row r="903" spans="1:14" x14ac:dyDescent="0.25">
      <c r="A903" s="1">
        <v>902</v>
      </c>
      <c r="B903" s="2" t="str">
        <f>HYPERLINK("https://leetcode.com/problems/numbers-at-most-n-given-digit-set/", "Numbers At Most N Given Digit Set")</f>
        <v>Numbers At Most N Given Digit Set</v>
      </c>
      <c r="C903" s="1">
        <v>1465</v>
      </c>
      <c r="D903" s="1">
        <v>98</v>
      </c>
      <c r="E903" s="3">
        <f>IF(INDEX(C:C, ROW())+INDEX(D:D, ROW())=0, 0, INDEX(C:C, ROW())/(INDEX(C:C, ROW())+INDEX(D:D, ROW())))</f>
        <v>0.93730006397952659</v>
      </c>
      <c r="F903" s="1" t="s">
        <v>598</v>
      </c>
      <c r="G903" s="1" t="s">
        <v>28</v>
      </c>
      <c r="H903" s="1">
        <v>53594</v>
      </c>
      <c r="I903" s="1">
        <v>120265</v>
      </c>
      <c r="J903" s="7">
        <v>0.44600000000000001</v>
      </c>
      <c r="K903" s="1" t="s">
        <v>21</v>
      </c>
      <c r="L903" s="1" t="s">
        <v>21</v>
      </c>
      <c r="M903" s="1" t="s">
        <v>29</v>
      </c>
      <c r="N903" s="1" t="s">
        <v>22</v>
      </c>
    </row>
    <row r="904" spans="1:14" x14ac:dyDescent="0.25">
      <c r="A904" s="1">
        <v>903</v>
      </c>
      <c r="B904" s="2" t="str">
        <f>HYPERLINK("https://leetcode.com/problems/valid-permutations-for-di-sequence/", "Valid Permutations for DI Sequence")</f>
        <v>Valid Permutations for DI Sequence</v>
      </c>
      <c r="C904" s="1">
        <v>751</v>
      </c>
      <c r="D904" s="1">
        <v>45</v>
      </c>
      <c r="E904" s="3">
        <f>IF(INDEX(C:C, ROW())+INDEX(D:D, ROW())=0, 0, INDEX(C:C, ROW())/(INDEX(C:C, ROW())+INDEX(D:D, ROW())))</f>
        <v>0.94346733668341709</v>
      </c>
      <c r="F904" s="1" t="s">
        <v>701</v>
      </c>
      <c r="G904" s="1" t="s">
        <v>28</v>
      </c>
      <c r="H904" s="1">
        <v>20256</v>
      </c>
      <c r="I904" s="1">
        <v>36001</v>
      </c>
      <c r="J904" s="7">
        <v>0.56299999999999994</v>
      </c>
      <c r="K904" s="1" t="s">
        <v>21</v>
      </c>
      <c r="L904" s="1" t="s">
        <v>21</v>
      </c>
      <c r="M904" s="1" t="s">
        <v>29</v>
      </c>
      <c r="N904" s="1" t="s">
        <v>22</v>
      </c>
    </row>
    <row r="905" spans="1:14" x14ac:dyDescent="0.25">
      <c r="A905" s="1">
        <v>904</v>
      </c>
      <c r="B905" s="2" t="str">
        <f>HYPERLINK("https://leetcode.com/problems/fruit-into-baskets/", "Fruit Into Baskets")</f>
        <v>Fruit Into Baskets</v>
      </c>
      <c r="C905" s="1">
        <v>6115</v>
      </c>
      <c r="D905" s="1">
        <v>575</v>
      </c>
      <c r="E905" s="3">
        <f>IF(INDEX(C:C, ROW())+INDEX(D:D, ROW())=0, 0, INDEX(C:C, ROW())/(INDEX(C:C, ROW())+INDEX(D:D, ROW())))</f>
        <v>0.91405082212257105</v>
      </c>
      <c r="F905" s="1" t="s">
        <v>185</v>
      </c>
      <c r="G905" s="1" t="s">
        <v>24</v>
      </c>
      <c r="H905" s="1">
        <v>785393</v>
      </c>
      <c r="I905" s="1">
        <v>1554849</v>
      </c>
      <c r="J905" s="7">
        <v>0.505</v>
      </c>
      <c r="K905" s="1" t="s">
        <v>21</v>
      </c>
      <c r="L905" s="1" t="s">
        <v>21</v>
      </c>
      <c r="M905" s="1" t="s">
        <v>29</v>
      </c>
      <c r="N905" s="1" t="s">
        <v>22</v>
      </c>
    </row>
    <row r="906" spans="1:14" x14ac:dyDescent="0.25">
      <c r="A906" s="1">
        <v>905</v>
      </c>
      <c r="B906" s="2" t="str">
        <f>HYPERLINK("https://leetcode.com/problems/sort-array-by-parity/", "Sort Array By Parity")</f>
        <v>Sort Array By Parity</v>
      </c>
      <c r="C906" s="1">
        <v>5671</v>
      </c>
      <c r="D906" s="1">
        <v>156</v>
      </c>
      <c r="E906" s="3">
        <f>IF(INDEX(C:C, ROW())+INDEX(D:D, ROW())=0, 0, INDEX(C:C, ROW())/(INDEX(C:C, ROW())+INDEX(D:D, ROW())))</f>
        <v>0.9732280761970139</v>
      </c>
      <c r="F906" s="1" t="s">
        <v>31</v>
      </c>
      <c r="G906" s="1" t="s">
        <v>20</v>
      </c>
      <c r="H906" s="1">
        <v>997329</v>
      </c>
      <c r="I906" s="1">
        <v>1304368</v>
      </c>
      <c r="J906" s="7">
        <v>0.76500000000000001</v>
      </c>
      <c r="K906" s="1" t="s">
        <v>21</v>
      </c>
      <c r="L906" s="1" t="s">
        <v>21</v>
      </c>
      <c r="M906" s="1" t="s">
        <v>29</v>
      </c>
      <c r="N906" s="1" t="s">
        <v>22</v>
      </c>
    </row>
    <row r="907" spans="1:14" x14ac:dyDescent="0.25">
      <c r="A907" s="1">
        <v>906</v>
      </c>
      <c r="B907" s="2" t="str">
        <f>HYPERLINK("https://leetcode.com/problems/super-palindromes/", "Super Palindromes")</f>
        <v>Super Palindromes</v>
      </c>
      <c r="C907" s="1">
        <v>376</v>
      </c>
      <c r="D907" s="1">
        <v>423</v>
      </c>
      <c r="E907" s="3">
        <f>IF(INDEX(C:C, ROW())+INDEX(D:D, ROW())=0, 0, INDEX(C:C, ROW())/(INDEX(C:C, ROW())+INDEX(D:D, ROW())))</f>
        <v>0.47058823529411764</v>
      </c>
      <c r="F907" s="1" t="s">
        <v>1002</v>
      </c>
      <c r="G907" s="1" t="s">
        <v>28</v>
      </c>
      <c r="H907" s="1">
        <v>28291</v>
      </c>
      <c r="I907" s="1">
        <v>71036</v>
      </c>
      <c r="J907" s="7">
        <v>0.39800000000000002</v>
      </c>
      <c r="K907" s="1" t="s">
        <v>21</v>
      </c>
      <c r="L907" s="1" t="s">
        <v>21</v>
      </c>
      <c r="M907" s="1" t="s">
        <v>29</v>
      </c>
      <c r="N907" s="1" t="s">
        <v>22</v>
      </c>
    </row>
    <row r="908" spans="1:14" x14ac:dyDescent="0.25">
      <c r="A908" s="1">
        <v>907</v>
      </c>
      <c r="B908" s="2" t="str">
        <f>HYPERLINK("https://leetcode.com/problems/sum-of-subarray-minimums/", "Sum of Subarray Minimums")</f>
        <v>Sum of Subarray Minimums</v>
      </c>
      <c r="C908" s="1">
        <v>9141</v>
      </c>
      <c r="D908" s="1">
        <v>729</v>
      </c>
      <c r="E908" s="3">
        <f>IF(INDEX(C:C, ROW())+INDEX(D:D, ROW())=0, 0, INDEX(C:C, ROW())/(INDEX(C:C, ROW())+INDEX(D:D, ROW())))</f>
        <v>0.9261398176291793</v>
      </c>
      <c r="F908" s="1" t="s">
        <v>151</v>
      </c>
      <c r="G908" s="1" t="s">
        <v>24</v>
      </c>
      <c r="H908" s="1">
        <v>427466</v>
      </c>
      <c r="I908" s="1">
        <v>1116340</v>
      </c>
      <c r="J908" s="7">
        <v>0.38300000000000001</v>
      </c>
      <c r="K908" s="1" t="s">
        <v>21</v>
      </c>
      <c r="L908" s="1" t="s">
        <v>21</v>
      </c>
      <c r="M908" s="1" t="s">
        <v>29</v>
      </c>
      <c r="N908" s="1" t="s">
        <v>22</v>
      </c>
    </row>
    <row r="909" spans="1:14" x14ac:dyDescent="0.25">
      <c r="A909" s="1">
        <v>908</v>
      </c>
      <c r="B909" s="2" t="str">
        <f>HYPERLINK("https://leetcode.com/problems/smallest-range-i/", "Smallest Range I")</f>
        <v>Smallest Range I</v>
      </c>
      <c r="C909" s="1">
        <v>787</v>
      </c>
      <c r="D909" s="1">
        <v>2087</v>
      </c>
      <c r="E909" s="3">
        <f>IF(INDEX(C:C, ROW())+INDEX(D:D, ROW())=0, 0, INDEX(C:C, ROW())/(INDEX(C:C, ROW())+INDEX(D:D, ROW())))</f>
        <v>0.27383437717466946</v>
      </c>
      <c r="F909" s="1" t="s">
        <v>115</v>
      </c>
      <c r="G909" s="1" t="s">
        <v>20</v>
      </c>
      <c r="H909" s="1">
        <v>122262</v>
      </c>
      <c r="I909" s="1">
        <v>166845</v>
      </c>
      <c r="J909" s="7">
        <v>0.73299999999999998</v>
      </c>
      <c r="K909" s="1" t="s">
        <v>21</v>
      </c>
      <c r="L909" s="1" t="s">
        <v>21</v>
      </c>
      <c r="M909" s="1" t="s">
        <v>29</v>
      </c>
      <c r="N909" s="1" t="s">
        <v>22</v>
      </c>
    </row>
    <row r="910" spans="1:14" x14ac:dyDescent="0.25">
      <c r="A910" s="1">
        <v>909</v>
      </c>
      <c r="B910" s="2" t="str">
        <f>HYPERLINK("https://leetcode.com/problems/snakes-and-ladders/", "Snakes and Ladders")</f>
        <v>Snakes and Ladders</v>
      </c>
      <c r="C910" s="1">
        <v>3634</v>
      </c>
      <c r="D910" s="1">
        <v>1343</v>
      </c>
      <c r="E910" s="3">
        <f>IF(INDEX(C:C, ROW())+INDEX(D:D, ROW())=0, 0, INDEX(C:C, ROW())/(INDEX(C:C, ROW())+INDEX(D:D, ROW())))</f>
        <v>0.73015873015873012</v>
      </c>
      <c r="F910" s="1" t="s">
        <v>86</v>
      </c>
      <c r="G910" s="1" t="s">
        <v>24</v>
      </c>
      <c r="H910" s="1">
        <v>356522</v>
      </c>
      <c r="I910" s="1">
        <v>742955</v>
      </c>
      <c r="J910" s="7">
        <v>0.48</v>
      </c>
      <c r="K910" s="1" t="s">
        <v>21</v>
      </c>
      <c r="L910" s="1" t="s">
        <v>21</v>
      </c>
      <c r="M910" s="1" t="s">
        <v>29</v>
      </c>
      <c r="N910" s="1" t="s">
        <v>22</v>
      </c>
    </row>
    <row r="911" spans="1:14" x14ac:dyDescent="0.25">
      <c r="A911" s="1">
        <v>910</v>
      </c>
      <c r="B911" s="2" t="str">
        <f>HYPERLINK("https://leetcode.com/problems/smallest-range-ii/", "Smallest Range II")</f>
        <v>Smallest Range II</v>
      </c>
      <c r="C911" s="1">
        <v>1711</v>
      </c>
      <c r="D911" s="1">
        <v>467</v>
      </c>
      <c r="E911" s="3">
        <f>IF(INDEX(C:C, ROW())+INDEX(D:D, ROW())=0, 0, INDEX(C:C, ROW())/(INDEX(C:C, ROW())+INDEX(D:D, ROW())))</f>
        <v>0.78558310376492191</v>
      </c>
      <c r="F911" s="1" t="s">
        <v>354</v>
      </c>
      <c r="G911" s="1" t="s">
        <v>24</v>
      </c>
      <c r="H911" s="1">
        <v>65231</v>
      </c>
      <c r="I911" s="1">
        <v>172867</v>
      </c>
      <c r="J911" s="7">
        <v>0.377</v>
      </c>
      <c r="K911" s="1" t="s">
        <v>21</v>
      </c>
      <c r="L911" s="1" t="s">
        <v>21</v>
      </c>
      <c r="M911" s="1" t="s">
        <v>29</v>
      </c>
      <c r="N911" s="1" t="s">
        <v>22</v>
      </c>
    </row>
    <row r="912" spans="1:14" x14ac:dyDescent="0.25">
      <c r="A912" s="1">
        <v>911</v>
      </c>
      <c r="B912" s="2" t="str">
        <f>HYPERLINK("https://leetcode.com/problems/online-election/", "Online Election")</f>
        <v>Online Election</v>
      </c>
      <c r="C912" s="1">
        <v>1085</v>
      </c>
      <c r="D912" s="1">
        <v>681</v>
      </c>
      <c r="E912" s="3">
        <f>IF(INDEX(C:C, ROW())+INDEX(D:D, ROW())=0, 0, INDEX(C:C, ROW())/(INDEX(C:C, ROW())+INDEX(D:D, ROW())))</f>
        <v>0.61438278595696494</v>
      </c>
      <c r="F912" s="1" t="s">
        <v>313</v>
      </c>
      <c r="G912" s="1" t="s">
        <v>24</v>
      </c>
      <c r="H912" s="1">
        <v>76975</v>
      </c>
      <c r="I912" s="1">
        <v>146129</v>
      </c>
      <c r="J912" s="7">
        <v>0.52700000000000002</v>
      </c>
      <c r="K912" s="1" t="s">
        <v>21</v>
      </c>
      <c r="L912" s="1" t="s">
        <v>21</v>
      </c>
      <c r="M912" s="1" t="s">
        <v>29</v>
      </c>
      <c r="N912" s="1" t="s">
        <v>22</v>
      </c>
    </row>
    <row r="913" spans="1:14" x14ac:dyDescent="0.25">
      <c r="A913" s="1">
        <v>912</v>
      </c>
      <c r="B913" s="2" t="str">
        <f>HYPERLINK("https://leetcode.com/problems/sort-an-array/", "Sort an Array")</f>
        <v>Sort an Array</v>
      </c>
      <c r="C913" s="1">
        <v>7178</v>
      </c>
      <c r="D913" s="1">
        <v>841</v>
      </c>
      <c r="E913" s="3">
        <f>IF(INDEX(C:C, ROW())+INDEX(D:D, ROW())=0, 0, INDEX(C:C, ROW())/(INDEX(C:C, ROW())+INDEX(D:D, ROW())))</f>
        <v>0.89512408030926549</v>
      </c>
      <c r="F913" s="1" t="s">
        <v>194</v>
      </c>
      <c r="G913" s="1" t="s">
        <v>24</v>
      </c>
      <c r="H913" s="1">
        <v>1082103</v>
      </c>
      <c r="I913" s="1">
        <v>1935126</v>
      </c>
      <c r="J913" s="7">
        <v>0.55900000000000005</v>
      </c>
      <c r="K913" s="1" t="s">
        <v>21</v>
      </c>
      <c r="L913" s="1" t="s">
        <v>21</v>
      </c>
      <c r="M913" s="1" t="s">
        <v>29</v>
      </c>
      <c r="N913" s="1" t="s">
        <v>22</v>
      </c>
    </row>
    <row r="914" spans="1:14" x14ac:dyDescent="0.25">
      <c r="A914" s="1">
        <v>913</v>
      </c>
      <c r="B914" s="2" t="str">
        <f>HYPERLINK("https://leetcode.com/problems/cat-and-mouse/", "Cat and Mouse")</f>
        <v>Cat and Mouse</v>
      </c>
      <c r="C914" s="1">
        <v>1010</v>
      </c>
      <c r="D914" s="1">
        <v>179</v>
      </c>
      <c r="E914" s="3">
        <f>IF(INDEX(C:C, ROW())+INDEX(D:D, ROW())=0, 0, INDEX(C:C, ROW())/(INDEX(C:C, ROW())+INDEX(D:D, ROW())))</f>
        <v>0.84945332211942814</v>
      </c>
      <c r="F914" s="1" t="s">
        <v>713</v>
      </c>
      <c r="G914" s="1" t="s">
        <v>28</v>
      </c>
      <c r="H914" s="1">
        <v>26334</v>
      </c>
      <c r="I914" s="1">
        <v>75748</v>
      </c>
      <c r="J914" s="7">
        <v>0.34799999999999998</v>
      </c>
      <c r="K914" s="1" t="s">
        <v>21</v>
      </c>
      <c r="L914" s="1" t="s">
        <v>21</v>
      </c>
      <c r="M914" s="1" t="s">
        <v>29</v>
      </c>
      <c r="N914" s="1" t="s">
        <v>22</v>
      </c>
    </row>
    <row r="915" spans="1:14" x14ac:dyDescent="0.25">
      <c r="A915" s="1">
        <v>914</v>
      </c>
      <c r="B915" s="2" t="str">
        <f>HYPERLINK("https://leetcode.com/problems/x-of-a-kind-in-a-deck-of-cards/", "X of a Kind in a Deck of Cards")</f>
        <v>X of a Kind in a Deck of Cards</v>
      </c>
      <c r="C915" s="1">
        <v>1899</v>
      </c>
      <c r="D915" s="1">
        <v>575</v>
      </c>
      <c r="E915" s="3">
        <f>IF(INDEX(C:C, ROW())+INDEX(D:D, ROW())=0, 0, INDEX(C:C, ROW())/(INDEX(C:C, ROW())+INDEX(D:D, ROW())))</f>
        <v>0.76758286176232826</v>
      </c>
      <c r="F915" s="1" t="s">
        <v>518</v>
      </c>
      <c r="G915" s="1" t="s">
        <v>20</v>
      </c>
      <c r="H915" s="1">
        <v>154947</v>
      </c>
      <c r="I915" s="1">
        <v>514146</v>
      </c>
      <c r="J915" s="7">
        <v>0.30099999999999999</v>
      </c>
      <c r="K915" s="1" t="s">
        <v>21</v>
      </c>
      <c r="L915" s="1" t="s">
        <v>21</v>
      </c>
      <c r="M915" s="1" t="s">
        <v>29</v>
      </c>
      <c r="N915" s="1" t="s">
        <v>22</v>
      </c>
    </row>
    <row r="916" spans="1:14" x14ac:dyDescent="0.25">
      <c r="A916" s="1">
        <v>915</v>
      </c>
      <c r="B916" s="2" t="str">
        <f>HYPERLINK("https://leetcode.com/problems/partition-array-into-disjoint-intervals/", "Partition Array into Disjoint Intervals")</f>
        <v>Partition Array into Disjoint Intervals</v>
      </c>
      <c r="C916" s="1">
        <v>1765</v>
      </c>
      <c r="D916" s="1">
        <v>83</v>
      </c>
      <c r="E916" s="3">
        <f>IF(INDEX(C:C, ROW())+INDEX(D:D, ROW())=0, 0, INDEX(C:C, ROW())/(INDEX(C:C, ROW())+INDEX(D:D, ROW())))</f>
        <v>0.95508658008658009</v>
      </c>
      <c r="F916" s="1" t="s">
        <v>113</v>
      </c>
      <c r="G916" s="1" t="s">
        <v>24</v>
      </c>
      <c r="H916" s="1">
        <v>97016</v>
      </c>
      <c r="I916" s="1">
        <v>196476</v>
      </c>
      <c r="J916" s="7">
        <v>0.49399999999999999</v>
      </c>
      <c r="K916" s="1" t="s">
        <v>21</v>
      </c>
      <c r="L916" s="1" t="s">
        <v>21</v>
      </c>
      <c r="M916" s="1" t="s">
        <v>29</v>
      </c>
      <c r="N916" s="1" t="s">
        <v>22</v>
      </c>
    </row>
    <row r="917" spans="1:14" x14ac:dyDescent="0.25">
      <c r="A917" s="1">
        <v>916</v>
      </c>
      <c r="B917" s="2" t="str">
        <f>HYPERLINK("https://leetcode.com/problems/word-subsets/", "Word Subsets")</f>
        <v>Word Subsets</v>
      </c>
      <c r="C917" s="1">
        <v>3533</v>
      </c>
      <c r="D917" s="1">
        <v>316</v>
      </c>
      <c r="E917" s="3">
        <f>IF(INDEX(C:C, ROW())+INDEX(D:D, ROW())=0, 0, INDEX(C:C, ROW())/(INDEX(C:C, ROW())+INDEX(D:D, ROW())))</f>
        <v>0.91790075344245259</v>
      </c>
      <c r="F917" s="1" t="s">
        <v>258</v>
      </c>
      <c r="G917" s="1" t="s">
        <v>24</v>
      </c>
      <c r="H917" s="1">
        <v>264658</v>
      </c>
      <c r="I917" s="1">
        <v>473607</v>
      </c>
      <c r="J917" s="7">
        <v>0.55900000000000005</v>
      </c>
      <c r="K917" s="1" t="s">
        <v>21</v>
      </c>
      <c r="L917" s="1" t="s">
        <v>21</v>
      </c>
      <c r="M917" s="1" t="s">
        <v>29</v>
      </c>
      <c r="N917" s="1" t="s">
        <v>22</v>
      </c>
    </row>
    <row r="918" spans="1:14" x14ac:dyDescent="0.25">
      <c r="A918" s="1">
        <v>917</v>
      </c>
      <c r="B918" s="2" t="str">
        <f>HYPERLINK("https://leetcode.com/problems/reverse-only-letters/", "Reverse Only Letters")</f>
        <v>Reverse Only Letters</v>
      </c>
      <c r="C918" s="1">
        <v>2435</v>
      </c>
      <c r="D918" s="1">
        <v>86</v>
      </c>
      <c r="E918" s="3">
        <f>IF(INDEX(C:C, ROW())+INDEX(D:D, ROW())=0, 0, INDEX(C:C, ROW())/(INDEX(C:C, ROW())+INDEX(D:D, ROW())))</f>
        <v>0.96588655295517656</v>
      </c>
      <c r="F918" s="1" t="s">
        <v>117</v>
      </c>
      <c r="G918" s="1" t="s">
        <v>20</v>
      </c>
      <c r="H918" s="1">
        <v>318067</v>
      </c>
      <c r="I918" s="1">
        <v>466860</v>
      </c>
      <c r="J918" s="7">
        <v>0.68100000000000005</v>
      </c>
      <c r="K918" s="1" t="s">
        <v>21</v>
      </c>
      <c r="L918" s="1" t="s">
        <v>21</v>
      </c>
      <c r="M918" s="1" t="s">
        <v>29</v>
      </c>
      <c r="N918" s="1" t="s">
        <v>22</v>
      </c>
    </row>
    <row r="919" spans="1:14" x14ac:dyDescent="0.25">
      <c r="A919" s="1">
        <v>918</v>
      </c>
      <c r="B919" s="2" t="str">
        <f>HYPERLINK("https://leetcode.com/problems/maximum-sum-circular-subarray/", "Maximum Sum Circular Subarray")</f>
        <v>Maximum Sum Circular Subarray</v>
      </c>
      <c r="C919" s="1">
        <v>7278</v>
      </c>
      <c r="D919" s="1">
        <v>342</v>
      </c>
      <c r="E919" s="3">
        <f>IF(INDEX(C:C, ROW())+INDEX(D:D, ROW())=0, 0, INDEX(C:C, ROW())/(INDEX(C:C, ROW())+INDEX(D:D, ROW())))</f>
        <v>0.95511811023622051</v>
      </c>
      <c r="F919" s="1" t="s">
        <v>187</v>
      </c>
      <c r="G919" s="1" t="s">
        <v>24</v>
      </c>
      <c r="H919" s="1">
        <v>401070</v>
      </c>
      <c r="I919" s="1">
        <v>811411</v>
      </c>
      <c r="J919" s="7">
        <v>0.49399999999999999</v>
      </c>
      <c r="K919" s="1" t="s">
        <v>21</v>
      </c>
      <c r="L919" s="1" t="s">
        <v>21</v>
      </c>
      <c r="M919" s="1" t="s">
        <v>29</v>
      </c>
      <c r="N919" s="1" t="s">
        <v>22</v>
      </c>
    </row>
    <row r="920" spans="1:14" x14ac:dyDescent="0.25">
      <c r="A920" s="1">
        <v>919</v>
      </c>
      <c r="B920" s="2" t="str">
        <f>HYPERLINK("https://leetcode.com/problems/complete-binary-tree-inserter/", "Complete Binary Tree Inserter")</f>
        <v>Complete Binary Tree Inserter</v>
      </c>
      <c r="C920" s="1">
        <v>1154</v>
      </c>
      <c r="D920" s="1">
        <v>120</v>
      </c>
      <c r="E920" s="3">
        <f>IF(INDEX(C:C, ROW())+INDEX(D:D, ROW())=0, 0, INDEX(C:C, ROW())/(INDEX(C:C, ROW())+INDEX(D:D, ROW())))</f>
        <v>0.90580847723704871</v>
      </c>
      <c r="F920" s="1" t="s">
        <v>666</v>
      </c>
      <c r="G920" s="1" t="s">
        <v>24</v>
      </c>
      <c r="H920" s="1">
        <v>65781</v>
      </c>
      <c r="I920" s="1">
        <v>101227</v>
      </c>
      <c r="J920" s="7">
        <v>0.65</v>
      </c>
      <c r="K920" s="1" t="s">
        <v>21</v>
      </c>
      <c r="L920" s="1" t="s">
        <v>21</v>
      </c>
      <c r="M920" s="1" t="s">
        <v>29</v>
      </c>
      <c r="N920" s="1" t="s">
        <v>22</v>
      </c>
    </row>
    <row r="921" spans="1:14" x14ac:dyDescent="0.25">
      <c r="A921" s="1">
        <v>920</v>
      </c>
      <c r="B921" s="2" t="str">
        <f>HYPERLINK("https://leetcode.com/problems/number-of-music-playlists/", "Number of Music Playlists")</f>
        <v>Number of Music Playlists</v>
      </c>
      <c r="C921" s="1">
        <v>2461</v>
      </c>
      <c r="D921" s="1">
        <v>206</v>
      </c>
      <c r="E921" s="3">
        <f>IF(INDEX(C:C, ROW())+INDEX(D:D, ROW())=0, 0, INDEX(C:C, ROW())/(INDEX(C:C, ROW())+INDEX(D:D, ROW())))</f>
        <v>0.92275965504311963</v>
      </c>
      <c r="F921" s="1" t="s">
        <v>70</v>
      </c>
      <c r="G921" s="1" t="s">
        <v>28</v>
      </c>
      <c r="H921" s="1">
        <v>78486</v>
      </c>
      <c r="I921" s="1">
        <v>130790</v>
      </c>
      <c r="J921" s="7">
        <v>0.6</v>
      </c>
      <c r="K921" s="1" t="s">
        <v>21</v>
      </c>
      <c r="L921" s="1" t="s">
        <v>21</v>
      </c>
      <c r="M921" s="1" t="s">
        <v>29</v>
      </c>
      <c r="N921" s="1" t="s">
        <v>22</v>
      </c>
    </row>
    <row r="922" spans="1:14" x14ac:dyDescent="0.25">
      <c r="A922" s="1">
        <v>921</v>
      </c>
      <c r="B922" s="2" t="str">
        <f>HYPERLINK("https://leetcode.com/problems/minimum-add-to-make-parentheses-valid/", "Minimum Add to Make Parentheses Valid")</f>
        <v>Minimum Add to Make Parentheses Valid</v>
      </c>
      <c r="C922" s="1">
        <v>4926</v>
      </c>
      <c r="D922" s="1">
        <v>247</v>
      </c>
      <c r="E922" s="3">
        <f>IF(INDEX(C:C, ROW())+INDEX(D:D, ROW())=0, 0, INDEX(C:C, ROW())/(INDEX(C:C, ROW())+INDEX(D:D, ROW())))</f>
        <v>0.95225207809781554</v>
      </c>
      <c r="F922" s="1" t="s">
        <v>263</v>
      </c>
      <c r="G922" s="1" t="s">
        <v>24</v>
      </c>
      <c r="H922" s="1">
        <v>689237</v>
      </c>
      <c r="I922" s="1">
        <v>925845</v>
      </c>
      <c r="J922" s="7">
        <v>0.74399999999999999</v>
      </c>
      <c r="K922" s="1" t="s">
        <v>21</v>
      </c>
      <c r="L922" s="1" t="s">
        <v>21</v>
      </c>
      <c r="M922" s="1" t="s">
        <v>29</v>
      </c>
      <c r="N922" s="1" t="s">
        <v>22</v>
      </c>
    </row>
    <row r="923" spans="1:14" x14ac:dyDescent="0.25">
      <c r="A923" s="1">
        <v>922</v>
      </c>
      <c r="B923" s="2" t="str">
        <f>HYPERLINK("https://leetcode.com/problems/sort-array-by-parity-ii/", "Sort Array By Parity II")</f>
        <v>Sort Array By Parity II</v>
      </c>
      <c r="C923" s="1">
        <v>2806</v>
      </c>
      <c r="D923" s="1">
        <v>104</v>
      </c>
      <c r="E923" s="3">
        <f>IF(INDEX(C:C, ROW())+INDEX(D:D, ROW())=0, 0, INDEX(C:C, ROW())/(INDEX(C:C, ROW())+INDEX(D:D, ROW())))</f>
        <v>0.96426116838487974</v>
      </c>
      <c r="F923" s="1" t="s">
        <v>31</v>
      </c>
      <c r="G923" s="1" t="s">
        <v>20</v>
      </c>
      <c r="H923" s="1">
        <v>338132</v>
      </c>
      <c r="I923" s="1">
        <v>474742</v>
      </c>
      <c r="J923" s="7">
        <v>0.71199999999999997</v>
      </c>
      <c r="K923" s="1" t="s">
        <v>21</v>
      </c>
      <c r="L923" s="1" t="s">
        <v>21</v>
      </c>
      <c r="M923" s="1" t="s">
        <v>21</v>
      </c>
      <c r="N923" s="1" t="s">
        <v>22</v>
      </c>
    </row>
    <row r="924" spans="1:14" x14ac:dyDescent="0.25">
      <c r="A924" s="1">
        <v>923</v>
      </c>
      <c r="B924" s="2" t="str">
        <f>HYPERLINK("https://leetcode.com/problems/3sum-with-multiplicity/", "3Sum With Multiplicity")</f>
        <v>3Sum With Multiplicity</v>
      </c>
      <c r="C924" s="1">
        <v>2680</v>
      </c>
      <c r="D924" s="1">
        <v>329</v>
      </c>
      <c r="E924" s="3">
        <f>IF(INDEX(C:C, ROW())+INDEX(D:D, ROW())=0, 0, INDEX(C:C, ROW())/(INDEX(C:C, ROW())+INDEX(D:D, ROW())))</f>
        <v>0.89066134928547691</v>
      </c>
      <c r="F924" s="1" t="s">
        <v>402</v>
      </c>
      <c r="G924" s="1" t="s">
        <v>24</v>
      </c>
      <c r="H924" s="1">
        <v>119788</v>
      </c>
      <c r="I924" s="1">
        <v>259371</v>
      </c>
      <c r="J924" s="7">
        <v>0.46200000000000002</v>
      </c>
      <c r="K924" s="1" t="s">
        <v>21</v>
      </c>
      <c r="L924" s="1" t="s">
        <v>21</v>
      </c>
      <c r="M924" s="1" t="s">
        <v>29</v>
      </c>
      <c r="N924" s="1" t="s">
        <v>22</v>
      </c>
    </row>
    <row r="925" spans="1:14" x14ac:dyDescent="0.25">
      <c r="A925" s="1">
        <v>924</v>
      </c>
      <c r="B925" s="2" t="str">
        <f>HYPERLINK("https://leetcode.com/problems/minimize-malware-spread/", "Minimize Malware Spread")</f>
        <v>Minimize Malware Spread</v>
      </c>
      <c r="C925" s="1">
        <v>1116</v>
      </c>
      <c r="D925" s="1">
        <v>652</v>
      </c>
      <c r="E925" s="3">
        <f>IF(INDEX(C:C, ROW())+INDEX(D:D, ROW())=0, 0, INDEX(C:C, ROW())/(INDEX(C:C, ROW())+INDEX(D:D, ROW())))</f>
        <v>0.63122171945701355</v>
      </c>
      <c r="F925" s="1" t="s">
        <v>680</v>
      </c>
      <c r="G925" s="1" t="s">
        <v>28</v>
      </c>
      <c r="H925" s="1">
        <v>72659</v>
      </c>
      <c r="I925" s="1">
        <v>169168</v>
      </c>
      <c r="J925" s="7">
        <v>0.43</v>
      </c>
      <c r="K925" s="1" t="s">
        <v>21</v>
      </c>
      <c r="L925" s="1" t="s">
        <v>21</v>
      </c>
      <c r="M925" s="1" t="s">
        <v>29</v>
      </c>
      <c r="N925" s="1" t="s">
        <v>22</v>
      </c>
    </row>
    <row r="926" spans="1:14" x14ac:dyDescent="0.25">
      <c r="A926" s="1">
        <v>925</v>
      </c>
      <c r="B926" s="2" t="str">
        <f>HYPERLINK("https://leetcode.com/problems/long-pressed-name/", "Long Pressed Name")</f>
        <v>Long Pressed Name</v>
      </c>
      <c r="C926" s="1">
        <v>2583</v>
      </c>
      <c r="D926" s="1">
        <v>407</v>
      </c>
      <c r="E926" s="3">
        <f>IF(INDEX(C:C, ROW())+INDEX(D:D, ROW())=0, 0, INDEX(C:C, ROW())/(INDEX(C:C, ROW())+INDEX(D:D, ROW())))</f>
        <v>0.86387959866220732</v>
      </c>
      <c r="F926" s="1" t="s">
        <v>117</v>
      </c>
      <c r="G926" s="1" t="s">
        <v>20</v>
      </c>
      <c r="H926" s="1">
        <v>188894</v>
      </c>
      <c r="I926" s="1">
        <v>576308</v>
      </c>
      <c r="J926" s="7">
        <v>0.32800000000000001</v>
      </c>
      <c r="K926" s="1" t="s">
        <v>21</v>
      </c>
      <c r="L926" s="1" t="s">
        <v>21</v>
      </c>
      <c r="M926" s="1" t="s">
        <v>29</v>
      </c>
      <c r="N926" s="1" t="s">
        <v>22</v>
      </c>
    </row>
    <row r="927" spans="1:14" x14ac:dyDescent="0.25">
      <c r="A927" s="1">
        <v>926</v>
      </c>
      <c r="B927" s="2" t="str">
        <f>HYPERLINK("https://leetcode.com/problems/flip-string-to-monotone-increasing/", "Flip String to Monotone Increasing")</f>
        <v>Flip String to Monotone Increasing</v>
      </c>
      <c r="C927" s="1">
        <v>4580</v>
      </c>
      <c r="D927" s="1">
        <v>185</v>
      </c>
      <c r="E927" s="3">
        <f>IF(INDEX(C:C, ROW())+INDEX(D:D, ROW())=0, 0, INDEX(C:C, ROW())/(INDEX(C:C, ROW())+INDEX(D:D, ROW())))</f>
        <v>0.96117523609653721</v>
      </c>
      <c r="F927" s="1" t="s">
        <v>82</v>
      </c>
      <c r="G927" s="1" t="s">
        <v>24</v>
      </c>
      <c r="H927" s="1">
        <v>215272</v>
      </c>
      <c r="I927" s="1">
        <v>348036</v>
      </c>
      <c r="J927" s="7">
        <v>0.61899999999999999</v>
      </c>
      <c r="K927" s="1" t="s">
        <v>21</v>
      </c>
      <c r="L927" s="1" t="s">
        <v>21</v>
      </c>
      <c r="M927" s="1" t="s">
        <v>29</v>
      </c>
      <c r="N927" s="1" t="s">
        <v>22</v>
      </c>
    </row>
    <row r="928" spans="1:14" x14ac:dyDescent="0.25">
      <c r="A928" s="1">
        <v>927</v>
      </c>
      <c r="B928" s="2" t="str">
        <f>HYPERLINK("https://leetcode.com/problems/three-equal-parts/", "Three Equal Parts")</f>
        <v>Three Equal Parts</v>
      </c>
      <c r="C928" s="1">
        <v>855</v>
      </c>
      <c r="D928" s="1">
        <v>125</v>
      </c>
      <c r="E928" s="3">
        <f>IF(INDEX(C:C, ROW())+INDEX(D:D, ROW())=0, 0, INDEX(C:C, ROW())/(INDEX(C:C, ROW())+INDEX(D:D, ROW())))</f>
        <v>0.87244897959183676</v>
      </c>
      <c r="F928" s="1" t="s">
        <v>115</v>
      </c>
      <c r="G928" s="1" t="s">
        <v>28</v>
      </c>
      <c r="H928" s="1">
        <v>34722</v>
      </c>
      <c r="I928" s="1">
        <v>84205</v>
      </c>
      <c r="J928" s="7">
        <v>0.41199999999999998</v>
      </c>
      <c r="K928" s="1" t="s">
        <v>21</v>
      </c>
      <c r="L928" s="1" t="s">
        <v>21</v>
      </c>
      <c r="M928" s="1" t="s">
        <v>29</v>
      </c>
      <c r="N928" s="1" t="s">
        <v>22</v>
      </c>
    </row>
    <row r="929" spans="1:14" x14ac:dyDescent="0.25">
      <c r="A929" s="1">
        <v>928</v>
      </c>
      <c r="B929" s="2" t="str">
        <f>HYPERLINK("https://leetcode.com/problems/minimize-malware-spread-ii/", "Minimize Malware Spread II")</f>
        <v>Minimize Malware Spread II</v>
      </c>
      <c r="C929" s="1">
        <v>708</v>
      </c>
      <c r="D929" s="1">
        <v>92</v>
      </c>
      <c r="E929" s="3">
        <f>IF(INDEX(C:C, ROW())+INDEX(D:D, ROW())=0, 0, INDEX(C:C, ROW())/(INDEX(C:C, ROW())+INDEX(D:D, ROW())))</f>
        <v>0.88500000000000001</v>
      </c>
      <c r="F929" s="1" t="s">
        <v>680</v>
      </c>
      <c r="G929" s="1" t="s">
        <v>28</v>
      </c>
      <c r="H929" s="1">
        <v>29710</v>
      </c>
      <c r="I929" s="1">
        <v>65409</v>
      </c>
      <c r="J929" s="7">
        <v>0.45400000000000001</v>
      </c>
      <c r="K929" s="1" t="s">
        <v>21</v>
      </c>
      <c r="L929" s="1" t="s">
        <v>21</v>
      </c>
      <c r="M929" s="1" t="s">
        <v>29</v>
      </c>
      <c r="N929" s="1" t="s">
        <v>22</v>
      </c>
    </row>
    <row r="930" spans="1:14" x14ac:dyDescent="0.25">
      <c r="A930" s="1">
        <v>929</v>
      </c>
      <c r="B930" s="2" t="str">
        <f>HYPERLINK("https://leetcode.com/problems/unique-email-addresses/", "Unique Email Addresses")</f>
        <v>Unique Email Addresses</v>
      </c>
      <c r="C930" s="1">
        <v>2806</v>
      </c>
      <c r="D930" s="1">
        <v>362</v>
      </c>
      <c r="E930" s="3">
        <f>IF(INDEX(C:C, ROW())+INDEX(D:D, ROW())=0, 0, INDEX(C:C, ROW())/(INDEX(C:C, ROW())+INDEX(D:D, ROW())))</f>
        <v>0.8857323232323232</v>
      </c>
      <c r="F930" s="1" t="s">
        <v>258</v>
      </c>
      <c r="G930" s="1" t="s">
        <v>20</v>
      </c>
      <c r="H930" s="1">
        <v>572780</v>
      </c>
      <c r="I930" s="1">
        <v>844850</v>
      </c>
      <c r="J930" s="7">
        <v>0.67800000000000005</v>
      </c>
      <c r="K930" s="1" t="s">
        <v>21</v>
      </c>
      <c r="L930" s="1" t="s">
        <v>21</v>
      </c>
      <c r="M930" s="1" t="s">
        <v>29</v>
      </c>
      <c r="N930" s="1" t="s">
        <v>22</v>
      </c>
    </row>
    <row r="931" spans="1:14" x14ac:dyDescent="0.25">
      <c r="A931" s="1">
        <v>930</v>
      </c>
      <c r="B931" s="2" t="str">
        <f>HYPERLINK("https://leetcode.com/problems/binary-subarrays-with-sum/", "Binary Subarrays With Sum")</f>
        <v>Binary Subarrays With Sum</v>
      </c>
      <c r="C931" s="1">
        <v>4788</v>
      </c>
      <c r="D931" s="1">
        <v>167</v>
      </c>
      <c r="E931" s="3">
        <f>IF(INDEX(C:C, ROW())+INDEX(D:D, ROW())=0, 0, INDEX(C:C, ROW())/(INDEX(C:C, ROW())+INDEX(D:D, ROW())))</f>
        <v>0.96629667003027242</v>
      </c>
      <c r="F931" s="1" t="s">
        <v>272</v>
      </c>
      <c r="G931" s="1" t="s">
        <v>24</v>
      </c>
      <c r="H931" s="1">
        <v>488829</v>
      </c>
      <c r="I931" s="1">
        <v>716469</v>
      </c>
      <c r="J931" s="7">
        <v>0.68200000000000005</v>
      </c>
      <c r="K931" s="1" t="s">
        <v>21</v>
      </c>
      <c r="L931" s="1" t="s">
        <v>21</v>
      </c>
      <c r="M931" s="1" t="s">
        <v>29</v>
      </c>
      <c r="N931" s="1" t="s">
        <v>22</v>
      </c>
    </row>
    <row r="932" spans="1:14" x14ac:dyDescent="0.25">
      <c r="A932" s="1">
        <v>931</v>
      </c>
      <c r="B932" s="2" t="str">
        <f>HYPERLINK("https://leetcode.com/problems/minimum-falling-path-sum/", "Minimum Falling Path Sum")</f>
        <v>Minimum Falling Path Sum</v>
      </c>
      <c r="C932" s="1">
        <v>6967</v>
      </c>
      <c r="D932" s="1">
        <v>174</v>
      </c>
      <c r="E932" s="3">
        <f>IF(INDEX(C:C, ROW())+INDEX(D:D, ROW())=0, 0, INDEX(C:C, ROW())/(INDEX(C:C, ROW())+INDEX(D:D, ROW())))</f>
        <v>0.97563366475283575</v>
      </c>
      <c r="F932" s="1" t="s">
        <v>94</v>
      </c>
      <c r="G932" s="1" t="s">
        <v>24</v>
      </c>
      <c r="H932" s="1">
        <v>646201</v>
      </c>
      <c r="I932" s="1">
        <v>1062933</v>
      </c>
      <c r="J932" s="7">
        <v>0.60799999999999998</v>
      </c>
      <c r="K932" s="1" t="s">
        <v>21</v>
      </c>
      <c r="L932" s="1" t="s">
        <v>21</v>
      </c>
      <c r="M932" s="1" t="s">
        <v>29</v>
      </c>
      <c r="N932" s="1" t="s">
        <v>22</v>
      </c>
    </row>
    <row r="933" spans="1:14" x14ac:dyDescent="0.25">
      <c r="A933" s="1">
        <v>932</v>
      </c>
      <c r="B933" s="2" t="str">
        <f>HYPERLINK("https://leetcode.com/problems/beautiful-array/", "Beautiful Array")</f>
        <v>Beautiful Array</v>
      </c>
      <c r="C933" s="1">
        <v>1152</v>
      </c>
      <c r="D933" s="1">
        <v>1589</v>
      </c>
      <c r="E933" s="3">
        <f>IF(INDEX(C:C, ROW())+INDEX(D:D, ROW())=0, 0, INDEX(C:C, ROW())/(INDEX(C:C, ROW())+INDEX(D:D, ROW())))</f>
        <v>0.42028456767603062</v>
      </c>
      <c r="F933" s="1" t="s">
        <v>668</v>
      </c>
      <c r="G933" s="1" t="s">
        <v>24</v>
      </c>
      <c r="H933" s="1">
        <v>58390</v>
      </c>
      <c r="I933" s="1">
        <v>85075</v>
      </c>
      <c r="J933" s="7">
        <v>0.68600000000000005</v>
      </c>
      <c r="K933" s="1" t="s">
        <v>21</v>
      </c>
      <c r="L933" s="1" t="s">
        <v>21</v>
      </c>
      <c r="M933" s="1" t="s">
        <v>29</v>
      </c>
      <c r="N933" s="1" t="s">
        <v>22</v>
      </c>
    </row>
    <row r="934" spans="1:14" x14ac:dyDescent="0.25">
      <c r="A934" s="1">
        <v>933</v>
      </c>
      <c r="B934" s="2" t="str">
        <f>HYPERLINK("https://leetcode.com/problems/number-of-recent-calls/", "Number of Recent Calls")</f>
        <v>Number of Recent Calls</v>
      </c>
      <c r="C934" s="1">
        <v>829</v>
      </c>
      <c r="D934" s="1">
        <v>1188</v>
      </c>
      <c r="E934" s="3">
        <f>IF(INDEX(C:C, ROW())+INDEX(D:D, ROW())=0, 0, INDEX(C:C, ROW())/(INDEX(C:C, ROW())+INDEX(D:D, ROW())))</f>
        <v>0.41100644521566682</v>
      </c>
      <c r="F934" s="1" t="s">
        <v>759</v>
      </c>
      <c r="G934" s="1" t="s">
        <v>20</v>
      </c>
      <c r="H934" s="1">
        <v>501519</v>
      </c>
      <c r="I934" s="1">
        <v>641753</v>
      </c>
      <c r="J934" s="7">
        <v>0.78100000000000003</v>
      </c>
      <c r="K934" s="1" t="s">
        <v>21</v>
      </c>
      <c r="L934" s="1" t="s">
        <v>21</v>
      </c>
      <c r="M934" s="1" t="s">
        <v>29</v>
      </c>
      <c r="N934" s="1" t="s">
        <v>22</v>
      </c>
    </row>
    <row r="935" spans="1:14" x14ac:dyDescent="0.25">
      <c r="A935" s="1">
        <v>934</v>
      </c>
      <c r="B935" s="2" t="str">
        <f>HYPERLINK("https://leetcode.com/problems/shortest-bridge/", "Shortest Bridge")</f>
        <v>Shortest Bridge</v>
      </c>
      <c r="C935" s="1">
        <v>5764</v>
      </c>
      <c r="D935" s="1">
        <v>220</v>
      </c>
      <c r="E935" s="3">
        <f>IF(INDEX(C:C, ROW())+INDEX(D:D, ROW())=0, 0, INDEX(C:C, ROW())/(INDEX(C:C, ROW())+INDEX(D:D, ROW())))</f>
        <v>0.96323529411764708</v>
      </c>
      <c r="F935" s="1" t="s">
        <v>143</v>
      </c>
      <c r="G935" s="1" t="s">
        <v>24</v>
      </c>
      <c r="H935" s="1">
        <v>271348</v>
      </c>
      <c r="I935" s="1">
        <v>457833</v>
      </c>
      <c r="J935" s="7">
        <v>0.59299999999999997</v>
      </c>
      <c r="K935" s="1" t="s">
        <v>21</v>
      </c>
      <c r="L935" s="1" t="s">
        <v>21</v>
      </c>
      <c r="M935" s="1" t="s">
        <v>29</v>
      </c>
      <c r="N935" s="1" t="s">
        <v>22</v>
      </c>
    </row>
    <row r="936" spans="1:14" x14ac:dyDescent="0.25">
      <c r="A936" s="1">
        <v>935</v>
      </c>
      <c r="B936" s="2" t="str">
        <f>HYPERLINK("https://leetcode.com/problems/knight-dialer/", "Knight Dialer")</f>
        <v>Knight Dialer</v>
      </c>
      <c r="C936" s="1">
        <v>3196</v>
      </c>
      <c r="D936" s="1">
        <v>452</v>
      </c>
      <c r="E936" s="3">
        <f>IF(INDEX(C:C, ROW())+INDEX(D:D, ROW())=0, 0, INDEX(C:C, ROW())/(INDEX(C:C, ROW())+INDEX(D:D, ROW())))</f>
        <v>0.87609649122807021</v>
      </c>
      <c r="F936" s="1" t="s">
        <v>251</v>
      </c>
      <c r="G936" s="1" t="s">
        <v>24</v>
      </c>
      <c r="H936" s="1">
        <v>199157</v>
      </c>
      <c r="I936" s="1">
        <v>322575</v>
      </c>
      <c r="J936" s="7">
        <v>0.61699999999999999</v>
      </c>
      <c r="K936" s="1" t="s">
        <v>21</v>
      </c>
      <c r="L936" s="1" t="s">
        <v>21</v>
      </c>
      <c r="M936" s="1" t="s">
        <v>29</v>
      </c>
      <c r="N936" s="1" t="s">
        <v>22</v>
      </c>
    </row>
    <row r="937" spans="1:14" x14ac:dyDescent="0.25">
      <c r="A937" s="1">
        <v>936</v>
      </c>
      <c r="B937" s="2" t="str">
        <f>HYPERLINK("https://leetcode.com/problems/stamping-the-sequence/", "Stamping The Sequence")</f>
        <v>Stamping The Sequence</v>
      </c>
      <c r="C937" s="1">
        <v>1577</v>
      </c>
      <c r="D937" s="1">
        <v>222</v>
      </c>
      <c r="E937" s="3">
        <f>IF(INDEX(C:C, ROW())+INDEX(D:D, ROW())=0, 0, INDEX(C:C, ROW())/(INDEX(C:C, ROW())+INDEX(D:D, ROW())))</f>
        <v>0.87659811006114507</v>
      </c>
      <c r="F937" s="1" t="s">
        <v>565</v>
      </c>
      <c r="G937" s="1" t="s">
        <v>28</v>
      </c>
      <c r="H937" s="1">
        <v>63855</v>
      </c>
      <c r="I937" s="1">
        <v>102717</v>
      </c>
      <c r="J937" s="7">
        <v>0.622</v>
      </c>
      <c r="K937" s="1" t="s">
        <v>21</v>
      </c>
      <c r="L937" s="1" t="s">
        <v>21</v>
      </c>
      <c r="M937" s="1" t="s">
        <v>29</v>
      </c>
      <c r="N937" s="1" t="s">
        <v>22</v>
      </c>
    </row>
    <row r="938" spans="1:14" x14ac:dyDescent="0.25">
      <c r="A938" s="1">
        <v>937</v>
      </c>
      <c r="B938" s="2" t="str">
        <f>HYPERLINK("https://leetcode.com/problems/reorder-data-in-log-files/", "Reorder Data in Log Files")</f>
        <v>Reorder Data in Log Files</v>
      </c>
      <c r="C938" s="1">
        <v>2193</v>
      </c>
      <c r="D938" s="1">
        <v>4420</v>
      </c>
      <c r="E938" s="3">
        <f>IF(INDEX(C:C, ROW())+INDEX(D:D, ROW())=0, 0, INDEX(C:C, ROW())/(INDEX(C:C, ROW())+INDEX(D:D, ROW())))</f>
        <v>0.33161953727506427</v>
      </c>
      <c r="F938" s="1" t="s">
        <v>472</v>
      </c>
      <c r="G938" s="1" t="s">
        <v>24</v>
      </c>
      <c r="H938" s="1">
        <v>408875</v>
      </c>
      <c r="I938" s="1">
        <v>718537</v>
      </c>
      <c r="J938" s="7">
        <v>0.56899999999999995</v>
      </c>
      <c r="K938" s="1" t="s">
        <v>21</v>
      </c>
      <c r="L938" s="1" t="s">
        <v>21</v>
      </c>
      <c r="M938" s="1" t="s">
        <v>29</v>
      </c>
      <c r="N938" s="1" t="s">
        <v>22</v>
      </c>
    </row>
    <row r="939" spans="1:14" x14ac:dyDescent="0.25">
      <c r="A939" s="1">
        <v>938</v>
      </c>
      <c r="B939" s="2" t="str">
        <f>HYPERLINK("https://leetcode.com/problems/range-sum-of-bst/", "Range Sum of BST")</f>
        <v>Range Sum of BST</v>
      </c>
      <c r="C939" s="1">
        <v>7236</v>
      </c>
      <c r="D939" s="1">
        <v>389</v>
      </c>
      <c r="E939" s="3">
        <f>IF(INDEX(C:C, ROW())+INDEX(D:D, ROW())=0, 0, INDEX(C:C, ROW())/(INDEX(C:C, ROW())+INDEX(D:D, ROW())))</f>
        <v>0.94898360655737701</v>
      </c>
      <c r="F939" s="1" t="s">
        <v>69</v>
      </c>
      <c r="G939" s="1" t="s">
        <v>20</v>
      </c>
      <c r="H939" s="1">
        <v>1331926</v>
      </c>
      <c r="I939" s="1">
        <v>1521053</v>
      </c>
      <c r="J939" s="7">
        <v>0.876</v>
      </c>
      <c r="K939" s="1" t="s">
        <v>21</v>
      </c>
      <c r="L939" s="1" t="s">
        <v>21</v>
      </c>
      <c r="M939" s="1" t="s">
        <v>21</v>
      </c>
      <c r="N939" s="1" t="s">
        <v>22</v>
      </c>
    </row>
    <row r="940" spans="1:14" x14ac:dyDescent="0.25">
      <c r="A940" s="1">
        <v>939</v>
      </c>
      <c r="B940" s="2" t="str">
        <f>HYPERLINK("https://leetcode.com/problems/minimum-area-rectangle/", "Minimum Area Rectangle")</f>
        <v>Minimum Area Rectangle</v>
      </c>
      <c r="C940" s="1">
        <v>2097</v>
      </c>
      <c r="D940" s="1">
        <v>298</v>
      </c>
      <c r="E940" s="3">
        <f>IF(INDEX(C:C, ROW())+INDEX(D:D, ROW())=0, 0, INDEX(C:C, ROW())/(INDEX(C:C, ROW())+INDEX(D:D, ROW())))</f>
        <v>0.8755741127348643</v>
      </c>
      <c r="F940" s="1" t="s">
        <v>487</v>
      </c>
      <c r="G940" s="1" t="s">
        <v>24</v>
      </c>
      <c r="H940" s="1">
        <v>176830</v>
      </c>
      <c r="I940" s="1">
        <v>319648</v>
      </c>
      <c r="J940" s="7">
        <v>0.55300000000000005</v>
      </c>
      <c r="K940" s="1" t="s">
        <v>21</v>
      </c>
      <c r="L940" s="1" t="s">
        <v>21</v>
      </c>
      <c r="M940" s="1" t="s">
        <v>29</v>
      </c>
      <c r="N940" s="1" t="s">
        <v>22</v>
      </c>
    </row>
    <row r="941" spans="1:14" x14ac:dyDescent="0.25">
      <c r="A941" s="1">
        <v>940</v>
      </c>
      <c r="B941" s="2" t="str">
        <f>HYPERLINK("https://leetcode.com/problems/distinct-subsequences-ii/", "Distinct Subsequences II")</f>
        <v>Distinct Subsequences II</v>
      </c>
      <c r="C941" s="1">
        <v>1822</v>
      </c>
      <c r="D941" s="1">
        <v>39</v>
      </c>
      <c r="E941" s="3">
        <f>IF(INDEX(C:C, ROW())+INDEX(D:D, ROW())=0, 0, INDEX(C:C, ROW())/(INDEX(C:C, ROW())+INDEX(D:D, ROW())))</f>
        <v>0.97904352498656633</v>
      </c>
      <c r="F941" s="1" t="s">
        <v>82</v>
      </c>
      <c r="G941" s="1" t="s">
        <v>28</v>
      </c>
      <c r="H941" s="1">
        <v>50695</v>
      </c>
      <c r="I941" s="1">
        <v>115201</v>
      </c>
      <c r="J941" s="7">
        <v>0.44</v>
      </c>
      <c r="K941" s="1" t="s">
        <v>21</v>
      </c>
      <c r="L941" s="1" t="s">
        <v>21</v>
      </c>
      <c r="M941" s="1" t="s">
        <v>21</v>
      </c>
      <c r="N941" s="1" t="s">
        <v>22</v>
      </c>
    </row>
    <row r="942" spans="1:14" x14ac:dyDescent="0.25">
      <c r="A942" s="1">
        <v>941</v>
      </c>
      <c r="B942" s="2" t="str">
        <f>HYPERLINK("https://leetcode.com/problems/valid-mountain-array/", "Valid Mountain Array")</f>
        <v>Valid Mountain Array</v>
      </c>
      <c r="C942" s="1">
        <v>3127</v>
      </c>
      <c r="D942" s="1">
        <v>207</v>
      </c>
      <c r="E942" s="3">
        <f>IF(INDEX(C:C, ROW())+INDEX(D:D, ROW())=0, 0, INDEX(C:C, ROW())/(INDEX(C:C, ROW())+INDEX(D:D, ROW())))</f>
        <v>0.93791241751649668</v>
      </c>
      <c r="F942" s="1" t="s">
        <v>113</v>
      </c>
      <c r="G942" s="1" t="s">
        <v>20</v>
      </c>
      <c r="H942" s="1">
        <v>550317</v>
      </c>
      <c r="I942" s="1">
        <v>1572636</v>
      </c>
      <c r="J942" s="7">
        <v>0.35</v>
      </c>
      <c r="K942" s="1" t="s">
        <v>21</v>
      </c>
      <c r="L942" s="1" t="s">
        <v>21</v>
      </c>
      <c r="M942" s="1" t="s">
        <v>29</v>
      </c>
      <c r="N942" s="1" t="s">
        <v>22</v>
      </c>
    </row>
    <row r="943" spans="1:14" x14ac:dyDescent="0.25">
      <c r="A943" s="1">
        <v>942</v>
      </c>
      <c r="B943" s="2" t="str">
        <f>HYPERLINK("https://leetcode.com/problems/di-string-match/", "DI String Match")</f>
        <v>DI String Match</v>
      </c>
      <c r="C943" s="1">
        <v>2602</v>
      </c>
      <c r="D943" s="1">
        <v>1080</v>
      </c>
      <c r="E943" s="3">
        <f>IF(INDEX(C:C, ROW())+INDEX(D:D, ROW())=0, 0, INDEX(C:C, ROW())/(INDEX(C:C, ROW())+INDEX(D:D, ROW())))</f>
        <v>0.70668115154807165</v>
      </c>
      <c r="F943" s="1" t="s">
        <v>412</v>
      </c>
      <c r="G943" s="1" t="s">
        <v>20</v>
      </c>
      <c r="H943" s="1">
        <v>204775</v>
      </c>
      <c r="I943" s="1">
        <v>253122</v>
      </c>
      <c r="J943" s="7">
        <v>0.80900000000000005</v>
      </c>
      <c r="K943" s="1" t="s">
        <v>21</v>
      </c>
      <c r="L943" s="1" t="s">
        <v>21</v>
      </c>
      <c r="M943" s="1" t="s">
        <v>29</v>
      </c>
      <c r="N943" s="1" t="s">
        <v>22</v>
      </c>
    </row>
    <row r="944" spans="1:14" x14ac:dyDescent="0.25">
      <c r="A944" s="1">
        <v>943</v>
      </c>
      <c r="B944" s="2" t="str">
        <f>HYPERLINK("https://leetcode.com/problems/find-the-shortest-superstring/", "Find the Shortest Superstring")</f>
        <v>Find the Shortest Superstring</v>
      </c>
      <c r="C944" s="1">
        <v>1516</v>
      </c>
      <c r="D944" s="1">
        <v>152</v>
      </c>
      <c r="E944" s="3">
        <f>IF(INDEX(C:C, ROW())+INDEX(D:D, ROW())=0, 0, INDEX(C:C, ROW())/(INDEX(C:C, ROW())+INDEX(D:D, ROW())))</f>
        <v>0.90887290167865709</v>
      </c>
      <c r="F944" s="1" t="s">
        <v>584</v>
      </c>
      <c r="G944" s="1" t="s">
        <v>28</v>
      </c>
      <c r="H944" s="1">
        <v>34984</v>
      </c>
      <c r="I944" s="1">
        <v>77626</v>
      </c>
      <c r="J944" s="7">
        <v>0.45100000000000001</v>
      </c>
      <c r="K944" s="1" t="s">
        <v>21</v>
      </c>
      <c r="L944" s="1" t="s">
        <v>21</v>
      </c>
      <c r="M944" s="1" t="s">
        <v>29</v>
      </c>
      <c r="N944" s="1" t="s">
        <v>22</v>
      </c>
    </row>
    <row r="945" spans="1:14" x14ac:dyDescent="0.25">
      <c r="A945" s="1">
        <v>944</v>
      </c>
      <c r="B945" s="2" t="str">
        <f>HYPERLINK("https://leetcode.com/problems/delete-columns-to-make-sorted/", "Delete Columns to Make Sorted")</f>
        <v>Delete Columns to Make Sorted</v>
      </c>
      <c r="C945" s="1">
        <v>2057</v>
      </c>
      <c r="D945" s="1">
        <v>3013</v>
      </c>
      <c r="E945" s="3">
        <f>IF(INDEX(C:C, ROW())+INDEX(D:D, ROW())=0, 0, INDEX(C:C, ROW())/(INDEX(C:C, ROW())+INDEX(D:D, ROW())))</f>
        <v>0.40571992110453647</v>
      </c>
      <c r="F945" s="1" t="s">
        <v>369</v>
      </c>
      <c r="G945" s="1" t="s">
        <v>20</v>
      </c>
      <c r="H945" s="1">
        <v>317336</v>
      </c>
      <c r="I945" s="1">
        <v>406566</v>
      </c>
      <c r="J945" s="7">
        <v>0.78100000000000003</v>
      </c>
      <c r="K945" s="1" t="s">
        <v>21</v>
      </c>
      <c r="L945" s="1" t="s">
        <v>21</v>
      </c>
      <c r="M945" s="1" t="s">
        <v>29</v>
      </c>
      <c r="N945" s="1" t="s">
        <v>22</v>
      </c>
    </row>
    <row r="946" spans="1:14" x14ac:dyDescent="0.25">
      <c r="A946" s="1">
        <v>945</v>
      </c>
      <c r="B946" s="2" t="str">
        <f>HYPERLINK("https://leetcode.com/problems/minimum-increment-to-make-array-unique/", "Minimum Increment to Make Array Unique")</f>
        <v>Minimum Increment to Make Array Unique</v>
      </c>
      <c r="C946" s="1">
        <v>2772</v>
      </c>
      <c r="D946" s="1">
        <v>85</v>
      </c>
      <c r="E946" s="3">
        <f>IF(INDEX(C:C, ROW())+INDEX(D:D, ROW())=0, 0, INDEX(C:C, ROW())/(INDEX(C:C, ROW())+INDEX(D:D, ROW())))</f>
        <v>0.97024851242562127</v>
      </c>
      <c r="F946" s="1" t="s">
        <v>394</v>
      </c>
      <c r="G946" s="1" t="s">
        <v>24</v>
      </c>
      <c r="H946" s="1">
        <v>267809</v>
      </c>
      <c r="I946" s="1">
        <v>442111</v>
      </c>
      <c r="J946" s="7">
        <v>0.60599999999999998</v>
      </c>
      <c r="K946" s="1" t="s">
        <v>21</v>
      </c>
      <c r="L946" s="1" t="s">
        <v>21</v>
      </c>
      <c r="M946" s="1" t="s">
        <v>29</v>
      </c>
      <c r="N946" s="1" t="s">
        <v>22</v>
      </c>
    </row>
    <row r="947" spans="1:14" x14ac:dyDescent="0.25">
      <c r="A947" s="1">
        <v>946</v>
      </c>
      <c r="B947" s="2" t="str">
        <f>HYPERLINK("https://leetcode.com/problems/validate-stack-sequences/", "Validate Stack Sequences")</f>
        <v>Validate Stack Sequences</v>
      </c>
      <c r="C947" s="1">
        <v>6097</v>
      </c>
      <c r="D947" s="1">
        <v>130</v>
      </c>
      <c r="E947" s="3">
        <f>IF(INDEX(C:C, ROW())+INDEX(D:D, ROW())=0, 0, INDEX(C:C, ROW())/(INDEX(C:C, ROW())+INDEX(D:D, ROW())))</f>
        <v>0.97912317327766174</v>
      </c>
      <c r="F947" s="1" t="s">
        <v>145</v>
      </c>
      <c r="G947" s="1" t="s">
        <v>24</v>
      </c>
      <c r="H947" s="1">
        <v>366125</v>
      </c>
      <c r="I947" s="1">
        <v>521852</v>
      </c>
      <c r="J947" s="7">
        <v>0.70199999999999996</v>
      </c>
      <c r="K947" s="1" t="s">
        <v>21</v>
      </c>
      <c r="L947" s="1" t="s">
        <v>21</v>
      </c>
      <c r="M947" s="1" t="s">
        <v>29</v>
      </c>
      <c r="N947" s="1" t="s">
        <v>22</v>
      </c>
    </row>
    <row r="948" spans="1:14" x14ac:dyDescent="0.25">
      <c r="A948" s="1">
        <v>947</v>
      </c>
      <c r="B948" s="2" t="str">
        <f>HYPERLINK("https://leetcode.com/problems/most-stones-removed-with-same-row-or-column/", "Most Stones Removed with Same Row or Column")</f>
        <v>Most Stones Removed with Same Row or Column</v>
      </c>
      <c r="C948" s="1">
        <v>6414</v>
      </c>
      <c r="D948" s="1">
        <v>709</v>
      </c>
      <c r="E948" s="3">
        <f>IF(INDEX(C:C, ROW())+INDEX(D:D, ROW())=0, 0, INDEX(C:C, ROW())/(INDEX(C:C, ROW())+INDEX(D:D, ROW())))</f>
        <v>0.90046328794047448</v>
      </c>
      <c r="F948" s="1" t="s">
        <v>215</v>
      </c>
      <c r="G948" s="1" t="s">
        <v>24</v>
      </c>
      <c r="H948" s="1">
        <v>392452</v>
      </c>
      <c r="I948" s="1">
        <v>625654</v>
      </c>
      <c r="J948" s="7">
        <v>0.627</v>
      </c>
      <c r="K948" s="1" t="s">
        <v>21</v>
      </c>
      <c r="L948" s="1" t="s">
        <v>21</v>
      </c>
      <c r="M948" s="1" t="s">
        <v>29</v>
      </c>
      <c r="N948" s="1" t="s">
        <v>22</v>
      </c>
    </row>
    <row r="949" spans="1:14" x14ac:dyDescent="0.25">
      <c r="A949" s="1">
        <v>948</v>
      </c>
      <c r="B949" s="2" t="str">
        <f>HYPERLINK("https://leetcode.com/problems/bag-of-tokens/", "Bag of Tokens")</f>
        <v>Bag of Tokens</v>
      </c>
      <c r="C949" s="1">
        <v>3456</v>
      </c>
      <c r="D949" s="1">
        <v>547</v>
      </c>
      <c r="E949" s="3">
        <f>IF(INDEX(C:C, ROW())+INDEX(D:D, ROW())=0, 0, INDEX(C:C, ROW())/(INDEX(C:C, ROW())+INDEX(D:D, ROW())))</f>
        <v>0.86335248563577316</v>
      </c>
      <c r="F949" s="1" t="s">
        <v>203</v>
      </c>
      <c r="G949" s="1" t="s">
        <v>24</v>
      </c>
      <c r="H949" s="1">
        <v>263187</v>
      </c>
      <c r="I949" s="1">
        <v>442411</v>
      </c>
      <c r="J949" s="7">
        <v>0.59499999999999997</v>
      </c>
      <c r="K949" s="1" t="s">
        <v>21</v>
      </c>
      <c r="L949" s="1" t="s">
        <v>21</v>
      </c>
      <c r="M949" s="1" t="s">
        <v>29</v>
      </c>
      <c r="N949" s="1" t="s">
        <v>22</v>
      </c>
    </row>
    <row r="950" spans="1:14" x14ac:dyDescent="0.25">
      <c r="A950" s="1">
        <v>949</v>
      </c>
      <c r="B950" s="2" t="str">
        <f>HYPERLINK("https://leetcode.com/problems/largest-time-for-given-digits/", "Largest Time for Given Digits")</f>
        <v>Largest Time for Given Digits</v>
      </c>
      <c r="C950" s="1">
        <v>745</v>
      </c>
      <c r="D950" s="1">
        <v>1072</v>
      </c>
      <c r="E950" s="3">
        <f>IF(INDEX(C:C, ROW())+INDEX(D:D, ROW())=0, 0, INDEX(C:C, ROW())/(INDEX(C:C, ROW())+INDEX(D:D, ROW())))</f>
        <v>0.41001651073197576</v>
      </c>
      <c r="F950" s="1" t="s">
        <v>783</v>
      </c>
      <c r="G950" s="1" t="s">
        <v>24</v>
      </c>
      <c r="H950" s="1">
        <v>102472</v>
      </c>
      <c r="I950" s="1">
        <v>285934</v>
      </c>
      <c r="J950" s="7">
        <v>0.35799999999999998</v>
      </c>
      <c r="K950" s="1" t="s">
        <v>21</v>
      </c>
      <c r="L950" s="1" t="s">
        <v>21</v>
      </c>
      <c r="M950" s="1" t="s">
        <v>29</v>
      </c>
      <c r="N950" s="1" t="s">
        <v>22</v>
      </c>
    </row>
    <row r="951" spans="1:14" x14ac:dyDescent="0.25">
      <c r="A951" s="1">
        <v>950</v>
      </c>
      <c r="B951" s="2" t="str">
        <f>HYPERLINK("https://leetcode.com/problems/reveal-cards-in-increasing-order/", "Reveal Cards In Increasing Order")</f>
        <v>Reveal Cards In Increasing Order</v>
      </c>
      <c r="C951" s="1">
        <v>3685</v>
      </c>
      <c r="D951" s="1">
        <v>711</v>
      </c>
      <c r="E951" s="3">
        <f>IF(INDEX(C:C, ROW())+INDEX(D:D, ROW())=0, 0, INDEX(C:C, ROW())/(INDEX(C:C, ROW())+INDEX(D:D, ROW())))</f>
        <v>0.83826205641492268</v>
      </c>
      <c r="F951" s="1" t="s">
        <v>334</v>
      </c>
      <c r="G951" s="1" t="s">
        <v>24</v>
      </c>
      <c r="H951" s="1">
        <v>232912</v>
      </c>
      <c r="I951" s="1">
        <v>278874</v>
      </c>
      <c r="J951" s="7">
        <v>0.83499999999999996</v>
      </c>
      <c r="K951" s="1" t="s">
        <v>21</v>
      </c>
      <c r="L951" s="1" t="s">
        <v>21</v>
      </c>
      <c r="M951" s="1" t="s">
        <v>29</v>
      </c>
      <c r="N951" s="1" t="s">
        <v>22</v>
      </c>
    </row>
    <row r="952" spans="1:14" x14ac:dyDescent="0.25">
      <c r="A952" s="1">
        <v>951</v>
      </c>
      <c r="B952" s="2" t="str">
        <f>HYPERLINK("https://leetcode.com/problems/flip-equivalent-binary-trees/", "Flip Equivalent Binary Trees")</f>
        <v>Flip Equivalent Binary Trees</v>
      </c>
      <c r="C952" s="1">
        <v>2882</v>
      </c>
      <c r="D952" s="1">
        <v>123</v>
      </c>
      <c r="E952" s="3">
        <f>IF(INDEX(C:C, ROW())+INDEX(D:D, ROW())=0, 0, INDEX(C:C, ROW())/(INDEX(C:C, ROW())+INDEX(D:D, ROW())))</f>
        <v>0.9590682196339434</v>
      </c>
      <c r="F952" s="1" t="s">
        <v>67</v>
      </c>
      <c r="G952" s="1" t="s">
        <v>24</v>
      </c>
      <c r="H952" s="1">
        <v>266625</v>
      </c>
      <c r="I952" s="1">
        <v>383291</v>
      </c>
      <c r="J952" s="7">
        <v>0.69599999999999995</v>
      </c>
      <c r="K952" s="1" t="s">
        <v>21</v>
      </c>
      <c r="L952" s="1" t="s">
        <v>21</v>
      </c>
      <c r="M952" s="1" t="s">
        <v>29</v>
      </c>
      <c r="N952" s="1" t="s">
        <v>22</v>
      </c>
    </row>
    <row r="953" spans="1:14" x14ac:dyDescent="0.25">
      <c r="A953" s="1">
        <v>952</v>
      </c>
      <c r="B953" s="2" t="str">
        <f>HYPERLINK("https://leetcode.com/problems/largest-component-size-by-common-factor/", "Largest Component Size by Common Factor")</f>
        <v>Largest Component Size by Common Factor</v>
      </c>
      <c r="C953" s="1">
        <v>1722</v>
      </c>
      <c r="D953" s="1">
        <v>95</v>
      </c>
      <c r="E953" s="3">
        <f>IF(INDEX(C:C, ROW())+INDEX(D:D, ROW())=0, 0, INDEX(C:C, ROW())/(INDEX(C:C, ROW())+INDEX(D:D, ROW())))</f>
        <v>0.94771601541001649</v>
      </c>
      <c r="F953" s="1" t="s">
        <v>545</v>
      </c>
      <c r="G953" s="1" t="s">
        <v>28</v>
      </c>
      <c r="H953" s="1">
        <v>65380</v>
      </c>
      <c r="I953" s="1">
        <v>154172</v>
      </c>
      <c r="J953" s="7">
        <v>0.42399999999999999</v>
      </c>
      <c r="K953" s="1" t="s">
        <v>21</v>
      </c>
      <c r="L953" s="1" t="s">
        <v>21</v>
      </c>
      <c r="M953" s="1" t="s">
        <v>29</v>
      </c>
      <c r="N953" s="1" t="s">
        <v>22</v>
      </c>
    </row>
    <row r="954" spans="1:14" x14ac:dyDescent="0.25">
      <c r="A954" s="1">
        <v>953</v>
      </c>
      <c r="B954" s="2" t="str">
        <f>HYPERLINK("https://leetcode.com/problems/verifying-an-alien-dictionary/", "Verifying an Alien Dictionary")</f>
        <v>Verifying an Alien Dictionary</v>
      </c>
      <c r="C954" s="1">
        <v>5070</v>
      </c>
      <c r="D954" s="1">
        <v>1681</v>
      </c>
      <c r="E954" s="3">
        <f>IF(INDEX(C:C, ROW())+INDEX(D:D, ROW())=0, 0, INDEX(C:C, ROW())/(INDEX(C:C, ROW())+INDEX(D:D, ROW())))</f>
        <v>0.75099985187379648</v>
      </c>
      <c r="F954" s="1" t="s">
        <v>258</v>
      </c>
      <c r="G954" s="1" t="s">
        <v>20</v>
      </c>
      <c r="H954" s="1">
        <v>577288</v>
      </c>
      <c r="I954" s="1">
        <v>1033522</v>
      </c>
      <c r="J954" s="7">
        <v>0.55900000000000005</v>
      </c>
      <c r="K954" s="1" t="s">
        <v>21</v>
      </c>
      <c r="L954" s="1" t="s">
        <v>21</v>
      </c>
      <c r="M954" s="1" t="s">
        <v>29</v>
      </c>
      <c r="N954" s="1" t="s">
        <v>22</v>
      </c>
    </row>
    <row r="955" spans="1:14" x14ac:dyDescent="0.25">
      <c r="A955" s="1">
        <v>954</v>
      </c>
      <c r="B955" s="2" t="str">
        <f>HYPERLINK("https://leetcode.com/problems/array-of-doubled-pairs/", "Array of Doubled Pairs")</f>
        <v>Array of Doubled Pairs</v>
      </c>
      <c r="C955" s="1">
        <v>1570</v>
      </c>
      <c r="D955" s="1">
        <v>185</v>
      </c>
      <c r="E955" s="3">
        <f>IF(INDEX(C:C, ROW())+INDEX(D:D, ROW())=0, 0, INDEX(C:C, ROW())/(INDEX(C:C, ROW())+INDEX(D:D, ROW())))</f>
        <v>0.89458689458689455</v>
      </c>
      <c r="F955" s="1" t="s">
        <v>333</v>
      </c>
      <c r="G955" s="1" t="s">
        <v>24</v>
      </c>
      <c r="H955" s="1">
        <v>103870</v>
      </c>
      <c r="I955" s="1">
        <v>261620</v>
      </c>
      <c r="J955" s="7">
        <v>0.39700000000000002</v>
      </c>
      <c r="K955" s="1" t="s">
        <v>21</v>
      </c>
      <c r="L955" s="1" t="s">
        <v>21</v>
      </c>
      <c r="M955" s="1" t="s">
        <v>29</v>
      </c>
      <c r="N955" s="1" t="s">
        <v>22</v>
      </c>
    </row>
    <row r="956" spans="1:14" x14ac:dyDescent="0.25">
      <c r="A956" s="1">
        <v>955</v>
      </c>
      <c r="B956" s="2" t="str">
        <f>HYPERLINK("https://leetcode.com/problems/delete-columns-to-make-sorted-ii/", "Delete Columns to Make Sorted II")</f>
        <v>Delete Columns to Make Sorted II</v>
      </c>
      <c r="C956" s="1">
        <v>1039</v>
      </c>
      <c r="D956" s="1">
        <v>136</v>
      </c>
      <c r="E956" s="3">
        <f>IF(INDEX(C:C, ROW())+INDEX(D:D, ROW())=0, 0, INDEX(C:C, ROW())/(INDEX(C:C, ROW())+INDEX(D:D, ROW())))</f>
        <v>0.88425531914893618</v>
      </c>
      <c r="F956" s="1" t="s">
        <v>706</v>
      </c>
      <c r="G956" s="1" t="s">
        <v>24</v>
      </c>
      <c r="H956" s="1">
        <v>88537</v>
      </c>
      <c r="I956" s="1">
        <v>178266</v>
      </c>
      <c r="J956" s="7">
        <v>0.497</v>
      </c>
      <c r="K956" s="1" t="s">
        <v>21</v>
      </c>
      <c r="L956" s="1" t="s">
        <v>21</v>
      </c>
      <c r="M956" s="1" t="s">
        <v>29</v>
      </c>
      <c r="N956" s="1" t="s">
        <v>22</v>
      </c>
    </row>
    <row r="957" spans="1:14" x14ac:dyDescent="0.25">
      <c r="A957" s="1">
        <v>956</v>
      </c>
      <c r="B957" s="2" t="str">
        <f>HYPERLINK("https://leetcode.com/problems/tallest-billboard/", "Tallest Billboard")</f>
        <v>Tallest Billboard</v>
      </c>
      <c r="C957" s="1">
        <v>2463</v>
      </c>
      <c r="D957" s="1">
        <v>62</v>
      </c>
      <c r="E957" s="3">
        <f>IF(INDEX(C:C, ROW())+INDEX(D:D, ROW())=0, 0, INDEX(C:C, ROW())/(INDEX(C:C, ROW())+INDEX(D:D, ROW())))</f>
        <v>0.97544554455445542</v>
      </c>
      <c r="F957" s="1" t="s">
        <v>30</v>
      </c>
      <c r="G957" s="1" t="s">
        <v>28</v>
      </c>
      <c r="H957" s="1">
        <v>69586</v>
      </c>
      <c r="I957" s="1">
        <v>134329</v>
      </c>
      <c r="J957" s="7">
        <v>0.51800000000000002</v>
      </c>
      <c r="K957" s="1" t="s">
        <v>21</v>
      </c>
      <c r="L957" s="1" t="s">
        <v>21</v>
      </c>
      <c r="M957" s="1" t="s">
        <v>29</v>
      </c>
      <c r="N957" s="1" t="s">
        <v>22</v>
      </c>
    </row>
    <row r="958" spans="1:14" x14ac:dyDescent="0.25">
      <c r="A958" s="1">
        <v>957</v>
      </c>
      <c r="B958" s="2" t="str">
        <f>HYPERLINK("https://leetcode.com/problems/prison-cells-after-n-days/", "Prison Cells After N Days")</f>
        <v>Prison Cells After N Days</v>
      </c>
      <c r="C958" s="1">
        <v>1559</v>
      </c>
      <c r="D958" s="1">
        <v>1779</v>
      </c>
      <c r="E958" s="3">
        <f>IF(INDEX(C:C, ROW())+INDEX(D:D, ROW())=0, 0, INDEX(C:C, ROW())/(INDEX(C:C, ROW())+INDEX(D:D, ROW())))</f>
        <v>0.46704613541042539</v>
      </c>
      <c r="F958" s="1" t="s">
        <v>572</v>
      </c>
      <c r="G958" s="1" t="s">
        <v>24</v>
      </c>
      <c r="H958" s="1">
        <v>175556</v>
      </c>
      <c r="I958" s="1">
        <v>448662</v>
      </c>
      <c r="J958" s="7">
        <v>0.39100000000000001</v>
      </c>
      <c r="K958" s="1" t="s">
        <v>21</v>
      </c>
      <c r="L958" s="1" t="s">
        <v>21</v>
      </c>
      <c r="M958" s="1" t="s">
        <v>29</v>
      </c>
      <c r="N958" s="1" t="s">
        <v>22</v>
      </c>
    </row>
    <row r="959" spans="1:14" x14ac:dyDescent="0.25">
      <c r="A959" s="1">
        <v>958</v>
      </c>
      <c r="B959" s="2" t="str">
        <f>HYPERLINK("https://leetcode.com/problems/check-completeness-of-a-binary-tree/", "Check Completeness of a Binary Tree")</f>
        <v>Check Completeness of a Binary Tree</v>
      </c>
      <c r="C959" s="1">
        <v>4530</v>
      </c>
      <c r="D959" s="1">
        <v>62</v>
      </c>
      <c r="E959" s="3">
        <f>IF(INDEX(C:C, ROW())+INDEX(D:D, ROW())=0, 0, INDEX(C:C, ROW())/(INDEX(C:C, ROW())+INDEX(D:D, ROW())))</f>
        <v>0.98649825783972123</v>
      </c>
      <c r="F959" s="1" t="s">
        <v>79</v>
      </c>
      <c r="G959" s="1" t="s">
        <v>24</v>
      </c>
      <c r="H959" s="1">
        <v>315365</v>
      </c>
      <c r="I959" s="1">
        <v>534761</v>
      </c>
      <c r="J959" s="7">
        <v>0.59</v>
      </c>
      <c r="K959" s="1" t="s">
        <v>21</v>
      </c>
      <c r="L959" s="1" t="s">
        <v>21</v>
      </c>
      <c r="M959" s="1" t="s">
        <v>29</v>
      </c>
      <c r="N959" s="1" t="s">
        <v>22</v>
      </c>
    </row>
    <row r="960" spans="1:14" x14ac:dyDescent="0.25">
      <c r="A960" s="1">
        <v>959</v>
      </c>
      <c r="B960" s="2" t="str">
        <f>HYPERLINK("https://leetcode.com/problems/regions-cut-by-slashes/", "Regions Cut By Slashes")</f>
        <v>Regions Cut By Slashes</v>
      </c>
      <c r="C960" s="1">
        <v>3983</v>
      </c>
      <c r="D960" s="1">
        <v>872</v>
      </c>
      <c r="E960" s="3">
        <f>IF(INDEX(C:C, ROW())+INDEX(D:D, ROW())=0, 0, INDEX(C:C, ROW())/(INDEX(C:C, ROW())+INDEX(D:D, ROW())))</f>
        <v>0.82039134912461376</v>
      </c>
      <c r="F960" s="1" t="s">
        <v>311</v>
      </c>
      <c r="G960" s="1" t="s">
        <v>24</v>
      </c>
      <c r="H960" s="1">
        <v>149913</v>
      </c>
      <c r="I960" s="1">
        <v>193317</v>
      </c>
      <c r="J960" s="7">
        <v>0.77500000000000002</v>
      </c>
      <c r="K960" s="1" t="s">
        <v>21</v>
      </c>
      <c r="L960" s="1" t="s">
        <v>21</v>
      </c>
      <c r="M960" s="1" t="s">
        <v>29</v>
      </c>
      <c r="N960" s="1" t="s">
        <v>22</v>
      </c>
    </row>
    <row r="961" spans="1:14" x14ac:dyDescent="0.25">
      <c r="A961" s="1">
        <v>960</v>
      </c>
      <c r="B961" s="2" t="str">
        <f>HYPERLINK("https://leetcode.com/problems/delete-columns-to-make-sorted-iii/", "Delete Columns to Make Sorted III")</f>
        <v>Delete Columns to Make Sorted III</v>
      </c>
      <c r="C961" s="1">
        <v>868</v>
      </c>
      <c r="D961" s="1">
        <v>31</v>
      </c>
      <c r="E961" s="3">
        <f>IF(INDEX(C:C, ROW())+INDEX(D:D, ROW())=0, 0, INDEX(C:C, ROW())/(INDEX(C:C, ROW())+INDEX(D:D, ROW())))</f>
        <v>0.96551724137931039</v>
      </c>
      <c r="F961" s="1" t="s">
        <v>225</v>
      </c>
      <c r="G961" s="1" t="s">
        <v>28</v>
      </c>
      <c r="H961" s="1">
        <v>72853</v>
      </c>
      <c r="I961" s="1">
        <v>100273</v>
      </c>
      <c r="J961" s="7">
        <v>0.72699999999999998</v>
      </c>
      <c r="K961" s="1" t="s">
        <v>21</v>
      </c>
      <c r="L961" s="1" t="s">
        <v>21</v>
      </c>
      <c r="M961" s="1" t="s">
        <v>29</v>
      </c>
      <c r="N961" s="1" t="s">
        <v>22</v>
      </c>
    </row>
    <row r="962" spans="1:14" x14ac:dyDescent="0.25">
      <c r="A962" s="1">
        <v>961</v>
      </c>
      <c r="B962" s="2" t="str">
        <f>HYPERLINK("https://leetcode.com/problems/n-repeated-element-in-size-2n-array/", "N-Repeated Element in Size 2N Array")</f>
        <v>N-Repeated Element in Size 2N Array</v>
      </c>
      <c r="C962" s="1">
        <v>1846</v>
      </c>
      <c r="D962" s="1">
        <v>348</v>
      </c>
      <c r="E962" s="3">
        <f>IF(INDEX(C:C, ROW())+INDEX(D:D, ROW())=0, 0, INDEX(C:C, ROW())/(INDEX(C:C, ROW())+INDEX(D:D, ROW())))</f>
        <v>0.84138559708295346</v>
      </c>
      <c r="F962" s="1" t="s">
        <v>19</v>
      </c>
      <c r="G962" s="1" t="s">
        <v>20</v>
      </c>
      <c r="H962" s="1">
        <v>464750</v>
      </c>
      <c r="I962" s="1">
        <v>582115</v>
      </c>
      <c r="J962" s="7">
        <v>0.79800000000000004</v>
      </c>
      <c r="K962" s="1" t="s">
        <v>21</v>
      </c>
      <c r="L962" s="1" t="s">
        <v>21</v>
      </c>
      <c r="M962" s="1" t="s">
        <v>29</v>
      </c>
      <c r="N962" s="1" t="s">
        <v>22</v>
      </c>
    </row>
    <row r="963" spans="1:14" x14ac:dyDescent="0.25">
      <c r="A963" s="1">
        <v>962</v>
      </c>
      <c r="B963" s="2" t="str">
        <f>HYPERLINK("https://leetcode.com/problems/maximum-width-ramp/", "Maximum Width Ramp")</f>
        <v>Maximum Width Ramp</v>
      </c>
      <c r="C963" s="1">
        <v>2838</v>
      </c>
      <c r="D963" s="1">
        <v>96</v>
      </c>
      <c r="E963" s="3">
        <f>IF(INDEX(C:C, ROW())+INDEX(D:D, ROW())=0, 0, INDEX(C:C, ROW())/(INDEX(C:C, ROW())+INDEX(D:D, ROW())))</f>
        <v>0.96728016359918201</v>
      </c>
      <c r="F963" s="1" t="s">
        <v>390</v>
      </c>
      <c r="G963" s="1" t="s">
        <v>24</v>
      </c>
      <c r="H963" s="1">
        <v>204579</v>
      </c>
      <c r="I963" s="1">
        <v>366276</v>
      </c>
      <c r="J963" s="7">
        <v>0.55900000000000005</v>
      </c>
      <c r="K963" s="1" t="s">
        <v>21</v>
      </c>
      <c r="L963" s="1" t="s">
        <v>21</v>
      </c>
      <c r="M963" s="1" t="s">
        <v>29</v>
      </c>
      <c r="N963" s="1" t="s">
        <v>22</v>
      </c>
    </row>
    <row r="964" spans="1:14" x14ac:dyDescent="0.25">
      <c r="A964" s="1">
        <v>963</v>
      </c>
      <c r="B964" s="2" t="str">
        <f>HYPERLINK("https://leetcode.com/problems/minimum-area-rectangle-ii/", "Minimum Area Rectangle II")</f>
        <v>Minimum Area Rectangle II</v>
      </c>
      <c r="C964" s="1">
        <v>411</v>
      </c>
      <c r="D964" s="1">
        <v>486</v>
      </c>
      <c r="E964" s="3">
        <f>IF(INDEX(C:C, ROW())+INDEX(D:D, ROW())=0, 0, INDEX(C:C, ROW())/(INDEX(C:C, ROW())+INDEX(D:D, ROW())))</f>
        <v>0.45819397993311034</v>
      </c>
      <c r="F964" s="1" t="s">
        <v>286</v>
      </c>
      <c r="G964" s="1" t="s">
        <v>24</v>
      </c>
      <c r="H964" s="1">
        <v>35665</v>
      </c>
      <c r="I964" s="1">
        <v>63801</v>
      </c>
      <c r="J964" s="7">
        <v>0.55900000000000005</v>
      </c>
      <c r="K964" s="1" t="s">
        <v>21</v>
      </c>
      <c r="L964" s="1" t="s">
        <v>21</v>
      </c>
      <c r="M964" s="1" t="s">
        <v>29</v>
      </c>
      <c r="N964" s="1" t="s">
        <v>22</v>
      </c>
    </row>
    <row r="965" spans="1:14" x14ac:dyDescent="0.25">
      <c r="A965" s="1">
        <v>964</v>
      </c>
      <c r="B965" s="2" t="str">
        <f>HYPERLINK("https://leetcode.com/problems/least-operators-to-express-number/", "Least Operators to Express Number")</f>
        <v>Least Operators to Express Number</v>
      </c>
      <c r="C965" s="1">
        <v>328</v>
      </c>
      <c r="D965" s="1">
        <v>70</v>
      </c>
      <c r="E965" s="3">
        <f>IF(INDEX(C:C, ROW())+INDEX(D:D, ROW())=0, 0, INDEX(C:C, ROW())/(INDEX(C:C, ROW())+INDEX(D:D, ROW())))</f>
        <v>0.82412060301507539</v>
      </c>
      <c r="F965" s="1" t="s">
        <v>43</v>
      </c>
      <c r="G965" s="1" t="s">
        <v>28</v>
      </c>
      <c r="H965" s="1">
        <v>12474</v>
      </c>
      <c r="I965" s="1">
        <v>25643</v>
      </c>
      <c r="J965" s="7">
        <v>0.48599999999999999</v>
      </c>
      <c r="K965" s="1" t="s">
        <v>21</v>
      </c>
      <c r="L965" s="1" t="s">
        <v>21</v>
      </c>
      <c r="M965" s="1" t="s">
        <v>29</v>
      </c>
      <c r="N965" s="1" t="s">
        <v>22</v>
      </c>
    </row>
    <row r="966" spans="1:14" x14ac:dyDescent="0.25">
      <c r="A966" s="1">
        <v>965</v>
      </c>
      <c r="B966" s="2" t="str">
        <f>HYPERLINK("https://leetcode.com/problems/univalued-binary-tree/", "Univalued Binary Tree")</f>
        <v>Univalued Binary Tree</v>
      </c>
      <c r="C966" s="1">
        <v>1977</v>
      </c>
      <c r="D966" s="1">
        <v>68</v>
      </c>
      <c r="E966" s="3">
        <f>IF(INDEX(C:C, ROW())+INDEX(D:D, ROW())=0, 0, INDEX(C:C, ROW())/(INDEX(C:C, ROW())+INDEX(D:D, ROW())))</f>
        <v>0.96674816625916871</v>
      </c>
      <c r="F966" s="1" t="s">
        <v>80</v>
      </c>
      <c r="G966" s="1" t="s">
        <v>20</v>
      </c>
      <c r="H966" s="1">
        <v>270187</v>
      </c>
      <c r="I966" s="1">
        <v>371023</v>
      </c>
      <c r="J966" s="7">
        <v>0.72799999999999998</v>
      </c>
      <c r="K966" s="1" t="s">
        <v>21</v>
      </c>
      <c r="L966" s="1" t="s">
        <v>21</v>
      </c>
      <c r="M966" s="1" t="s">
        <v>29</v>
      </c>
      <c r="N966" s="1" t="s">
        <v>22</v>
      </c>
    </row>
    <row r="967" spans="1:14" x14ac:dyDescent="0.25">
      <c r="A967" s="1">
        <v>966</v>
      </c>
      <c r="B967" s="2" t="str">
        <f>HYPERLINK("https://leetcode.com/problems/vowel-spellchecker/", "Vowel Spellchecker")</f>
        <v>Vowel Spellchecker</v>
      </c>
      <c r="C967" s="1">
        <v>850</v>
      </c>
      <c r="D967" s="1">
        <v>1003</v>
      </c>
      <c r="E967" s="3">
        <f>IF(INDEX(C:C, ROW())+INDEX(D:D, ROW())=0, 0, INDEX(C:C, ROW())/(INDEX(C:C, ROW())+INDEX(D:D, ROW())))</f>
        <v>0.45871559633027525</v>
      </c>
      <c r="F967" s="1" t="s">
        <v>258</v>
      </c>
      <c r="G967" s="1" t="s">
        <v>24</v>
      </c>
      <c r="H967" s="1">
        <v>139868</v>
      </c>
      <c r="I967" s="1">
        <v>227640</v>
      </c>
      <c r="J967" s="7">
        <v>0.61399999999999999</v>
      </c>
      <c r="K967" s="1" t="s">
        <v>21</v>
      </c>
      <c r="L967" s="1" t="s">
        <v>21</v>
      </c>
      <c r="M967" s="1" t="s">
        <v>29</v>
      </c>
      <c r="N967" s="1" t="s">
        <v>22</v>
      </c>
    </row>
    <row r="968" spans="1:14" x14ac:dyDescent="0.25">
      <c r="A968" s="1">
        <v>967</v>
      </c>
      <c r="B968" s="2" t="str">
        <f>HYPERLINK("https://leetcode.com/problems/numbers-with-same-consecutive-differences/", "Numbers With Same Consecutive Differences")</f>
        <v>Numbers With Same Consecutive Differences</v>
      </c>
      <c r="C968" s="1">
        <v>2879</v>
      </c>
      <c r="D968" s="1">
        <v>200</v>
      </c>
      <c r="E968" s="3">
        <f>IF(INDEX(C:C, ROW())+INDEX(D:D, ROW())=0, 0, INDEX(C:C, ROW())/(INDEX(C:C, ROW())+INDEX(D:D, ROW())))</f>
        <v>0.93504384540435204</v>
      </c>
      <c r="F968" s="1" t="s">
        <v>386</v>
      </c>
      <c r="G968" s="1" t="s">
        <v>24</v>
      </c>
      <c r="H968" s="1">
        <v>154983</v>
      </c>
      <c r="I968" s="1">
        <v>262259</v>
      </c>
      <c r="J968" s="7">
        <v>0.59099999999999997</v>
      </c>
      <c r="K968" s="1" t="s">
        <v>21</v>
      </c>
      <c r="L968" s="1" t="s">
        <v>21</v>
      </c>
      <c r="M968" s="1" t="s">
        <v>29</v>
      </c>
      <c r="N968" s="1" t="s">
        <v>22</v>
      </c>
    </row>
    <row r="969" spans="1:14" x14ac:dyDescent="0.25">
      <c r="A969" s="1">
        <v>968</v>
      </c>
      <c r="B969" s="2" t="str">
        <f>HYPERLINK("https://leetcode.com/problems/binary-tree-cameras/", "Binary Tree Cameras")</f>
        <v>Binary Tree Cameras</v>
      </c>
      <c r="C969" s="1">
        <v>5639</v>
      </c>
      <c r="D969" s="1">
        <v>89</v>
      </c>
      <c r="E969" s="3">
        <f>IF(INDEX(C:C, ROW())+INDEX(D:D, ROW())=0, 0, INDEX(C:C, ROW())/(INDEX(C:C, ROW())+INDEX(D:D, ROW())))</f>
        <v>0.98446229050279332</v>
      </c>
      <c r="F969" s="1" t="s">
        <v>68</v>
      </c>
      <c r="G969" s="1" t="s">
        <v>28</v>
      </c>
      <c r="H969" s="1">
        <v>182522</v>
      </c>
      <c r="I969" s="1">
        <v>383092</v>
      </c>
      <c r="J969" s="7">
        <v>0.47599999999999998</v>
      </c>
      <c r="K969" s="1" t="s">
        <v>21</v>
      </c>
      <c r="L969" s="1" t="s">
        <v>21</v>
      </c>
      <c r="M969" s="1" t="s">
        <v>29</v>
      </c>
      <c r="N969" s="1" t="s">
        <v>22</v>
      </c>
    </row>
    <row r="970" spans="1:14" x14ac:dyDescent="0.25">
      <c r="A970" s="1">
        <v>969</v>
      </c>
      <c r="B970" s="2" t="str">
        <f>HYPERLINK("https://leetcode.com/problems/pancake-sorting/", "Pancake Sorting")</f>
        <v>Pancake Sorting</v>
      </c>
      <c r="C970" s="1">
        <v>1596</v>
      </c>
      <c r="D970" s="1">
        <v>1559</v>
      </c>
      <c r="E970" s="3">
        <f>IF(INDEX(C:C, ROW())+INDEX(D:D, ROW())=0, 0, INDEX(C:C, ROW())/(INDEX(C:C, ROW())+INDEX(D:D, ROW())))</f>
        <v>0.50586370839936612</v>
      </c>
      <c r="F970" s="1" t="s">
        <v>203</v>
      </c>
      <c r="G970" s="1" t="s">
        <v>24</v>
      </c>
      <c r="H970" s="1">
        <v>112607</v>
      </c>
      <c r="I970" s="1">
        <v>157121</v>
      </c>
      <c r="J970" s="7">
        <v>0.71699999999999997</v>
      </c>
      <c r="K970" s="1" t="s">
        <v>21</v>
      </c>
      <c r="L970" s="1" t="s">
        <v>21</v>
      </c>
      <c r="M970" s="1" t="s">
        <v>29</v>
      </c>
      <c r="N970" s="1" t="s">
        <v>22</v>
      </c>
    </row>
    <row r="971" spans="1:14" x14ac:dyDescent="0.25">
      <c r="A971" s="1">
        <v>970</v>
      </c>
      <c r="B971" s="2" t="str">
        <f>HYPERLINK("https://leetcode.com/problems/powerful-integers/", "Powerful Integers")</f>
        <v>Powerful Integers</v>
      </c>
      <c r="C971" s="1">
        <v>421</v>
      </c>
      <c r="D971" s="1">
        <v>85</v>
      </c>
      <c r="E971" s="3">
        <f>IF(INDEX(C:C, ROW())+INDEX(D:D, ROW())=0, 0, INDEX(C:C, ROW())/(INDEX(C:C, ROW())+INDEX(D:D, ROW())))</f>
        <v>0.83201581027667981</v>
      </c>
      <c r="F971" s="1" t="s">
        <v>966</v>
      </c>
      <c r="G971" s="1" t="s">
        <v>24</v>
      </c>
      <c r="H971" s="1">
        <v>63359</v>
      </c>
      <c r="I971" s="1">
        <v>142417</v>
      </c>
      <c r="J971" s="7">
        <v>0.44500000000000001</v>
      </c>
      <c r="K971" s="1" t="s">
        <v>21</v>
      </c>
      <c r="L971" s="1" t="s">
        <v>21</v>
      </c>
      <c r="M971" s="1" t="s">
        <v>29</v>
      </c>
      <c r="N971" s="1" t="s">
        <v>22</v>
      </c>
    </row>
    <row r="972" spans="1:14" x14ac:dyDescent="0.25">
      <c r="A972" s="1">
        <v>971</v>
      </c>
      <c r="B972" s="2" t="str">
        <f>HYPERLINK("https://leetcode.com/problems/flip-binary-tree-to-match-preorder-traversal/", "Flip Binary Tree To Match Preorder Traversal")</f>
        <v>Flip Binary Tree To Match Preorder Traversal</v>
      </c>
      <c r="C972" s="1">
        <v>1000</v>
      </c>
      <c r="D972" s="1">
        <v>284</v>
      </c>
      <c r="E972" s="3">
        <f>IF(INDEX(C:C, ROW())+INDEX(D:D, ROW())=0, 0, INDEX(C:C, ROW())/(INDEX(C:C, ROW())+INDEX(D:D, ROW())))</f>
        <v>0.77881619937694702</v>
      </c>
      <c r="F972" s="1" t="s">
        <v>67</v>
      </c>
      <c r="G972" s="1" t="s">
        <v>24</v>
      </c>
      <c r="H972" s="1">
        <v>48913</v>
      </c>
      <c r="I972" s="1">
        <v>94434</v>
      </c>
      <c r="J972" s="7">
        <v>0.51800000000000002</v>
      </c>
      <c r="K972" s="1" t="s">
        <v>21</v>
      </c>
      <c r="L972" s="1" t="s">
        <v>21</v>
      </c>
      <c r="M972" s="1" t="s">
        <v>29</v>
      </c>
      <c r="N972" s="1" t="s">
        <v>22</v>
      </c>
    </row>
    <row r="973" spans="1:14" x14ac:dyDescent="0.25">
      <c r="A973" s="1">
        <v>972</v>
      </c>
      <c r="B973" s="2" t="str">
        <f>HYPERLINK("https://leetcode.com/problems/equal-rational-numbers/", "Equal Rational Numbers")</f>
        <v>Equal Rational Numbers</v>
      </c>
      <c r="C973" s="1">
        <v>106</v>
      </c>
      <c r="D973" s="1">
        <v>218</v>
      </c>
      <c r="E973" s="3">
        <f>IF(INDEX(C:C, ROW())+INDEX(D:D, ROW())=0, 0, INDEX(C:C, ROW())/(INDEX(C:C, ROW())+INDEX(D:D, ROW())))</f>
        <v>0.3271604938271605</v>
      </c>
      <c r="F973" s="1" t="s">
        <v>228</v>
      </c>
      <c r="G973" s="1" t="s">
        <v>28</v>
      </c>
      <c r="H973" s="1">
        <v>9705</v>
      </c>
      <c r="I973" s="1">
        <v>21118</v>
      </c>
      <c r="J973" s="7">
        <v>0.46</v>
      </c>
      <c r="K973" s="1" t="s">
        <v>21</v>
      </c>
      <c r="L973" s="1" t="s">
        <v>21</v>
      </c>
      <c r="M973" s="1" t="s">
        <v>29</v>
      </c>
      <c r="N973" s="1" t="s">
        <v>22</v>
      </c>
    </row>
    <row r="974" spans="1:14" x14ac:dyDescent="0.25">
      <c r="A974" s="1">
        <v>973</v>
      </c>
      <c r="B974" s="2" t="str">
        <f>HYPERLINK("https://leetcode.com/problems/k-closest-points-to-origin/", "K Closest Points to Origin")</f>
        <v>K Closest Points to Origin</v>
      </c>
      <c r="C974" s="1">
        <v>9028</v>
      </c>
      <c r="D974" s="1">
        <v>338</v>
      </c>
      <c r="E974" s="3">
        <f>IF(INDEX(C:C, ROW())+INDEX(D:D, ROW())=0, 0, INDEX(C:C, ROW())/(INDEX(C:C, ROW())+INDEX(D:D, ROW())))</f>
        <v>0.96391202220798633</v>
      </c>
      <c r="F974" s="1" t="s">
        <v>155</v>
      </c>
      <c r="G974" s="1" t="s">
        <v>24</v>
      </c>
      <c r="H974" s="1">
        <v>1685004</v>
      </c>
      <c r="I974" s="1">
        <v>2451215</v>
      </c>
      <c r="J974" s="7">
        <v>0.68700000000000006</v>
      </c>
      <c r="K974" s="1" t="s">
        <v>21</v>
      </c>
      <c r="L974" s="1" t="s">
        <v>21</v>
      </c>
      <c r="M974" s="1" t="s">
        <v>21</v>
      </c>
      <c r="N974" s="1" t="s">
        <v>22</v>
      </c>
    </row>
    <row r="975" spans="1:14" x14ac:dyDescent="0.25">
      <c r="A975" s="1">
        <v>974</v>
      </c>
      <c r="B975" s="2" t="str">
        <f>HYPERLINK("https://leetcode.com/problems/subarray-sums-divisible-by-k/", "Subarray Sums Divisible by K")</f>
        <v>Subarray Sums Divisible by K</v>
      </c>
      <c r="C975" s="1">
        <v>7819</v>
      </c>
      <c r="D975" s="1">
        <v>345</v>
      </c>
      <c r="E975" s="3">
        <f>IF(INDEX(C:C, ROW())+INDEX(D:D, ROW())=0, 0, INDEX(C:C, ROW())/(INDEX(C:C, ROW())+INDEX(D:D, ROW())))</f>
        <v>0.95774130328270457</v>
      </c>
      <c r="F975" s="1" t="s">
        <v>39</v>
      </c>
      <c r="G975" s="1" t="s">
        <v>24</v>
      </c>
      <c r="H975" s="1">
        <v>468933</v>
      </c>
      <c r="I975" s="1">
        <v>836777</v>
      </c>
      <c r="J975" s="7">
        <v>0.56000000000000005</v>
      </c>
      <c r="K975" s="1" t="s">
        <v>21</v>
      </c>
      <c r="L975" s="1" t="s">
        <v>21</v>
      </c>
      <c r="M975" s="1" t="s">
        <v>29</v>
      </c>
      <c r="N975" s="1" t="s">
        <v>22</v>
      </c>
    </row>
    <row r="976" spans="1:14" x14ac:dyDescent="0.25">
      <c r="A976" s="1">
        <v>975</v>
      </c>
      <c r="B976" s="2" t="str">
        <f>HYPERLINK("https://leetcode.com/problems/odd-even-jump/", "Odd Even Jump")</f>
        <v>Odd Even Jump</v>
      </c>
      <c r="C976" s="1">
        <v>2111</v>
      </c>
      <c r="D976" s="1">
        <v>531</v>
      </c>
      <c r="E976" s="3">
        <f>IF(INDEX(C:C, ROW())+INDEX(D:D, ROW())=0, 0, INDEX(C:C, ROW())/(INDEX(C:C, ROW())+INDEX(D:D, ROW())))</f>
        <v>0.79901589704769116</v>
      </c>
      <c r="F976" s="1" t="s">
        <v>485</v>
      </c>
      <c r="G976" s="1" t="s">
        <v>28</v>
      </c>
      <c r="H976" s="1">
        <v>102828</v>
      </c>
      <c r="I976" s="1">
        <v>250351</v>
      </c>
      <c r="J976" s="7">
        <v>0.41099999999999998</v>
      </c>
      <c r="K976" s="1" t="s">
        <v>21</v>
      </c>
      <c r="L976" s="1" t="s">
        <v>21</v>
      </c>
      <c r="M976" s="1" t="s">
        <v>29</v>
      </c>
      <c r="N976" s="1" t="s">
        <v>22</v>
      </c>
    </row>
    <row r="977" spans="1:14" x14ac:dyDescent="0.25">
      <c r="A977" s="1">
        <v>976</v>
      </c>
      <c r="B977" s="2" t="str">
        <f>HYPERLINK("https://leetcode.com/problems/largest-perimeter-triangle/", "Largest Perimeter Triangle")</f>
        <v>Largest Perimeter Triangle</v>
      </c>
      <c r="C977" s="1">
        <v>3393</v>
      </c>
      <c r="D977" s="1">
        <v>443</v>
      </c>
      <c r="E977" s="3">
        <f>IF(INDEX(C:C, ROW())+INDEX(D:D, ROW())=0, 0, INDEX(C:C, ROW())/(INDEX(C:C, ROW())+INDEX(D:D, ROW())))</f>
        <v>0.88451511991657972</v>
      </c>
      <c r="F977" s="1" t="s">
        <v>354</v>
      </c>
      <c r="G977" s="1" t="s">
        <v>20</v>
      </c>
      <c r="H977" s="1">
        <v>421289</v>
      </c>
      <c r="I977" s="1">
        <v>679602</v>
      </c>
      <c r="J977" s="7">
        <v>0.62</v>
      </c>
      <c r="K977" s="1" t="s">
        <v>21</v>
      </c>
      <c r="L977" s="1" t="s">
        <v>21</v>
      </c>
      <c r="M977" s="1" t="s">
        <v>29</v>
      </c>
      <c r="N977" s="1" t="s">
        <v>22</v>
      </c>
    </row>
    <row r="978" spans="1:14" x14ac:dyDescent="0.25">
      <c r="A978" s="1">
        <v>977</v>
      </c>
      <c r="B978" s="2" t="str">
        <f>HYPERLINK("https://leetcode.com/problems/squares-of-a-sorted-array/", "Squares of a Sorted Array")</f>
        <v>Squares of a Sorted Array</v>
      </c>
      <c r="C978" s="1">
        <v>10153</v>
      </c>
      <c r="D978" s="1">
        <v>274</v>
      </c>
      <c r="E978" s="3">
        <f>IF(INDEX(C:C, ROW())+INDEX(D:D, ROW())=0, 0, INDEX(C:C, ROW())/(INDEX(C:C, ROW())+INDEX(D:D, ROW())))</f>
        <v>0.97372206770883285</v>
      </c>
      <c r="F978" s="1" t="s">
        <v>31</v>
      </c>
      <c r="G978" s="1" t="s">
        <v>20</v>
      </c>
      <c r="H978" s="1">
        <v>2542531</v>
      </c>
      <c r="I978" s="1">
        <v>3455079</v>
      </c>
      <c r="J978" s="7">
        <v>0.73599999999999999</v>
      </c>
      <c r="K978" s="1" t="s">
        <v>21</v>
      </c>
      <c r="L978" s="1" t="s">
        <v>21</v>
      </c>
      <c r="M978" s="1" t="s">
        <v>21</v>
      </c>
      <c r="N978" s="1" t="s">
        <v>22</v>
      </c>
    </row>
    <row r="979" spans="1:14" x14ac:dyDescent="0.25">
      <c r="A979" s="1">
        <v>978</v>
      </c>
      <c r="B979" s="2" t="str">
        <f>HYPERLINK("https://leetcode.com/problems/longest-turbulent-subarray/", "Longest Turbulent Subarray")</f>
        <v>Longest Turbulent Subarray</v>
      </c>
      <c r="C979" s="1">
        <v>2112</v>
      </c>
      <c r="D979" s="1">
        <v>259</v>
      </c>
      <c r="E979" s="3">
        <f>IF(INDEX(C:C, ROW())+INDEX(D:D, ROW())=0, 0, INDEX(C:C, ROW())/(INDEX(C:C, ROW())+INDEX(D:D, ROW())))</f>
        <v>0.89076339097427248</v>
      </c>
      <c r="F979" s="1" t="s">
        <v>239</v>
      </c>
      <c r="G979" s="1" t="s">
        <v>24</v>
      </c>
      <c r="H979" s="1">
        <v>135985</v>
      </c>
      <c r="I979" s="1">
        <v>278261</v>
      </c>
      <c r="J979" s="7">
        <v>0.48899999999999999</v>
      </c>
      <c r="K979" s="1" t="s">
        <v>21</v>
      </c>
      <c r="L979" s="1" t="s">
        <v>21</v>
      </c>
      <c r="M979" s="1" t="s">
        <v>29</v>
      </c>
      <c r="N979" s="1" t="s">
        <v>22</v>
      </c>
    </row>
    <row r="980" spans="1:14" x14ac:dyDescent="0.25">
      <c r="A980" s="1">
        <v>979</v>
      </c>
      <c r="B980" s="2" t="str">
        <f>HYPERLINK("https://leetcode.com/problems/distribute-coins-in-binary-tree/", "Distribute Coins in Binary Tree")</f>
        <v>Distribute Coins in Binary Tree</v>
      </c>
      <c r="C980" s="1">
        <v>6062</v>
      </c>
      <c r="D980" s="1">
        <v>249</v>
      </c>
      <c r="E980" s="3">
        <f>IF(INDEX(C:C, ROW())+INDEX(D:D, ROW())=0, 0, INDEX(C:C, ROW())/(INDEX(C:C, ROW())+INDEX(D:D, ROW())))</f>
        <v>0.9605450800190144</v>
      </c>
      <c r="F980" s="1" t="s">
        <v>67</v>
      </c>
      <c r="G980" s="1" t="s">
        <v>24</v>
      </c>
      <c r="H980" s="1">
        <v>223613</v>
      </c>
      <c r="I980" s="1">
        <v>289469</v>
      </c>
      <c r="J980" s="7">
        <v>0.77200000000000002</v>
      </c>
      <c r="K980" s="1" t="s">
        <v>21</v>
      </c>
      <c r="L980" s="1" t="s">
        <v>21</v>
      </c>
      <c r="M980" s="1" t="s">
        <v>29</v>
      </c>
      <c r="N980" s="1" t="s">
        <v>22</v>
      </c>
    </row>
    <row r="981" spans="1:14" x14ac:dyDescent="0.25">
      <c r="A981" s="1">
        <v>980</v>
      </c>
      <c r="B981" s="2" t="str">
        <f>HYPERLINK("https://leetcode.com/problems/unique-paths-iii/", "Unique Paths III")</f>
        <v>Unique Paths III</v>
      </c>
      <c r="C981" s="1">
        <v>5474</v>
      </c>
      <c r="D981" s="1">
        <v>198</v>
      </c>
      <c r="E981" s="3">
        <f>IF(INDEX(C:C, ROW())+INDEX(D:D, ROW())=0, 0, INDEX(C:C, ROW())/(INDEX(C:C, ROW())+INDEX(D:D, ROW())))</f>
        <v>0.96509167842031029</v>
      </c>
      <c r="F981" s="1" t="s">
        <v>241</v>
      </c>
      <c r="G981" s="1" t="s">
        <v>28</v>
      </c>
      <c r="H981" s="1">
        <v>254001</v>
      </c>
      <c r="I981" s="1">
        <v>306980</v>
      </c>
      <c r="J981" s="7">
        <v>0.82699999999999996</v>
      </c>
      <c r="K981" s="1" t="s">
        <v>21</v>
      </c>
      <c r="L981" s="1" t="s">
        <v>21</v>
      </c>
      <c r="M981" s="1" t="s">
        <v>29</v>
      </c>
      <c r="N981" s="1" t="s">
        <v>22</v>
      </c>
    </row>
    <row r="982" spans="1:14" x14ac:dyDescent="0.25">
      <c r="A982" s="1">
        <v>981</v>
      </c>
      <c r="B982" s="2" t="str">
        <f>HYPERLINK("https://leetcode.com/problems/time-based-key-value-store/", "Time Based Key-Value Store")</f>
        <v>Time Based Key-Value Store</v>
      </c>
      <c r="C982" s="1">
        <v>5241</v>
      </c>
      <c r="D982" s="1">
        <v>725</v>
      </c>
      <c r="E982" s="3">
        <f>IF(INDEX(C:C, ROW())+INDEX(D:D, ROW())=0, 0, INDEX(C:C, ROW())/(INDEX(C:C, ROW())+INDEX(D:D, ROW())))</f>
        <v>0.87847804223935633</v>
      </c>
      <c r="F982" s="1" t="s">
        <v>252</v>
      </c>
      <c r="G982" s="1" t="s">
        <v>24</v>
      </c>
      <c r="H982" s="1">
        <v>707431</v>
      </c>
      <c r="I982" s="1">
        <v>1422747</v>
      </c>
      <c r="J982" s="7">
        <v>0.497</v>
      </c>
      <c r="K982" s="1" t="s">
        <v>21</v>
      </c>
      <c r="L982" s="1" t="s">
        <v>21</v>
      </c>
      <c r="M982" s="1" t="s">
        <v>29</v>
      </c>
      <c r="N982" s="1" t="s">
        <v>22</v>
      </c>
    </row>
    <row r="983" spans="1:14" x14ac:dyDescent="0.25">
      <c r="A983" s="1">
        <v>982</v>
      </c>
      <c r="B983" s="2" t="str">
        <f>HYPERLINK("https://leetcode.com/problems/triples-with-bitwise-and-equal-to-zero/", "Triples with Bitwise AND Equal To Zero")</f>
        <v>Triples with Bitwise AND Equal To Zero</v>
      </c>
      <c r="C983" s="1">
        <v>478</v>
      </c>
      <c r="D983" s="1">
        <v>222</v>
      </c>
      <c r="E983" s="3">
        <f>IF(INDEX(C:C, ROW())+INDEX(D:D, ROW())=0, 0, INDEX(C:C, ROW())/(INDEX(C:C, ROW())+INDEX(D:D, ROW())))</f>
        <v>0.68285714285714283</v>
      </c>
      <c r="F983" s="1" t="s">
        <v>667</v>
      </c>
      <c r="G983" s="1" t="s">
        <v>28</v>
      </c>
      <c r="H983" s="1">
        <v>24235</v>
      </c>
      <c r="I983" s="1">
        <v>40405</v>
      </c>
      <c r="J983" s="7">
        <v>0.6</v>
      </c>
      <c r="K983" s="1" t="s">
        <v>21</v>
      </c>
      <c r="L983" s="1" t="s">
        <v>29</v>
      </c>
      <c r="M983" s="1" t="s">
        <v>29</v>
      </c>
      <c r="N983" s="1" t="s">
        <v>22</v>
      </c>
    </row>
    <row r="984" spans="1:14" x14ac:dyDescent="0.25">
      <c r="A984" s="1">
        <v>983</v>
      </c>
      <c r="B984" s="2" t="str">
        <f>HYPERLINK("https://leetcode.com/problems/minimum-cost-for-tickets/", "Minimum Cost For Tickets")</f>
        <v>Minimum Cost For Tickets</v>
      </c>
      <c r="C984" s="1">
        <v>8785</v>
      </c>
      <c r="D984" s="1">
        <v>191</v>
      </c>
      <c r="E984" s="3">
        <f>IF(INDEX(C:C, ROW())+INDEX(D:D, ROW())=0, 0, INDEX(C:C, ROW())/(INDEX(C:C, ROW())+INDEX(D:D, ROW())))</f>
        <v>0.97872103386809273</v>
      </c>
      <c r="F984" s="1" t="s">
        <v>30</v>
      </c>
      <c r="G984" s="1" t="s">
        <v>24</v>
      </c>
      <c r="H984" s="1">
        <v>465577</v>
      </c>
      <c r="I984" s="1">
        <v>690772</v>
      </c>
      <c r="J984" s="7">
        <v>0.67400000000000004</v>
      </c>
      <c r="K984" s="1" t="s">
        <v>21</v>
      </c>
      <c r="L984" s="1" t="s">
        <v>21</v>
      </c>
      <c r="M984" s="1" t="s">
        <v>29</v>
      </c>
      <c r="N984" s="1" t="s">
        <v>22</v>
      </c>
    </row>
    <row r="985" spans="1:14" x14ac:dyDescent="0.25">
      <c r="A985" s="1">
        <v>984</v>
      </c>
      <c r="B985" s="2" t="str">
        <f>HYPERLINK("https://leetcode.com/problems/string-without-aaa-or-bbb/", "String Without AAA or BBB")</f>
        <v>String Without AAA or BBB</v>
      </c>
      <c r="C985" s="1">
        <v>872</v>
      </c>
      <c r="D985" s="1">
        <v>377</v>
      </c>
      <c r="E985" s="3">
        <f>IF(INDEX(C:C, ROW())+INDEX(D:D, ROW())=0, 0, INDEX(C:C, ROW())/(INDEX(C:C, ROW())+INDEX(D:D, ROW())))</f>
        <v>0.69815852682145718</v>
      </c>
      <c r="F985" s="1" t="s">
        <v>424</v>
      </c>
      <c r="G985" s="1" t="s">
        <v>24</v>
      </c>
      <c r="H985" s="1">
        <v>59888</v>
      </c>
      <c r="I985" s="1">
        <v>133176</v>
      </c>
      <c r="J985" s="7">
        <v>0.45</v>
      </c>
      <c r="K985" s="1" t="s">
        <v>21</v>
      </c>
      <c r="L985" s="1" t="s">
        <v>21</v>
      </c>
      <c r="M985" s="1" t="s">
        <v>29</v>
      </c>
      <c r="N985" s="1" t="s">
        <v>22</v>
      </c>
    </row>
    <row r="986" spans="1:14" x14ac:dyDescent="0.25">
      <c r="A986" s="1">
        <v>985</v>
      </c>
      <c r="B986" s="2" t="str">
        <f>HYPERLINK("https://leetcode.com/problems/sum-of-even-numbers-after-queries/", "Sum of Even Numbers After Queries")</f>
        <v>Sum of Even Numbers After Queries</v>
      </c>
      <c r="C986" s="1">
        <v>2136</v>
      </c>
      <c r="D986" s="1">
        <v>323</v>
      </c>
      <c r="E986" s="3">
        <f>IF(INDEX(C:C, ROW())+INDEX(D:D, ROW())=0, 0, INDEX(C:C, ROW())/(INDEX(C:C, ROW())+INDEX(D:D, ROW())))</f>
        <v>0.86864579097193984</v>
      </c>
      <c r="F986" s="1" t="s">
        <v>306</v>
      </c>
      <c r="G986" s="1" t="s">
        <v>24</v>
      </c>
      <c r="H986" s="1">
        <v>154452</v>
      </c>
      <c r="I986" s="1">
        <v>224620</v>
      </c>
      <c r="J986" s="7">
        <v>0.68799999999999994</v>
      </c>
      <c r="K986" s="1" t="s">
        <v>21</v>
      </c>
      <c r="L986" s="1" t="s">
        <v>21</v>
      </c>
      <c r="M986" s="1" t="s">
        <v>29</v>
      </c>
      <c r="N986" s="1" t="s">
        <v>22</v>
      </c>
    </row>
    <row r="987" spans="1:14" x14ac:dyDescent="0.25">
      <c r="A987" s="1">
        <v>986</v>
      </c>
      <c r="B987" s="2" t="str">
        <f>HYPERLINK("https://leetcode.com/problems/interval-list-intersections/", "Interval List Intersections")</f>
        <v>Interval List Intersections</v>
      </c>
      <c r="C987" s="1">
        <v>5899</v>
      </c>
      <c r="D987" s="1">
        <v>128</v>
      </c>
      <c r="E987" s="3">
        <f>IF(INDEX(C:C, ROW())+INDEX(D:D, ROW())=0, 0, INDEX(C:C, ROW())/(INDEX(C:C, ROW())+INDEX(D:D, ROW())))</f>
        <v>0.97876223660195782</v>
      </c>
      <c r="F987" s="1" t="s">
        <v>232</v>
      </c>
      <c r="G987" s="1" t="s">
        <v>24</v>
      </c>
      <c r="H987" s="1">
        <v>560623</v>
      </c>
      <c r="I987" s="1">
        <v>768587</v>
      </c>
      <c r="J987" s="7">
        <v>0.72899999999999998</v>
      </c>
      <c r="K987" s="1" t="s">
        <v>21</v>
      </c>
      <c r="L987" s="1" t="s">
        <v>21</v>
      </c>
      <c r="M987" s="1" t="s">
        <v>29</v>
      </c>
      <c r="N987" s="1" t="s">
        <v>22</v>
      </c>
    </row>
    <row r="988" spans="1:14" x14ac:dyDescent="0.25">
      <c r="A988" s="1">
        <v>987</v>
      </c>
      <c r="B988" s="2" t="str">
        <f>HYPERLINK("https://leetcode.com/problems/vertical-order-traversal-of-a-binary-tree/", "Vertical Order Traversal of a Binary Tree")</f>
        <v>Vertical Order Traversal of a Binary Tree</v>
      </c>
      <c r="C988" s="1">
        <v>8583</v>
      </c>
      <c r="D988" s="1">
        <v>4391</v>
      </c>
      <c r="E988" s="3">
        <f>IF(INDEX(C:C, ROW())+INDEX(D:D, ROW())=0, 0, INDEX(C:C, ROW())/(INDEX(C:C, ROW())+INDEX(D:D, ROW())))</f>
        <v>0.66155387698473866</v>
      </c>
      <c r="F988" s="1" t="s">
        <v>163</v>
      </c>
      <c r="G988" s="1" t="s">
        <v>28</v>
      </c>
      <c r="H988" s="1">
        <v>694484</v>
      </c>
      <c r="I988" s="1">
        <v>1304781</v>
      </c>
      <c r="J988" s="7">
        <v>0.53200000000000003</v>
      </c>
      <c r="K988" s="1" t="s">
        <v>21</v>
      </c>
      <c r="L988" s="1" t="s">
        <v>21</v>
      </c>
      <c r="M988" s="1" t="s">
        <v>21</v>
      </c>
      <c r="N988" s="1" t="s">
        <v>22</v>
      </c>
    </row>
    <row r="989" spans="1:14" x14ac:dyDescent="0.25">
      <c r="A989" s="1">
        <v>988</v>
      </c>
      <c r="B989" s="2" t="str">
        <f>HYPERLINK("https://leetcode.com/problems/smallest-string-starting-from-leaf/", "Smallest String Starting From Leaf")</f>
        <v>Smallest String Starting From Leaf</v>
      </c>
      <c r="C989" s="1">
        <v>2409</v>
      </c>
      <c r="D989" s="1">
        <v>336</v>
      </c>
      <c r="E989" s="3">
        <f>IF(INDEX(C:C, ROW())+INDEX(D:D, ROW())=0, 0, INDEX(C:C, ROW())/(INDEX(C:C, ROW())+INDEX(D:D, ROW())))</f>
        <v>0.87759562841530059</v>
      </c>
      <c r="F989" s="1" t="s">
        <v>192</v>
      </c>
      <c r="G989" s="1" t="s">
        <v>24</v>
      </c>
      <c r="H989" s="1">
        <v>219388</v>
      </c>
      <c r="I989" s="1">
        <v>358885</v>
      </c>
      <c r="J989" s="7">
        <v>0.61099999999999999</v>
      </c>
      <c r="K989" s="1" t="s">
        <v>21</v>
      </c>
      <c r="L989" s="1" t="s">
        <v>21</v>
      </c>
      <c r="M989" s="1" t="s">
        <v>29</v>
      </c>
      <c r="N989" s="1" t="s">
        <v>22</v>
      </c>
    </row>
    <row r="990" spans="1:14" x14ac:dyDescent="0.25">
      <c r="A990" s="1">
        <v>989</v>
      </c>
      <c r="B990" s="2" t="str">
        <f>HYPERLINK("https://leetcode.com/problems/add-to-array-form-of-integer/", "Add to Array-Form of Integer")</f>
        <v>Add to Array-Form of Integer</v>
      </c>
      <c r="C990" s="1">
        <v>3677</v>
      </c>
      <c r="D990" s="1">
        <v>316</v>
      </c>
      <c r="E990" s="3">
        <f>IF(INDEX(C:C, ROW())+INDEX(D:D, ROW())=0, 0, INDEX(C:C, ROW())/(INDEX(C:C, ROW())+INDEX(D:D, ROW())))</f>
        <v>0.92086150763836716</v>
      </c>
      <c r="F990" s="1" t="s">
        <v>115</v>
      </c>
      <c r="G990" s="1" t="s">
        <v>20</v>
      </c>
      <c r="H990" s="1">
        <v>333858</v>
      </c>
      <c r="I990" s="1">
        <v>735311</v>
      </c>
      <c r="J990" s="7">
        <v>0.45400000000000001</v>
      </c>
      <c r="K990" s="1" t="s">
        <v>21</v>
      </c>
      <c r="L990" s="1" t="s">
        <v>21</v>
      </c>
      <c r="M990" s="1" t="s">
        <v>29</v>
      </c>
      <c r="N990" s="1" t="s">
        <v>22</v>
      </c>
    </row>
    <row r="991" spans="1:14" x14ac:dyDescent="0.25">
      <c r="A991" s="1">
        <v>990</v>
      </c>
      <c r="B991" s="2" t="str">
        <f>HYPERLINK("https://leetcode.com/problems/satisfiability-of-equality-equations/", "Satisfiability of Equality Equations")</f>
        <v>Satisfiability of Equality Equations</v>
      </c>
      <c r="C991" s="1">
        <v>4008</v>
      </c>
      <c r="D991" s="1">
        <v>67</v>
      </c>
      <c r="E991" s="3">
        <f>IF(INDEX(C:C, ROW())+INDEX(D:D, ROW())=0, 0, INDEX(C:C, ROW())/(INDEX(C:C, ROW())+INDEX(D:D, ROW())))</f>
        <v>0.98355828220858899</v>
      </c>
      <c r="F991" s="1" t="s">
        <v>310</v>
      </c>
      <c r="G991" s="1" t="s">
        <v>24</v>
      </c>
      <c r="H991" s="1">
        <v>163811</v>
      </c>
      <c r="I991" s="1">
        <v>317743</v>
      </c>
      <c r="J991" s="7">
        <v>0.51600000000000001</v>
      </c>
      <c r="K991" s="1" t="s">
        <v>21</v>
      </c>
      <c r="L991" s="1" t="s">
        <v>21</v>
      </c>
      <c r="M991" s="1" t="s">
        <v>29</v>
      </c>
      <c r="N991" s="1" t="s">
        <v>22</v>
      </c>
    </row>
    <row r="992" spans="1:14" x14ac:dyDescent="0.25">
      <c r="A992" s="1">
        <v>991</v>
      </c>
      <c r="B992" s="2" t="str">
        <f>HYPERLINK("https://leetcode.com/problems/broken-calculator/", "Broken Calculator")</f>
        <v>Broken Calculator</v>
      </c>
      <c r="C992" s="1">
        <v>2836</v>
      </c>
      <c r="D992" s="1">
        <v>216</v>
      </c>
      <c r="E992" s="3">
        <f>IF(INDEX(C:C, ROW())+INDEX(D:D, ROW())=0, 0, INDEX(C:C, ROW())/(INDEX(C:C, ROW())+INDEX(D:D, ROW())))</f>
        <v>0.92922673656618615</v>
      </c>
      <c r="F992" s="1" t="s">
        <v>296</v>
      </c>
      <c r="G992" s="1" t="s">
        <v>24</v>
      </c>
      <c r="H992" s="1">
        <v>121009</v>
      </c>
      <c r="I992" s="1">
        <v>216489</v>
      </c>
      <c r="J992" s="7">
        <v>0.55900000000000005</v>
      </c>
      <c r="K992" s="1" t="s">
        <v>21</v>
      </c>
      <c r="L992" s="1" t="s">
        <v>21</v>
      </c>
      <c r="M992" s="1" t="s">
        <v>29</v>
      </c>
      <c r="N992" s="1" t="s">
        <v>22</v>
      </c>
    </row>
    <row r="993" spans="1:14" x14ac:dyDescent="0.25">
      <c r="A993" s="1">
        <v>992</v>
      </c>
      <c r="B993" s="2" t="str">
        <f>HYPERLINK("https://leetcode.com/problems/subarrays-with-k-different-integers/", "Subarrays with K Different Integers")</f>
        <v>Subarrays with K Different Integers</v>
      </c>
      <c r="C993" s="1">
        <v>6890</v>
      </c>
      <c r="D993" s="1">
        <v>119</v>
      </c>
      <c r="E993" s="3">
        <f>IF(INDEX(C:C, ROW())+INDEX(D:D, ROW())=0, 0, INDEX(C:C, ROW())/(INDEX(C:C, ROW())+INDEX(D:D, ROW())))</f>
        <v>0.98302182907690117</v>
      </c>
      <c r="F993" s="1" t="s">
        <v>204</v>
      </c>
      <c r="G993" s="1" t="s">
        <v>28</v>
      </c>
      <c r="H993" s="1">
        <v>376506</v>
      </c>
      <c r="I993" s="1">
        <v>557264</v>
      </c>
      <c r="J993" s="7">
        <v>0.67600000000000005</v>
      </c>
      <c r="K993" s="1" t="s">
        <v>21</v>
      </c>
      <c r="L993" s="1" t="s">
        <v>21</v>
      </c>
      <c r="M993" s="1" t="s">
        <v>29</v>
      </c>
      <c r="N993" s="1" t="s">
        <v>22</v>
      </c>
    </row>
    <row r="994" spans="1:14" x14ac:dyDescent="0.25">
      <c r="A994" s="1">
        <v>993</v>
      </c>
      <c r="B994" s="2" t="str">
        <f>HYPERLINK("https://leetcode.com/problems/cousins-in-binary-tree/", "Cousins in Binary Tree")</f>
        <v>Cousins in Binary Tree</v>
      </c>
      <c r="C994" s="1">
        <v>4309</v>
      </c>
      <c r="D994" s="1">
        <v>233</v>
      </c>
      <c r="E994" s="3">
        <f>IF(INDEX(C:C, ROW())+INDEX(D:D, ROW())=0, 0, INDEX(C:C, ROW())/(INDEX(C:C, ROW())+INDEX(D:D, ROW())))</f>
        <v>0.94870101276970498</v>
      </c>
      <c r="F994" s="1" t="s">
        <v>80</v>
      </c>
      <c r="G994" s="1" t="s">
        <v>20</v>
      </c>
      <c r="H994" s="1">
        <v>345793</v>
      </c>
      <c r="I994" s="1">
        <v>585375</v>
      </c>
      <c r="J994" s="7">
        <v>0.59099999999999997</v>
      </c>
      <c r="K994" s="1" t="s">
        <v>21</v>
      </c>
      <c r="L994" s="1" t="s">
        <v>21</v>
      </c>
      <c r="M994" s="1" t="s">
        <v>29</v>
      </c>
      <c r="N994" s="1" t="s">
        <v>22</v>
      </c>
    </row>
    <row r="995" spans="1:14" x14ac:dyDescent="0.25">
      <c r="A995" s="1">
        <v>994</v>
      </c>
      <c r="B995" s="2" t="str">
        <f>HYPERLINK("https://leetcode.com/problems/rotting-oranges/", "Rotting Oranges")</f>
        <v>Rotting Oranges</v>
      </c>
      <c r="C995" s="1">
        <v>14966</v>
      </c>
      <c r="D995" s="1">
        <v>472</v>
      </c>
      <c r="E995" s="3">
        <f>IF(INDEX(C:C, ROW())+INDEX(D:D, ROW())=0, 0, INDEX(C:C, ROW())/(INDEX(C:C, ROW())+INDEX(D:D, ROW())))</f>
        <v>0.96942609146262471</v>
      </c>
      <c r="F995" s="1" t="s">
        <v>86</v>
      </c>
      <c r="G995" s="1" t="s">
        <v>24</v>
      </c>
      <c r="H995" s="1">
        <v>1556540</v>
      </c>
      <c r="I995" s="1">
        <v>2678137</v>
      </c>
      <c r="J995" s="7">
        <v>0.58099999999999996</v>
      </c>
      <c r="K995" s="1" t="s">
        <v>21</v>
      </c>
      <c r="L995" s="1" t="s">
        <v>21</v>
      </c>
      <c r="M995" s="1" t="s">
        <v>29</v>
      </c>
      <c r="N995" s="1" t="s">
        <v>22</v>
      </c>
    </row>
    <row r="996" spans="1:14" x14ac:dyDescent="0.25">
      <c r="A996" s="1">
        <v>995</v>
      </c>
      <c r="B996" s="2" t="str">
        <f>HYPERLINK("https://leetcode.com/problems/minimum-number-of-k-consecutive-bit-flips/", "Minimum Number of K Consecutive Bit Flips")</f>
        <v>Minimum Number of K Consecutive Bit Flips</v>
      </c>
      <c r="C996" s="1">
        <v>2054</v>
      </c>
      <c r="D996" s="1">
        <v>90</v>
      </c>
      <c r="E996" s="3">
        <f>IF(INDEX(C:C, ROW())+INDEX(D:D, ROW())=0, 0, INDEX(C:C, ROW())/(INDEX(C:C, ROW())+INDEX(D:D, ROW())))</f>
        <v>0.95802238805970152</v>
      </c>
      <c r="F996" s="1" t="s">
        <v>497</v>
      </c>
      <c r="G996" s="1" t="s">
        <v>28</v>
      </c>
      <c r="H996" s="1">
        <v>141256</v>
      </c>
      <c r="I996" s="1">
        <v>226948</v>
      </c>
      <c r="J996" s="7">
        <v>0.622</v>
      </c>
      <c r="K996" s="1" t="s">
        <v>21</v>
      </c>
      <c r="L996" s="1" t="s">
        <v>21</v>
      </c>
      <c r="M996" s="1" t="s">
        <v>29</v>
      </c>
      <c r="N996" s="1" t="s">
        <v>22</v>
      </c>
    </row>
    <row r="997" spans="1:14" x14ac:dyDescent="0.25">
      <c r="A997" s="1">
        <v>996</v>
      </c>
      <c r="B997" s="2" t="str">
        <f>HYPERLINK("https://leetcode.com/problems/number-of-squareful-arrays/", "Number of Squareful Arrays")</f>
        <v>Number of Squareful Arrays</v>
      </c>
      <c r="C997" s="1">
        <v>1037</v>
      </c>
      <c r="D997" s="1">
        <v>49</v>
      </c>
      <c r="E997" s="3">
        <f>IF(INDEX(C:C, ROW())+INDEX(D:D, ROW())=0, 0, INDEX(C:C, ROW())/(INDEX(C:C, ROW())+INDEX(D:D, ROW())))</f>
        <v>0.95488029465930013</v>
      </c>
      <c r="F997" s="1" t="s">
        <v>707</v>
      </c>
      <c r="G997" s="1" t="s">
        <v>28</v>
      </c>
      <c r="H997" s="1">
        <v>49182</v>
      </c>
      <c r="I997" s="1">
        <v>96125</v>
      </c>
      <c r="J997" s="7">
        <v>0.51200000000000001</v>
      </c>
      <c r="K997" s="1" t="s">
        <v>21</v>
      </c>
      <c r="L997" s="1" t="s">
        <v>21</v>
      </c>
      <c r="M997" s="1" t="s">
        <v>29</v>
      </c>
      <c r="N997" s="1" t="s">
        <v>22</v>
      </c>
    </row>
    <row r="998" spans="1:14" x14ac:dyDescent="0.25">
      <c r="A998" s="1">
        <v>997</v>
      </c>
      <c r="B998" s="2" t="str">
        <f>HYPERLINK("https://leetcode.com/problems/find-the-town-judge/", "Find the Town Judge")</f>
        <v>Find the Town Judge</v>
      </c>
      <c r="C998" s="1">
        <v>6942</v>
      </c>
      <c r="D998" s="1">
        <v>633</v>
      </c>
      <c r="E998" s="3">
        <f>IF(INDEX(C:C, ROW())+INDEX(D:D, ROW())=0, 0, INDEX(C:C, ROW())/(INDEX(C:C, ROW())+INDEX(D:D, ROW())))</f>
        <v>0.91643564356435647</v>
      </c>
      <c r="F998" s="1" t="s">
        <v>199</v>
      </c>
      <c r="G998" s="1" t="s">
        <v>20</v>
      </c>
      <c r="H998" s="1">
        <v>735706</v>
      </c>
      <c r="I998" s="1">
        <v>1456245</v>
      </c>
      <c r="J998" s="7">
        <v>0.505</v>
      </c>
      <c r="K998" s="1" t="s">
        <v>21</v>
      </c>
      <c r="L998" s="1" t="s">
        <v>21</v>
      </c>
      <c r="M998" s="1" t="s">
        <v>29</v>
      </c>
      <c r="N998" s="1" t="s">
        <v>22</v>
      </c>
    </row>
    <row r="999" spans="1:14" x14ac:dyDescent="0.25">
      <c r="A999" s="1">
        <v>998</v>
      </c>
      <c r="B999" s="2" t="str">
        <f>HYPERLINK("https://leetcode.com/problems/maximum-binary-tree-ii/", "Maximum Binary Tree II")</f>
        <v>Maximum Binary Tree II</v>
      </c>
      <c r="C999" s="1">
        <v>565</v>
      </c>
      <c r="D999" s="1">
        <v>804</v>
      </c>
      <c r="E999" s="3">
        <f>IF(INDEX(C:C, ROW())+INDEX(D:D, ROW())=0, 0, INDEX(C:C, ROW())/(INDEX(C:C, ROW())+INDEX(D:D, ROW())))</f>
        <v>0.41271000730460189</v>
      </c>
      <c r="F999" s="1" t="s">
        <v>571</v>
      </c>
      <c r="G999" s="1" t="s">
        <v>24</v>
      </c>
      <c r="H999" s="1">
        <v>44760</v>
      </c>
      <c r="I999" s="1">
        <v>63683</v>
      </c>
      <c r="J999" s="7">
        <v>0.70299999999999996</v>
      </c>
      <c r="K999" s="1" t="s">
        <v>21</v>
      </c>
      <c r="L999" s="1" t="s">
        <v>29</v>
      </c>
      <c r="M999" s="1" t="s">
        <v>29</v>
      </c>
      <c r="N999" s="1" t="s">
        <v>22</v>
      </c>
    </row>
    <row r="1000" spans="1:14" x14ac:dyDescent="0.25">
      <c r="A1000" s="1">
        <v>999</v>
      </c>
      <c r="B1000" s="2" t="str">
        <f>HYPERLINK("https://leetcode.com/problems/available-captures-for-rook/", "Available Captures for Rook")</f>
        <v>Available Captures for Rook</v>
      </c>
      <c r="C1000" s="1">
        <v>802</v>
      </c>
      <c r="D1000" s="1">
        <v>646</v>
      </c>
      <c r="E1000" s="3">
        <f>IF(INDEX(C:C, ROW())+INDEX(D:D, ROW())=0, 0, INDEX(C:C, ROW())/(INDEX(C:C, ROW())+INDEX(D:D, ROW())))</f>
        <v>0.55386740331491713</v>
      </c>
      <c r="F1000" s="1" t="s">
        <v>77</v>
      </c>
      <c r="G1000" s="1" t="s">
        <v>20</v>
      </c>
      <c r="H1000" s="1">
        <v>87807</v>
      </c>
      <c r="I1000" s="1">
        <v>122840</v>
      </c>
      <c r="J1000" s="7">
        <v>0.71499999999999997</v>
      </c>
      <c r="K1000" s="1" t="s">
        <v>21</v>
      </c>
      <c r="L1000" s="1" t="s">
        <v>29</v>
      </c>
      <c r="M1000" s="1" t="s">
        <v>29</v>
      </c>
      <c r="N1000" s="1" t="s">
        <v>22</v>
      </c>
    </row>
    <row r="1001" spans="1:14" x14ac:dyDescent="0.25">
      <c r="A1001" s="1">
        <v>1000</v>
      </c>
      <c r="B1001" s="2" t="str">
        <f>HYPERLINK("https://leetcode.com/problems/minimum-cost-to-merge-stones/", "Minimum Cost to Merge Stones")</f>
        <v>Minimum Cost to Merge Stones</v>
      </c>
      <c r="C1001" s="1">
        <v>2627</v>
      </c>
      <c r="D1001" s="1">
        <v>116</v>
      </c>
      <c r="E1001" s="3">
        <f>IF(INDEX(C:C, ROW())+INDEX(D:D, ROW())=0, 0, INDEX(C:C, ROW())/(INDEX(C:C, ROW())+INDEX(D:D, ROW())))</f>
        <v>0.95771053590958799</v>
      </c>
      <c r="F1001" s="1" t="s">
        <v>407</v>
      </c>
      <c r="G1001" s="1" t="s">
        <v>28</v>
      </c>
      <c r="H1001" s="1">
        <v>50833</v>
      </c>
      <c r="I1001" s="1">
        <v>111453</v>
      </c>
      <c r="J1001" s="7">
        <v>0.45600000000000002</v>
      </c>
      <c r="K1001" s="1" t="s">
        <v>21</v>
      </c>
      <c r="L1001" s="1" t="s">
        <v>29</v>
      </c>
      <c r="M1001" s="1" t="s">
        <v>29</v>
      </c>
      <c r="N1001" s="1" t="s">
        <v>22</v>
      </c>
    </row>
    <row r="1002" spans="1:14" x14ac:dyDescent="0.25">
      <c r="A1002" s="1">
        <v>1001</v>
      </c>
      <c r="B1002" s="2" t="str">
        <f>HYPERLINK("https://leetcode.com/problems/grid-illumination/", "Grid Illumination")</f>
        <v>Grid Illumination</v>
      </c>
      <c r="C1002" s="1">
        <v>647</v>
      </c>
      <c r="D1002" s="1">
        <v>161</v>
      </c>
      <c r="E1002" s="3">
        <f>IF(INDEX(C:C, ROW())+INDEX(D:D, ROW())=0, 0, INDEX(C:C, ROW())/(INDEX(C:C, ROW())+INDEX(D:D, ROW())))</f>
        <v>0.80074257425742579</v>
      </c>
      <c r="F1002" s="1" t="s">
        <v>19</v>
      </c>
      <c r="G1002" s="1" t="s">
        <v>28</v>
      </c>
      <c r="H1002" s="1">
        <v>26682</v>
      </c>
      <c r="I1002" s="1">
        <v>68411</v>
      </c>
      <c r="J1002" s="7">
        <v>0.39</v>
      </c>
      <c r="K1002" s="1" t="s">
        <v>21</v>
      </c>
      <c r="L1002" s="1" t="s">
        <v>29</v>
      </c>
      <c r="M1002" s="1" t="s">
        <v>29</v>
      </c>
      <c r="N1002" s="1" t="s">
        <v>22</v>
      </c>
    </row>
    <row r="1003" spans="1:14" x14ac:dyDescent="0.25">
      <c r="A1003" s="1">
        <v>1002</v>
      </c>
      <c r="B1003" s="2" t="str">
        <f>HYPERLINK("https://leetcode.com/problems/find-common-characters/", "Find Common Characters")</f>
        <v>Find Common Characters</v>
      </c>
      <c r="C1003" s="1">
        <v>4502</v>
      </c>
      <c r="D1003" s="1">
        <v>436</v>
      </c>
      <c r="E1003" s="3">
        <f>IF(INDEX(C:C, ROW())+INDEX(D:D, ROW())=0, 0, INDEX(C:C, ROW())/(INDEX(C:C, ROW())+INDEX(D:D, ROW())))</f>
        <v>0.91170514378290801</v>
      </c>
      <c r="F1003" s="1" t="s">
        <v>258</v>
      </c>
      <c r="G1003" s="1" t="s">
        <v>20</v>
      </c>
      <c r="H1003" s="1">
        <v>425237</v>
      </c>
      <c r="I1003" s="1">
        <v>569621</v>
      </c>
      <c r="J1003" s="7">
        <v>0.747</v>
      </c>
      <c r="K1003" s="1" t="s">
        <v>21</v>
      </c>
      <c r="L1003" s="1" t="s">
        <v>21</v>
      </c>
      <c r="M1003" s="1" t="s">
        <v>29</v>
      </c>
      <c r="N1003" s="1" t="s">
        <v>22</v>
      </c>
    </row>
    <row r="1004" spans="1:14" x14ac:dyDescent="0.25">
      <c r="A1004" s="1">
        <v>1003</v>
      </c>
      <c r="B1004" s="2" t="str">
        <f>HYPERLINK("https://leetcode.com/problems/check-if-word-is-valid-after-substitutions/", "Check If Word Is Valid After Substitutions")</f>
        <v>Check If Word Is Valid After Substitutions</v>
      </c>
      <c r="C1004" s="1">
        <v>1080</v>
      </c>
      <c r="D1004" s="1">
        <v>473</v>
      </c>
      <c r="E1004" s="3">
        <f>IF(INDEX(C:C, ROW())+INDEX(D:D, ROW())=0, 0, INDEX(C:C, ROW())/(INDEX(C:C, ROW())+INDEX(D:D, ROW())))</f>
        <v>0.69542820347714107</v>
      </c>
      <c r="F1004" s="1" t="s">
        <v>36</v>
      </c>
      <c r="G1004" s="1" t="s">
        <v>24</v>
      </c>
      <c r="H1004" s="1">
        <v>83691</v>
      </c>
      <c r="I1004" s="1">
        <v>137143</v>
      </c>
      <c r="J1004" s="7">
        <v>0.61</v>
      </c>
      <c r="K1004" s="1" t="s">
        <v>21</v>
      </c>
      <c r="L1004" s="1" t="s">
        <v>29</v>
      </c>
      <c r="M1004" s="1" t="s">
        <v>29</v>
      </c>
      <c r="N1004" s="1" t="s">
        <v>22</v>
      </c>
    </row>
    <row r="1005" spans="1:14" x14ac:dyDescent="0.25">
      <c r="A1005" s="1">
        <v>1004</v>
      </c>
      <c r="B1005" s="2" t="str">
        <f>HYPERLINK("https://leetcode.com/problems/max-consecutive-ones-iii/", "Max Consecutive Ones III")</f>
        <v>Max Consecutive Ones III</v>
      </c>
      <c r="C1005" s="1">
        <v>10339</v>
      </c>
      <c r="D1005" s="1">
        <v>182</v>
      </c>
      <c r="E1005" s="3">
        <f>IF(INDEX(C:C, ROW())+INDEX(D:D, ROW())=0, 0, INDEX(C:C, ROW())/(INDEX(C:C, ROW())+INDEX(D:D, ROW())))</f>
        <v>0.98270126413838987</v>
      </c>
      <c r="F1005" s="1" t="s">
        <v>88</v>
      </c>
      <c r="G1005" s="1" t="s">
        <v>24</v>
      </c>
      <c r="H1005" s="1">
        <v>1319550</v>
      </c>
      <c r="I1005" s="1">
        <v>1960990</v>
      </c>
      <c r="J1005" s="7">
        <v>0.67300000000000004</v>
      </c>
      <c r="K1005" s="1" t="s">
        <v>21</v>
      </c>
      <c r="L1005" s="1" t="s">
        <v>21</v>
      </c>
      <c r="M1005" s="1" t="s">
        <v>29</v>
      </c>
      <c r="N1005" s="1" t="s">
        <v>22</v>
      </c>
    </row>
    <row r="1006" spans="1:14" x14ac:dyDescent="0.25">
      <c r="A1006" s="1">
        <v>1005</v>
      </c>
      <c r="B1006" s="2" t="str">
        <f>HYPERLINK("https://leetcode.com/problems/maximize-sum-of-array-after-k-negations/", "Maximize Sum Of Array After K Negations")</f>
        <v>Maximize Sum Of Array After K Negations</v>
      </c>
      <c r="C1006" s="1">
        <v>1700</v>
      </c>
      <c r="D1006" s="1">
        <v>125</v>
      </c>
      <c r="E1006" s="3">
        <f>IF(INDEX(C:C, ROW())+INDEX(D:D, ROW())=0, 0, INDEX(C:C, ROW())/(INDEX(C:C, ROW())+INDEX(D:D, ROW())))</f>
        <v>0.93150684931506844</v>
      </c>
      <c r="F1006" s="1" t="s">
        <v>169</v>
      </c>
      <c r="G1006" s="1" t="s">
        <v>20</v>
      </c>
      <c r="H1006" s="1">
        <v>135043</v>
      </c>
      <c r="I1006" s="1">
        <v>252381</v>
      </c>
      <c r="J1006" s="7">
        <v>0.53500000000000003</v>
      </c>
      <c r="K1006" s="1" t="s">
        <v>21</v>
      </c>
      <c r="L1006" s="1" t="s">
        <v>29</v>
      </c>
      <c r="M1006" s="1" t="s">
        <v>29</v>
      </c>
      <c r="N1006" s="1" t="s">
        <v>22</v>
      </c>
    </row>
    <row r="1007" spans="1:14" x14ac:dyDescent="0.25">
      <c r="A1007" s="1">
        <v>1006</v>
      </c>
      <c r="B1007" s="2" t="str">
        <f>HYPERLINK("https://leetcode.com/problems/clumsy-factorial/", "Clumsy Factorial")</f>
        <v>Clumsy Factorial</v>
      </c>
      <c r="C1007" s="1">
        <v>440</v>
      </c>
      <c r="D1007" s="1">
        <v>366</v>
      </c>
      <c r="E1007" s="3">
        <f>IF(INDEX(C:C, ROW())+INDEX(D:D, ROW())=0, 0, INDEX(C:C, ROW())/(INDEX(C:C, ROW())+INDEX(D:D, ROW())))</f>
        <v>0.54590570719602982</v>
      </c>
      <c r="F1007" s="1" t="s">
        <v>955</v>
      </c>
      <c r="G1007" s="1" t="s">
        <v>24</v>
      </c>
      <c r="H1007" s="1">
        <v>47202</v>
      </c>
      <c r="I1007" s="1">
        <v>77324</v>
      </c>
      <c r="J1007" s="7">
        <v>0.61</v>
      </c>
      <c r="K1007" s="1" t="s">
        <v>21</v>
      </c>
      <c r="L1007" s="1" t="s">
        <v>29</v>
      </c>
      <c r="M1007" s="1" t="s">
        <v>29</v>
      </c>
      <c r="N1007" s="1" t="s">
        <v>22</v>
      </c>
    </row>
    <row r="1008" spans="1:14" x14ac:dyDescent="0.25">
      <c r="A1008" s="1">
        <v>1007</v>
      </c>
      <c r="B1008" s="2" t="str">
        <f>HYPERLINK("https://leetcode.com/problems/minimum-domino-rotations-for-equal-row/", "Minimum Domino Rotations For Equal Row")</f>
        <v>Minimum Domino Rotations For Equal Row</v>
      </c>
      <c r="C1008" s="1">
        <v>3284</v>
      </c>
      <c r="D1008" s="1">
        <v>271</v>
      </c>
      <c r="E1008" s="3">
        <f>IF(INDEX(C:C, ROW())+INDEX(D:D, ROW())=0, 0, INDEX(C:C, ROW())/(INDEX(C:C, ROW())+INDEX(D:D, ROW())))</f>
        <v>0.92376933895921243</v>
      </c>
      <c r="F1008" s="1" t="s">
        <v>96</v>
      </c>
      <c r="G1008" s="1" t="s">
        <v>24</v>
      </c>
      <c r="H1008" s="1">
        <v>318688</v>
      </c>
      <c r="I1008" s="1">
        <v>564168</v>
      </c>
      <c r="J1008" s="7">
        <v>0.56499999999999995</v>
      </c>
      <c r="K1008" s="1" t="s">
        <v>21</v>
      </c>
      <c r="L1008" s="1" t="s">
        <v>21</v>
      </c>
      <c r="M1008" s="1" t="s">
        <v>29</v>
      </c>
      <c r="N1008" s="1" t="s">
        <v>22</v>
      </c>
    </row>
    <row r="1009" spans="1:14" x14ac:dyDescent="0.25">
      <c r="A1009" s="1">
        <v>1008</v>
      </c>
      <c r="B1009" s="2" t="str">
        <f>HYPERLINK("https://leetcode.com/problems/construct-binary-search-tree-from-preorder-traversal/", "Construct Binary Search Tree from Preorder Traversal")</f>
        <v>Construct Binary Search Tree from Preorder Traversal</v>
      </c>
      <c r="C1009" s="1">
        <v>6736</v>
      </c>
      <c r="D1009" s="1">
        <v>93</v>
      </c>
      <c r="E1009" s="3">
        <f>IF(INDEX(C:C, ROW())+INDEX(D:D, ROW())=0, 0, INDEX(C:C, ROW())/(INDEX(C:C, ROW())+INDEX(D:D, ROW())))</f>
        <v>0.98638160784887974</v>
      </c>
      <c r="F1009" s="1" t="s">
        <v>209</v>
      </c>
      <c r="G1009" s="1" t="s">
        <v>24</v>
      </c>
      <c r="H1009" s="1">
        <v>529732</v>
      </c>
      <c r="I1009" s="1">
        <v>629970</v>
      </c>
      <c r="J1009" s="7">
        <v>0.84099999999999997</v>
      </c>
      <c r="K1009" s="1" t="s">
        <v>21</v>
      </c>
      <c r="L1009" s="1" t="s">
        <v>21</v>
      </c>
      <c r="M1009" s="1" t="s">
        <v>29</v>
      </c>
      <c r="N1009" s="1" t="s">
        <v>22</v>
      </c>
    </row>
    <row r="1010" spans="1:14" x14ac:dyDescent="0.25">
      <c r="A1010" s="1">
        <v>1009</v>
      </c>
      <c r="B1010" s="2" t="str">
        <f>HYPERLINK("https://leetcode.com/problems/complement-of-base-10-integer/", "Complement of Base 10 Integer")</f>
        <v>Complement of Base 10 Integer</v>
      </c>
      <c r="C1010" s="1">
        <v>2593</v>
      </c>
      <c r="D1010" s="1">
        <v>126</v>
      </c>
      <c r="E1010" s="3">
        <f>IF(INDEX(C:C, ROW())+INDEX(D:D, ROW())=0, 0, INDEX(C:C, ROW())/(INDEX(C:C, ROW())+INDEX(D:D, ROW())))</f>
        <v>0.9536594336152997</v>
      </c>
      <c r="F1010" s="1" t="s">
        <v>298</v>
      </c>
      <c r="G1010" s="1" t="s">
        <v>20</v>
      </c>
      <c r="H1010" s="1">
        <v>319512</v>
      </c>
      <c r="I1010" s="1">
        <v>527021</v>
      </c>
      <c r="J1010" s="7">
        <v>0.60599999999999998</v>
      </c>
      <c r="K1010" s="1" t="s">
        <v>21</v>
      </c>
      <c r="L1010" s="1" t="s">
        <v>21</v>
      </c>
      <c r="M1010" s="1" t="s">
        <v>29</v>
      </c>
      <c r="N1010" s="1" t="s">
        <v>22</v>
      </c>
    </row>
    <row r="1011" spans="1:14" x14ac:dyDescent="0.25">
      <c r="A1011" s="1">
        <v>1010</v>
      </c>
      <c r="B1011" s="2" t="str">
        <f>HYPERLINK("https://leetcode.com/problems/pairs-of-songs-with-total-durations-divisible-by-60/", "Pairs of Songs With Total Durations Divisible by 60")</f>
        <v>Pairs of Songs With Total Durations Divisible by 60</v>
      </c>
      <c r="C1011" s="1">
        <v>4326</v>
      </c>
      <c r="D1011" s="1">
        <v>182</v>
      </c>
      <c r="E1011" s="3">
        <f>IF(INDEX(C:C, ROW())+INDEX(D:D, ROW())=0, 0, INDEX(C:C, ROW())/(INDEX(C:C, ROW())+INDEX(D:D, ROW())))</f>
        <v>0.95962732919254656</v>
      </c>
      <c r="F1011" s="1" t="s">
        <v>294</v>
      </c>
      <c r="G1011" s="1" t="s">
        <v>24</v>
      </c>
      <c r="H1011" s="1">
        <v>323792</v>
      </c>
      <c r="I1011" s="1">
        <v>606145</v>
      </c>
      <c r="J1011" s="7">
        <v>0.53400000000000003</v>
      </c>
      <c r="K1011" s="1" t="s">
        <v>21</v>
      </c>
      <c r="L1011" s="1" t="s">
        <v>21</v>
      </c>
      <c r="M1011" s="1" t="s">
        <v>21</v>
      </c>
      <c r="N1011" s="1" t="s">
        <v>22</v>
      </c>
    </row>
    <row r="1012" spans="1:14" x14ac:dyDescent="0.25">
      <c r="A1012" s="1">
        <v>1011</v>
      </c>
      <c r="B1012" s="2" t="str">
        <f>HYPERLINK("https://leetcode.com/problems/capacity-to-ship-packages-within-d-days/", "Capacity To Ship Packages Within D Days")</f>
        <v>Capacity To Ship Packages Within D Days</v>
      </c>
      <c r="C1012" s="1">
        <v>10908</v>
      </c>
      <c r="D1012" s="1">
        <v>286</v>
      </c>
      <c r="E1012" s="3">
        <f>IF(INDEX(C:C, ROW())+INDEX(D:D, ROW())=0, 0, INDEX(C:C, ROW())/(INDEX(C:C, ROW())+INDEX(D:D, ROW())))</f>
        <v>0.97445059853492944</v>
      </c>
      <c r="F1012" s="1" t="s">
        <v>35</v>
      </c>
      <c r="G1012" s="1" t="s">
        <v>24</v>
      </c>
      <c r="H1012" s="1">
        <v>726984</v>
      </c>
      <c r="I1012" s="1">
        <v>989123</v>
      </c>
      <c r="J1012" s="7">
        <v>0.73499999999999999</v>
      </c>
      <c r="K1012" s="1" t="s">
        <v>21</v>
      </c>
      <c r="L1012" s="1" t="s">
        <v>21</v>
      </c>
      <c r="M1012" s="1" t="s">
        <v>29</v>
      </c>
      <c r="N1012" s="1" t="s">
        <v>22</v>
      </c>
    </row>
    <row r="1013" spans="1:14" x14ac:dyDescent="0.25">
      <c r="A1013" s="1">
        <v>1012</v>
      </c>
      <c r="B1013" s="2" t="str">
        <f>HYPERLINK("https://leetcode.com/problems/numbers-with-repeated-digits/", "Numbers With Repeated Digits")</f>
        <v>Numbers With Repeated Digits</v>
      </c>
      <c r="C1013" s="1">
        <v>849</v>
      </c>
      <c r="D1013" s="1">
        <v>90</v>
      </c>
      <c r="E1013" s="3">
        <f>IF(INDEX(C:C, ROW())+INDEX(D:D, ROW())=0, 0, INDEX(C:C, ROW())/(INDEX(C:C, ROW())+INDEX(D:D, ROW())))</f>
        <v>0.90415335463258784</v>
      </c>
      <c r="F1013" s="1" t="s">
        <v>250</v>
      </c>
      <c r="G1013" s="1" t="s">
        <v>28</v>
      </c>
      <c r="H1013" s="1">
        <v>24201</v>
      </c>
      <c r="I1013" s="1">
        <v>52867</v>
      </c>
      <c r="J1013" s="7">
        <v>0.45800000000000002</v>
      </c>
      <c r="K1013" s="1" t="s">
        <v>21</v>
      </c>
      <c r="L1013" s="1" t="s">
        <v>29</v>
      </c>
      <c r="M1013" s="1" t="s">
        <v>29</v>
      </c>
      <c r="N1013" s="1" t="s">
        <v>22</v>
      </c>
    </row>
    <row r="1014" spans="1:14" x14ac:dyDescent="0.25">
      <c r="A1014" s="1">
        <v>1013</v>
      </c>
      <c r="B1014" s="2" t="str">
        <f>HYPERLINK("https://leetcode.com/problems/partition-array-into-three-parts-with-equal-sum/", "Partition Array Into Three Parts With Equal Sum")</f>
        <v>Partition Array Into Three Parts With Equal Sum</v>
      </c>
      <c r="C1014" s="1">
        <v>1790</v>
      </c>
      <c r="D1014" s="1">
        <v>169</v>
      </c>
      <c r="E1014" s="3">
        <f>IF(INDEX(C:C, ROW())+INDEX(D:D, ROW())=0, 0, INDEX(C:C, ROW())/(INDEX(C:C, ROW())+INDEX(D:D, ROW())))</f>
        <v>0.91373149566105161</v>
      </c>
      <c r="F1014" s="1" t="s">
        <v>96</v>
      </c>
      <c r="G1014" s="1" t="s">
        <v>20</v>
      </c>
      <c r="H1014" s="1">
        <v>122516</v>
      </c>
      <c r="I1014" s="1">
        <v>287979</v>
      </c>
      <c r="J1014" s="7">
        <v>0.42499999999999999</v>
      </c>
      <c r="K1014" s="1" t="s">
        <v>21</v>
      </c>
      <c r="L1014" s="1" t="s">
        <v>29</v>
      </c>
      <c r="M1014" s="1" t="s">
        <v>29</v>
      </c>
      <c r="N1014" s="1" t="s">
        <v>22</v>
      </c>
    </row>
    <row r="1015" spans="1:14" x14ac:dyDescent="0.25">
      <c r="A1015" s="1">
        <v>1014</v>
      </c>
      <c r="B1015" s="2" t="str">
        <f>HYPERLINK("https://leetcode.com/problems/best-sightseeing-pair/", "Best Sightseeing Pair")</f>
        <v>Best Sightseeing Pair</v>
      </c>
      <c r="C1015" s="1">
        <v>3283</v>
      </c>
      <c r="D1015" s="1">
        <v>77</v>
      </c>
      <c r="E1015" s="3">
        <f>IF(INDEX(C:C, ROW())+INDEX(D:D, ROW())=0, 0, INDEX(C:C, ROW())/(INDEX(C:C, ROW())+INDEX(D:D, ROW())))</f>
        <v>0.9770833333333333</v>
      </c>
      <c r="F1015" s="1" t="s">
        <v>30</v>
      </c>
      <c r="G1015" s="1" t="s">
        <v>24</v>
      </c>
      <c r="H1015" s="1">
        <v>217538</v>
      </c>
      <c r="I1015" s="1">
        <v>347185</v>
      </c>
      <c r="J1015" s="7">
        <v>0.627</v>
      </c>
      <c r="K1015" s="1" t="s">
        <v>21</v>
      </c>
      <c r="L1015" s="1" t="s">
        <v>21</v>
      </c>
      <c r="M1015" s="1" t="s">
        <v>29</v>
      </c>
      <c r="N1015" s="1" t="s">
        <v>22</v>
      </c>
    </row>
    <row r="1016" spans="1:14" x14ac:dyDescent="0.25">
      <c r="A1016" s="1">
        <v>1015</v>
      </c>
      <c r="B1016" s="2" t="str">
        <f>HYPERLINK("https://leetcode.com/problems/smallest-integer-divisible-by-k/", "Smallest Integer Divisible by K")</f>
        <v>Smallest Integer Divisible by K</v>
      </c>
      <c r="C1016" s="1">
        <v>1631</v>
      </c>
      <c r="D1016" s="1">
        <v>1165</v>
      </c>
      <c r="E1016" s="3">
        <f>IF(INDEX(C:C, ROW())+INDEX(D:D, ROW())=0, 0, INDEX(C:C, ROW())/(INDEX(C:C, ROW())+INDEX(D:D, ROW())))</f>
        <v>0.58333333333333337</v>
      </c>
      <c r="F1016" s="1" t="s">
        <v>557</v>
      </c>
      <c r="G1016" s="1" t="s">
        <v>24</v>
      </c>
      <c r="H1016" s="1">
        <v>182238</v>
      </c>
      <c r="I1016" s="1">
        <v>335696</v>
      </c>
      <c r="J1016" s="7">
        <v>0.54300000000000004</v>
      </c>
      <c r="K1016" s="1" t="s">
        <v>21</v>
      </c>
      <c r="L1016" s="1" t="s">
        <v>21</v>
      </c>
      <c r="M1016" s="1" t="s">
        <v>29</v>
      </c>
      <c r="N1016" s="1" t="s">
        <v>22</v>
      </c>
    </row>
    <row r="1017" spans="1:14" x14ac:dyDescent="0.25">
      <c r="A1017" s="1">
        <v>1016</v>
      </c>
      <c r="B1017" s="2" t="str">
        <f>HYPERLINK("https://leetcode.com/problems/binary-string-with-substrings-representing-1-to-n/", "Binary String With Substrings Representing 1 To N")</f>
        <v>Binary String With Substrings Representing 1 To N</v>
      </c>
      <c r="C1017" s="1">
        <v>386</v>
      </c>
      <c r="D1017" s="1">
        <v>540</v>
      </c>
      <c r="E1017" s="3">
        <f>IF(INDEX(C:C, ROW())+INDEX(D:D, ROW())=0, 0, INDEX(C:C, ROW())/(INDEX(C:C, ROW())+INDEX(D:D, ROW())))</f>
        <v>0.41684665226781858</v>
      </c>
      <c r="F1017" s="1" t="s">
        <v>993</v>
      </c>
      <c r="G1017" s="1" t="s">
        <v>24</v>
      </c>
      <c r="H1017" s="1">
        <v>48470</v>
      </c>
      <c r="I1017" s="1">
        <v>82988</v>
      </c>
      <c r="J1017" s="7">
        <v>0.58399999999999996</v>
      </c>
      <c r="K1017" s="1" t="s">
        <v>21</v>
      </c>
      <c r="L1017" s="1" t="s">
        <v>29</v>
      </c>
      <c r="M1017" s="1" t="s">
        <v>29</v>
      </c>
      <c r="N1017" s="1" t="s">
        <v>22</v>
      </c>
    </row>
    <row r="1018" spans="1:14" x14ac:dyDescent="0.25">
      <c r="A1018" s="1">
        <v>1017</v>
      </c>
      <c r="B1018" s="2" t="str">
        <f>HYPERLINK("https://leetcode.com/problems/convert-to-base-2/", "Convert to Base -2")</f>
        <v>Convert to Base -2</v>
      </c>
      <c r="C1018" s="1">
        <v>572</v>
      </c>
      <c r="D1018" s="1">
        <v>309</v>
      </c>
      <c r="E1018" s="3">
        <f>IF(INDEX(C:C, ROW())+INDEX(D:D, ROW())=0, 0, INDEX(C:C, ROW())/(INDEX(C:C, ROW())+INDEX(D:D, ROW())))</f>
        <v>0.64926220204313279</v>
      </c>
      <c r="F1018" s="1" t="s">
        <v>84</v>
      </c>
      <c r="G1018" s="1" t="s">
        <v>24</v>
      </c>
      <c r="H1018" s="1">
        <v>36622</v>
      </c>
      <c r="I1018" s="1">
        <v>59283</v>
      </c>
      <c r="J1018" s="7">
        <v>0.61799999999999999</v>
      </c>
      <c r="K1018" s="1" t="s">
        <v>21</v>
      </c>
      <c r="L1018" s="1" t="s">
        <v>29</v>
      </c>
      <c r="M1018" s="1" t="s">
        <v>29</v>
      </c>
      <c r="N1018" s="1" t="s">
        <v>22</v>
      </c>
    </row>
    <row r="1019" spans="1:14" x14ac:dyDescent="0.25">
      <c r="A1019" s="1">
        <v>1018</v>
      </c>
      <c r="B1019" s="2" t="str">
        <f>HYPERLINK("https://leetcode.com/problems/binary-prefix-divisible-by-5/", "Binary Prefix Divisible By 5")</f>
        <v>Binary Prefix Divisible By 5</v>
      </c>
      <c r="C1019" s="1">
        <v>1100</v>
      </c>
      <c r="D1019" s="1">
        <v>230</v>
      </c>
      <c r="E1019" s="3">
        <f>IF(INDEX(C:C, ROW())+INDEX(D:D, ROW())=0, 0, INDEX(C:C, ROW())/(INDEX(C:C, ROW())+INDEX(D:D, ROW())))</f>
        <v>0.82706766917293228</v>
      </c>
      <c r="F1019" s="1" t="s">
        <v>65</v>
      </c>
      <c r="G1019" s="1" t="s">
        <v>20</v>
      </c>
      <c r="H1019" s="1">
        <v>180293</v>
      </c>
      <c r="I1019" s="1">
        <v>336883</v>
      </c>
      <c r="J1019" s="7">
        <v>0.53500000000000003</v>
      </c>
      <c r="K1019" s="1" t="s">
        <v>21</v>
      </c>
      <c r="L1019" s="1" t="s">
        <v>21</v>
      </c>
      <c r="M1019" s="1" t="s">
        <v>29</v>
      </c>
      <c r="N1019" s="1" t="s">
        <v>22</v>
      </c>
    </row>
    <row r="1020" spans="1:14" x14ac:dyDescent="0.25">
      <c r="A1020" s="1">
        <v>1019</v>
      </c>
      <c r="B1020" s="2" t="str">
        <f>HYPERLINK("https://leetcode.com/problems/next-greater-node-in-linked-list/", "Next Greater Node In Linked List")</f>
        <v>Next Greater Node In Linked List</v>
      </c>
      <c r="C1020" s="1">
        <v>3524</v>
      </c>
      <c r="D1020" s="1">
        <v>127</v>
      </c>
      <c r="E1020" s="3">
        <f>IF(INDEX(C:C, ROW())+INDEX(D:D, ROW())=0, 0, INDEX(C:C, ROW())/(INDEX(C:C, ROW())+INDEX(D:D, ROW())))</f>
        <v>0.96521500958641471</v>
      </c>
      <c r="F1020" s="1" t="s">
        <v>348</v>
      </c>
      <c r="G1020" s="1" t="s">
        <v>24</v>
      </c>
      <c r="H1020" s="1">
        <v>217846</v>
      </c>
      <c r="I1020" s="1">
        <v>341152</v>
      </c>
      <c r="J1020" s="7">
        <v>0.63900000000000001</v>
      </c>
      <c r="K1020" s="1" t="s">
        <v>21</v>
      </c>
      <c r="L1020" s="1" t="s">
        <v>21</v>
      </c>
      <c r="M1020" s="1" t="s">
        <v>29</v>
      </c>
      <c r="N1020" s="1" t="s">
        <v>22</v>
      </c>
    </row>
    <row r="1021" spans="1:14" x14ac:dyDescent="0.25">
      <c r="A1021" s="1">
        <v>1020</v>
      </c>
      <c r="B1021" s="2" t="str">
        <f>HYPERLINK("https://leetcode.com/problems/number-of-enclaves/", "Number of Enclaves")</f>
        <v>Number of Enclaves</v>
      </c>
      <c r="C1021" s="1">
        <v>4588</v>
      </c>
      <c r="D1021" s="1">
        <v>89</v>
      </c>
      <c r="E1021" s="3">
        <f>IF(INDEX(C:C, ROW())+INDEX(D:D, ROW())=0, 0, INDEX(C:C, ROW())/(INDEX(C:C, ROW())+INDEX(D:D, ROW())))</f>
        <v>0.98097070771862305</v>
      </c>
      <c r="F1021" s="1" t="s">
        <v>40</v>
      </c>
      <c r="G1021" s="1" t="s">
        <v>24</v>
      </c>
      <c r="H1021" s="1">
        <v>398288</v>
      </c>
      <c r="I1021" s="1">
        <v>557044</v>
      </c>
      <c r="J1021" s="7">
        <v>0.71499999999999997</v>
      </c>
      <c r="K1021" s="1" t="s">
        <v>21</v>
      </c>
      <c r="L1021" s="1" t="s">
        <v>21</v>
      </c>
      <c r="M1021" s="1" t="s">
        <v>29</v>
      </c>
      <c r="N1021" s="1" t="s">
        <v>22</v>
      </c>
    </row>
    <row r="1022" spans="1:14" x14ac:dyDescent="0.25">
      <c r="A1022" s="1">
        <v>1021</v>
      </c>
      <c r="B1022" s="2" t="str">
        <f>HYPERLINK("https://leetcode.com/problems/remove-outermost-parentheses/", "Remove Outermost Parentheses")</f>
        <v>Remove Outermost Parentheses</v>
      </c>
      <c r="C1022" s="1">
        <v>3704</v>
      </c>
      <c r="D1022" s="1">
        <v>1715</v>
      </c>
      <c r="E1022" s="3">
        <f>IF(INDEX(C:C, ROW())+INDEX(D:D, ROW())=0, 0, INDEX(C:C, ROW())/(INDEX(C:C, ROW())+INDEX(D:D, ROW())))</f>
        <v>0.68352094482376824</v>
      </c>
      <c r="F1022" s="1" t="s">
        <v>36</v>
      </c>
      <c r="G1022" s="1" t="s">
        <v>20</v>
      </c>
      <c r="H1022" s="1">
        <v>635246</v>
      </c>
      <c r="I1022" s="1">
        <v>731514</v>
      </c>
      <c r="J1022" s="7">
        <v>0.86799999999999999</v>
      </c>
      <c r="K1022" s="1" t="s">
        <v>21</v>
      </c>
      <c r="L1022" s="1" t="s">
        <v>29</v>
      </c>
      <c r="M1022" s="1" t="s">
        <v>29</v>
      </c>
      <c r="N1022" s="1" t="s">
        <v>22</v>
      </c>
    </row>
    <row r="1023" spans="1:14" x14ac:dyDescent="0.25">
      <c r="A1023" s="1">
        <v>1022</v>
      </c>
      <c r="B1023" s="2" t="str">
        <f>HYPERLINK("https://leetcode.com/problems/sum-of-root-to-leaf-binary-numbers/", "Sum of Root To Leaf Binary Numbers")</f>
        <v>Sum of Root To Leaf Binary Numbers</v>
      </c>
      <c r="C1023" s="1">
        <v>3471</v>
      </c>
      <c r="D1023" s="1">
        <v>196</v>
      </c>
      <c r="E1023" s="3">
        <f>IF(INDEX(C:C, ROW())+INDEX(D:D, ROW())=0, 0, INDEX(C:C, ROW())/(INDEX(C:C, ROW())+INDEX(D:D, ROW())))</f>
        <v>0.9465503136078538</v>
      </c>
      <c r="F1023" s="1" t="s">
        <v>67</v>
      </c>
      <c r="G1023" s="1" t="s">
        <v>20</v>
      </c>
      <c r="H1023" s="1">
        <v>253260</v>
      </c>
      <c r="I1023" s="1">
        <v>342751</v>
      </c>
      <c r="J1023" s="7">
        <v>0.73899999999999999</v>
      </c>
      <c r="K1023" s="1" t="s">
        <v>21</v>
      </c>
      <c r="L1023" s="1" t="s">
        <v>21</v>
      </c>
      <c r="M1023" s="1" t="s">
        <v>29</v>
      </c>
      <c r="N1023" s="1" t="s">
        <v>22</v>
      </c>
    </row>
    <row r="1024" spans="1:14" x14ac:dyDescent="0.25">
      <c r="A1024" s="1">
        <v>1023</v>
      </c>
      <c r="B1024" s="2" t="str">
        <f>HYPERLINK("https://leetcode.com/problems/camelcase-matching/", "Camelcase Matching")</f>
        <v>Camelcase Matching</v>
      </c>
      <c r="C1024" s="1">
        <v>979</v>
      </c>
      <c r="D1024" s="1">
        <v>348</v>
      </c>
      <c r="E1024" s="3">
        <f>IF(INDEX(C:C, ROW())+INDEX(D:D, ROW())=0, 0, INDEX(C:C, ROW())/(INDEX(C:C, ROW())+INDEX(D:D, ROW())))</f>
        <v>0.73775433308214011</v>
      </c>
      <c r="F1024" s="1" t="s">
        <v>718</v>
      </c>
      <c r="G1024" s="1" t="s">
        <v>24</v>
      </c>
      <c r="H1024" s="1">
        <v>63675</v>
      </c>
      <c r="I1024" s="1">
        <v>97859</v>
      </c>
      <c r="J1024" s="7">
        <v>0.65100000000000002</v>
      </c>
      <c r="K1024" s="1" t="s">
        <v>21</v>
      </c>
      <c r="L1024" s="1" t="s">
        <v>29</v>
      </c>
      <c r="M1024" s="1" t="s">
        <v>29</v>
      </c>
      <c r="N1024" s="1" t="s">
        <v>22</v>
      </c>
    </row>
    <row r="1025" spans="1:14" x14ac:dyDescent="0.25">
      <c r="A1025" s="1">
        <v>1024</v>
      </c>
      <c r="B1025" s="2" t="str">
        <f>HYPERLINK("https://leetcode.com/problems/video-stitching/", "Video Stitching")</f>
        <v>Video Stitching</v>
      </c>
      <c r="C1025" s="1">
        <v>1853</v>
      </c>
      <c r="D1025" s="1">
        <v>64</v>
      </c>
      <c r="E1025" s="3">
        <f>IF(INDEX(C:C, ROW())+INDEX(D:D, ROW())=0, 0, INDEX(C:C, ROW())/(INDEX(C:C, ROW())+INDEX(D:D, ROW())))</f>
        <v>0.96661450182576947</v>
      </c>
      <c r="F1025" s="1" t="s">
        <v>50</v>
      </c>
      <c r="G1025" s="1" t="s">
        <v>24</v>
      </c>
      <c r="H1025" s="1">
        <v>86566</v>
      </c>
      <c r="I1025" s="1">
        <v>164856</v>
      </c>
      <c r="J1025" s="7">
        <v>0.52500000000000002</v>
      </c>
      <c r="K1025" s="1" t="s">
        <v>21</v>
      </c>
      <c r="L1025" s="1" t="s">
        <v>29</v>
      </c>
      <c r="M1025" s="1" t="s">
        <v>29</v>
      </c>
      <c r="N1025" s="1" t="s">
        <v>22</v>
      </c>
    </row>
    <row r="1026" spans="1:14" x14ac:dyDescent="0.25">
      <c r="A1026" s="1">
        <v>1025</v>
      </c>
      <c r="B1026" s="2" t="str">
        <f>HYPERLINK("https://leetcode.com/problems/divisor-game/", "Divisor Game")</f>
        <v>Divisor Game</v>
      </c>
      <c r="C1026" s="1">
        <v>2419</v>
      </c>
      <c r="D1026" s="1">
        <v>4206</v>
      </c>
      <c r="E1026" s="3">
        <f>IF(INDEX(C:C, ROW())+INDEX(D:D, ROW())=0, 0, INDEX(C:C, ROW())/(INDEX(C:C, ROW())+INDEX(D:D, ROW())))</f>
        <v>0.36513207547169813</v>
      </c>
      <c r="F1026" s="1" t="s">
        <v>441</v>
      </c>
      <c r="G1026" s="1" t="s">
        <v>20</v>
      </c>
      <c r="H1026" s="1">
        <v>371193</v>
      </c>
      <c r="I1026" s="1">
        <v>518871</v>
      </c>
      <c r="J1026" s="7">
        <v>0.71499999999999997</v>
      </c>
      <c r="K1026" s="1" t="s">
        <v>21</v>
      </c>
      <c r="L1026" s="1" t="s">
        <v>29</v>
      </c>
      <c r="M1026" s="1" t="s">
        <v>29</v>
      </c>
      <c r="N1026" s="1" t="s">
        <v>22</v>
      </c>
    </row>
    <row r="1027" spans="1:14" x14ac:dyDescent="0.25">
      <c r="A1027" s="1">
        <v>1026</v>
      </c>
      <c r="B1027" s="2" t="str">
        <f>HYPERLINK("https://leetcode.com/problems/maximum-difference-between-node-and-ancestor/", "Maximum Difference Between Node and Ancestor")</f>
        <v>Maximum Difference Between Node and Ancestor</v>
      </c>
      <c r="C1027" s="1">
        <v>5087</v>
      </c>
      <c r="D1027" s="1">
        <v>171</v>
      </c>
      <c r="E1027" s="3">
        <f>IF(INDEX(C:C, ROW())+INDEX(D:D, ROW())=0, 0, INDEX(C:C, ROW())/(INDEX(C:C, ROW())+INDEX(D:D, ROW())))</f>
        <v>0.96747812856599469</v>
      </c>
      <c r="F1027" s="1" t="s">
        <v>67</v>
      </c>
      <c r="G1027" s="1" t="s">
        <v>24</v>
      </c>
      <c r="H1027" s="1">
        <v>380085</v>
      </c>
      <c r="I1027" s="1">
        <v>486482</v>
      </c>
      <c r="J1027" s="7">
        <v>0.78100000000000003</v>
      </c>
      <c r="K1027" s="1" t="s">
        <v>21</v>
      </c>
      <c r="L1027" s="1" t="s">
        <v>21</v>
      </c>
      <c r="M1027" s="1" t="s">
        <v>29</v>
      </c>
      <c r="N1027" s="1" t="s">
        <v>22</v>
      </c>
    </row>
    <row r="1028" spans="1:14" x14ac:dyDescent="0.25">
      <c r="A1028" s="1">
        <v>1027</v>
      </c>
      <c r="B1028" s="2" t="str">
        <f>HYPERLINK("https://leetcode.com/problems/longest-arithmetic-subsequence/", "Longest Arithmetic Subsequence")</f>
        <v>Longest Arithmetic Subsequence</v>
      </c>
      <c r="C1028" s="1">
        <v>4902</v>
      </c>
      <c r="D1028" s="1">
        <v>219</v>
      </c>
      <c r="E1028" s="3">
        <f>IF(INDEX(C:C, ROW())+INDEX(D:D, ROW())=0, 0, INDEX(C:C, ROW())/(INDEX(C:C, ROW())+INDEX(D:D, ROW())))</f>
        <v>0.95723491505565317</v>
      </c>
      <c r="F1028" s="1" t="s">
        <v>264</v>
      </c>
      <c r="G1028" s="1" t="s">
        <v>24</v>
      </c>
      <c r="H1028" s="1">
        <v>209842</v>
      </c>
      <c r="I1028" s="1">
        <v>420840</v>
      </c>
      <c r="J1028" s="7">
        <v>0.499</v>
      </c>
      <c r="K1028" s="1" t="s">
        <v>21</v>
      </c>
      <c r="L1028" s="1" t="s">
        <v>21</v>
      </c>
      <c r="M1028" s="1" t="s">
        <v>29</v>
      </c>
      <c r="N1028" s="1" t="s">
        <v>22</v>
      </c>
    </row>
    <row r="1029" spans="1:14" x14ac:dyDescent="0.25">
      <c r="A1029" s="1">
        <v>1028</v>
      </c>
      <c r="B1029" s="2" t="str">
        <f>HYPERLINK("https://leetcode.com/problems/recover-a-tree-from-preorder-traversal/", "Recover a Tree From Preorder Traversal")</f>
        <v>Recover a Tree From Preorder Traversal</v>
      </c>
      <c r="C1029" s="1">
        <v>2288</v>
      </c>
      <c r="D1029" s="1">
        <v>69</v>
      </c>
      <c r="E1029" s="3">
        <f>IF(INDEX(C:C, ROW())+INDEX(D:D, ROW())=0, 0, INDEX(C:C, ROW())/(INDEX(C:C, ROW())+INDEX(D:D, ROW())))</f>
        <v>0.97072549851506151</v>
      </c>
      <c r="F1029" s="1" t="s">
        <v>362</v>
      </c>
      <c r="G1029" s="1" t="s">
        <v>28</v>
      </c>
      <c r="H1029" s="1">
        <v>164379</v>
      </c>
      <c r="I1029" s="1">
        <v>197510</v>
      </c>
      <c r="J1029" s="7">
        <v>0.83199999999999996</v>
      </c>
      <c r="K1029" s="1" t="s">
        <v>21</v>
      </c>
      <c r="L1029" s="1" t="s">
        <v>21</v>
      </c>
      <c r="M1029" s="1" t="s">
        <v>29</v>
      </c>
      <c r="N1029" s="1" t="s">
        <v>22</v>
      </c>
    </row>
    <row r="1030" spans="1:14" x14ac:dyDescent="0.25">
      <c r="A1030" s="1">
        <v>1029</v>
      </c>
      <c r="B1030" s="2" t="str">
        <f>HYPERLINK("https://leetcode.com/problems/two-city-scheduling/", "Two City Scheduling")</f>
        <v>Two City Scheduling</v>
      </c>
      <c r="C1030" s="1">
        <v>4873</v>
      </c>
      <c r="D1030" s="1">
        <v>366</v>
      </c>
      <c r="E1030" s="3">
        <f>IF(INDEX(C:C, ROW())+INDEX(D:D, ROW())=0, 0, INDEX(C:C, ROW())/(INDEX(C:C, ROW())+INDEX(D:D, ROW())))</f>
        <v>0.93013933956861994</v>
      </c>
      <c r="F1030" s="1" t="s">
        <v>169</v>
      </c>
      <c r="G1030" s="1" t="s">
        <v>24</v>
      </c>
      <c r="H1030" s="1">
        <v>283427</v>
      </c>
      <c r="I1030" s="1">
        <v>414699</v>
      </c>
      <c r="J1030" s="7">
        <v>0.68300000000000005</v>
      </c>
      <c r="K1030" s="1" t="s">
        <v>21</v>
      </c>
      <c r="L1030" s="1" t="s">
        <v>21</v>
      </c>
      <c r="M1030" s="1" t="s">
        <v>29</v>
      </c>
      <c r="N1030" s="1" t="s">
        <v>22</v>
      </c>
    </row>
    <row r="1031" spans="1:14" x14ac:dyDescent="0.25">
      <c r="A1031" s="1">
        <v>1030</v>
      </c>
      <c r="B1031" s="2" t="str">
        <f>HYPERLINK("https://leetcode.com/problems/matrix-cells-in-distance-order/", "Matrix Cells in Distance Order")</f>
        <v>Matrix Cells in Distance Order</v>
      </c>
      <c r="C1031" s="1">
        <v>814</v>
      </c>
      <c r="D1031" s="1">
        <v>345</v>
      </c>
      <c r="E1031" s="3">
        <f>IF(INDEX(C:C, ROW())+INDEX(D:D, ROW())=0, 0, INDEX(C:C, ROW())/(INDEX(C:C, ROW())+INDEX(D:D, ROW())))</f>
        <v>0.70232959447799825</v>
      </c>
      <c r="F1031" s="1" t="s">
        <v>768</v>
      </c>
      <c r="G1031" s="1" t="s">
        <v>20</v>
      </c>
      <c r="H1031" s="1">
        <v>77324</v>
      </c>
      <c r="I1031" s="1">
        <v>104647</v>
      </c>
      <c r="J1031" s="7">
        <v>0.73899999999999999</v>
      </c>
      <c r="K1031" s="1" t="s">
        <v>21</v>
      </c>
      <c r="L1031" s="1" t="s">
        <v>29</v>
      </c>
      <c r="M1031" s="1" t="s">
        <v>29</v>
      </c>
      <c r="N1031" s="1" t="s">
        <v>22</v>
      </c>
    </row>
    <row r="1032" spans="1:14" x14ac:dyDescent="0.25">
      <c r="A1032" s="1">
        <v>1031</v>
      </c>
      <c r="B1032" s="2" t="str">
        <f>HYPERLINK("https://leetcode.com/problems/maximum-sum-of-two-non-overlapping-subarrays/", "Maximum Sum of Two Non-Overlapping Subarrays")</f>
        <v>Maximum Sum of Two Non-Overlapping Subarrays</v>
      </c>
      <c r="C1032" s="1">
        <v>2660</v>
      </c>
      <c r="D1032" s="1">
        <v>88</v>
      </c>
      <c r="E1032" s="3">
        <f>IF(INDEX(C:C, ROW())+INDEX(D:D, ROW())=0, 0, INDEX(C:C, ROW())/(INDEX(C:C, ROW())+INDEX(D:D, ROW())))</f>
        <v>0.96797671033478894</v>
      </c>
      <c r="F1032" s="1" t="s">
        <v>239</v>
      </c>
      <c r="G1032" s="1" t="s">
        <v>24</v>
      </c>
      <c r="H1032" s="1">
        <v>83823</v>
      </c>
      <c r="I1032" s="1">
        <v>137986</v>
      </c>
      <c r="J1032" s="7">
        <v>0.60699999999999998</v>
      </c>
      <c r="K1032" s="1" t="s">
        <v>21</v>
      </c>
      <c r="L1032" s="1" t="s">
        <v>29</v>
      </c>
      <c r="M1032" s="1" t="s">
        <v>29</v>
      </c>
      <c r="N1032" s="1" t="s">
        <v>22</v>
      </c>
    </row>
    <row r="1033" spans="1:14" x14ac:dyDescent="0.25">
      <c r="A1033" s="1">
        <v>1032</v>
      </c>
      <c r="B1033" s="2" t="str">
        <f>HYPERLINK("https://leetcode.com/problems/stream-of-characters/", "Stream of Characters")</f>
        <v>Stream of Characters</v>
      </c>
      <c r="C1033" s="1">
        <v>1876</v>
      </c>
      <c r="D1033" s="1">
        <v>186</v>
      </c>
      <c r="E1033" s="3">
        <f>IF(INDEX(C:C, ROW())+INDEX(D:D, ROW())=0, 0, INDEX(C:C, ROW())/(INDEX(C:C, ROW())+INDEX(D:D, ROW())))</f>
        <v>0.90979631425800189</v>
      </c>
      <c r="F1033" s="1" t="s">
        <v>524</v>
      </c>
      <c r="G1033" s="1" t="s">
        <v>28</v>
      </c>
      <c r="H1033" s="1">
        <v>105968</v>
      </c>
      <c r="I1033" s="1">
        <v>204050</v>
      </c>
      <c r="J1033" s="7">
        <v>0.51900000000000002</v>
      </c>
      <c r="K1033" s="1" t="s">
        <v>21</v>
      </c>
      <c r="L1033" s="1" t="s">
        <v>21</v>
      </c>
      <c r="M1033" s="1" t="s">
        <v>29</v>
      </c>
      <c r="N1033" s="1" t="s">
        <v>22</v>
      </c>
    </row>
    <row r="1034" spans="1:14" x14ac:dyDescent="0.25">
      <c r="A1034" s="1">
        <v>1033</v>
      </c>
      <c r="B1034" s="2" t="str">
        <f>HYPERLINK("https://leetcode.com/problems/moving-stones-until-consecutive/", "Moving Stones Until Consecutive")</f>
        <v>Moving Stones Until Consecutive</v>
      </c>
      <c r="C1034" s="1">
        <v>257</v>
      </c>
      <c r="D1034" s="1">
        <v>658</v>
      </c>
      <c r="E1034" s="3">
        <f>IF(INDEX(C:C, ROW())+INDEX(D:D, ROW())=0, 0, INDEX(C:C, ROW())/(INDEX(C:C, ROW())+INDEX(D:D, ROW())))</f>
        <v>0.28087431693989073</v>
      </c>
      <c r="F1034" s="1" t="s">
        <v>381</v>
      </c>
      <c r="G1034" s="1" t="s">
        <v>24</v>
      </c>
      <c r="H1034" s="1">
        <v>33895</v>
      </c>
      <c r="I1034" s="1">
        <v>65070</v>
      </c>
      <c r="J1034" s="7">
        <v>0.52100000000000002</v>
      </c>
      <c r="K1034" s="1" t="s">
        <v>21</v>
      </c>
      <c r="L1034" s="1" t="s">
        <v>29</v>
      </c>
      <c r="M1034" s="1" t="s">
        <v>29</v>
      </c>
      <c r="N1034" s="1" t="s">
        <v>22</v>
      </c>
    </row>
    <row r="1035" spans="1:14" x14ac:dyDescent="0.25">
      <c r="A1035" s="1">
        <v>1034</v>
      </c>
      <c r="B1035" s="2" t="str">
        <f>HYPERLINK("https://leetcode.com/problems/coloring-a-border/", "Coloring A Border")</f>
        <v>Coloring A Border</v>
      </c>
      <c r="C1035" s="1">
        <v>841</v>
      </c>
      <c r="D1035" s="1">
        <v>944</v>
      </c>
      <c r="E1035" s="3">
        <f>IF(INDEX(C:C, ROW())+INDEX(D:D, ROW())=0, 0, INDEX(C:C, ROW())/(INDEX(C:C, ROW())+INDEX(D:D, ROW())))</f>
        <v>0.47114845938375349</v>
      </c>
      <c r="F1035" s="1" t="s">
        <v>143</v>
      </c>
      <c r="G1035" s="1" t="s">
        <v>24</v>
      </c>
      <c r="H1035" s="1">
        <v>49761</v>
      </c>
      <c r="I1035" s="1">
        <v>97413</v>
      </c>
      <c r="J1035" s="7">
        <v>0.51100000000000001</v>
      </c>
      <c r="K1035" s="1" t="s">
        <v>21</v>
      </c>
      <c r="L1035" s="1" t="s">
        <v>29</v>
      </c>
      <c r="M1035" s="1" t="s">
        <v>29</v>
      </c>
      <c r="N1035" s="1" t="s">
        <v>22</v>
      </c>
    </row>
    <row r="1036" spans="1:14" x14ac:dyDescent="0.25">
      <c r="A1036" s="1">
        <v>1035</v>
      </c>
      <c r="B1036" s="2" t="str">
        <f>HYPERLINK("https://leetcode.com/problems/uncrossed-lines/", "Uncrossed Lines")</f>
        <v>Uncrossed Lines</v>
      </c>
      <c r="C1036" s="1">
        <v>3964</v>
      </c>
      <c r="D1036" s="1">
        <v>63</v>
      </c>
      <c r="E1036" s="3">
        <f>IF(INDEX(C:C, ROW())+INDEX(D:D, ROW())=0, 0, INDEX(C:C, ROW())/(INDEX(C:C, ROW())+INDEX(D:D, ROW())))</f>
        <v>0.98435559970201147</v>
      </c>
      <c r="F1036" s="1" t="s">
        <v>30</v>
      </c>
      <c r="G1036" s="1" t="s">
        <v>24</v>
      </c>
      <c r="H1036" s="1">
        <v>192748</v>
      </c>
      <c r="I1036" s="1">
        <v>296377</v>
      </c>
      <c r="J1036" s="7">
        <v>0.65</v>
      </c>
      <c r="K1036" s="1" t="s">
        <v>21</v>
      </c>
      <c r="L1036" s="1" t="s">
        <v>21</v>
      </c>
      <c r="M1036" s="1" t="s">
        <v>29</v>
      </c>
      <c r="N1036" s="1" t="s">
        <v>22</v>
      </c>
    </row>
    <row r="1037" spans="1:14" x14ac:dyDescent="0.25">
      <c r="A1037" s="1">
        <v>1036</v>
      </c>
      <c r="B1037" s="2" t="str">
        <f>HYPERLINK("https://leetcode.com/problems/escape-a-large-maze/", "Escape a Large Maze")</f>
        <v>Escape a Large Maze</v>
      </c>
      <c r="C1037" s="1">
        <v>711</v>
      </c>
      <c r="D1037" s="1">
        <v>173</v>
      </c>
      <c r="E1037" s="3">
        <f>IF(INDEX(C:C, ROW())+INDEX(D:D, ROW())=0, 0, INDEX(C:C, ROW())/(INDEX(C:C, ROW())+INDEX(D:D, ROW())))</f>
        <v>0.80429864253393668</v>
      </c>
      <c r="F1037" s="1" t="s">
        <v>798</v>
      </c>
      <c r="G1037" s="1" t="s">
        <v>28</v>
      </c>
      <c r="H1037" s="1">
        <v>27965</v>
      </c>
      <c r="I1037" s="1">
        <v>76954</v>
      </c>
      <c r="J1037" s="7">
        <v>0.36299999999999999</v>
      </c>
      <c r="K1037" s="1" t="s">
        <v>21</v>
      </c>
      <c r="L1037" s="1" t="s">
        <v>29</v>
      </c>
      <c r="M1037" s="1" t="s">
        <v>29</v>
      </c>
      <c r="N1037" s="1" t="s">
        <v>22</v>
      </c>
    </row>
    <row r="1038" spans="1:14" x14ac:dyDescent="0.25">
      <c r="A1038" s="1">
        <v>1037</v>
      </c>
      <c r="B1038" s="2" t="str">
        <f>HYPERLINK("https://leetcode.com/problems/valid-boomerang/", "Valid Boomerang")</f>
        <v>Valid Boomerang</v>
      </c>
      <c r="C1038" s="1">
        <v>462</v>
      </c>
      <c r="D1038" s="1">
        <v>543</v>
      </c>
      <c r="E1038" s="3">
        <f>IF(INDEX(C:C, ROW())+INDEX(D:D, ROW())=0, 0, INDEX(C:C, ROW())/(INDEX(C:C, ROW())+INDEX(D:D, ROW())))</f>
        <v>0.45970149253731341</v>
      </c>
      <c r="F1038" s="1" t="s">
        <v>397</v>
      </c>
      <c r="G1038" s="1" t="s">
        <v>20</v>
      </c>
      <c r="H1038" s="1">
        <v>73845</v>
      </c>
      <c r="I1038" s="1">
        <v>188634</v>
      </c>
      <c r="J1038" s="7">
        <v>0.39100000000000001</v>
      </c>
      <c r="K1038" s="1" t="s">
        <v>21</v>
      </c>
      <c r="L1038" s="1" t="s">
        <v>29</v>
      </c>
      <c r="M1038" s="1" t="s">
        <v>29</v>
      </c>
      <c r="N1038" s="1" t="s">
        <v>22</v>
      </c>
    </row>
    <row r="1039" spans="1:14" x14ac:dyDescent="0.25">
      <c r="A1039" s="1">
        <v>1038</v>
      </c>
      <c r="B1039" s="2" t="str">
        <f>HYPERLINK("https://leetcode.com/problems/binary-search-tree-to-greater-sum-tree/", "Binary Search Tree to Greater Sum Tree")</f>
        <v>Binary Search Tree to Greater Sum Tree</v>
      </c>
      <c r="C1039" s="1">
        <v>4546</v>
      </c>
      <c r="D1039" s="1">
        <v>169</v>
      </c>
      <c r="E1039" s="3">
        <f>IF(INDEX(C:C, ROW())+INDEX(D:D, ROW())=0, 0, INDEX(C:C, ROW())/(INDEX(C:C, ROW())+INDEX(D:D, ROW())))</f>
        <v>0.96415694591728529</v>
      </c>
      <c r="F1039" s="1" t="s">
        <v>69</v>
      </c>
      <c r="G1039" s="1" t="s">
        <v>24</v>
      </c>
      <c r="H1039" s="1">
        <v>338594</v>
      </c>
      <c r="I1039" s="1">
        <v>383196</v>
      </c>
      <c r="J1039" s="7">
        <v>0.88400000000000001</v>
      </c>
      <c r="K1039" s="1" t="s">
        <v>21</v>
      </c>
      <c r="L1039" s="1" t="s">
        <v>21</v>
      </c>
      <c r="M1039" s="1" t="s">
        <v>29</v>
      </c>
      <c r="N1039" s="1" t="s">
        <v>22</v>
      </c>
    </row>
    <row r="1040" spans="1:14" x14ac:dyDescent="0.25">
      <c r="A1040" s="1">
        <v>1039</v>
      </c>
      <c r="B1040" s="2" t="str">
        <f>HYPERLINK("https://leetcode.com/problems/minimum-score-triangulation-of-polygon/", "Minimum Score Triangulation of Polygon")</f>
        <v>Minimum Score Triangulation of Polygon</v>
      </c>
      <c r="C1040" s="1">
        <v>2318</v>
      </c>
      <c r="D1040" s="1">
        <v>304</v>
      </c>
      <c r="E1040" s="3">
        <f>IF(INDEX(C:C, ROW())+INDEX(D:D, ROW())=0, 0, INDEX(C:C, ROW())/(INDEX(C:C, ROW())+INDEX(D:D, ROW())))</f>
        <v>0.88405797101449279</v>
      </c>
      <c r="F1040" s="1" t="s">
        <v>30</v>
      </c>
      <c r="G1040" s="1" t="s">
        <v>24</v>
      </c>
      <c r="H1040" s="1">
        <v>139120</v>
      </c>
      <c r="I1040" s="1">
        <v>206468</v>
      </c>
      <c r="J1040" s="7">
        <v>0.67400000000000004</v>
      </c>
      <c r="K1040" s="1" t="s">
        <v>21</v>
      </c>
      <c r="L1040" s="1" t="s">
        <v>21</v>
      </c>
      <c r="M1040" s="1" t="s">
        <v>29</v>
      </c>
      <c r="N1040" s="1" t="s">
        <v>22</v>
      </c>
    </row>
    <row r="1041" spans="1:14" x14ac:dyDescent="0.25">
      <c r="A1041" s="1">
        <v>1040</v>
      </c>
      <c r="B1041" s="2" t="str">
        <f>HYPERLINK("https://leetcode.com/problems/moving-stones-until-consecutive-ii/", "Moving Stones Until Consecutive II")</f>
        <v>Moving Stones Until Consecutive II</v>
      </c>
      <c r="C1041" s="1">
        <v>406</v>
      </c>
      <c r="D1041" s="1">
        <v>752</v>
      </c>
      <c r="E1041" s="3">
        <f>IF(INDEX(C:C, ROW())+INDEX(D:D, ROW())=0, 0, INDEX(C:C, ROW())/(INDEX(C:C, ROW())+INDEX(D:D, ROW())))</f>
        <v>0.35060449050086356</v>
      </c>
      <c r="F1041" s="1" t="s">
        <v>975</v>
      </c>
      <c r="G1041" s="1" t="s">
        <v>24</v>
      </c>
      <c r="H1041" s="1">
        <v>14744</v>
      </c>
      <c r="I1041" s="1">
        <v>25112</v>
      </c>
      <c r="J1041" s="7">
        <v>0.58699999999999997</v>
      </c>
      <c r="K1041" s="1" t="s">
        <v>21</v>
      </c>
      <c r="L1041" s="1" t="s">
        <v>29</v>
      </c>
      <c r="M1041" s="1" t="s">
        <v>29</v>
      </c>
      <c r="N1041" s="1" t="s">
        <v>22</v>
      </c>
    </row>
    <row r="1042" spans="1:14" x14ac:dyDescent="0.25">
      <c r="A1042" s="1">
        <v>1041</v>
      </c>
      <c r="B1042" s="2" t="str">
        <f>HYPERLINK("https://leetcode.com/problems/robot-bounded-in-circle/", "Robot Bounded In Circle")</f>
        <v>Robot Bounded In Circle</v>
      </c>
      <c r="C1042" s="1">
        <v>3859</v>
      </c>
      <c r="D1042" s="1">
        <v>717</v>
      </c>
      <c r="E1042" s="3">
        <f>IF(INDEX(C:C, ROW())+INDEX(D:D, ROW())=0, 0, INDEX(C:C, ROW())/(INDEX(C:C, ROW())+INDEX(D:D, ROW())))</f>
        <v>0.84331293706293708</v>
      </c>
      <c r="F1042" s="1" t="s">
        <v>178</v>
      </c>
      <c r="G1042" s="1" t="s">
        <v>24</v>
      </c>
      <c r="H1042" s="1">
        <v>271012</v>
      </c>
      <c r="I1042" s="1">
        <v>480103</v>
      </c>
      <c r="J1042" s="7">
        <v>0.56399999999999995</v>
      </c>
      <c r="K1042" s="1" t="s">
        <v>21</v>
      </c>
      <c r="L1042" s="1" t="s">
        <v>21</v>
      </c>
      <c r="M1042" s="1" t="s">
        <v>29</v>
      </c>
      <c r="N1042" s="1" t="s">
        <v>22</v>
      </c>
    </row>
    <row r="1043" spans="1:14" x14ac:dyDescent="0.25">
      <c r="A1043" s="1">
        <v>1042</v>
      </c>
      <c r="B1043" s="2" t="str">
        <f>HYPERLINK("https://leetcode.com/problems/flower-planting-with-no-adjacent/", "Flower Planting With No Adjacent")</f>
        <v>Flower Planting With No Adjacent</v>
      </c>
      <c r="C1043" s="1">
        <v>1568</v>
      </c>
      <c r="D1043" s="1">
        <v>726</v>
      </c>
      <c r="E1043" s="3">
        <f>IF(INDEX(C:C, ROW())+INDEX(D:D, ROW())=0, 0, INDEX(C:C, ROW())/(INDEX(C:C, ROW())+INDEX(D:D, ROW())))</f>
        <v>0.6835222319093287</v>
      </c>
      <c r="F1043" s="1" t="s">
        <v>212</v>
      </c>
      <c r="G1043" s="1" t="s">
        <v>24</v>
      </c>
      <c r="H1043" s="1">
        <v>102099</v>
      </c>
      <c r="I1043" s="1">
        <v>191194</v>
      </c>
      <c r="J1043" s="7">
        <v>0.53400000000000003</v>
      </c>
      <c r="K1043" s="1" t="s">
        <v>21</v>
      </c>
      <c r="L1043" s="1" t="s">
        <v>29</v>
      </c>
      <c r="M1043" s="1" t="s">
        <v>29</v>
      </c>
      <c r="N1043" s="1" t="s">
        <v>22</v>
      </c>
    </row>
    <row r="1044" spans="1:14" x14ac:dyDescent="0.25">
      <c r="A1044" s="1">
        <v>1043</v>
      </c>
      <c r="B1044" s="2" t="str">
        <f>HYPERLINK("https://leetcode.com/problems/partition-array-for-maximum-sum/", "Partition Array for Maximum Sum")</f>
        <v>Partition Array for Maximum Sum</v>
      </c>
      <c r="C1044" s="1">
        <v>5040</v>
      </c>
      <c r="D1044" s="1">
        <v>439</v>
      </c>
      <c r="E1044" s="3">
        <f>IF(INDEX(C:C, ROW())+INDEX(D:D, ROW())=0, 0, INDEX(C:C, ROW())/(INDEX(C:C, ROW())+INDEX(D:D, ROW())))</f>
        <v>0.91987588976090529</v>
      </c>
      <c r="F1044" s="1" t="s">
        <v>30</v>
      </c>
      <c r="G1044" s="1" t="s">
        <v>24</v>
      </c>
      <c r="H1044" s="1">
        <v>260347</v>
      </c>
      <c r="I1044" s="1">
        <v>336705</v>
      </c>
      <c r="J1044" s="7">
        <v>0.77300000000000002</v>
      </c>
      <c r="K1044" s="1" t="s">
        <v>21</v>
      </c>
      <c r="L1044" s="1" t="s">
        <v>21</v>
      </c>
      <c r="M1044" s="1" t="s">
        <v>29</v>
      </c>
      <c r="N1044" s="1" t="s">
        <v>22</v>
      </c>
    </row>
    <row r="1045" spans="1:14" x14ac:dyDescent="0.25">
      <c r="A1045" s="1">
        <v>1044</v>
      </c>
      <c r="B1045" s="2" t="str">
        <f>HYPERLINK("https://leetcode.com/problems/longest-duplicate-substring/", "Longest Duplicate Substring")</f>
        <v>Longest Duplicate Substring</v>
      </c>
      <c r="C1045" s="1">
        <v>2338</v>
      </c>
      <c r="D1045" s="1">
        <v>397</v>
      </c>
      <c r="E1045" s="3">
        <f>IF(INDEX(C:C, ROW())+INDEX(D:D, ROW())=0, 0, INDEX(C:C, ROW())/(INDEX(C:C, ROW())+INDEX(D:D, ROW())))</f>
        <v>0.8548446069469835</v>
      </c>
      <c r="F1045" s="1" t="s">
        <v>449</v>
      </c>
      <c r="G1045" s="1" t="s">
        <v>28</v>
      </c>
      <c r="H1045" s="1">
        <v>83366</v>
      </c>
      <c r="I1045" s="1">
        <v>268159</v>
      </c>
      <c r="J1045" s="7">
        <v>0.311</v>
      </c>
      <c r="K1045" s="1" t="s">
        <v>21</v>
      </c>
      <c r="L1045" s="1" t="s">
        <v>21</v>
      </c>
      <c r="M1045" s="1" t="s">
        <v>29</v>
      </c>
      <c r="N1045" s="1" t="s">
        <v>22</v>
      </c>
    </row>
    <row r="1046" spans="1:14" x14ac:dyDescent="0.25">
      <c r="A1046" s="1">
        <v>1045</v>
      </c>
      <c r="B1046" s="2" t="str">
        <f>HYPERLINK("https://leetcode.com/problems/customers-who-bought-all-products/", "Customers Who Bought All Products")</f>
        <v>Customers Who Bought All Products</v>
      </c>
      <c r="C1046" s="1">
        <v>1117</v>
      </c>
      <c r="D1046" s="1">
        <v>95</v>
      </c>
      <c r="E1046" s="3">
        <f>IF(INDEX(C:C, ROW())+INDEX(D:D, ROW())=0, 0, INDEX(C:C, ROW())/(INDEX(C:C, ROW())+INDEX(D:D, ROW())))</f>
        <v>0.92161716171617158</v>
      </c>
      <c r="F1046" s="1" t="s">
        <v>297</v>
      </c>
      <c r="G1046" s="1" t="s">
        <v>24</v>
      </c>
      <c r="H1046" s="1">
        <v>458391</v>
      </c>
      <c r="I1046" s="1">
        <v>719603</v>
      </c>
      <c r="J1046" s="7">
        <v>0.63700000000000001</v>
      </c>
      <c r="K1046" s="1" t="s">
        <v>21</v>
      </c>
      <c r="L1046" s="1" t="s">
        <v>21</v>
      </c>
      <c r="M1046" s="1" t="s">
        <v>29</v>
      </c>
      <c r="N1046" s="1" t="s">
        <v>297</v>
      </c>
    </row>
    <row r="1047" spans="1:14" x14ac:dyDescent="0.25">
      <c r="A1047" s="1">
        <v>1046</v>
      </c>
      <c r="B1047" s="2" t="str">
        <f>HYPERLINK("https://leetcode.com/problems/last-stone-weight/", "Last Stone Weight")</f>
        <v>Last Stone Weight</v>
      </c>
      <c r="C1047" s="1">
        <v>6613</v>
      </c>
      <c r="D1047" s="1">
        <v>154</v>
      </c>
      <c r="E1047" s="3">
        <f>IF(INDEX(C:C, ROW())+INDEX(D:D, ROW())=0, 0, INDEX(C:C, ROW())/(INDEX(C:C, ROW())+INDEX(D:D, ROW())))</f>
        <v>0.97724250036943994</v>
      </c>
      <c r="F1047" s="1" t="s">
        <v>202</v>
      </c>
      <c r="G1047" s="1" t="s">
        <v>20</v>
      </c>
      <c r="H1047" s="1">
        <v>899361</v>
      </c>
      <c r="I1047" s="1">
        <v>1355749</v>
      </c>
      <c r="J1047" s="7">
        <v>0.66300000000000003</v>
      </c>
      <c r="K1047" s="1" t="s">
        <v>21</v>
      </c>
      <c r="L1047" s="1" t="s">
        <v>21</v>
      </c>
      <c r="M1047" s="1" t="s">
        <v>29</v>
      </c>
      <c r="N1047" s="1" t="s">
        <v>22</v>
      </c>
    </row>
    <row r="1048" spans="1:14" x14ac:dyDescent="0.25">
      <c r="A1048" s="1">
        <v>1047</v>
      </c>
      <c r="B1048" s="2" t="str">
        <f>HYPERLINK("https://leetcode.com/problems/remove-all-adjacent-duplicates-in-string/", "Remove All Adjacent Duplicates In String")</f>
        <v>Remove All Adjacent Duplicates In String</v>
      </c>
      <c r="C1048" s="1">
        <v>7056</v>
      </c>
      <c r="D1048" s="1">
        <v>275</v>
      </c>
      <c r="E1048" s="3">
        <f>IF(INDEX(C:C, ROW())+INDEX(D:D, ROW())=0, 0, INDEX(C:C, ROW())/(INDEX(C:C, ROW())+INDEX(D:D, ROW())))</f>
        <v>0.96248806438412227</v>
      </c>
      <c r="F1048" s="1" t="s">
        <v>36</v>
      </c>
      <c r="G1048" s="1" t="s">
        <v>20</v>
      </c>
      <c r="H1048" s="1">
        <v>841820</v>
      </c>
      <c r="I1048" s="1">
        <v>1156158</v>
      </c>
      <c r="J1048" s="7">
        <v>0.72799999999999998</v>
      </c>
      <c r="K1048" s="1" t="s">
        <v>21</v>
      </c>
      <c r="L1048" s="1" t="s">
        <v>21</v>
      </c>
      <c r="M1048" s="1" t="s">
        <v>29</v>
      </c>
      <c r="N1048" s="1" t="s">
        <v>22</v>
      </c>
    </row>
    <row r="1049" spans="1:14" x14ac:dyDescent="0.25">
      <c r="A1049" s="1">
        <v>1048</v>
      </c>
      <c r="B1049" s="2" t="str">
        <f>HYPERLINK("https://leetcode.com/problems/longest-string-chain/", "Longest String Chain")</f>
        <v>Longest String Chain</v>
      </c>
      <c r="C1049" s="1">
        <v>7776</v>
      </c>
      <c r="D1049" s="1">
        <v>272</v>
      </c>
      <c r="E1049" s="3">
        <f>IF(INDEX(C:C, ROW())+INDEX(D:D, ROW())=0, 0, INDEX(C:C, ROW())/(INDEX(C:C, ROW())+INDEX(D:D, ROW())))</f>
        <v>0.96620278330019882</v>
      </c>
      <c r="F1049" s="1" t="s">
        <v>177</v>
      </c>
      <c r="G1049" s="1" t="s">
        <v>24</v>
      </c>
      <c r="H1049" s="1">
        <v>515940</v>
      </c>
      <c r="I1049" s="1">
        <v>821334</v>
      </c>
      <c r="J1049" s="7">
        <v>0.628</v>
      </c>
      <c r="K1049" s="1" t="s">
        <v>21</v>
      </c>
      <c r="L1049" s="1" t="s">
        <v>21</v>
      </c>
      <c r="M1049" s="1" t="s">
        <v>29</v>
      </c>
      <c r="N1049" s="1" t="s">
        <v>22</v>
      </c>
    </row>
    <row r="1050" spans="1:14" x14ac:dyDescent="0.25">
      <c r="A1050" s="1">
        <v>1049</v>
      </c>
      <c r="B1050" s="2" t="str">
        <f>HYPERLINK("https://leetcode.com/problems/last-stone-weight-ii/", "Last Stone Weight II")</f>
        <v>Last Stone Weight II</v>
      </c>
      <c r="C1050" s="1">
        <v>3365</v>
      </c>
      <c r="D1050" s="1">
        <v>142</v>
      </c>
      <c r="E1050" s="3">
        <f>IF(INDEX(C:C, ROW())+INDEX(D:D, ROW())=0, 0, INDEX(C:C, ROW())/(INDEX(C:C, ROW())+INDEX(D:D, ROW())))</f>
        <v>0.95950955232392354</v>
      </c>
      <c r="F1050" s="1" t="s">
        <v>30</v>
      </c>
      <c r="G1050" s="1" t="s">
        <v>24</v>
      </c>
      <c r="H1050" s="1">
        <v>130444</v>
      </c>
      <c r="I1050" s="1">
        <v>220052</v>
      </c>
      <c r="J1050" s="7">
        <v>0.59299999999999997</v>
      </c>
      <c r="K1050" s="1" t="s">
        <v>21</v>
      </c>
      <c r="L1050" s="1" t="s">
        <v>29</v>
      </c>
      <c r="M1050" s="1" t="s">
        <v>29</v>
      </c>
      <c r="N1050" s="1" t="s">
        <v>22</v>
      </c>
    </row>
    <row r="1051" spans="1:14" x14ac:dyDescent="0.25">
      <c r="A1051" s="1">
        <v>1050</v>
      </c>
      <c r="B1051" s="2" t="str">
        <f>HYPERLINK("https://leetcode.com/problems/actors-and-directors-who-cooperated-at-least-three-times/", "Actors and Directors Who Cooperated At Least Three Times")</f>
        <v>Actors and Directors Who Cooperated At Least Three Times</v>
      </c>
      <c r="C1051" s="1">
        <v>775</v>
      </c>
      <c r="D1051" s="1">
        <v>57</v>
      </c>
      <c r="E1051" s="3">
        <f>IF(INDEX(C:C, ROW())+INDEX(D:D, ROW())=0, 0, INDEX(C:C, ROW())/(INDEX(C:C, ROW())+INDEX(D:D, ROW())))</f>
        <v>0.93149038461538458</v>
      </c>
      <c r="F1051" s="1" t="s">
        <v>297</v>
      </c>
      <c r="G1051" s="1" t="s">
        <v>20</v>
      </c>
      <c r="H1051" s="1">
        <v>302704</v>
      </c>
      <c r="I1051" s="1">
        <v>426876</v>
      </c>
      <c r="J1051" s="7">
        <v>0.70899999999999996</v>
      </c>
      <c r="K1051" s="1" t="s">
        <v>21</v>
      </c>
      <c r="L1051" s="1" t="s">
        <v>21</v>
      </c>
      <c r="M1051" s="1" t="s">
        <v>29</v>
      </c>
      <c r="N1051" s="1" t="s">
        <v>297</v>
      </c>
    </row>
    <row r="1052" spans="1:14" x14ac:dyDescent="0.25">
      <c r="A1052" s="1">
        <v>1051</v>
      </c>
      <c r="B1052" s="2" t="str">
        <f>HYPERLINK("https://leetcode.com/problems/height-checker/", "Height Checker")</f>
        <v>Height Checker</v>
      </c>
      <c r="C1052" s="1">
        <v>1773</v>
      </c>
      <c r="D1052" s="1">
        <v>122</v>
      </c>
      <c r="E1052" s="3">
        <f>IF(INDEX(C:C, ROW())+INDEX(D:D, ROW())=0, 0, INDEX(C:C, ROW())/(INDEX(C:C, ROW())+INDEX(D:D, ROW())))</f>
        <v>0.93562005277044857</v>
      </c>
      <c r="F1052" s="1" t="s">
        <v>523</v>
      </c>
      <c r="G1052" s="1" t="s">
        <v>20</v>
      </c>
      <c r="H1052" s="1">
        <v>625821</v>
      </c>
      <c r="I1052" s="1">
        <v>767495</v>
      </c>
      <c r="J1052" s="7">
        <v>0.81499999999999995</v>
      </c>
      <c r="K1052" s="1" t="s">
        <v>21</v>
      </c>
      <c r="L1052" s="1" t="s">
        <v>21</v>
      </c>
      <c r="M1052" s="1" t="s">
        <v>29</v>
      </c>
      <c r="N1052" s="1" t="s">
        <v>22</v>
      </c>
    </row>
    <row r="1053" spans="1:14" x14ac:dyDescent="0.25">
      <c r="A1053" s="1">
        <v>1052</v>
      </c>
      <c r="B1053" s="2" t="str">
        <f>HYPERLINK("https://leetcode.com/problems/grumpy-bookstore-owner/", "Grumpy Bookstore Owner")</f>
        <v>Grumpy Bookstore Owner</v>
      </c>
      <c r="C1053" s="1">
        <v>2690</v>
      </c>
      <c r="D1053" s="1">
        <v>260</v>
      </c>
      <c r="E1053" s="3">
        <f>IF(INDEX(C:C, ROW())+INDEX(D:D, ROW())=0, 0, INDEX(C:C, ROW())/(INDEX(C:C, ROW())+INDEX(D:D, ROW())))</f>
        <v>0.91186440677966096</v>
      </c>
      <c r="F1053" s="1" t="s">
        <v>295</v>
      </c>
      <c r="G1053" s="1" t="s">
        <v>24</v>
      </c>
      <c r="H1053" s="1">
        <v>233235</v>
      </c>
      <c r="I1053" s="1">
        <v>364640</v>
      </c>
      <c r="J1053" s="7">
        <v>0.64</v>
      </c>
      <c r="K1053" s="1" t="s">
        <v>21</v>
      </c>
      <c r="L1053" s="1" t="s">
        <v>21</v>
      </c>
      <c r="M1053" s="1" t="s">
        <v>29</v>
      </c>
      <c r="N1053" s="1" t="s">
        <v>22</v>
      </c>
    </row>
    <row r="1054" spans="1:14" x14ac:dyDescent="0.25">
      <c r="A1054" s="1">
        <v>1053</v>
      </c>
      <c r="B1054" s="2" t="str">
        <f>HYPERLINK("https://leetcode.com/problems/previous-permutation-with-one-swap/", "Previous Permutation With One Swap")</f>
        <v>Previous Permutation With One Swap</v>
      </c>
      <c r="C1054" s="1">
        <v>478</v>
      </c>
      <c r="D1054" s="1">
        <v>44</v>
      </c>
      <c r="E1054" s="3">
        <f>IF(INDEX(C:C, ROW())+INDEX(D:D, ROW())=0, 0, INDEX(C:C, ROW())/(INDEX(C:C, ROW())+INDEX(D:D, ROW())))</f>
        <v>0.91570881226053635</v>
      </c>
      <c r="F1054" s="1" t="s">
        <v>96</v>
      </c>
      <c r="G1054" s="1" t="s">
        <v>24</v>
      </c>
      <c r="H1054" s="1">
        <v>47942</v>
      </c>
      <c r="I1054" s="1">
        <v>97256</v>
      </c>
      <c r="J1054" s="7">
        <v>0.49299999999999999</v>
      </c>
      <c r="K1054" s="1" t="s">
        <v>21</v>
      </c>
      <c r="L1054" s="1" t="s">
        <v>29</v>
      </c>
      <c r="M1054" s="1" t="s">
        <v>29</v>
      </c>
      <c r="N1054" s="1" t="s">
        <v>22</v>
      </c>
    </row>
    <row r="1055" spans="1:14" x14ac:dyDescent="0.25">
      <c r="A1055" s="1">
        <v>1054</v>
      </c>
      <c r="B1055" s="2" t="str">
        <f>HYPERLINK("https://leetcode.com/problems/distant-barcodes/", "Distant Barcodes")</f>
        <v>Distant Barcodes</v>
      </c>
      <c r="C1055" s="1">
        <v>1347</v>
      </c>
      <c r="D1055" s="1">
        <v>52</v>
      </c>
      <c r="E1055" s="3">
        <f>IF(INDEX(C:C, ROW())+INDEX(D:D, ROW())=0, 0, INDEX(C:C, ROW())/(INDEX(C:C, ROW())+INDEX(D:D, ROW())))</f>
        <v>0.96283059328091491</v>
      </c>
      <c r="F1055" s="1" t="s">
        <v>114</v>
      </c>
      <c r="G1055" s="1" t="s">
        <v>24</v>
      </c>
      <c r="H1055" s="1">
        <v>56130</v>
      </c>
      <c r="I1055" s="1">
        <v>115461</v>
      </c>
      <c r="J1055" s="7">
        <v>0.48599999999999999</v>
      </c>
      <c r="K1055" s="1" t="s">
        <v>21</v>
      </c>
      <c r="L1055" s="1" t="s">
        <v>29</v>
      </c>
      <c r="M1055" s="1" t="s">
        <v>29</v>
      </c>
      <c r="N1055" s="1" t="s">
        <v>22</v>
      </c>
    </row>
    <row r="1056" spans="1:14" x14ac:dyDescent="0.25">
      <c r="A1056" s="1">
        <v>1055</v>
      </c>
      <c r="B1056" s="2" t="str">
        <f>HYPERLINK("https://leetcode.com/problems/shortest-way-to-form-string/", "Shortest Way to Form String")</f>
        <v>Shortest Way to Form String</v>
      </c>
      <c r="C1056" s="1">
        <v>1336</v>
      </c>
      <c r="D1056" s="1">
        <v>76</v>
      </c>
      <c r="E1056" s="3">
        <f>IF(INDEX(C:C, ROW())+INDEX(D:D, ROW())=0, 0, INDEX(C:C, ROW())/(INDEX(C:C, ROW())+INDEX(D:D, ROW())))</f>
        <v>0.94617563739376775</v>
      </c>
      <c r="F1056" s="1" t="s">
        <v>626</v>
      </c>
      <c r="G1056" s="1" t="s">
        <v>24</v>
      </c>
      <c r="H1056" s="1">
        <v>109843</v>
      </c>
      <c r="I1056" s="1">
        <v>178464</v>
      </c>
      <c r="J1056" s="7">
        <v>0.61499999999999999</v>
      </c>
      <c r="K1056" s="1" t="s">
        <v>29</v>
      </c>
      <c r="L1056" s="1" t="s">
        <v>21</v>
      </c>
      <c r="M1056" s="1" t="s">
        <v>29</v>
      </c>
      <c r="N1056" s="1" t="s">
        <v>22</v>
      </c>
    </row>
    <row r="1057" spans="1:14" x14ac:dyDescent="0.25">
      <c r="A1057" s="1">
        <v>1056</v>
      </c>
      <c r="B1057" s="2" t="str">
        <f>HYPERLINK("https://leetcode.com/problems/confusing-number/", "Confusing Number")</f>
        <v>Confusing Number</v>
      </c>
      <c r="C1057" s="1">
        <v>331</v>
      </c>
      <c r="D1057" s="1">
        <v>184</v>
      </c>
      <c r="E1057" s="3">
        <f>IF(INDEX(C:C, ROW())+INDEX(D:D, ROW())=0, 0, INDEX(C:C, ROW())/(INDEX(C:C, ROW())+INDEX(D:D, ROW())))</f>
        <v>0.64271844660194177</v>
      </c>
      <c r="F1057" s="1" t="s">
        <v>84</v>
      </c>
      <c r="G1057" s="1" t="s">
        <v>20</v>
      </c>
      <c r="H1057" s="1">
        <v>55071</v>
      </c>
      <c r="I1057" s="1">
        <v>111646</v>
      </c>
      <c r="J1057" s="7">
        <v>0.49299999999999999</v>
      </c>
      <c r="K1057" s="1" t="s">
        <v>29</v>
      </c>
      <c r="L1057" s="1" t="s">
        <v>21</v>
      </c>
      <c r="M1057" s="1" t="s">
        <v>21</v>
      </c>
      <c r="N1057" s="1" t="s">
        <v>22</v>
      </c>
    </row>
    <row r="1058" spans="1:14" x14ac:dyDescent="0.25">
      <c r="A1058" s="1">
        <v>1057</v>
      </c>
      <c r="B1058" s="2" t="str">
        <f>HYPERLINK("https://leetcode.com/problems/campus-bikes/", "Campus Bikes")</f>
        <v>Campus Bikes</v>
      </c>
      <c r="C1058" s="1">
        <v>1002</v>
      </c>
      <c r="D1058" s="1">
        <v>198</v>
      </c>
      <c r="E1058" s="3">
        <f>IF(INDEX(C:C, ROW())+INDEX(D:D, ROW())=0, 0, INDEX(C:C, ROW())/(INDEX(C:C, ROW())+INDEX(D:D, ROW())))</f>
        <v>0.83499999999999996</v>
      </c>
      <c r="F1058" s="1" t="s">
        <v>350</v>
      </c>
      <c r="G1058" s="1" t="s">
        <v>24</v>
      </c>
      <c r="H1058" s="1">
        <v>77706</v>
      </c>
      <c r="I1058" s="1">
        <v>131537</v>
      </c>
      <c r="J1058" s="7">
        <v>0.59099999999999997</v>
      </c>
      <c r="K1058" s="1" t="s">
        <v>29</v>
      </c>
      <c r="L1058" s="1" t="s">
        <v>21</v>
      </c>
      <c r="M1058" s="1" t="s">
        <v>29</v>
      </c>
      <c r="N1058" s="1" t="s">
        <v>22</v>
      </c>
    </row>
    <row r="1059" spans="1:14" x14ac:dyDescent="0.25">
      <c r="A1059" s="1">
        <v>1058</v>
      </c>
      <c r="B1059" s="2" t="str">
        <f>HYPERLINK("https://leetcode.com/problems/minimize-rounding-error-to-meet-target/", "Minimize Rounding Error to Meet Target")</f>
        <v>Minimize Rounding Error to Meet Target</v>
      </c>
      <c r="C1059" s="1">
        <v>157</v>
      </c>
      <c r="D1059" s="1">
        <v>149</v>
      </c>
      <c r="E1059" s="3">
        <f>IF(INDEX(C:C, ROW())+INDEX(D:D, ROW())=0, 0, INDEX(C:C, ROW())/(INDEX(C:C, ROW())+INDEX(D:D, ROW())))</f>
        <v>0.51307189542483655</v>
      </c>
      <c r="F1059" s="1" t="s">
        <v>1129</v>
      </c>
      <c r="G1059" s="1" t="s">
        <v>24</v>
      </c>
      <c r="H1059" s="1">
        <v>11250</v>
      </c>
      <c r="I1059" s="1">
        <v>24579</v>
      </c>
      <c r="J1059" s="7">
        <v>0.45800000000000002</v>
      </c>
      <c r="K1059" s="1" t="s">
        <v>29</v>
      </c>
      <c r="L1059" s="1" t="s">
        <v>29</v>
      </c>
      <c r="M1059" s="1" t="s">
        <v>29</v>
      </c>
      <c r="N1059" s="1" t="s">
        <v>22</v>
      </c>
    </row>
    <row r="1060" spans="1:14" x14ac:dyDescent="0.25">
      <c r="A1060" s="1">
        <v>1059</v>
      </c>
      <c r="B1060" s="2" t="str">
        <f>HYPERLINK("https://leetcode.com/problems/all-paths-from-source-lead-to-destination/", "All Paths from Source Lead to Destination")</f>
        <v>All Paths from Source Lead to Destination</v>
      </c>
      <c r="C1060" s="1">
        <v>762</v>
      </c>
      <c r="D1060" s="1">
        <v>433</v>
      </c>
      <c r="E1060" s="3">
        <f>IF(INDEX(C:C, ROW())+INDEX(D:D, ROW())=0, 0, INDEX(C:C, ROW())/(INDEX(C:C, ROW())+INDEX(D:D, ROW())))</f>
        <v>0.6376569037656904</v>
      </c>
      <c r="F1060" s="1" t="s">
        <v>649</v>
      </c>
      <c r="G1060" s="1" t="s">
        <v>24</v>
      </c>
      <c r="H1060" s="1">
        <v>74492</v>
      </c>
      <c r="I1060" s="1">
        <v>201166</v>
      </c>
      <c r="J1060" s="7">
        <v>0.37</v>
      </c>
      <c r="K1060" s="1" t="s">
        <v>29</v>
      </c>
      <c r="L1060" s="1" t="s">
        <v>21</v>
      </c>
      <c r="M1060" s="1" t="s">
        <v>21</v>
      </c>
      <c r="N1060" s="1" t="s">
        <v>22</v>
      </c>
    </row>
    <row r="1061" spans="1:14" x14ac:dyDescent="0.25">
      <c r="A1061" s="1">
        <v>1060</v>
      </c>
      <c r="B1061" s="2" t="str">
        <f>HYPERLINK("https://leetcode.com/problems/missing-element-in-sorted-array/", "Missing Element in Sorted Array")</f>
        <v>Missing Element in Sorted Array</v>
      </c>
      <c r="C1061" s="1">
        <v>1737</v>
      </c>
      <c r="D1061" s="1">
        <v>68</v>
      </c>
      <c r="E1061" s="3">
        <f>IF(INDEX(C:C, ROW())+INDEX(D:D, ROW())=0, 0, INDEX(C:C, ROW())/(INDEX(C:C, ROW())+INDEX(D:D, ROW())))</f>
        <v>0.96232686980609417</v>
      </c>
      <c r="F1061" s="1" t="s">
        <v>35</v>
      </c>
      <c r="G1061" s="1" t="s">
        <v>24</v>
      </c>
      <c r="H1061" s="1">
        <v>169935</v>
      </c>
      <c r="I1061" s="1">
        <v>284818</v>
      </c>
      <c r="J1061" s="7">
        <v>0.59699999999999998</v>
      </c>
      <c r="K1061" s="1" t="s">
        <v>29</v>
      </c>
      <c r="L1061" s="1" t="s">
        <v>21</v>
      </c>
      <c r="M1061" s="1" t="s">
        <v>29</v>
      </c>
      <c r="N1061" s="1" t="s">
        <v>22</v>
      </c>
    </row>
    <row r="1062" spans="1:14" x14ac:dyDescent="0.25">
      <c r="A1062" s="1">
        <v>1061</v>
      </c>
      <c r="B1062" s="2" t="str">
        <f>HYPERLINK("https://leetcode.com/problems/lexicographically-smallest-equivalent-string/", "Lexicographically Smallest Equivalent String")</f>
        <v>Lexicographically Smallest Equivalent String</v>
      </c>
      <c r="C1062" s="1">
        <v>2874</v>
      </c>
      <c r="D1062" s="1">
        <v>186</v>
      </c>
      <c r="E1062" s="3">
        <f>IF(INDEX(C:C, ROW())+INDEX(D:D, ROW())=0, 0, INDEX(C:C, ROW())/(INDEX(C:C, ROW())+INDEX(D:D, ROW())))</f>
        <v>0.9392156862745098</v>
      </c>
      <c r="F1062" s="1" t="s">
        <v>387</v>
      </c>
      <c r="G1062" s="1" t="s">
        <v>24</v>
      </c>
      <c r="H1062" s="1">
        <v>179501</v>
      </c>
      <c r="I1062" s="1">
        <v>221201</v>
      </c>
      <c r="J1062" s="7">
        <v>0.81100000000000005</v>
      </c>
      <c r="K1062" s="1" t="s">
        <v>21</v>
      </c>
      <c r="L1062" s="1" t="s">
        <v>21</v>
      </c>
      <c r="M1062" s="1" t="s">
        <v>29</v>
      </c>
      <c r="N1062" s="1" t="s">
        <v>22</v>
      </c>
    </row>
    <row r="1063" spans="1:14" x14ac:dyDescent="0.25">
      <c r="A1063" s="1">
        <v>1062</v>
      </c>
      <c r="B1063" s="2" t="str">
        <f>HYPERLINK("https://leetcode.com/problems/longest-repeating-substring/", "Longest Repeating Substring")</f>
        <v>Longest Repeating Substring</v>
      </c>
      <c r="C1063" s="1">
        <v>731</v>
      </c>
      <c r="D1063" s="1">
        <v>76</v>
      </c>
      <c r="E1063" s="3">
        <f>IF(INDEX(C:C, ROW())+INDEX(D:D, ROW())=0, 0, INDEX(C:C, ROW())/(INDEX(C:C, ROW())+INDEX(D:D, ROW())))</f>
        <v>0.90582403965303593</v>
      </c>
      <c r="F1063" s="1" t="s">
        <v>789</v>
      </c>
      <c r="G1063" s="1" t="s">
        <v>24</v>
      </c>
      <c r="H1063" s="1">
        <v>57393</v>
      </c>
      <c r="I1063" s="1">
        <v>90564</v>
      </c>
      <c r="J1063" s="7">
        <v>0.63400000000000001</v>
      </c>
      <c r="K1063" s="1" t="s">
        <v>29</v>
      </c>
      <c r="L1063" s="1" t="s">
        <v>21</v>
      </c>
      <c r="M1063" s="1" t="s">
        <v>29</v>
      </c>
      <c r="N1063" s="1" t="s">
        <v>22</v>
      </c>
    </row>
    <row r="1064" spans="1:14" x14ac:dyDescent="0.25">
      <c r="A1064" s="1">
        <v>1063</v>
      </c>
      <c r="B1064" s="2" t="str">
        <f>HYPERLINK("https://leetcode.com/problems/number-of-valid-subarrays/", "Number of Valid Subarrays")</f>
        <v>Number of Valid Subarrays</v>
      </c>
      <c r="C1064" s="1">
        <v>333</v>
      </c>
      <c r="D1064" s="1">
        <v>18</v>
      </c>
      <c r="E1064" s="3">
        <f>IF(INDEX(C:C, ROW())+INDEX(D:D, ROW())=0, 0, INDEX(C:C, ROW())/(INDEX(C:C, ROW())+INDEX(D:D, ROW())))</f>
        <v>0.94871794871794868</v>
      </c>
      <c r="F1064" s="1" t="s">
        <v>61</v>
      </c>
      <c r="G1064" s="1" t="s">
        <v>28</v>
      </c>
      <c r="H1064" s="1">
        <v>18996</v>
      </c>
      <c r="I1064" s="1">
        <v>23776</v>
      </c>
      <c r="J1064" s="7">
        <v>0.79900000000000004</v>
      </c>
      <c r="K1064" s="1" t="s">
        <v>29</v>
      </c>
      <c r="L1064" s="1" t="s">
        <v>21</v>
      </c>
      <c r="M1064" s="1" t="s">
        <v>29</v>
      </c>
      <c r="N1064" s="1" t="s">
        <v>22</v>
      </c>
    </row>
    <row r="1065" spans="1:14" x14ac:dyDescent="0.25">
      <c r="A1065" s="1">
        <v>1064</v>
      </c>
      <c r="B1065" s="2" t="str">
        <f>HYPERLINK("https://leetcode.com/problems/fixed-point/", "Fixed Point")</f>
        <v>Fixed Point</v>
      </c>
      <c r="C1065" s="1">
        <v>442</v>
      </c>
      <c r="D1065" s="1">
        <v>67</v>
      </c>
      <c r="E1065" s="3">
        <f>IF(INDEX(C:C, ROW())+INDEX(D:D, ROW())=0, 0, INDEX(C:C, ROW())/(INDEX(C:C, ROW())+INDEX(D:D, ROW())))</f>
        <v>0.86836935166994111</v>
      </c>
      <c r="F1065" s="1" t="s">
        <v>35</v>
      </c>
      <c r="G1065" s="1" t="s">
        <v>20</v>
      </c>
      <c r="H1065" s="1">
        <v>49201</v>
      </c>
      <c r="I1065" s="1">
        <v>77133</v>
      </c>
      <c r="J1065" s="7">
        <v>0.63800000000000001</v>
      </c>
      <c r="K1065" s="1" t="s">
        <v>29</v>
      </c>
      <c r="L1065" s="1" t="s">
        <v>21</v>
      </c>
      <c r="M1065" s="1" t="s">
        <v>29</v>
      </c>
      <c r="N1065" s="1" t="s">
        <v>22</v>
      </c>
    </row>
    <row r="1066" spans="1:14" x14ac:dyDescent="0.25">
      <c r="A1066" s="1">
        <v>1065</v>
      </c>
      <c r="B1066" s="2" t="str">
        <f>HYPERLINK("https://leetcode.com/problems/index-pairs-of-a-string/", "Index Pairs of a String")</f>
        <v>Index Pairs of a String</v>
      </c>
      <c r="C1066" s="1">
        <v>383</v>
      </c>
      <c r="D1066" s="1">
        <v>109</v>
      </c>
      <c r="E1066" s="3">
        <f>IF(INDEX(C:C, ROW())+INDEX(D:D, ROW())=0, 0, INDEX(C:C, ROW())/(INDEX(C:C, ROW())+INDEX(D:D, ROW())))</f>
        <v>0.77845528455284552</v>
      </c>
      <c r="F1066" s="1" t="s">
        <v>997</v>
      </c>
      <c r="G1066" s="1" t="s">
        <v>20</v>
      </c>
      <c r="H1066" s="1">
        <v>31178</v>
      </c>
      <c r="I1066" s="1">
        <v>45451</v>
      </c>
      <c r="J1066" s="7">
        <v>0.68600000000000005</v>
      </c>
      <c r="K1066" s="1" t="s">
        <v>29</v>
      </c>
      <c r="L1066" s="1" t="s">
        <v>21</v>
      </c>
      <c r="M1066" s="1" t="s">
        <v>29</v>
      </c>
      <c r="N1066" s="1" t="s">
        <v>22</v>
      </c>
    </row>
    <row r="1067" spans="1:14" x14ac:dyDescent="0.25">
      <c r="A1067" s="1">
        <v>1066</v>
      </c>
      <c r="B1067" s="2" t="str">
        <f>HYPERLINK("https://leetcode.com/problems/campus-bikes-ii/", "Campus Bikes II")</f>
        <v>Campus Bikes II</v>
      </c>
      <c r="C1067" s="1">
        <v>964</v>
      </c>
      <c r="D1067" s="1">
        <v>90</v>
      </c>
      <c r="E1067" s="3">
        <f>IF(INDEX(C:C, ROW())+INDEX(D:D, ROW())=0, 0, INDEX(C:C, ROW())/(INDEX(C:C, ROW())+INDEX(D:D, ROW())))</f>
        <v>0.91461100569259957</v>
      </c>
      <c r="F1067" s="1" t="s">
        <v>309</v>
      </c>
      <c r="G1067" s="1" t="s">
        <v>24</v>
      </c>
      <c r="H1067" s="1">
        <v>57085</v>
      </c>
      <c r="I1067" s="1">
        <v>102208</v>
      </c>
      <c r="J1067" s="7">
        <v>0.55900000000000005</v>
      </c>
      <c r="K1067" s="1" t="s">
        <v>29</v>
      </c>
      <c r="L1067" s="1" t="s">
        <v>21</v>
      </c>
      <c r="M1067" s="1" t="s">
        <v>29</v>
      </c>
      <c r="N1067" s="1" t="s">
        <v>22</v>
      </c>
    </row>
    <row r="1068" spans="1:14" x14ac:dyDescent="0.25">
      <c r="A1068" s="1">
        <v>1067</v>
      </c>
      <c r="B1068" s="2" t="str">
        <f>HYPERLINK("https://leetcode.com/problems/digit-count-in-range/", "Digit Count in Range")</f>
        <v>Digit Count in Range</v>
      </c>
      <c r="C1068" s="1">
        <v>95</v>
      </c>
      <c r="D1068" s="1">
        <v>25</v>
      </c>
      <c r="E1068" s="3">
        <f>IF(INDEX(C:C, ROW())+INDEX(D:D, ROW())=0, 0, INDEX(C:C, ROW())/(INDEX(C:C, ROW())+INDEX(D:D, ROW())))</f>
        <v>0.79166666666666663</v>
      </c>
      <c r="F1068" s="1" t="s">
        <v>250</v>
      </c>
      <c r="G1068" s="1" t="s">
        <v>28</v>
      </c>
      <c r="H1068" s="1">
        <v>4662</v>
      </c>
      <c r="I1068" s="1">
        <v>10054</v>
      </c>
      <c r="J1068" s="7">
        <v>0.46400000000000002</v>
      </c>
      <c r="K1068" s="1" t="s">
        <v>29</v>
      </c>
      <c r="L1068" s="1" t="s">
        <v>29</v>
      </c>
      <c r="M1068" s="1" t="s">
        <v>29</v>
      </c>
      <c r="N1068" s="1" t="s">
        <v>22</v>
      </c>
    </row>
    <row r="1069" spans="1:14" x14ac:dyDescent="0.25">
      <c r="A1069" s="1">
        <v>1068</v>
      </c>
      <c r="B1069" s="2" t="str">
        <f>HYPERLINK("https://leetcode.com/problems/product-sales-analysis-i/", "Product Sales Analysis I")</f>
        <v>Product Sales Analysis I</v>
      </c>
      <c r="C1069" s="1">
        <v>1444</v>
      </c>
      <c r="D1069" s="1">
        <v>250</v>
      </c>
      <c r="E1069" s="3">
        <f>IF(INDEX(C:C, ROW())+INDEX(D:D, ROW())=0, 0, INDEX(C:C, ROW())/(INDEX(C:C, ROW())+INDEX(D:D, ROW())))</f>
        <v>0.85242030696576154</v>
      </c>
      <c r="F1069" s="1" t="s">
        <v>297</v>
      </c>
      <c r="G1069" s="1" t="s">
        <v>20</v>
      </c>
      <c r="H1069" s="1">
        <v>1274247</v>
      </c>
      <c r="I1069" s="1">
        <v>1489099</v>
      </c>
      <c r="J1069" s="7">
        <v>0.85599999999999998</v>
      </c>
      <c r="K1069" s="1" t="s">
        <v>21</v>
      </c>
      <c r="L1069" s="1" t="s">
        <v>21</v>
      </c>
      <c r="M1069" s="1" t="s">
        <v>29</v>
      </c>
      <c r="N1069" s="1" t="s">
        <v>297</v>
      </c>
    </row>
    <row r="1070" spans="1:14" x14ac:dyDescent="0.25">
      <c r="A1070" s="1">
        <v>1069</v>
      </c>
      <c r="B1070" s="2" t="str">
        <f>HYPERLINK("https://leetcode.com/problems/product-sales-analysis-ii/", "Product Sales Analysis II")</f>
        <v>Product Sales Analysis II</v>
      </c>
      <c r="C1070" s="1">
        <v>85</v>
      </c>
      <c r="D1070" s="1">
        <v>182</v>
      </c>
      <c r="E1070" s="3">
        <f>IF(INDEX(C:C, ROW())+INDEX(D:D, ROW())=0, 0, INDEX(C:C, ROW())/(INDEX(C:C, ROW())+INDEX(D:D, ROW())))</f>
        <v>0.31835205992509363</v>
      </c>
      <c r="F1070" s="1" t="s">
        <v>297</v>
      </c>
      <c r="G1070" s="1" t="s">
        <v>20</v>
      </c>
      <c r="H1070" s="1">
        <v>61930</v>
      </c>
      <c r="I1070" s="1">
        <v>74976</v>
      </c>
      <c r="J1070" s="7">
        <v>0.82599999999999996</v>
      </c>
      <c r="K1070" s="1" t="s">
        <v>29</v>
      </c>
      <c r="L1070" s="1" t="s">
        <v>21</v>
      </c>
      <c r="M1070" s="1" t="s">
        <v>29</v>
      </c>
      <c r="N1070" s="1" t="s">
        <v>297</v>
      </c>
    </row>
    <row r="1071" spans="1:14" x14ac:dyDescent="0.25">
      <c r="A1071" s="1">
        <v>1070</v>
      </c>
      <c r="B1071" s="2" t="str">
        <f>HYPERLINK("https://leetcode.com/problems/product-sales-analysis-iii/", "Product Sales Analysis III")</f>
        <v>Product Sales Analysis III</v>
      </c>
      <c r="C1071" s="1">
        <v>756</v>
      </c>
      <c r="D1071" s="1">
        <v>1121</v>
      </c>
      <c r="E1071" s="3">
        <f>IF(INDEX(C:C, ROW())+INDEX(D:D, ROW())=0, 0, INDEX(C:C, ROW())/(INDEX(C:C, ROW())+INDEX(D:D, ROW())))</f>
        <v>0.40277037826318596</v>
      </c>
      <c r="F1071" s="1" t="s">
        <v>297</v>
      </c>
      <c r="G1071" s="1" t="s">
        <v>24</v>
      </c>
      <c r="H1071" s="1">
        <v>422255</v>
      </c>
      <c r="I1071" s="1">
        <v>925568</v>
      </c>
      <c r="J1071" s="7">
        <v>0.45600000000000002</v>
      </c>
      <c r="K1071" s="1" t="s">
        <v>21</v>
      </c>
      <c r="L1071" s="1" t="s">
        <v>21</v>
      </c>
      <c r="M1071" s="1" t="s">
        <v>29</v>
      </c>
      <c r="N1071" s="1" t="s">
        <v>297</v>
      </c>
    </row>
    <row r="1072" spans="1:14" x14ac:dyDescent="0.25">
      <c r="A1072" s="1">
        <v>1071</v>
      </c>
      <c r="B1072" s="2" t="str">
        <f>HYPERLINK("https://leetcode.com/problems/greatest-common-divisor-of-strings/", "Greatest Common Divisor of Strings")</f>
        <v>Greatest Common Divisor of Strings</v>
      </c>
      <c r="C1072" s="1">
        <v>5989</v>
      </c>
      <c r="D1072" s="1">
        <v>1655</v>
      </c>
      <c r="E1072" s="3">
        <f>IF(INDEX(C:C, ROW())+INDEX(D:D, ROW())=0, 0, INDEX(C:C, ROW())/(INDEX(C:C, ROW())+INDEX(D:D, ROW())))</f>
        <v>0.78349031920460488</v>
      </c>
      <c r="F1072" s="1" t="s">
        <v>228</v>
      </c>
      <c r="G1072" s="1" t="s">
        <v>20</v>
      </c>
      <c r="H1072" s="1">
        <v>923180</v>
      </c>
      <c r="I1072" s="1">
        <v>1728332</v>
      </c>
      <c r="J1072" s="7">
        <v>0.53400000000000003</v>
      </c>
      <c r="K1072" s="1" t="s">
        <v>21</v>
      </c>
      <c r="L1072" s="1" t="s">
        <v>21</v>
      </c>
      <c r="M1072" s="1" t="s">
        <v>29</v>
      </c>
      <c r="N1072" s="1" t="s">
        <v>22</v>
      </c>
    </row>
    <row r="1073" spans="1:14" x14ac:dyDescent="0.25">
      <c r="A1073" s="1">
        <v>1072</v>
      </c>
      <c r="B1073" s="2" t="str">
        <f>HYPERLINK("https://leetcode.com/problems/flip-columns-for-maximum-number-of-equal-rows/", "Flip Columns For Maximum Number of Equal Rows")</f>
        <v>Flip Columns For Maximum Number of Equal Rows</v>
      </c>
      <c r="C1073" s="1">
        <v>1343</v>
      </c>
      <c r="D1073" s="1">
        <v>130</v>
      </c>
      <c r="E1073" s="3">
        <f>IF(INDEX(C:C, ROW())+INDEX(D:D, ROW())=0, 0, INDEX(C:C, ROW())/(INDEX(C:C, ROW())+INDEX(D:D, ROW())))</f>
        <v>0.91174473862864902</v>
      </c>
      <c r="F1073" s="1" t="s">
        <v>78</v>
      </c>
      <c r="G1073" s="1" t="s">
        <v>24</v>
      </c>
      <c r="H1073" s="1">
        <v>118146</v>
      </c>
      <c r="I1073" s="1">
        <v>150366</v>
      </c>
      <c r="J1073" s="7">
        <v>0.78600000000000003</v>
      </c>
      <c r="K1073" s="1" t="s">
        <v>21</v>
      </c>
      <c r="L1073" s="1" t="s">
        <v>21</v>
      </c>
      <c r="M1073" s="1" t="s">
        <v>29</v>
      </c>
      <c r="N1073" s="1" t="s">
        <v>22</v>
      </c>
    </row>
    <row r="1074" spans="1:14" x14ac:dyDescent="0.25">
      <c r="A1074" s="1">
        <v>1073</v>
      </c>
      <c r="B1074" s="2" t="str">
        <f>HYPERLINK("https://leetcode.com/problems/adding-two-negabinary-numbers/", "Adding Two Negabinary Numbers")</f>
        <v>Adding Two Negabinary Numbers</v>
      </c>
      <c r="C1074" s="1">
        <v>336</v>
      </c>
      <c r="D1074" s="1">
        <v>130</v>
      </c>
      <c r="E1074" s="3">
        <f>IF(INDEX(C:C, ROW())+INDEX(D:D, ROW())=0, 0, INDEX(C:C, ROW())/(INDEX(C:C, ROW())+INDEX(D:D, ROW())))</f>
        <v>0.72103004291845496</v>
      </c>
      <c r="F1074" s="1" t="s">
        <v>115</v>
      </c>
      <c r="G1074" s="1" t="s">
        <v>24</v>
      </c>
      <c r="H1074" s="1">
        <v>21517</v>
      </c>
      <c r="I1074" s="1">
        <v>57277</v>
      </c>
      <c r="J1074" s="7">
        <v>0.376</v>
      </c>
      <c r="K1074" s="1" t="s">
        <v>21</v>
      </c>
      <c r="L1074" s="1" t="s">
        <v>29</v>
      </c>
      <c r="M1074" s="1" t="s">
        <v>29</v>
      </c>
      <c r="N1074" s="1" t="s">
        <v>22</v>
      </c>
    </row>
    <row r="1075" spans="1:14" x14ac:dyDescent="0.25">
      <c r="A1075" s="1">
        <v>1074</v>
      </c>
      <c r="B1075" s="2" t="str">
        <f>HYPERLINK("https://leetcode.com/problems/number-of-submatrices-that-sum-to-target/", "Number of Submatrices That Sum to Target")</f>
        <v>Number of Submatrices That Sum to Target</v>
      </c>
      <c r="C1075" s="1">
        <v>3890</v>
      </c>
      <c r="D1075" s="1">
        <v>107</v>
      </c>
      <c r="E1075" s="3">
        <f>IF(INDEX(C:C, ROW())+INDEX(D:D, ROW())=0, 0, INDEX(C:C, ROW())/(INDEX(C:C, ROW())+INDEX(D:D, ROW())))</f>
        <v>0.97322992244183137</v>
      </c>
      <c r="F1075" s="1" t="s">
        <v>316</v>
      </c>
      <c r="G1075" s="1" t="s">
        <v>28</v>
      </c>
      <c r="H1075" s="1">
        <v>170163</v>
      </c>
      <c r="I1075" s="1">
        <v>228196</v>
      </c>
      <c r="J1075" s="7">
        <v>0.746</v>
      </c>
      <c r="K1075" s="1" t="s">
        <v>21</v>
      </c>
      <c r="L1075" s="1" t="s">
        <v>21</v>
      </c>
      <c r="M1075" s="1" t="s">
        <v>29</v>
      </c>
      <c r="N1075" s="1" t="s">
        <v>22</v>
      </c>
    </row>
    <row r="1076" spans="1:14" x14ac:dyDescent="0.25">
      <c r="A1076" s="1">
        <v>1075</v>
      </c>
      <c r="B1076" s="2" t="str">
        <f>HYPERLINK("https://leetcode.com/problems/project-employees-i/", "Project Employees I")</f>
        <v>Project Employees I</v>
      </c>
      <c r="C1076" s="1">
        <v>1023</v>
      </c>
      <c r="D1076" s="1">
        <v>205</v>
      </c>
      <c r="E1076" s="3">
        <f>IF(INDEX(C:C, ROW())+INDEX(D:D, ROW())=0, 0, INDEX(C:C, ROW())/(INDEX(C:C, ROW())+INDEX(D:D, ROW())))</f>
        <v>0.83306188925081437</v>
      </c>
      <c r="F1076" s="1" t="s">
        <v>297</v>
      </c>
      <c r="G1076" s="1" t="s">
        <v>20</v>
      </c>
      <c r="H1076" s="1">
        <v>647360</v>
      </c>
      <c r="I1076" s="1">
        <v>973109</v>
      </c>
      <c r="J1076" s="7">
        <v>0.66500000000000004</v>
      </c>
      <c r="K1076" s="1" t="s">
        <v>21</v>
      </c>
      <c r="L1076" s="1" t="s">
        <v>21</v>
      </c>
      <c r="M1076" s="1" t="s">
        <v>29</v>
      </c>
      <c r="N1076" s="1" t="s">
        <v>297</v>
      </c>
    </row>
    <row r="1077" spans="1:14" x14ac:dyDescent="0.25">
      <c r="A1077" s="1">
        <v>1076</v>
      </c>
      <c r="B1077" s="2" t="str">
        <f>HYPERLINK("https://leetcode.com/problems/project-employees-ii/", "Project Employees II")</f>
        <v>Project Employees II</v>
      </c>
      <c r="C1077" s="1">
        <v>207</v>
      </c>
      <c r="D1077" s="1">
        <v>63</v>
      </c>
      <c r="E1077" s="3">
        <f>IF(INDEX(C:C, ROW())+INDEX(D:D, ROW())=0, 0, INDEX(C:C, ROW())/(INDEX(C:C, ROW())+INDEX(D:D, ROW())))</f>
        <v>0.76666666666666672</v>
      </c>
      <c r="F1077" s="1" t="s">
        <v>297</v>
      </c>
      <c r="G1077" s="1" t="s">
        <v>20</v>
      </c>
      <c r="H1077" s="1">
        <v>66275</v>
      </c>
      <c r="I1077" s="1">
        <v>131524</v>
      </c>
      <c r="J1077" s="7">
        <v>0.504</v>
      </c>
      <c r="K1077" s="1" t="s">
        <v>29</v>
      </c>
      <c r="L1077" s="1" t="s">
        <v>29</v>
      </c>
      <c r="M1077" s="1" t="s">
        <v>29</v>
      </c>
      <c r="N1077" s="1" t="s">
        <v>297</v>
      </c>
    </row>
    <row r="1078" spans="1:14" x14ac:dyDescent="0.25">
      <c r="A1078" s="1">
        <v>1077</v>
      </c>
      <c r="B1078" s="2" t="str">
        <f>HYPERLINK("https://leetcode.com/problems/project-employees-iii/", "Project Employees III")</f>
        <v>Project Employees III</v>
      </c>
      <c r="C1078" s="1">
        <v>283</v>
      </c>
      <c r="D1078" s="1">
        <v>9</v>
      </c>
      <c r="E1078" s="3">
        <f>IF(INDEX(C:C, ROW())+INDEX(D:D, ROW())=0, 0, INDEX(C:C, ROW())/(INDEX(C:C, ROW())+INDEX(D:D, ROW())))</f>
        <v>0.96917808219178081</v>
      </c>
      <c r="F1078" s="1" t="s">
        <v>297</v>
      </c>
      <c r="G1078" s="1" t="s">
        <v>24</v>
      </c>
      <c r="H1078" s="1">
        <v>71874</v>
      </c>
      <c r="I1078" s="1">
        <v>93155</v>
      </c>
      <c r="J1078" s="7">
        <v>0.77200000000000002</v>
      </c>
      <c r="K1078" s="1" t="s">
        <v>29</v>
      </c>
      <c r="L1078" s="1" t="s">
        <v>21</v>
      </c>
      <c r="M1078" s="1" t="s">
        <v>29</v>
      </c>
      <c r="N1078" s="1" t="s">
        <v>297</v>
      </c>
    </row>
    <row r="1079" spans="1:14" x14ac:dyDescent="0.25">
      <c r="A1079" s="1">
        <v>1078</v>
      </c>
      <c r="B1079" s="2" t="str">
        <f>HYPERLINK("https://leetcode.com/problems/occurrences-after-bigram/", "Occurrences After Bigram")</f>
        <v>Occurrences After Bigram</v>
      </c>
      <c r="C1079" s="1">
        <v>528</v>
      </c>
      <c r="D1079" s="1">
        <v>371</v>
      </c>
      <c r="E1079" s="3">
        <f>IF(INDEX(C:C, ROW())+INDEX(D:D, ROW())=0, 0, INDEX(C:C, ROW())/(INDEX(C:C, ROW())+INDEX(D:D, ROW())))</f>
        <v>0.58731924360400445</v>
      </c>
      <c r="F1079" s="1" t="s">
        <v>146</v>
      </c>
      <c r="G1079" s="1" t="s">
        <v>20</v>
      </c>
      <c r="H1079" s="1">
        <v>89787</v>
      </c>
      <c r="I1079" s="1">
        <v>140593</v>
      </c>
      <c r="J1079" s="7">
        <v>0.63900000000000001</v>
      </c>
      <c r="K1079" s="1" t="s">
        <v>21</v>
      </c>
      <c r="L1079" s="1" t="s">
        <v>29</v>
      </c>
      <c r="M1079" s="1" t="s">
        <v>29</v>
      </c>
      <c r="N1079" s="1" t="s">
        <v>22</v>
      </c>
    </row>
    <row r="1080" spans="1:14" x14ac:dyDescent="0.25">
      <c r="A1080" s="1">
        <v>1079</v>
      </c>
      <c r="B1080" s="2" t="str">
        <f>HYPERLINK("https://leetcode.com/problems/letter-tile-possibilities/", "Letter Tile Possibilities")</f>
        <v>Letter Tile Possibilities</v>
      </c>
      <c r="C1080" s="1">
        <v>3136</v>
      </c>
      <c r="D1080" s="1">
        <v>90</v>
      </c>
      <c r="E1080" s="3">
        <f>IF(INDEX(C:C, ROW())+INDEX(D:D, ROW())=0, 0, INDEX(C:C, ROW())/(INDEX(C:C, ROW())+INDEX(D:D, ROW())))</f>
        <v>0.97210167389956603</v>
      </c>
      <c r="F1080" s="1" t="s">
        <v>370</v>
      </c>
      <c r="G1080" s="1" t="s">
        <v>24</v>
      </c>
      <c r="H1080" s="1">
        <v>253691</v>
      </c>
      <c r="I1080" s="1">
        <v>303719</v>
      </c>
      <c r="J1080" s="7">
        <v>0.83499999999999996</v>
      </c>
      <c r="K1080" s="1" t="s">
        <v>21</v>
      </c>
      <c r="L1080" s="1" t="s">
        <v>21</v>
      </c>
      <c r="M1080" s="1" t="s">
        <v>29</v>
      </c>
      <c r="N1080" s="1" t="s">
        <v>22</v>
      </c>
    </row>
    <row r="1081" spans="1:14" x14ac:dyDescent="0.25">
      <c r="A1081" s="1">
        <v>1080</v>
      </c>
      <c r="B1081" s="2" t="str">
        <f>HYPERLINK("https://leetcode.com/problems/insufficient-nodes-in-root-to-leaf-paths/", "Insufficient Nodes in Root to Leaf Paths")</f>
        <v>Insufficient Nodes in Root to Leaf Paths</v>
      </c>
      <c r="C1081" s="1">
        <v>751</v>
      </c>
      <c r="D1081" s="1">
        <v>739</v>
      </c>
      <c r="E1081" s="3">
        <f>IF(INDEX(C:C, ROW())+INDEX(D:D, ROW())=0, 0, INDEX(C:C, ROW())/(INDEX(C:C, ROW())+INDEX(D:D, ROW())))</f>
        <v>0.50402684563758393</v>
      </c>
      <c r="F1081" s="1" t="s">
        <v>67</v>
      </c>
      <c r="G1081" s="1" t="s">
        <v>24</v>
      </c>
      <c r="H1081" s="1">
        <v>50261</v>
      </c>
      <c r="I1081" s="1">
        <v>91620</v>
      </c>
      <c r="J1081" s="7">
        <v>0.54900000000000004</v>
      </c>
      <c r="K1081" s="1" t="s">
        <v>21</v>
      </c>
      <c r="L1081" s="1" t="s">
        <v>29</v>
      </c>
      <c r="M1081" s="1" t="s">
        <v>29</v>
      </c>
      <c r="N1081" s="1" t="s">
        <v>22</v>
      </c>
    </row>
    <row r="1082" spans="1:14" x14ac:dyDescent="0.25">
      <c r="A1082" s="1">
        <v>1081</v>
      </c>
      <c r="B1082" s="2" t="str">
        <f>HYPERLINK("https://leetcode.com/problems/smallest-subsequence-of-distinct-characters/", "Smallest Subsequence of Distinct Characters")</f>
        <v>Smallest Subsequence of Distinct Characters</v>
      </c>
      <c r="C1082" s="1">
        <v>2753</v>
      </c>
      <c r="D1082" s="1">
        <v>200</v>
      </c>
      <c r="E1082" s="3">
        <f>IF(INDEX(C:C, ROW())+INDEX(D:D, ROW())=0, 0, INDEX(C:C, ROW())/(INDEX(C:C, ROW())+INDEX(D:D, ROW())))</f>
        <v>0.93227226549271924</v>
      </c>
      <c r="F1082" s="1" t="s">
        <v>129</v>
      </c>
      <c r="G1082" s="1" t="s">
        <v>24</v>
      </c>
      <c r="H1082" s="1">
        <v>94109</v>
      </c>
      <c r="I1082" s="1">
        <v>149139</v>
      </c>
      <c r="J1082" s="7">
        <v>0.63100000000000001</v>
      </c>
      <c r="K1082" s="1" t="s">
        <v>21</v>
      </c>
      <c r="L1082" s="1" t="s">
        <v>29</v>
      </c>
      <c r="M1082" s="1" t="s">
        <v>29</v>
      </c>
      <c r="N1082" s="1" t="s">
        <v>22</v>
      </c>
    </row>
    <row r="1083" spans="1:14" x14ac:dyDescent="0.25">
      <c r="A1083" s="1">
        <v>1082</v>
      </c>
      <c r="B1083" s="2" t="str">
        <f>HYPERLINK("https://leetcode.com/problems/sales-analysis-i/", "Sales Analysis I")</f>
        <v>Sales Analysis I</v>
      </c>
      <c r="C1083" s="1">
        <v>203</v>
      </c>
      <c r="D1083" s="1">
        <v>82</v>
      </c>
      <c r="E1083" s="3">
        <f>IF(INDEX(C:C, ROW())+INDEX(D:D, ROW())=0, 0, INDEX(C:C, ROW())/(INDEX(C:C, ROW())+INDEX(D:D, ROW())))</f>
        <v>0.71228070175438596</v>
      </c>
      <c r="F1083" s="1" t="s">
        <v>297</v>
      </c>
      <c r="G1083" s="1" t="s">
        <v>20</v>
      </c>
      <c r="H1083" s="1">
        <v>67685</v>
      </c>
      <c r="I1083" s="1">
        <v>90493</v>
      </c>
      <c r="J1083" s="7">
        <v>0.748</v>
      </c>
      <c r="K1083" s="1" t="s">
        <v>29</v>
      </c>
      <c r="L1083" s="1" t="s">
        <v>21</v>
      </c>
      <c r="M1083" s="1" t="s">
        <v>29</v>
      </c>
      <c r="N1083" s="1" t="s">
        <v>297</v>
      </c>
    </row>
    <row r="1084" spans="1:14" x14ac:dyDescent="0.25">
      <c r="A1084" s="1">
        <v>1083</v>
      </c>
      <c r="B1084" s="2" t="str">
        <f>HYPERLINK("https://leetcode.com/problems/sales-analysis-ii/", "Sales Analysis II")</f>
        <v>Sales Analysis II</v>
      </c>
      <c r="C1084" s="1">
        <v>282</v>
      </c>
      <c r="D1084" s="1">
        <v>49</v>
      </c>
      <c r="E1084" s="3">
        <f>IF(INDEX(C:C, ROW())+INDEX(D:D, ROW())=0, 0, INDEX(C:C, ROW())/(INDEX(C:C, ROW())+INDEX(D:D, ROW())))</f>
        <v>0.85196374622356497</v>
      </c>
      <c r="F1084" s="1" t="s">
        <v>297</v>
      </c>
      <c r="G1084" s="1" t="s">
        <v>20</v>
      </c>
      <c r="H1084" s="1">
        <v>66560</v>
      </c>
      <c r="I1084" s="1">
        <v>132897</v>
      </c>
      <c r="J1084" s="7">
        <v>0.501</v>
      </c>
      <c r="K1084" s="1" t="s">
        <v>29</v>
      </c>
      <c r="L1084" s="1" t="s">
        <v>21</v>
      </c>
      <c r="M1084" s="1" t="s">
        <v>29</v>
      </c>
      <c r="N1084" s="1" t="s">
        <v>297</v>
      </c>
    </row>
    <row r="1085" spans="1:14" x14ac:dyDescent="0.25">
      <c r="A1085" s="1">
        <v>1084</v>
      </c>
      <c r="B1085" s="2" t="str">
        <f>HYPERLINK("https://leetcode.com/problems/sales-analysis-iii/", "Sales Analysis III")</f>
        <v>Sales Analysis III</v>
      </c>
      <c r="C1085" s="1">
        <v>849</v>
      </c>
      <c r="D1085" s="1">
        <v>169</v>
      </c>
      <c r="E1085" s="3">
        <f>IF(INDEX(C:C, ROW())+INDEX(D:D, ROW())=0, 0, INDEX(C:C, ROW())/(INDEX(C:C, ROW())+INDEX(D:D, ROW())))</f>
        <v>0.83398821218074659</v>
      </c>
      <c r="F1085" s="1" t="s">
        <v>297</v>
      </c>
      <c r="G1085" s="1" t="s">
        <v>20</v>
      </c>
      <c r="H1085" s="1">
        <v>218817</v>
      </c>
      <c r="I1085" s="1">
        <v>463229</v>
      </c>
      <c r="J1085" s="7">
        <v>0.47199999999999998</v>
      </c>
      <c r="K1085" s="1" t="s">
        <v>21</v>
      </c>
      <c r="L1085" s="1" t="s">
        <v>21</v>
      </c>
      <c r="M1085" s="1" t="s">
        <v>29</v>
      </c>
      <c r="N1085" s="1" t="s">
        <v>297</v>
      </c>
    </row>
    <row r="1086" spans="1:14" x14ac:dyDescent="0.25">
      <c r="A1086" s="1">
        <v>1085</v>
      </c>
      <c r="B1086" s="2" t="str">
        <f>HYPERLINK("https://leetcode.com/problems/sum-of-digits-in-the-minimum-number/", "Sum of Digits in the Minimum Number")</f>
        <v>Sum of Digits in the Minimum Number</v>
      </c>
      <c r="C1086" s="1">
        <v>121</v>
      </c>
      <c r="D1086" s="1">
        <v>151</v>
      </c>
      <c r="E1086" s="3">
        <f>IF(INDEX(C:C, ROW())+INDEX(D:D, ROW())=0, 0, INDEX(C:C, ROW())/(INDEX(C:C, ROW())+INDEX(D:D, ROW())))</f>
        <v>0.44485294117647056</v>
      </c>
      <c r="F1086" s="1" t="s">
        <v>115</v>
      </c>
      <c r="G1086" s="1" t="s">
        <v>20</v>
      </c>
      <c r="H1086" s="1">
        <v>25979</v>
      </c>
      <c r="I1086" s="1">
        <v>33874</v>
      </c>
      <c r="J1086" s="7">
        <v>0.76700000000000002</v>
      </c>
      <c r="K1086" s="1" t="s">
        <v>29</v>
      </c>
      <c r="L1086" s="1" t="s">
        <v>29</v>
      </c>
      <c r="M1086" s="1" t="s">
        <v>29</v>
      </c>
      <c r="N1086" s="1" t="s">
        <v>22</v>
      </c>
    </row>
    <row r="1087" spans="1:14" x14ac:dyDescent="0.25">
      <c r="A1087" s="1">
        <v>1086</v>
      </c>
      <c r="B1087" s="2" t="str">
        <f>HYPERLINK("https://leetcode.com/problems/high-five/", "High Five")</f>
        <v>High Five</v>
      </c>
      <c r="C1087" s="1">
        <v>827</v>
      </c>
      <c r="D1087" s="1">
        <v>131</v>
      </c>
      <c r="E1087" s="3">
        <f>IF(INDEX(C:C, ROW())+INDEX(D:D, ROW())=0, 0, INDEX(C:C, ROW())/(INDEX(C:C, ROW())+INDEX(D:D, ROW())))</f>
        <v>0.86325678496868474</v>
      </c>
      <c r="F1087" s="1" t="s">
        <v>542</v>
      </c>
      <c r="G1087" s="1" t="s">
        <v>20</v>
      </c>
      <c r="H1087" s="1">
        <v>122402</v>
      </c>
      <c r="I1087" s="1">
        <v>164946</v>
      </c>
      <c r="J1087" s="7">
        <v>0.74199999999999999</v>
      </c>
      <c r="K1087" s="1" t="s">
        <v>29</v>
      </c>
      <c r="L1087" s="1" t="s">
        <v>21</v>
      </c>
      <c r="M1087" s="1" t="s">
        <v>29</v>
      </c>
      <c r="N1087" s="1" t="s">
        <v>22</v>
      </c>
    </row>
    <row r="1088" spans="1:14" x14ac:dyDescent="0.25">
      <c r="A1088" s="1">
        <v>1087</v>
      </c>
      <c r="B1088" s="2" t="str">
        <f>HYPERLINK("https://leetcode.com/problems/brace-expansion/", "Brace Expansion")</f>
        <v>Brace Expansion</v>
      </c>
      <c r="C1088" s="1">
        <v>662</v>
      </c>
      <c r="D1088" s="1">
        <v>57</v>
      </c>
      <c r="E1088" s="3">
        <f>IF(INDEX(C:C, ROW())+INDEX(D:D, ROW())=0, 0, INDEX(C:C, ROW())/(INDEX(C:C, ROW())+INDEX(D:D, ROW())))</f>
        <v>0.92072322670375517</v>
      </c>
      <c r="F1088" s="1" t="s">
        <v>817</v>
      </c>
      <c r="G1088" s="1" t="s">
        <v>24</v>
      </c>
      <c r="H1088" s="1">
        <v>64761</v>
      </c>
      <c r="I1088" s="1">
        <v>96994</v>
      </c>
      <c r="J1088" s="7">
        <v>0.66800000000000004</v>
      </c>
      <c r="K1088" s="1" t="s">
        <v>29</v>
      </c>
      <c r="L1088" s="1" t="s">
        <v>21</v>
      </c>
      <c r="M1088" s="1" t="s">
        <v>29</v>
      </c>
      <c r="N1088" s="1" t="s">
        <v>22</v>
      </c>
    </row>
    <row r="1089" spans="1:14" x14ac:dyDescent="0.25">
      <c r="A1089" s="1">
        <v>1088</v>
      </c>
      <c r="B1089" s="2" t="str">
        <f>HYPERLINK("https://leetcode.com/problems/confusing-number-ii/", "Confusing Number II")</f>
        <v>Confusing Number II</v>
      </c>
      <c r="C1089" s="1">
        <v>496</v>
      </c>
      <c r="D1089" s="1">
        <v>144</v>
      </c>
      <c r="E1089" s="3">
        <f>IF(INDEX(C:C, ROW())+INDEX(D:D, ROW())=0, 0, INDEX(C:C, ROW())/(INDEX(C:C, ROW())+INDEX(D:D, ROW())))</f>
        <v>0.77500000000000002</v>
      </c>
      <c r="F1089" s="1" t="s">
        <v>663</v>
      </c>
      <c r="G1089" s="1" t="s">
        <v>28</v>
      </c>
      <c r="H1089" s="1">
        <v>39238</v>
      </c>
      <c r="I1089" s="1">
        <v>83220</v>
      </c>
      <c r="J1089" s="7">
        <v>0.47099999999999997</v>
      </c>
      <c r="K1089" s="1" t="s">
        <v>29</v>
      </c>
      <c r="L1089" s="1" t="s">
        <v>21</v>
      </c>
      <c r="M1089" s="1" t="s">
        <v>29</v>
      </c>
      <c r="N1089" s="1" t="s">
        <v>22</v>
      </c>
    </row>
    <row r="1090" spans="1:14" x14ac:dyDescent="0.25">
      <c r="A1090" s="1">
        <v>1089</v>
      </c>
      <c r="B1090" s="2" t="str">
        <f>HYPERLINK("https://leetcode.com/problems/duplicate-zeros/", "Duplicate Zeros")</f>
        <v>Duplicate Zeros</v>
      </c>
      <c r="C1090" s="1">
        <v>2827</v>
      </c>
      <c r="D1090" s="1">
        <v>794</v>
      </c>
      <c r="E1090" s="3">
        <f>IF(INDEX(C:C, ROW())+INDEX(D:D, ROW())=0, 0, INDEX(C:C, ROW())/(INDEX(C:C, ROW())+INDEX(D:D, ROW())))</f>
        <v>0.7807235570284452</v>
      </c>
      <c r="F1090" s="1" t="s">
        <v>51</v>
      </c>
      <c r="G1090" s="1" t="s">
        <v>20</v>
      </c>
      <c r="H1090" s="1">
        <v>541449</v>
      </c>
      <c r="I1090" s="1">
        <v>1014517</v>
      </c>
      <c r="J1090" s="7">
        <v>0.53400000000000003</v>
      </c>
      <c r="K1090" s="1" t="s">
        <v>21</v>
      </c>
      <c r="L1090" s="1" t="s">
        <v>21</v>
      </c>
      <c r="M1090" s="1" t="s">
        <v>29</v>
      </c>
      <c r="N1090" s="1" t="s">
        <v>22</v>
      </c>
    </row>
    <row r="1091" spans="1:14" x14ac:dyDescent="0.25">
      <c r="A1091" s="1">
        <v>1090</v>
      </c>
      <c r="B1091" s="2" t="str">
        <f>HYPERLINK("https://leetcode.com/problems/largest-values-from-labels/", "Largest Values From Labels")</f>
        <v>Largest Values From Labels</v>
      </c>
      <c r="C1091" s="1">
        <v>495</v>
      </c>
      <c r="D1091" s="1">
        <v>637</v>
      </c>
      <c r="E1091" s="3">
        <f>IF(INDEX(C:C, ROW())+INDEX(D:D, ROW())=0, 0, INDEX(C:C, ROW())/(INDEX(C:C, ROW())+INDEX(D:D, ROW())))</f>
        <v>0.4372791519434629</v>
      </c>
      <c r="F1091" s="1" t="s">
        <v>450</v>
      </c>
      <c r="G1091" s="1" t="s">
        <v>24</v>
      </c>
      <c r="H1091" s="1">
        <v>49407</v>
      </c>
      <c r="I1091" s="1">
        <v>77148</v>
      </c>
      <c r="J1091" s="7">
        <v>0.64</v>
      </c>
      <c r="K1091" s="1" t="s">
        <v>21</v>
      </c>
      <c r="L1091" s="1" t="s">
        <v>29</v>
      </c>
      <c r="M1091" s="1" t="s">
        <v>29</v>
      </c>
      <c r="N1091" s="1" t="s">
        <v>22</v>
      </c>
    </row>
    <row r="1092" spans="1:14" x14ac:dyDescent="0.25">
      <c r="A1092" s="1">
        <v>1091</v>
      </c>
      <c r="B1092" s="2" t="str">
        <f>HYPERLINK("https://leetcode.com/problems/shortest-path-in-binary-matrix/", "Shortest Path in Binary Matrix")</f>
        <v>Shortest Path in Binary Matrix</v>
      </c>
      <c r="C1092" s="1">
        <v>7380</v>
      </c>
      <c r="D1092" s="1">
        <v>274</v>
      </c>
      <c r="E1092" s="3">
        <f>IF(INDEX(C:C, ROW())+INDEX(D:D, ROW())=0, 0, INDEX(C:C, ROW())/(INDEX(C:C, ROW())+INDEX(D:D, ROW())))</f>
        <v>0.96420172458845044</v>
      </c>
      <c r="F1092" s="1" t="s">
        <v>86</v>
      </c>
      <c r="G1092" s="1" t="s">
        <v>24</v>
      </c>
      <c r="H1092" s="1">
        <v>814810</v>
      </c>
      <c r="I1092" s="1">
        <v>1594228</v>
      </c>
      <c r="J1092" s="7">
        <v>0.51100000000000001</v>
      </c>
      <c r="K1092" s="1" t="s">
        <v>21</v>
      </c>
      <c r="L1092" s="1" t="s">
        <v>21</v>
      </c>
      <c r="M1092" s="1" t="s">
        <v>29</v>
      </c>
      <c r="N1092" s="1" t="s">
        <v>22</v>
      </c>
    </row>
    <row r="1093" spans="1:14" x14ac:dyDescent="0.25">
      <c r="A1093" s="1">
        <v>1092</v>
      </c>
      <c r="B1093" s="2" t="str">
        <f>HYPERLINK("https://leetcode.com/problems/shortest-common-supersequence/", "Shortest Common Supersequence ")</f>
        <v xml:space="preserve">Shortest Common Supersequence </v>
      </c>
      <c r="C1093" s="1">
        <v>5902</v>
      </c>
      <c r="D1093" s="1">
        <v>101</v>
      </c>
      <c r="E1093" s="3">
        <f>IF(INDEX(C:C, ROW())+INDEX(D:D, ROW())=0, 0, INDEX(C:C, ROW())/(INDEX(C:C, ROW())+INDEX(D:D, ROW())))</f>
        <v>0.98317507912710311</v>
      </c>
      <c r="F1093" s="1" t="s">
        <v>82</v>
      </c>
      <c r="G1093" s="1" t="s">
        <v>28</v>
      </c>
      <c r="H1093" s="1">
        <v>301901</v>
      </c>
      <c r="I1093" s="1">
        <v>488856</v>
      </c>
      <c r="J1093" s="7">
        <v>0.61799999999999999</v>
      </c>
      <c r="K1093" s="1" t="s">
        <v>21</v>
      </c>
      <c r="L1093" s="1" t="s">
        <v>21</v>
      </c>
      <c r="M1093" s="1" t="s">
        <v>29</v>
      </c>
      <c r="N1093" s="1" t="s">
        <v>22</v>
      </c>
    </row>
    <row r="1094" spans="1:14" x14ac:dyDescent="0.25">
      <c r="A1094" s="1">
        <v>1093</v>
      </c>
      <c r="B1094" s="2" t="str">
        <f>HYPERLINK("https://leetcode.com/problems/statistics-from-a-large-sample/", "Statistics from a Large Sample")</f>
        <v>Statistics from a Large Sample</v>
      </c>
      <c r="C1094" s="1">
        <v>176</v>
      </c>
      <c r="D1094" s="1">
        <v>109</v>
      </c>
      <c r="E1094" s="3">
        <f>IF(INDEX(C:C, ROW())+INDEX(D:D, ROW())=0, 0, INDEX(C:C, ROW())/(INDEX(C:C, ROW())+INDEX(D:D, ROW())))</f>
        <v>0.61754385964912284</v>
      </c>
      <c r="F1094" s="1" t="s">
        <v>1112</v>
      </c>
      <c r="G1094" s="1" t="s">
        <v>24</v>
      </c>
      <c r="H1094" s="1">
        <v>25713</v>
      </c>
      <c r="I1094" s="1">
        <v>59854</v>
      </c>
      <c r="J1094" s="7">
        <v>0.43</v>
      </c>
      <c r="K1094" s="1" t="s">
        <v>21</v>
      </c>
      <c r="L1094" s="1" t="s">
        <v>29</v>
      </c>
      <c r="M1094" s="1" t="s">
        <v>29</v>
      </c>
      <c r="N1094" s="1" t="s">
        <v>22</v>
      </c>
    </row>
    <row r="1095" spans="1:14" x14ac:dyDescent="0.25">
      <c r="A1095" s="1">
        <v>1094</v>
      </c>
      <c r="B1095" s="2" t="str">
        <f>HYPERLINK("https://leetcode.com/problems/car-pooling/", "Car Pooling")</f>
        <v>Car Pooling</v>
      </c>
      <c r="C1095" s="1">
        <v>4816</v>
      </c>
      <c r="D1095" s="1">
        <v>123</v>
      </c>
      <c r="E1095" s="3">
        <f>IF(INDEX(C:C, ROW())+INDEX(D:D, ROW())=0, 0, INDEX(C:C, ROW())/(INDEX(C:C, ROW())+INDEX(D:D, ROW())))</f>
        <v>0.9750961733144361</v>
      </c>
      <c r="F1095" s="1" t="s">
        <v>268</v>
      </c>
      <c r="G1095" s="1" t="s">
        <v>24</v>
      </c>
      <c r="H1095" s="1">
        <v>313592</v>
      </c>
      <c r="I1095" s="1">
        <v>558051</v>
      </c>
      <c r="J1095" s="7">
        <v>0.56200000000000006</v>
      </c>
      <c r="K1095" s="1" t="s">
        <v>21</v>
      </c>
      <c r="L1095" s="1" t="s">
        <v>21</v>
      </c>
      <c r="M1095" s="1" t="s">
        <v>29</v>
      </c>
      <c r="N1095" s="1" t="s">
        <v>22</v>
      </c>
    </row>
    <row r="1096" spans="1:14" x14ac:dyDescent="0.25">
      <c r="A1096" s="1">
        <v>1095</v>
      </c>
      <c r="B1096" s="2" t="str">
        <f>HYPERLINK("https://leetcode.com/problems/find-in-mountain-array/", "Find in Mountain Array")</f>
        <v>Find in Mountain Array</v>
      </c>
      <c r="C1096" s="1">
        <v>3574</v>
      </c>
      <c r="D1096" s="1">
        <v>154</v>
      </c>
      <c r="E1096" s="3">
        <f>IF(INDEX(C:C, ROW())+INDEX(D:D, ROW())=0, 0, INDEX(C:C, ROW())/(INDEX(C:C, ROW())+INDEX(D:D, ROW())))</f>
        <v>0.95869098712446355</v>
      </c>
      <c r="F1096" s="1" t="s">
        <v>341</v>
      </c>
      <c r="G1096" s="1" t="s">
        <v>28</v>
      </c>
      <c r="H1096" s="1">
        <v>195091</v>
      </c>
      <c r="I1096" s="1">
        <v>474643</v>
      </c>
      <c r="J1096" s="7">
        <v>0.41099999999999998</v>
      </c>
      <c r="K1096" s="1" t="s">
        <v>21</v>
      </c>
      <c r="L1096" s="1" t="s">
        <v>21</v>
      </c>
      <c r="M1096" s="1" t="s">
        <v>29</v>
      </c>
      <c r="N1096" s="1" t="s">
        <v>22</v>
      </c>
    </row>
    <row r="1097" spans="1:14" x14ac:dyDescent="0.25">
      <c r="A1097" s="1">
        <v>1096</v>
      </c>
      <c r="B1097" s="2" t="str">
        <f>HYPERLINK("https://leetcode.com/problems/brace-expansion-ii/", "Brace Expansion II")</f>
        <v>Brace Expansion II</v>
      </c>
      <c r="C1097" s="1">
        <v>506</v>
      </c>
      <c r="D1097" s="1">
        <v>295</v>
      </c>
      <c r="E1097" s="3">
        <f>IF(INDEX(C:C, ROW())+INDEX(D:D, ROW())=0, 0, INDEX(C:C, ROW())/(INDEX(C:C, ROW())+INDEX(D:D, ROW())))</f>
        <v>0.63171036204744069</v>
      </c>
      <c r="F1097" s="1" t="s">
        <v>918</v>
      </c>
      <c r="G1097" s="1" t="s">
        <v>28</v>
      </c>
      <c r="H1097" s="1">
        <v>29170</v>
      </c>
      <c r="I1097" s="1">
        <v>45675</v>
      </c>
      <c r="J1097" s="7">
        <v>0.63900000000000001</v>
      </c>
      <c r="K1097" s="1" t="s">
        <v>21</v>
      </c>
      <c r="L1097" s="1" t="s">
        <v>29</v>
      </c>
      <c r="M1097" s="1" t="s">
        <v>29</v>
      </c>
      <c r="N1097" s="1" t="s">
        <v>22</v>
      </c>
    </row>
    <row r="1098" spans="1:14" x14ac:dyDescent="0.25">
      <c r="A1098" s="1">
        <v>1097</v>
      </c>
      <c r="B1098" s="2" t="str">
        <f>HYPERLINK("https://leetcode.com/problems/game-play-analysis-v/", "Game Play Analysis V")</f>
        <v>Game Play Analysis V</v>
      </c>
      <c r="C1098" s="1">
        <v>193</v>
      </c>
      <c r="D1098" s="1">
        <v>36</v>
      </c>
      <c r="E1098" s="3">
        <f>IF(INDEX(C:C, ROW())+INDEX(D:D, ROW())=0, 0, INDEX(C:C, ROW())/(INDEX(C:C, ROW())+INDEX(D:D, ROW())))</f>
        <v>0.84279475982532748</v>
      </c>
      <c r="F1098" s="1" t="s">
        <v>297</v>
      </c>
      <c r="G1098" s="1" t="s">
        <v>28</v>
      </c>
      <c r="H1098" s="1">
        <v>28689</v>
      </c>
      <c r="I1098" s="1">
        <v>56948</v>
      </c>
      <c r="J1098" s="7">
        <v>0.504</v>
      </c>
      <c r="K1098" s="1" t="s">
        <v>29</v>
      </c>
      <c r="L1098" s="1" t="s">
        <v>21</v>
      </c>
      <c r="M1098" s="1" t="s">
        <v>29</v>
      </c>
      <c r="N1098" s="1" t="s">
        <v>297</v>
      </c>
    </row>
    <row r="1099" spans="1:14" x14ac:dyDescent="0.25">
      <c r="A1099" s="1">
        <v>1098</v>
      </c>
      <c r="B1099" s="2" t="str">
        <f>HYPERLINK("https://leetcode.com/problems/unpopular-books/", "Unpopular Books")</f>
        <v>Unpopular Books</v>
      </c>
      <c r="C1099" s="1">
        <v>218</v>
      </c>
      <c r="D1099" s="1">
        <v>621</v>
      </c>
      <c r="E1099" s="3">
        <f>IF(INDEX(C:C, ROW())+INDEX(D:D, ROW())=0, 0, INDEX(C:C, ROW())/(INDEX(C:C, ROW())+INDEX(D:D, ROW())))</f>
        <v>0.25983313468414782</v>
      </c>
      <c r="F1099" s="1" t="s">
        <v>297</v>
      </c>
      <c r="G1099" s="1" t="s">
        <v>24</v>
      </c>
      <c r="H1099" s="1">
        <v>47861</v>
      </c>
      <c r="I1099" s="1">
        <v>110285</v>
      </c>
      <c r="J1099" s="7">
        <v>0.434</v>
      </c>
      <c r="K1099" s="1" t="s">
        <v>29</v>
      </c>
      <c r="L1099" s="1" t="s">
        <v>29</v>
      </c>
      <c r="M1099" s="1" t="s">
        <v>29</v>
      </c>
      <c r="N1099" s="1" t="s">
        <v>297</v>
      </c>
    </row>
    <row r="1100" spans="1:14" x14ac:dyDescent="0.25">
      <c r="A1100" s="1">
        <v>1099</v>
      </c>
      <c r="B1100" s="2" t="str">
        <f>HYPERLINK("https://leetcode.com/problems/two-sum-less-than-k/", "Two Sum Less Than K")</f>
        <v>Two Sum Less Than K</v>
      </c>
      <c r="C1100" s="1">
        <v>1171</v>
      </c>
      <c r="D1100" s="1">
        <v>135</v>
      </c>
      <c r="E1100" s="3">
        <f>IF(INDEX(C:C, ROW())+INDEX(D:D, ROW())=0, 0, INDEX(C:C, ROW())/(INDEX(C:C, ROW())+INDEX(D:D, ROW())))</f>
        <v>0.89663093415007655</v>
      </c>
      <c r="F1100" s="1" t="s">
        <v>277</v>
      </c>
      <c r="G1100" s="1" t="s">
        <v>20</v>
      </c>
      <c r="H1100" s="1">
        <v>148172</v>
      </c>
      <c r="I1100" s="1">
        <v>238494</v>
      </c>
      <c r="J1100" s="7">
        <v>0.621</v>
      </c>
      <c r="K1100" s="1" t="s">
        <v>29</v>
      </c>
      <c r="L1100" s="1" t="s">
        <v>21</v>
      </c>
      <c r="M1100" s="1" t="s">
        <v>21</v>
      </c>
      <c r="N1100" s="1" t="s">
        <v>22</v>
      </c>
    </row>
    <row r="1101" spans="1:14" x14ac:dyDescent="0.25">
      <c r="A1101" s="1">
        <v>1100</v>
      </c>
      <c r="B1101" s="2" t="str">
        <f>HYPERLINK("https://leetcode.com/problems/find-k-length-substrings-with-no-repeated-characters/", "Find K-Length Substrings With No Repeated Characters")</f>
        <v>Find K-Length Substrings With No Repeated Characters</v>
      </c>
      <c r="C1101" s="1">
        <v>606</v>
      </c>
      <c r="D1101" s="1">
        <v>11</v>
      </c>
      <c r="E1101" s="3">
        <f>IF(INDEX(C:C, ROW())+INDEX(D:D, ROW())=0, 0, INDEX(C:C, ROW())/(INDEX(C:C, ROW())+INDEX(D:D, ROW())))</f>
        <v>0.98217179902755269</v>
      </c>
      <c r="F1101" s="1" t="s">
        <v>23</v>
      </c>
      <c r="G1101" s="1" t="s">
        <v>24</v>
      </c>
      <c r="H1101" s="1">
        <v>55833</v>
      </c>
      <c r="I1101" s="1">
        <v>73007</v>
      </c>
      <c r="J1101" s="7">
        <v>0.76500000000000001</v>
      </c>
      <c r="K1101" s="1" t="s">
        <v>29</v>
      </c>
      <c r="L1101" s="1" t="s">
        <v>21</v>
      </c>
      <c r="M1101" s="1" t="s">
        <v>29</v>
      </c>
      <c r="N1101" s="1" t="s">
        <v>22</v>
      </c>
    </row>
    <row r="1102" spans="1:14" x14ac:dyDescent="0.25">
      <c r="A1102" s="1">
        <v>1101</v>
      </c>
      <c r="B1102" s="2" t="str">
        <f>HYPERLINK("https://leetcode.com/problems/the-earliest-moment-when-everyone-become-friends/", "The Earliest Moment When Everyone Become Friends")</f>
        <v>The Earliest Moment When Everyone Become Friends</v>
      </c>
      <c r="C1102" s="1">
        <v>1110</v>
      </c>
      <c r="D1102" s="1">
        <v>41</v>
      </c>
      <c r="E1102" s="3">
        <f>IF(INDEX(C:C, ROW())+INDEX(D:D, ROW())=0, 0, INDEX(C:C, ROW())/(INDEX(C:C, ROW())+INDEX(D:D, ROW())))</f>
        <v>0.96437880104257168</v>
      </c>
      <c r="F1102" s="1" t="s">
        <v>684</v>
      </c>
      <c r="G1102" s="1" t="s">
        <v>24</v>
      </c>
      <c r="H1102" s="1">
        <v>130595</v>
      </c>
      <c r="I1102" s="1">
        <v>198086</v>
      </c>
      <c r="J1102" s="7">
        <v>0.65900000000000003</v>
      </c>
      <c r="K1102" s="1" t="s">
        <v>29</v>
      </c>
      <c r="L1102" s="1" t="s">
        <v>21</v>
      </c>
      <c r="M1102" s="1" t="s">
        <v>29</v>
      </c>
      <c r="N1102" s="1" t="s">
        <v>22</v>
      </c>
    </row>
    <row r="1103" spans="1:14" x14ac:dyDescent="0.25">
      <c r="A1103" s="1">
        <v>1102</v>
      </c>
      <c r="B1103" s="2" t="str">
        <f>HYPERLINK("https://leetcode.com/problems/path-with-maximum-minimum-value/", "Path With Maximum Minimum Value")</f>
        <v>Path With Maximum Minimum Value</v>
      </c>
      <c r="C1103" s="1">
        <v>1354</v>
      </c>
      <c r="D1103" s="1">
        <v>126</v>
      </c>
      <c r="E1103" s="3">
        <f>IF(INDEX(C:C, ROW())+INDEX(D:D, ROW())=0, 0, INDEX(C:C, ROW())/(INDEX(C:C, ROW())+INDEX(D:D, ROW())))</f>
        <v>0.91486486486486485</v>
      </c>
      <c r="F1103" s="1" t="s">
        <v>208</v>
      </c>
      <c r="G1103" s="1" t="s">
        <v>24</v>
      </c>
      <c r="H1103" s="1">
        <v>71784</v>
      </c>
      <c r="I1103" s="1">
        <v>131519</v>
      </c>
      <c r="J1103" s="7">
        <v>0.54600000000000004</v>
      </c>
      <c r="K1103" s="1" t="s">
        <v>29</v>
      </c>
      <c r="L1103" s="1" t="s">
        <v>21</v>
      </c>
      <c r="M1103" s="1" t="s">
        <v>29</v>
      </c>
      <c r="N1103" s="1" t="s">
        <v>22</v>
      </c>
    </row>
    <row r="1104" spans="1:14" x14ac:dyDescent="0.25">
      <c r="A1104" s="1">
        <v>1103</v>
      </c>
      <c r="B1104" s="2" t="str">
        <f>HYPERLINK("https://leetcode.com/problems/distribute-candies-to-people/", "Distribute Candies to People")</f>
        <v>Distribute Candies to People</v>
      </c>
      <c r="C1104" s="1">
        <v>1025</v>
      </c>
      <c r="D1104" s="1">
        <v>202</v>
      </c>
      <c r="E1104" s="3">
        <f>IF(INDEX(C:C, ROW())+INDEX(D:D, ROW())=0, 0, INDEX(C:C, ROW())/(INDEX(C:C, ROW())+INDEX(D:D, ROW())))</f>
        <v>0.83537082314588429</v>
      </c>
      <c r="F1104" s="1" t="s">
        <v>465</v>
      </c>
      <c r="G1104" s="1" t="s">
        <v>20</v>
      </c>
      <c r="H1104" s="1">
        <v>108286</v>
      </c>
      <c r="I1104" s="1">
        <v>160621</v>
      </c>
      <c r="J1104" s="7">
        <v>0.67400000000000004</v>
      </c>
      <c r="K1104" s="1" t="s">
        <v>21</v>
      </c>
      <c r="L1104" s="1" t="s">
        <v>21</v>
      </c>
      <c r="M1104" s="1" t="s">
        <v>29</v>
      </c>
      <c r="N1104" s="1" t="s">
        <v>22</v>
      </c>
    </row>
    <row r="1105" spans="1:14" x14ac:dyDescent="0.25">
      <c r="A1105" s="1">
        <v>1104</v>
      </c>
      <c r="B1105" s="2" t="str">
        <f>HYPERLINK("https://leetcode.com/problems/path-in-zigzag-labelled-binary-tree/", "Path In Zigzag Labelled Binary Tree")</f>
        <v>Path In Zigzag Labelled Binary Tree</v>
      </c>
      <c r="C1105" s="1">
        <v>1546</v>
      </c>
      <c r="D1105" s="1">
        <v>329</v>
      </c>
      <c r="E1105" s="3">
        <f>IF(INDEX(C:C, ROW())+INDEX(D:D, ROW())=0, 0, INDEX(C:C, ROW())/(INDEX(C:C, ROW())+INDEX(D:D, ROW())))</f>
        <v>0.82453333333333334</v>
      </c>
      <c r="F1105" s="1" t="s">
        <v>575</v>
      </c>
      <c r="G1105" s="1" t="s">
        <v>24</v>
      </c>
      <c r="H1105" s="1">
        <v>53033</v>
      </c>
      <c r="I1105" s="1">
        <v>70024</v>
      </c>
      <c r="J1105" s="7">
        <v>0.75700000000000001</v>
      </c>
      <c r="K1105" s="1" t="s">
        <v>21</v>
      </c>
      <c r="L1105" s="1" t="s">
        <v>29</v>
      </c>
      <c r="M1105" s="1" t="s">
        <v>29</v>
      </c>
      <c r="N1105" s="1" t="s">
        <v>22</v>
      </c>
    </row>
    <row r="1106" spans="1:14" x14ac:dyDescent="0.25">
      <c r="A1106" s="1">
        <v>1105</v>
      </c>
      <c r="B1106" s="2" t="str">
        <f>HYPERLINK("https://leetcode.com/problems/filling-bookcase-shelves/", "Filling Bookcase Shelves")</f>
        <v>Filling Bookcase Shelves</v>
      </c>
      <c r="C1106" s="1">
        <v>2674</v>
      </c>
      <c r="D1106" s="1">
        <v>267</v>
      </c>
      <c r="E1106" s="3">
        <f>IF(INDEX(C:C, ROW())+INDEX(D:D, ROW())=0, 0, INDEX(C:C, ROW())/(INDEX(C:C, ROW())+INDEX(D:D, ROW())))</f>
        <v>0.90921455287317243</v>
      </c>
      <c r="F1106" s="1" t="s">
        <v>30</v>
      </c>
      <c r="G1106" s="1" t="s">
        <v>24</v>
      </c>
      <c r="H1106" s="1">
        <v>157505</v>
      </c>
      <c r="I1106" s="1">
        <v>229462</v>
      </c>
      <c r="J1106" s="7">
        <v>0.68600000000000005</v>
      </c>
      <c r="K1106" s="1" t="s">
        <v>21</v>
      </c>
      <c r="L1106" s="1" t="s">
        <v>21</v>
      </c>
      <c r="M1106" s="1" t="s">
        <v>29</v>
      </c>
      <c r="N1106" s="1" t="s">
        <v>22</v>
      </c>
    </row>
    <row r="1107" spans="1:14" x14ac:dyDescent="0.25">
      <c r="A1107" s="1">
        <v>1106</v>
      </c>
      <c r="B1107" s="2" t="str">
        <f>HYPERLINK("https://leetcode.com/problems/parsing-a-boolean-expression/", "Parsing A Boolean Expression")</f>
        <v>Parsing A Boolean Expression</v>
      </c>
      <c r="C1107" s="1">
        <v>1923</v>
      </c>
      <c r="D1107" s="1">
        <v>86</v>
      </c>
      <c r="E1107" s="3">
        <f>IF(INDEX(C:C, ROW())+INDEX(D:D, ROW())=0, 0, INDEX(C:C, ROW())/(INDEX(C:C, ROW())+INDEX(D:D, ROW())))</f>
        <v>0.95719263315082126</v>
      </c>
      <c r="F1107" s="1" t="s">
        <v>91</v>
      </c>
      <c r="G1107" s="1" t="s">
        <v>28</v>
      </c>
      <c r="H1107" s="1">
        <v>145917</v>
      </c>
      <c r="I1107" s="1">
        <v>209057</v>
      </c>
      <c r="J1107" s="7">
        <v>0.69799999999999995</v>
      </c>
      <c r="K1107" s="1" t="s">
        <v>21</v>
      </c>
      <c r="L1107" s="1" t="s">
        <v>21</v>
      </c>
      <c r="M1107" s="1" t="s">
        <v>29</v>
      </c>
      <c r="N1107" s="1" t="s">
        <v>22</v>
      </c>
    </row>
    <row r="1108" spans="1:14" x14ac:dyDescent="0.25">
      <c r="A1108" s="1">
        <v>1107</v>
      </c>
      <c r="B1108" s="2" t="str">
        <f>HYPERLINK("https://leetcode.com/problems/new-users-daily-count/", "New Users Daily Count")</f>
        <v>New Users Daily Count</v>
      </c>
      <c r="C1108" s="1">
        <v>168</v>
      </c>
      <c r="D1108" s="1">
        <v>174</v>
      </c>
      <c r="E1108" s="3">
        <f>IF(INDEX(C:C, ROW())+INDEX(D:D, ROW())=0, 0, INDEX(C:C, ROW())/(INDEX(C:C, ROW())+INDEX(D:D, ROW())))</f>
        <v>0.49122807017543857</v>
      </c>
      <c r="F1108" s="1" t="s">
        <v>297</v>
      </c>
      <c r="G1108" s="1" t="s">
        <v>24</v>
      </c>
      <c r="H1108" s="1">
        <v>44496</v>
      </c>
      <c r="I1108" s="1">
        <v>99042</v>
      </c>
      <c r="J1108" s="7">
        <v>0.44900000000000001</v>
      </c>
      <c r="K1108" s="1" t="s">
        <v>29</v>
      </c>
      <c r="L1108" s="1" t="s">
        <v>21</v>
      </c>
      <c r="M1108" s="1" t="s">
        <v>29</v>
      </c>
      <c r="N1108" s="1" t="s">
        <v>297</v>
      </c>
    </row>
    <row r="1109" spans="1:14" x14ac:dyDescent="0.25">
      <c r="A1109" s="1">
        <v>1108</v>
      </c>
      <c r="B1109" s="2" t="str">
        <f>HYPERLINK("https://leetcode.com/problems/defanging-an-ip-address/", "Defanging an IP Address")</f>
        <v>Defanging an IP Address</v>
      </c>
      <c r="C1109" s="1">
        <v>2346</v>
      </c>
      <c r="D1109" s="1">
        <v>1784</v>
      </c>
      <c r="E1109" s="3">
        <f>IF(INDEX(C:C, ROW())+INDEX(D:D, ROW())=0, 0, INDEX(C:C, ROW())/(INDEX(C:C, ROW())+INDEX(D:D, ROW())))</f>
        <v>0.56803874092009687</v>
      </c>
      <c r="F1109" s="1" t="s">
        <v>146</v>
      </c>
      <c r="G1109" s="1" t="s">
        <v>20</v>
      </c>
      <c r="H1109" s="1">
        <v>838777</v>
      </c>
      <c r="I1109" s="1">
        <v>932295</v>
      </c>
      <c r="J1109" s="7">
        <v>0.9</v>
      </c>
      <c r="K1109" s="1" t="s">
        <v>21</v>
      </c>
      <c r="L1109" s="1" t="s">
        <v>29</v>
      </c>
      <c r="M1109" s="1" t="s">
        <v>29</v>
      </c>
      <c r="N1109" s="1" t="s">
        <v>22</v>
      </c>
    </row>
    <row r="1110" spans="1:14" x14ac:dyDescent="0.25">
      <c r="A1110" s="1">
        <v>1109</v>
      </c>
      <c r="B1110" s="2" t="str">
        <f>HYPERLINK("https://leetcode.com/problems/corporate-flight-bookings/", "Corporate Flight Bookings")</f>
        <v>Corporate Flight Bookings</v>
      </c>
      <c r="C1110" s="1">
        <v>1853</v>
      </c>
      <c r="D1110" s="1">
        <v>166</v>
      </c>
      <c r="E1110" s="3">
        <f>IF(INDEX(C:C, ROW())+INDEX(D:D, ROW())=0, 0, INDEX(C:C, ROW())/(INDEX(C:C, ROW())+INDEX(D:D, ROW())))</f>
        <v>0.91778107974244671</v>
      </c>
      <c r="F1110" s="1" t="s">
        <v>37</v>
      </c>
      <c r="G1110" s="1" t="s">
        <v>24</v>
      </c>
      <c r="H1110" s="1">
        <v>99754</v>
      </c>
      <c r="I1110" s="1">
        <v>150065</v>
      </c>
      <c r="J1110" s="7">
        <v>0.66500000000000004</v>
      </c>
      <c r="K1110" s="1" t="s">
        <v>21</v>
      </c>
      <c r="L1110" s="1" t="s">
        <v>29</v>
      </c>
      <c r="M1110" s="1" t="s">
        <v>29</v>
      </c>
      <c r="N1110" s="1" t="s">
        <v>22</v>
      </c>
    </row>
    <row r="1111" spans="1:14" x14ac:dyDescent="0.25">
      <c r="A1111" s="1">
        <v>1110</v>
      </c>
      <c r="B1111" s="2" t="str">
        <f>HYPERLINK("https://leetcode.com/problems/delete-nodes-and-return-forest/", "Delete Nodes And Return Forest")</f>
        <v>Delete Nodes And Return Forest</v>
      </c>
      <c r="C1111" s="1">
        <v>4790</v>
      </c>
      <c r="D1111" s="1">
        <v>144</v>
      </c>
      <c r="E1111" s="3">
        <f>IF(INDEX(C:C, ROW())+INDEX(D:D, ROW())=0, 0, INDEX(C:C, ROW())/(INDEX(C:C, ROW())+INDEX(D:D, ROW())))</f>
        <v>0.97081475476286994</v>
      </c>
      <c r="F1111" s="1" t="s">
        <v>271</v>
      </c>
      <c r="G1111" s="1" t="s">
        <v>24</v>
      </c>
      <c r="H1111" s="1">
        <v>389517</v>
      </c>
      <c r="I1111" s="1">
        <v>537521</v>
      </c>
      <c r="J1111" s="7">
        <v>0.72499999999999998</v>
      </c>
      <c r="K1111" s="1" t="s">
        <v>21</v>
      </c>
      <c r="L1111" s="1" t="s">
        <v>21</v>
      </c>
      <c r="M1111" s="1" t="s">
        <v>29</v>
      </c>
      <c r="N1111" s="1" t="s">
        <v>22</v>
      </c>
    </row>
    <row r="1112" spans="1:14" x14ac:dyDescent="0.25">
      <c r="A1112" s="1">
        <v>1111</v>
      </c>
      <c r="B1112" s="2" t="str">
        <f>HYPERLINK("https://leetcode.com/problems/maximum-nesting-depth-of-two-valid-parentheses-strings/", "Maximum Nesting Depth of Two Valid Parentheses Strings")</f>
        <v>Maximum Nesting Depth of Two Valid Parentheses Strings</v>
      </c>
      <c r="C1112" s="1">
        <v>468</v>
      </c>
      <c r="D1112" s="1">
        <v>1919</v>
      </c>
      <c r="E1112" s="3">
        <f>IF(INDEX(C:C, ROW())+INDEX(D:D, ROW())=0, 0, INDEX(C:C, ROW())/(INDEX(C:C, ROW())+INDEX(D:D, ROW())))</f>
        <v>0.19606200251361541</v>
      </c>
      <c r="F1112" s="1" t="s">
        <v>36</v>
      </c>
      <c r="G1112" s="1" t="s">
        <v>24</v>
      </c>
      <c r="H1112" s="1">
        <v>32938</v>
      </c>
      <c r="I1112" s="1">
        <v>45859</v>
      </c>
      <c r="J1112" s="7">
        <v>0.71799999999999997</v>
      </c>
      <c r="K1112" s="1" t="s">
        <v>21</v>
      </c>
      <c r="L1112" s="1" t="s">
        <v>29</v>
      </c>
      <c r="M1112" s="1" t="s">
        <v>29</v>
      </c>
      <c r="N1112" s="1" t="s">
        <v>22</v>
      </c>
    </row>
    <row r="1113" spans="1:14" x14ac:dyDescent="0.25">
      <c r="A1113" s="1">
        <v>1112</v>
      </c>
      <c r="B1113" s="2" t="str">
        <f>HYPERLINK("https://leetcode.com/problems/highest-grade-for-each-student/", "Highest Grade For Each Student")</f>
        <v>Highest Grade For Each Student</v>
      </c>
      <c r="C1113" s="1">
        <v>315</v>
      </c>
      <c r="D1113" s="1">
        <v>15</v>
      </c>
      <c r="E1113" s="3">
        <f>IF(INDEX(C:C, ROW())+INDEX(D:D, ROW())=0, 0, INDEX(C:C, ROW())/(INDEX(C:C, ROW())+INDEX(D:D, ROW())))</f>
        <v>0.95454545454545459</v>
      </c>
      <c r="F1113" s="1" t="s">
        <v>297</v>
      </c>
      <c r="G1113" s="1" t="s">
        <v>24</v>
      </c>
      <c r="H1113" s="1">
        <v>77608</v>
      </c>
      <c r="I1113" s="1">
        <v>109140</v>
      </c>
      <c r="J1113" s="7">
        <v>0.71099999999999997</v>
      </c>
      <c r="K1113" s="1" t="s">
        <v>29</v>
      </c>
      <c r="L1113" s="1" t="s">
        <v>21</v>
      </c>
      <c r="M1113" s="1" t="s">
        <v>29</v>
      </c>
      <c r="N1113" s="1" t="s">
        <v>297</v>
      </c>
    </row>
    <row r="1114" spans="1:14" x14ac:dyDescent="0.25">
      <c r="A1114" s="1">
        <v>1113</v>
      </c>
      <c r="B1114" s="2" t="str">
        <f>HYPERLINK("https://leetcode.com/problems/reported-posts/", "Reported Posts")</f>
        <v>Reported Posts</v>
      </c>
      <c r="C1114" s="1">
        <v>118</v>
      </c>
      <c r="D1114" s="1">
        <v>420</v>
      </c>
      <c r="E1114" s="3">
        <f>IF(INDEX(C:C, ROW())+INDEX(D:D, ROW())=0, 0, INDEX(C:C, ROW())/(INDEX(C:C, ROW())+INDEX(D:D, ROW())))</f>
        <v>0.21933085501858737</v>
      </c>
      <c r="F1114" s="1" t="s">
        <v>297</v>
      </c>
      <c r="G1114" s="1" t="s">
        <v>20</v>
      </c>
      <c r="H1114" s="1">
        <v>53788</v>
      </c>
      <c r="I1114" s="1">
        <v>82971</v>
      </c>
      <c r="J1114" s="7">
        <v>0.64800000000000002</v>
      </c>
      <c r="K1114" s="1" t="s">
        <v>29</v>
      </c>
      <c r="L1114" s="1" t="s">
        <v>21</v>
      </c>
      <c r="M1114" s="1" t="s">
        <v>29</v>
      </c>
      <c r="N1114" s="1" t="s">
        <v>297</v>
      </c>
    </row>
    <row r="1115" spans="1:14" x14ac:dyDescent="0.25">
      <c r="A1115" s="1">
        <v>1114</v>
      </c>
      <c r="B1115" s="2" t="str">
        <f>HYPERLINK("https://leetcode.com/problems/print-in-order/", "Print in Order")</f>
        <v>Print in Order</v>
      </c>
      <c r="C1115" s="1">
        <v>1592</v>
      </c>
      <c r="D1115" s="1">
        <v>219</v>
      </c>
      <c r="E1115" s="3">
        <f>IF(INDEX(C:C, ROW())+INDEX(D:D, ROW())=0, 0, INDEX(C:C, ROW())/(INDEX(C:C, ROW())+INDEX(D:D, ROW())))</f>
        <v>0.8790723357261182</v>
      </c>
      <c r="F1115" s="1" t="s">
        <v>561</v>
      </c>
      <c r="G1115" s="1" t="s">
        <v>20</v>
      </c>
      <c r="H1115" s="1">
        <v>230092</v>
      </c>
      <c r="I1115" s="1">
        <v>316241</v>
      </c>
      <c r="J1115" s="7">
        <v>0.72799999999999998</v>
      </c>
      <c r="K1115" s="1" t="s">
        <v>21</v>
      </c>
      <c r="L1115" s="1" t="s">
        <v>21</v>
      </c>
      <c r="M1115" s="1" t="s">
        <v>29</v>
      </c>
      <c r="N1115" s="1" t="s">
        <v>561</v>
      </c>
    </row>
    <row r="1116" spans="1:14" x14ac:dyDescent="0.25">
      <c r="A1116" s="1">
        <v>1115</v>
      </c>
      <c r="B1116" s="2" t="str">
        <f>HYPERLINK("https://leetcode.com/problems/print-foobar-alternately/", "Print FooBar Alternately")</f>
        <v>Print FooBar Alternately</v>
      </c>
      <c r="C1116" s="1">
        <v>753</v>
      </c>
      <c r="D1116" s="1">
        <v>60</v>
      </c>
      <c r="E1116" s="3">
        <f>IF(INDEX(C:C, ROW())+INDEX(D:D, ROW())=0, 0, INDEX(C:C, ROW())/(INDEX(C:C, ROW())+INDEX(D:D, ROW())))</f>
        <v>0.92619926199261993</v>
      </c>
      <c r="F1116" s="1" t="s">
        <v>561</v>
      </c>
      <c r="G1116" s="1" t="s">
        <v>24</v>
      </c>
      <c r="H1116" s="1">
        <v>133577</v>
      </c>
      <c r="I1116" s="1">
        <v>185467</v>
      </c>
      <c r="J1116" s="7">
        <v>0.72</v>
      </c>
      <c r="K1116" s="1" t="s">
        <v>21</v>
      </c>
      <c r="L1116" s="1" t="s">
        <v>29</v>
      </c>
      <c r="M1116" s="1" t="s">
        <v>29</v>
      </c>
      <c r="N1116" s="1" t="s">
        <v>561</v>
      </c>
    </row>
    <row r="1117" spans="1:14" x14ac:dyDescent="0.25">
      <c r="A1117" s="1">
        <v>1116</v>
      </c>
      <c r="B1117" s="2" t="str">
        <f>HYPERLINK("https://leetcode.com/problems/print-zero-even-odd/", "Print Zero Even Odd")</f>
        <v>Print Zero Even Odd</v>
      </c>
      <c r="C1117" s="1">
        <v>554</v>
      </c>
      <c r="D1117" s="1">
        <v>372</v>
      </c>
      <c r="E1117" s="3">
        <f>IF(INDEX(C:C, ROW())+INDEX(D:D, ROW())=0, 0, INDEX(C:C, ROW())/(INDEX(C:C, ROW())+INDEX(D:D, ROW())))</f>
        <v>0.59827213822894165</v>
      </c>
      <c r="F1117" s="1" t="s">
        <v>561</v>
      </c>
      <c r="G1117" s="1" t="s">
        <v>24</v>
      </c>
      <c r="H1117" s="1">
        <v>80849</v>
      </c>
      <c r="I1117" s="1">
        <v>123950</v>
      </c>
      <c r="J1117" s="7">
        <v>0.65200000000000002</v>
      </c>
      <c r="K1117" s="1" t="s">
        <v>21</v>
      </c>
      <c r="L1117" s="1" t="s">
        <v>29</v>
      </c>
      <c r="M1117" s="1" t="s">
        <v>29</v>
      </c>
      <c r="N1117" s="1" t="s">
        <v>561</v>
      </c>
    </row>
    <row r="1118" spans="1:14" x14ac:dyDescent="0.25">
      <c r="A1118" s="1">
        <v>1117</v>
      </c>
      <c r="B1118" s="2" t="str">
        <f>HYPERLINK("https://leetcode.com/problems/building-h2o/", "Building H2O")</f>
        <v>Building H2O</v>
      </c>
      <c r="C1118" s="1">
        <v>579</v>
      </c>
      <c r="D1118" s="1">
        <v>193</v>
      </c>
      <c r="E1118" s="3">
        <f>IF(INDEX(C:C, ROW())+INDEX(D:D, ROW())=0, 0, INDEX(C:C, ROW())/(INDEX(C:C, ROW())+INDEX(D:D, ROW())))</f>
        <v>0.75</v>
      </c>
      <c r="F1118" s="1" t="s">
        <v>561</v>
      </c>
      <c r="G1118" s="1" t="s">
        <v>24</v>
      </c>
      <c r="H1118" s="1">
        <v>83775</v>
      </c>
      <c r="I1118" s="1">
        <v>143511</v>
      </c>
      <c r="J1118" s="7">
        <v>0.58399999999999996</v>
      </c>
      <c r="K1118" s="1" t="s">
        <v>21</v>
      </c>
      <c r="L1118" s="1" t="s">
        <v>29</v>
      </c>
      <c r="M1118" s="1" t="s">
        <v>29</v>
      </c>
      <c r="N1118" s="1" t="s">
        <v>561</v>
      </c>
    </row>
    <row r="1119" spans="1:14" x14ac:dyDescent="0.25">
      <c r="A1119" s="1">
        <v>1118</v>
      </c>
      <c r="B1119" s="2" t="str">
        <f>HYPERLINK("https://leetcode.com/problems/number-of-days-in-a-month/", "Number of Days in a Month")</f>
        <v>Number of Days in a Month</v>
      </c>
      <c r="C1119" s="1">
        <v>47</v>
      </c>
      <c r="D1119" s="1">
        <v>180</v>
      </c>
      <c r="E1119" s="3">
        <f>IF(INDEX(C:C, ROW())+INDEX(D:D, ROW())=0, 0, INDEX(C:C, ROW())/(INDEX(C:C, ROW())+INDEX(D:D, ROW())))</f>
        <v>0.20704845814977973</v>
      </c>
      <c r="F1119" s="1" t="s">
        <v>84</v>
      </c>
      <c r="G1119" s="1" t="s">
        <v>20</v>
      </c>
      <c r="H1119" s="1">
        <v>9665</v>
      </c>
      <c r="I1119" s="1">
        <v>16290</v>
      </c>
      <c r="J1119" s="7">
        <v>0.59299999999999997</v>
      </c>
      <c r="K1119" s="1" t="s">
        <v>29</v>
      </c>
      <c r="L1119" s="1" t="s">
        <v>29</v>
      </c>
      <c r="M1119" s="1" t="s">
        <v>29</v>
      </c>
      <c r="N1119" s="1" t="s">
        <v>22</v>
      </c>
    </row>
    <row r="1120" spans="1:14" x14ac:dyDescent="0.25">
      <c r="A1120" s="1">
        <v>1119</v>
      </c>
      <c r="B1120" s="2" t="str">
        <f>HYPERLINK("https://leetcode.com/problems/remove-vowels-from-a-string/", "Remove Vowels from a String")</f>
        <v>Remove Vowels from a String</v>
      </c>
      <c r="C1120" s="1">
        <v>368</v>
      </c>
      <c r="D1120" s="1">
        <v>116</v>
      </c>
      <c r="E1120" s="3">
        <f>IF(INDEX(C:C, ROW())+INDEX(D:D, ROW())=0, 0, INDEX(C:C, ROW())/(INDEX(C:C, ROW())+INDEX(D:D, ROW())))</f>
        <v>0.76033057851239672</v>
      </c>
      <c r="F1120" s="1" t="s">
        <v>146</v>
      </c>
      <c r="G1120" s="1" t="s">
        <v>20</v>
      </c>
      <c r="H1120" s="1">
        <v>117667</v>
      </c>
      <c r="I1120" s="1">
        <v>128895</v>
      </c>
      <c r="J1120" s="7">
        <v>0.91300000000000003</v>
      </c>
      <c r="K1120" s="1" t="s">
        <v>29</v>
      </c>
      <c r="L1120" s="1" t="s">
        <v>21</v>
      </c>
      <c r="M1120" s="1" t="s">
        <v>29</v>
      </c>
      <c r="N1120" s="1" t="s">
        <v>22</v>
      </c>
    </row>
    <row r="1121" spans="1:14" x14ac:dyDescent="0.25">
      <c r="A1121" s="1">
        <v>1120</v>
      </c>
      <c r="B1121" s="2" t="str">
        <f>HYPERLINK("https://leetcode.com/problems/maximum-average-subtree/", "Maximum Average Subtree")</f>
        <v>Maximum Average Subtree</v>
      </c>
      <c r="C1121" s="1">
        <v>858</v>
      </c>
      <c r="D1121" s="1">
        <v>36</v>
      </c>
      <c r="E1121" s="3">
        <f>IF(INDEX(C:C, ROW())+INDEX(D:D, ROW())=0, 0, INDEX(C:C, ROW())/(INDEX(C:C, ROW())+INDEX(D:D, ROW())))</f>
        <v>0.95973154362416102</v>
      </c>
      <c r="F1121" s="1" t="s">
        <v>67</v>
      </c>
      <c r="G1121" s="1" t="s">
        <v>24</v>
      </c>
      <c r="H1121" s="1">
        <v>73768</v>
      </c>
      <c r="I1121" s="1">
        <v>110247</v>
      </c>
      <c r="J1121" s="7">
        <v>0.66900000000000004</v>
      </c>
      <c r="K1121" s="1" t="s">
        <v>29</v>
      </c>
      <c r="L1121" s="1" t="s">
        <v>21</v>
      </c>
      <c r="M1121" s="1" t="s">
        <v>29</v>
      </c>
      <c r="N1121" s="1" t="s">
        <v>22</v>
      </c>
    </row>
    <row r="1122" spans="1:14" x14ac:dyDescent="0.25">
      <c r="A1122" s="1">
        <v>1121</v>
      </c>
      <c r="B1122" s="2" t="str">
        <f>HYPERLINK("https://leetcode.com/problems/divide-array-into-increasing-sequences/", "Divide Array Into Increasing Sequences")</f>
        <v>Divide Array Into Increasing Sequences</v>
      </c>
      <c r="C1122" s="1">
        <v>133</v>
      </c>
      <c r="D1122" s="1">
        <v>32</v>
      </c>
      <c r="E1122" s="3">
        <f>IF(INDEX(C:C, ROW())+INDEX(D:D, ROW())=0, 0, INDEX(C:C, ROW())/(INDEX(C:C, ROW())+INDEX(D:D, ROW())))</f>
        <v>0.80606060606060603</v>
      </c>
      <c r="F1122" s="1" t="s">
        <v>1151</v>
      </c>
      <c r="G1122" s="1" t="s">
        <v>28</v>
      </c>
      <c r="H1122" s="1">
        <v>7267</v>
      </c>
      <c r="I1122" s="1">
        <v>11120</v>
      </c>
      <c r="J1122" s="7">
        <v>0.65400000000000003</v>
      </c>
      <c r="K1122" s="1" t="s">
        <v>29</v>
      </c>
      <c r="L1122" s="1" t="s">
        <v>21</v>
      </c>
      <c r="M1122" s="1" t="s">
        <v>29</v>
      </c>
      <c r="N1122" s="1" t="s">
        <v>22</v>
      </c>
    </row>
    <row r="1123" spans="1:14" x14ac:dyDescent="0.25">
      <c r="A1123" s="1">
        <v>1122</v>
      </c>
      <c r="B1123" s="2" t="str">
        <f>HYPERLINK("https://leetcode.com/problems/relative-sort-array/", "Relative Sort Array")</f>
        <v>Relative Sort Array</v>
      </c>
      <c r="C1123" s="1">
        <v>3342</v>
      </c>
      <c r="D1123" s="1">
        <v>199</v>
      </c>
      <c r="E1123" s="3">
        <f>IF(INDEX(C:C, ROW())+INDEX(D:D, ROW())=0, 0, INDEX(C:C, ROW())/(INDEX(C:C, ROW())+INDEX(D:D, ROW())))</f>
        <v>0.94380118610561992</v>
      </c>
      <c r="F1123" s="1" t="s">
        <v>229</v>
      </c>
      <c r="G1123" s="1" t="s">
        <v>20</v>
      </c>
      <c r="H1123" s="1">
        <v>398258</v>
      </c>
      <c r="I1123" s="1">
        <v>530315</v>
      </c>
      <c r="J1123" s="7">
        <v>0.751</v>
      </c>
      <c r="K1123" s="1" t="s">
        <v>21</v>
      </c>
      <c r="L1123" s="1" t="s">
        <v>21</v>
      </c>
      <c r="M1123" s="1" t="s">
        <v>29</v>
      </c>
      <c r="N1123" s="1" t="s">
        <v>22</v>
      </c>
    </row>
    <row r="1124" spans="1:14" x14ac:dyDescent="0.25">
      <c r="A1124" s="1">
        <v>1123</v>
      </c>
      <c r="B1124" s="2" t="str">
        <f>HYPERLINK("https://leetcode.com/problems/lowest-common-ancestor-of-deepest-leaves/", "Lowest Common Ancestor of Deepest Leaves")</f>
        <v>Lowest Common Ancestor of Deepest Leaves</v>
      </c>
      <c r="C1124" s="1">
        <v>2660</v>
      </c>
      <c r="D1124" s="1">
        <v>948</v>
      </c>
      <c r="E1124" s="3">
        <f>IF(INDEX(C:C, ROW())+INDEX(D:D, ROW())=0, 0, INDEX(C:C, ROW())/(INDEX(C:C, ROW())+INDEX(D:D, ROW())))</f>
        <v>0.7372505543237251</v>
      </c>
      <c r="F1124" s="1" t="s">
        <v>107</v>
      </c>
      <c r="G1124" s="1" t="s">
        <v>24</v>
      </c>
      <c r="H1124" s="1">
        <v>248898</v>
      </c>
      <c r="I1124" s="1">
        <v>313370</v>
      </c>
      <c r="J1124" s="7">
        <v>0.79400000000000004</v>
      </c>
      <c r="K1124" s="1" t="s">
        <v>21</v>
      </c>
      <c r="L1124" s="1" t="s">
        <v>21</v>
      </c>
      <c r="M1124" s="1" t="s">
        <v>29</v>
      </c>
      <c r="N1124" s="1" t="s">
        <v>22</v>
      </c>
    </row>
    <row r="1125" spans="1:14" x14ac:dyDescent="0.25">
      <c r="A1125" s="1">
        <v>1124</v>
      </c>
      <c r="B1125" s="2" t="str">
        <f>HYPERLINK("https://leetcode.com/problems/longest-well-performing-interval/", "Longest Well-Performing Interval")</f>
        <v>Longest Well-Performing Interval</v>
      </c>
      <c r="C1125" s="1">
        <v>1528</v>
      </c>
      <c r="D1125" s="1">
        <v>122</v>
      </c>
      <c r="E1125" s="3">
        <f>IF(INDEX(C:C, ROW())+INDEX(D:D, ROW())=0, 0, INDEX(C:C, ROW())/(INDEX(C:C, ROW())+INDEX(D:D, ROW())))</f>
        <v>0.92606060606060603</v>
      </c>
      <c r="F1125" s="1" t="s">
        <v>582</v>
      </c>
      <c r="G1125" s="1" t="s">
        <v>24</v>
      </c>
      <c r="H1125" s="1">
        <v>44937</v>
      </c>
      <c r="I1125" s="1">
        <v>121431</v>
      </c>
      <c r="J1125" s="7">
        <v>0.37</v>
      </c>
      <c r="K1125" s="1" t="s">
        <v>21</v>
      </c>
      <c r="L1125" s="1" t="s">
        <v>29</v>
      </c>
      <c r="M1125" s="1" t="s">
        <v>29</v>
      </c>
      <c r="N1125" s="1" t="s">
        <v>22</v>
      </c>
    </row>
    <row r="1126" spans="1:14" x14ac:dyDescent="0.25">
      <c r="A1126" s="1">
        <v>1125</v>
      </c>
      <c r="B1126" s="2" t="str">
        <f>HYPERLINK("https://leetcode.com/problems/smallest-sufficient-team/", "Smallest Sufficient Team")</f>
        <v>Smallest Sufficient Team</v>
      </c>
      <c r="C1126" s="1">
        <v>2267</v>
      </c>
      <c r="D1126" s="1">
        <v>57</v>
      </c>
      <c r="E1126" s="3">
        <f>IF(INDEX(C:C, ROW())+INDEX(D:D, ROW())=0, 0, INDEX(C:C, ROW())/(INDEX(C:C, ROW())+INDEX(D:D, ROW())))</f>
        <v>0.97547332185886404</v>
      </c>
      <c r="F1126" s="1" t="s">
        <v>462</v>
      </c>
      <c r="G1126" s="1" t="s">
        <v>28</v>
      </c>
      <c r="H1126" s="1">
        <v>72083</v>
      </c>
      <c r="I1126" s="1">
        <v>130152</v>
      </c>
      <c r="J1126" s="7">
        <v>0.55400000000000005</v>
      </c>
      <c r="K1126" s="1" t="s">
        <v>21</v>
      </c>
      <c r="L1126" s="1" t="s">
        <v>21</v>
      </c>
      <c r="M1126" s="1" t="s">
        <v>29</v>
      </c>
      <c r="N1126" s="1" t="s">
        <v>22</v>
      </c>
    </row>
    <row r="1127" spans="1:14" x14ac:dyDescent="0.25">
      <c r="A1127" s="1">
        <v>1126</v>
      </c>
      <c r="B1127" s="2" t="str">
        <f>HYPERLINK("https://leetcode.com/problems/active-businesses/", "Active Businesses")</f>
        <v>Active Businesses</v>
      </c>
      <c r="C1127" s="1">
        <v>283</v>
      </c>
      <c r="D1127" s="1">
        <v>34</v>
      </c>
      <c r="E1127" s="3">
        <f>IF(INDEX(C:C, ROW())+INDEX(D:D, ROW())=0, 0, INDEX(C:C, ROW())/(INDEX(C:C, ROW())+INDEX(D:D, ROW())))</f>
        <v>0.89274447949526814</v>
      </c>
      <c r="F1127" s="1" t="s">
        <v>297</v>
      </c>
      <c r="G1127" s="1" t="s">
        <v>24</v>
      </c>
      <c r="H1127" s="1">
        <v>52464</v>
      </c>
      <c r="I1127" s="1">
        <v>79502</v>
      </c>
      <c r="J1127" s="7">
        <v>0.66</v>
      </c>
      <c r="K1127" s="1" t="s">
        <v>29</v>
      </c>
      <c r="L1127" s="1" t="s">
        <v>21</v>
      </c>
      <c r="M1127" s="1" t="s">
        <v>29</v>
      </c>
      <c r="N1127" s="1" t="s">
        <v>297</v>
      </c>
    </row>
    <row r="1128" spans="1:14" x14ac:dyDescent="0.25">
      <c r="A1128" s="1">
        <v>1127</v>
      </c>
      <c r="B1128" s="2" t="str">
        <f>HYPERLINK("https://leetcode.com/problems/user-purchase-platform/", "User Purchase Platform")</f>
        <v>User Purchase Platform</v>
      </c>
      <c r="C1128" s="1">
        <v>188</v>
      </c>
      <c r="D1128" s="1">
        <v>138</v>
      </c>
      <c r="E1128" s="3">
        <f>IF(INDEX(C:C, ROW())+INDEX(D:D, ROW())=0, 0, INDEX(C:C, ROW())/(INDEX(C:C, ROW())+INDEX(D:D, ROW())))</f>
        <v>0.57668711656441718</v>
      </c>
      <c r="F1128" s="1" t="s">
        <v>297</v>
      </c>
      <c r="G1128" s="1" t="s">
        <v>28</v>
      </c>
      <c r="H1128" s="1">
        <v>19597</v>
      </c>
      <c r="I1128" s="1">
        <v>42459</v>
      </c>
      <c r="J1128" s="7">
        <v>0.46200000000000002</v>
      </c>
      <c r="K1128" s="1" t="s">
        <v>29</v>
      </c>
      <c r="L1128" s="1" t="s">
        <v>29</v>
      </c>
      <c r="M1128" s="1" t="s">
        <v>29</v>
      </c>
      <c r="N1128" s="1" t="s">
        <v>297</v>
      </c>
    </row>
    <row r="1129" spans="1:14" x14ac:dyDescent="0.25">
      <c r="A1129" s="1">
        <v>1128</v>
      </c>
      <c r="B1129" s="2" t="str">
        <f>HYPERLINK("https://leetcode.com/problems/number-of-equivalent-domino-pairs/", "Number of Equivalent Domino Pairs")</f>
        <v>Number of Equivalent Domino Pairs</v>
      </c>
      <c r="C1129" s="1">
        <v>1115</v>
      </c>
      <c r="D1129" s="1">
        <v>376</v>
      </c>
      <c r="E1129" s="3">
        <f>IF(INDEX(C:C, ROW())+INDEX(D:D, ROW())=0, 0, INDEX(C:C, ROW())/(INDEX(C:C, ROW())+INDEX(D:D, ROW())))</f>
        <v>0.74782025486250836</v>
      </c>
      <c r="F1129" s="1" t="s">
        <v>294</v>
      </c>
      <c r="G1129" s="1" t="s">
        <v>20</v>
      </c>
      <c r="H1129" s="1">
        <v>201736</v>
      </c>
      <c r="I1129" s="1">
        <v>332671</v>
      </c>
      <c r="J1129" s="7">
        <v>0.60599999999999998</v>
      </c>
      <c r="K1129" s="1" t="s">
        <v>21</v>
      </c>
      <c r="L1129" s="1" t="s">
        <v>21</v>
      </c>
      <c r="M1129" s="1" t="s">
        <v>29</v>
      </c>
      <c r="N1129" s="1" t="s">
        <v>22</v>
      </c>
    </row>
    <row r="1130" spans="1:14" x14ac:dyDescent="0.25">
      <c r="A1130" s="1">
        <v>1129</v>
      </c>
      <c r="B1130" s="2" t="str">
        <f>HYPERLINK("https://leetcode.com/problems/shortest-path-with-alternating-colors/", "Shortest Path with Alternating Colors")</f>
        <v>Shortest Path with Alternating Colors</v>
      </c>
      <c r="C1130" s="1">
        <v>3701</v>
      </c>
      <c r="D1130" s="1">
        <v>205</v>
      </c>
      <c r="E1130" s="3">
        <f>IF(INDEX(C:C, ROW())+INDEX(D:D, ROW())=0, 0, INDEX(C:C, ROW())/(INDEX(C:C, ROW())+INDEX(D:D, ROW())))</f>
        <v>0.9475166410650282</v>
      </c>
      <c r="F1130" s="1" t="s">
        <v>331</v>
      </c>
      <c r="G1130" s="1" t="s">
        <v>24</v>
      </c>
      <c r="H1130" s="1">
        <v>150045</v>
      </c>
      <c r="I1130" s="1">
        <v>314432</v>
      </c>
      <c r="J1130" s="7">
        <v>0.47699999999999998</v>
      </c>
      <c r="K1130" s="1" t="s">
        <v>21</v>
      </c>
      <c r="L1130" s="1" t="s">
        <v>21</v>
      </c>
      <c r="M1130" s="1" t="s">
        <v>29</v>
      </c>
      <c r="N1130" s="1" t="s">
        <v>22</v>
      </c>
    </row>
    <row r="1131" spans="1:14" x14ac:dyDescent="0.25">
      <c r="A1131" s="1">
        <v>1130</v>
      </c>
      <c r="B1131" s="2" t="str">
        <f>HYPERLINK("https://leetcode.com/problems/minimum-cost-tree-from-leaf-values/", "Minimum Cost Tree From Leaf Values")</f>
        <v>Minimum Cost Tree From Leaf Values</v>
      </c>
      <c r="C1131" s="1">
        <v>4427</v>
      </c>
      <c r="D1131" s="1">
        <v>282</v>
      </c>
      <c r="E1131" s="3">
        <f>IF(INDEX(C:C, ROW())+INDEX(D:D, ROW())=0, 0, INDEX(C:C, ROW())/(INDEX(C:C, ROW())+INDEX(D:D, ROW())))</f>
        <v>0.94011467402845617</v>
      </c>
      <c r="F1131" s="1" t="s">
        <v>289</v>
      </c>
      <c r="G1131" s="1" t="s">
        <v>24</v>
      </c>
      <c r="H1131" s="1">
        <v>119605</v>
      </c>
      <c r="I1131" s="1">
        <v>176444</v>
      </c>
      <c r="J1131" s="7">
        <v>0.67800000000000005</v>
      </c>
      <c r="K1131" s="1" t="s">
        <v>21</v>
      </c>
      <c r="L1131" s="1" t="s">
        <v>29</v>
      </c>
      <c r="M1131" s="1" t="s">
        <v>29</v>
      </c>
      <c r="N1131" s="1" t="s">
        <v>22</v>
      </c>
    </row>
    <row r="1132" spans="1:14" x14ac:dyDescent="0.25">
      <c r="A1132" s="1">
        <v>1131</v>
      </c>
      <c r="B1132" s="2" t="str">
        <f>HYPERLINK("https://leetcode.com/problems/maximum-of-absolute-value-expression/", "Maximum of Absolute Value Expression")</f>
        <v>Maximum of Absolute Value Expression</v>
      </c>
      <c r="C1132" s="1">
        <v>676</v>
      </c>
      <c r="D1132" s="1">
        <v>419</v>
      </c>
      <c r="E1132" s="3">
        <f>IF(INDEX(C:C, ROW())+INDEX(D:D, ROW())=0, 0, INDEX(C:C, ROW())/(INDEX(C:C, ROW())+INDEX(D:D, ROW())))</f>
        <v>0.61735159817351604</v>
      </c>
      <c r="F1132" s="1" t="s">
        <v>115</v>
      </c>
      <c r="G1132" s="1" t="s">
        <v>24</v>
      </c>
      <c r="H1132" s="1">
        <v>30177</v>
      </c>
      <c r="I1132" s="1">
        <v>62096</v>
      </c>
      <c r="J1132" s="7">
        <v>0.48599999999999999</v>
      </c>
      <c r="K1132" s="1" t="s">
        <v>21</v>
      </c>
      <c r="L1132" s="1" t="s">
        <v>29</v>
      </c>
      <c r="M1132" s="1" t="s">
        <v>29</v>
      </c>
      <c r="N1132" s="1" t="s">
        <v>22</v>
      </c>
    </row>
    <row r="1133" spans="1:14" x14ac:dyDescent="0.25">
      <c r="A1133" s="1">
        <v>1132</v>
      </c>
      <c r="B1133" s="2" t="str">
        <f>HYPERLINK("https://leetcode.com/problems/reported-posts-ii/", "Reported Posts II")</f>
        <v>Reported Posts II</v>
      </c>
      <c r="C1133" s="1">
        <v>172</v>
      </c>
      <c r="D1133" s="1">
        <v>578</v>
      </c>
      <c r="E1133" s="3">
        <f>IF(INDEX(C:C, ROW())+INDEX(D:D, ROW())=0, 0, INDEX(C:C, ROW())/(INDEX(C:C, ROW())+INDEX(D:D, ROW())))</f>
        <v>0.22933333333333333</v>
      </c>
      <c r="F1133" s="1" t="s">
        <v>297</v>
      </c>
      <c r="G1133" s="1" t="s">
        <v>24</v>
      </c>
      <c r="H1133" s="1">
        <v>44705</v>
      </c>
      <c r="I1133" s="1">
        <v>139674</v>
      </c>
      <c r="J1133" s="7">
        <v>0.32</v>
      </c>
      <c r="K1133" s="1" t="s">
        <v>29</v>
      </c>
      <c r="L1133" s="1" t="s">
        <v>21</v>
      </c>
      <c r="M1133" s="1" t="s">
        <v>29</v>
      </c>
      <c r="N1133" s="1" t="s">
        <v>297</v>
      </c>
    </row>
    <row r="1134" spans="1:14" x14ac:dyDescent="0.25">
      <c r="A1134" s="1">
        <v>1133</v>
      </c>
      <c r="B1134" s="2" t="str">
        <f>HYPERLINK("https://leetcode.com/problems/largest-unique-number/", "Largest Unique Number")</f>
        <v>Largest Unique Number</v>
      </c>
      <c r="C1134" s="1">
        <v>355</v>
      </c>
      <c r="D1134" s="1">
        <v>18</v>
      </c>
      <c r="E1134" s="3">
        <f>IF(INDEX(C:C, ROW())+INDEX(D:D, ROW())=0, 0, INDEX(C:C, ROW())/(INDEX(C:C, ROW())+INDEX(D:D, ROW())))</f>
        <v>0.95174262734584447</v>
      </c>
      <c r="F1134" s="1" t="s">
        <v>92</v>
      </c>
      <c r="G1134" s="1" t="s">
        <v>20</v>
      </c>
      <c r="H1134" s="1">
        <v>109324</v>
      </c>
      <c r="I1134" s="1">
        <v>153349</v>
      </c>
      <c r="J1134" s="7">
        <v>0.71299999999999997</v>
      </c>
      <c r="K1134" s="1" t="s">
        <v>29</v>
      </c>
      <c r="L1134" s="1" t="s">
        <v>21</v>
      </c>
      <c r="M1134" s="1" t="s">
        <v>29</v>
      </c>
      <c r="N1134" s="1" t="s">
        <v>22</v>
      </c>
    </row>
    <row r="1135" spans="1:14" x14ac:dyDescent="0.25">
      <c r="A1135" s="1">
        <v>1134</v>
      </c>
      <c r="B1135" s="2" t="str">
        <f>HYPERLINK("https://leetcode.com/problems/armstrong-number/", "Armstrong Number")</f>
        <v>Armstrong Number</v>
      </c>
      <c r="C1135" s="1">
        <v>216</v>
      </c>
      <c r="D1135" s="1">
        <v>20</v>
      </c>
      <c r="E1135" s="3">
        <f>IF(INDEX(C:C, ROW())+INDEX(D:D, ROW())=0, 0, INDEX(C:C, ROW())/(INDEX(C:C, ROW())+INDEX(D:D, ROW())))</f>
        <v>0.9152542372881356</v>
      </c>
      <c r="F1135" s="1" t="s">
        <v>84</v>
      </c>
      <c r="G1135" s="1" t="s">
        <v>20</v>
      </c>
      <c r="H1135" s="1">
        <v>42467</v>
      </c>
      <c r="I1135" s="1">
        <v>54569</v>
      </c>
      <c r="J1135" s="7">
        <v>0.77800000000000002</v>
      </c>
      <c r="K1135" s="1" t="s">
        <v>29</v>
      </c>
      <c r="L1135" s="1" t="s">
        <v>21</v>
      </c>
      <c r="M1135" s="1" t="s">
        <v>29</v>
      </c>
      <c r="N1135" s="1" t="s">
        <v>22</v>
      </c>
    </row>
    <row r="1136" spans="1:14" x14ac:dyDescent="0.25">
      <c r="A1136" s="1">
        <v>1135</v>
      </c>
      <c r="B1136" s="2" t="str">
        <f>HYPERLINK("https://leetcode.com/problems/connecting-cities-with-minimum-cost/", "Connecting Cities With Minimum Cost")</f>
        <v>Connecting Cities With Minimum Cost</v>
      </c>
      <c r="C1136" s="1">
        <v>1173</v>
      </c>
      <c r="D1136" s="1">
        <v>60</v>
      </c>
      <c r="E1136" s="3">
        <f>IF(INDEX(C:C, ROW())+INDEX(D:D, ROW())=0, 0, INDEX(C:C, ROW())/(INDEX(C:C, ROW())+INDEX(D:D, ROW())))</f>
        <v>0.95133819951338194</v>
      </c>
      <c r="F1136" s="1" t="s">
        <v>652</v>
      </c>
      <c r="G1136" s="1" t="s">
        <v>24</v>
      </c>
      <c r="H1136" s="1">
        <v>90720</v>
      </c>
      <c r="I1136" s="1">
        <v>143053</v>
      </c>
      <c r="J1136" s="7">
        <v>0.63400000000000001</v>
      </c>
      <c r="K1136" s="1" t="s">
        <v>29</v>
      </c>
      <c r="L1136" s="1" t="s">
        <v>21</v>
      </c>
      <c r="M1136" s="1" t="s">
        <v>29</v>
      </c>
      <c r="N1136" s="1" t="s">
        <v>22</v>
      </c>
    </row>
    <row r="1137" spans="1:14" x14ac:dyDescent="0.25">
      <c r="A1137" s="1">
        <v>1136</v>
      </c>
      <c r="B1137" s="2" t="str">
        <f>HYPERLINK("https://leetcode.com/problems/parallel-courses/", "Parallel Courses")</f>
        <v>Parallel Courses</v>
      </c>
      <c r="C1137" s="1">
        <v>1219</v>
      </c>
      <c r="D1137" s="1">
        <v>27</v>
      </c>
      <c r="E1137" s="3">
        <f>IF(INDEX(C:C, ROW())+INDEX(D:D, ROW())=0, 0, INDEX(C:C, ROW())/(INDEX(C:C, ROW())+INDEX(D:D, ROW())))</f>
        <v>0.978330658105939</v>
      </c>
      <c r="F1137" s="1" t="s">
        <v>649</v>
      </c>
      <c r="G1137" s="1" t="s">
        <v>24</v>
      </c>
      <c r="H1137" s="1">
        <v>107524</v>
      </c>
      <c r="I1137" s="1">
        <v>173333</v>
      </c>
      <c r="J1137" s="7">
        <v>0.62</v>
      </c>
      <c r="K1137" s="1" t="s">
        <v>29</v>
      </c>
      <c r="L1137" s="1" t="s">
        <v>21</v>
      </c>
      <c r="M1137" s="1" t="s">
        <v>29</v>
      </c>
      <c r="N1137" s="1" t="s">
        <v>22</v>
      </c>
    </row>
    <row r="1138" spans="1:14" x14ac:dyDescent="0.25">
      <c r="A1138" s="1">
        <v>1137</v>
      </c>
      <c r="B1138" s="2" t="str">
        <f>HYPERLINK("https://leetcode.com/problems/n-th-tribonacci-number/", "N-th Tribonacci Number")</f>
        <v>N-th Tribonacci Number</v>
      </c>
      <c r="C1138" s="1">
        <v>4801</v>
      </c>
      <c r="D1138" s="1">
        <v>211</v>
      </c>
      <c r="E1138" s="3">
        <f>IF(INDEX(C:C, ROW())+INDEX(D:D, ROW())=0, 0, INDEX(C:C, ROW())/(INDEX(C:C, ROW())+INDEX(D:D, ROW())))</f>
        <v>0.95790103750997602</v>
      </c>
      <c r="F1138" s="1" t="s">
        <v>43</v>
      </c>
      <c r="G1138" s="1" t="s">
        <v>20</v>
      </c>
      <c r="H1138" s="1">
        <v>1059988</v>
      </c>
      <c r="I1138" s="1">
        <v>1675385</v>
      </c>
      <c r="J1138" s="7">
        <v>0.63300000000000001</v>
      </c>
      <c r="K1138" s="1" t="s">
        <v>21</v>
      </c>
      <c r="L1138" s="1" t="s">
        <v>21</v>
      </c>
      <c r="M1138" s="1" t="s">
        <v>29</v>
      </c>
      <c r="N1138" s="1" t="s">
        <v>22</v>
      </c>
    </row>
    <row r="1139" spans="1:14" x14ac:dyDescent="0.25">
      <c r="A1139" s="1">
        <v>1138</v>
      </c>
      <c r="B1139" s="2" t="str">
        <f>HYPERLINK("https://leetcode.com/problems/alphabet-board-path/", "Alphabet Board Path")</f>
        <v>Alphabet Board Path</v>
      </c>
      <c r="C1139" s="1">
        <v>935</v>
      </c>
      <c r="D1139" s="1">
        <v>187</v>
      </c>
      <c r="E1139" s="3">
        <f>IF(INDEX(C:C, ROW())+INDEX(D:D, ROW())=0, 0, INDEX(C:C, ROW())/(INDEX(C:C, ROW())+INDEX(D:D, ROW())))</f>
        <v>0.83333333333333337</v>
      </c>
      <c r="F1139" s="1" t="s">
        <v>131</v>
      </c>
      <c r="G1139" s="1" t="s">
        <v>24</v>
      </c>
      <c r="H1139" s="1">
        <v>58980</v>
      </c>
      <c r="I1139" s="1">
        <v>113835</v>
      </c>
      <c r="J1139" s="7">
        <v>0.51800000000000002</v>
      </c>
      <c r="K1139" s="1" t="s">
        <v>21</v>
      </c>
      <c r="L1139" s="1" t="s">
        <v>29</v>
      </c>
      <c r="M1139" s="1" t="s">
        <v>29</v>
      </c>
      <c r="N1139" s="1" t="s">
        <v>22</v>
      </c>
    </row>
    <row r="1140" spans="1:14" x14ac:dyDescent="0.25">
      <c r="A1140" s="1">
        <v>1139</v>
      </c>
      <c r="B1140" s="2" t="str">
        <f>HYPERLINK("https://leetcode.com/problems/largest-1-bordered-square/", "Largest 1-Bordered Square")</f>
        <v>Largest 1-Bordered Square</v>
      </c>
      <c r="C1140" s="1">
        <v>767</v>
      </c>
      <c r="D1140" s="1">
        <v>118</v>
      </c>
      <c r="E1140" s="3">
        <f>IF(INDEX(C:C, ROW())+INDEX(D:D, ROW())=0, 0, INDEX(C:C, ROW())/(INDEX(C:C, ROW())+INDEX(D:D, ROW())))</f>
        <v>0.8666666666666667</v>
      </c>
      <c r="F1140" s="1" t="s">
        <v>94</v>
      </c>
      <c r="G1140" s="1" t="s">
        <v>24</v>
      </c>
      <c r="H1140" s="1">
        <v>32713</v>
      </c>
      <c r="I1140" s="1">
        <v>62934</v>
      </c>
      <c r="J1140" s="7">
        <v>0.52</v>
      </c>
      <c r="K1140" s="1" t="s">
        <v>21</v>
      </c>
      <c r="L1140" s="1" t="s">
        <v>29</v>
      </c>
      <c r="M1140" s="1" t="s">
        <v>29</v>
      </c>
      <c r="N1140" s="1" t="s">
        <v>22</v>
      </c>
    </row>
    <row r="1141" spans="1:14" x14ac:dyDescent="0.25">
      <c r="A1141" s="1">
        <v>1140</v>
      </c>
      <c r="B1141" s="2" t="str">
        <f>HYPERLINK("https://leetcode.com/problems/stone-game-ii/", "Stone Game II")</f>
        <v>Stone Game II</v>
      </c>
      <c r="C1141" s="1">
        <v>3438</v>
      </c>
      <c r="D1141" s="1">
        <v>938</v>
      </c>
      <c r="E1141" s="3">
        <f>IF(INDEX(C:C, ROW())+INDEX(D:D, ROW())=0, 0, INDEX(C:C, ROW())/(INDEX(C:C, ROW())+INDEX(D:D, ROW())))</f>
        <v>0.78564899451553927</v>
      </c>
      <c r="F1141" s="1" t="s">
        <v>352</v>
      </c>
      <c r="G1141" s="1" t="s">
        <v>24</v>
      </c>
      <c r="H1141" s="1">
        <v>195875</v>
      </c>
      <c r="I1141" s="1">
        <v>268750</v>
      </c>
      <c r="J1141" s="7">
        <v>0.72899999999999998</v>
      </c>
      <c r="K1141" s="1" t="s">
        <v>21</v>
      </c>
      <c r="L1141" s="1" t="s">
        <v>29</v>
      </c>
      <c r="M1141" s="1" t="s">
        <v>29</v>
      </c>
      <c r="N1141" s="1" t="s">
        <v>22</v>
      </c>
    </row>
    <row r="1142" spans="1:14" x14ac:dyDescent="0.25">
      <c r="A1142" s="1">
        <v>1141</v>
      </c>
      <c r="B1142" s="2" t="str">
        <f>HYPERLINK("https://leetcode.com/problems/user-activity-for-the-past-30-days-i/", "User Activity for the Past 30 Days I")</f>
        <v>User Activity for the Past 30 Days I</v>
      </c>
      <c r="C1142" s="1">
        <v>1067</v>
      </c>
      <c r="D1142" s="1">
        <v>1006</v>
      </c>
      <c r="E1142" s="3">
        <f>IF(INDEX(C:C, ROW())+INDEX(D:D, ROW())=0, 0, INDEX(C:C, ROW())/(INDEX(C:C, ROW())+INDEX(D:D, ROW())))</f>
        <v>0.51471297636275926</v>
      </c>
      <c r="F1142" s="1" t="s">
        <v>297</v>
      </c>
      <c r="G1142" s="1" t="s">
        <v>20</v>
      </c>
      <c r="H1142" s="1">
        <v>521215</v>
      </c>
      <c r="I1142" s="1">
        <v>1032940</v>
      </c>
      <c r="J1142" s="7">
        <v>0.505</v>
      </c>
      <c r="K1142" s="1" t="s">
        <v>21</v>
      </c>
      <c r="L1142" s="1" t="s">
        <v>21</v>
      </c>
      <c r="M1142" s="1" t="s">
        <v>29</v>
      </c>
      <c r="N1142" s="1" t="s">
        <v>297</v>
      </c>
    </row>
    <row r="1143" spans="1:14" x14ac:dyDescent="0.25">
      <c r="A1143" s="1">
        <v>1142</v>
      </c>
      <c r="B1143" s="2" t="str">
        <f>HYPERLINK("https://leetcode.com/problems/user-activity-for-the-past-30-days-ii/", "User Activity for the Past 30 Days II")</f>
        <v>User Activity for the Past 30 Days II</v>
      </c>
      <c r="C1143" s="1">
        <v>107</v>
      </c>
      <c r="D1143" s="1">
        <v>380</v>
      </c>
      <c r="E1143" s="3">
        <f>IF(INDEX(C:C, ROW())+INDEX(D:D, ROW())=0, 0, INDEX(C:C, ROW())/(INDEX(C:C, ROW())+INDEX(D:D, ROW())))</f>
        <v>0.21971252566735114</v>
      </c>
      <c r="F1143" s="1" t="s">
        <v>297</v>
      </c>
      <c r="G1143" s="1" t="s">
        <v>20</v>
      </c>
      <c r="H1143" s="1">
        <v>48975</v>
      </c>
      <c r="I1143" s="1">
        <v>137499</v>
      </c>
      <c r="J1143" s="7">
        <v>0.35599999999999998</v>
      </c>
      <c r="K1143" s="1" t="s">
        <v>29</v>
      </c>
      <c r="L1143" s="1" t="s">
        <v>29</v>
      </c>
      <c r="M1143" s="1" t="s">
        <v>29</v>
      </c>
      <c r="N1143" s="1" t="s">
        <v>297</v>
      </c>
    </row>
    <row r="1144" spans="1:14" x14ac:dyDescent="0.25">
      <c r="A1144" s="1">
        <v>1143</v>
      </c>
      <c r="B1144" s="2" t="str">
        <f>HYPERLINK("https://leetcode.com/problems/longest-common-subsequence/", "Longest Common Subsequence")</f>
        <v>Longest Common Subsequence</v>
      </c>
      <c r="C1144" s="1">
        <v>14975</v>
      </c>
      <c r="D1144" s="1">
        <v>246</v>
      </c>
      <c r="E1144" s="3">
        <f>IF(INDEX(C:C, ROW())+INDEX(D:D, ROW())=0, 0, INDEX(C:C, ROW())/(INDEX(C:C, ROW())+INDEX(D:D, ROW())))</f>
        <v>0.98383811838906776</v>
      </c>
      <c r="F1144" s="1" t="s">
        <v>82</v>
      </c>
      <c r="G1144" s="1" t="s">
        <v>24</v>
      </c>
      <c r="H1144" s="1">
        <v>1768301</v>
      </c>
      <c r="I1144" s="1">
        <v>3002878</v>
      </c>
      <c r="J1144" s="7">
        <v>0.58899999999999997</v>
      </c>
      <c r="K1144" s="1" t="s">
        <v>21</v>
      </c>
      <c r="L1144" s="1" t="s">
        <v>21</v>
      </c>
      <c r="M1144" s="1" t="s">
        <v>29</v>
      </c>
      <c r="N1144" s="1" t="s">
        <v>22</v>
      </c>
    </row>
    <row r="1145" spans="1:14" x14ac:dyDescent="0.25">
      <c r="A1145" s="1">
        <v>1144</v>
      </c>
      <c r="B1145" s="2" t="str">
        <f>HYPERLINK("https://leetcode.com/problems/decrease-elements-to-make-array-zigzag/", "Decrease Elements To Make Array Zigzag")</f>
        <v>Decrease Elements To Make Array Zigzag</v>
      </c>
      <c r="C1145" s="1">
        <v>459</v>
      </c>
      <c r="D1145" s="1">
        <v>169</v>
      </c>
      <c r="E1145" s="3">
        <f>IF(INDEX(C:C, ROW())+INDEX(D:D, ROW())=0, 0, INDEX(C:C, ROW())/(INDEX(C:C, ROW())+INDEX(D:D, ROW())))</f>
        <v>0.73089171974522293</v>
      </c>
      <c r="F1145" s="1" t="s">
        <v>96</v>
      </c>
      <c r="G1145" s="1" t="s">
        <v>24</v>
      </c>
      <c r="H1145" s="1">
        <v>25257</v>
      </c>
      <c r="I1145" s="1">
        <v>51562</v>
      </c>
      <c r="J1145" s="7">
        <v>0.49</v>
      </c>
      <c r="K1145" s="1" t="s">
        <v>21</v>
      </c>
      <c r="L1145" s="1" t="s">
        <v>29</v>
      </c>
      <c r="M1145" s="1" t="s">
        <v>29</v>
      </c>
      <c r="N1145" s="1" t="s">
        <v>22</v>
      </c>
    </row>
    <row r="1146" spans="1:14" x14ac:dyDescent="0.25">
      <c r="A1146" s="1">
        <v>1145</v>
      </c>
      <c r="B1146" s="2" t="str">
        <f>HYPERLINK("https://leetcode.com/problems/binary-tree-coloring-game/", "Binary Tree Coloring Game")</f>
        <v>Binary Tree Coloring Game</v>
      </c>
      <c r="C1146" s="1">
        <v>1401</v>
      </c>
      <c r="D1146" s="1">
        <v>225</v>
      </c>
      <c r="E1146" s="3">
        <f>IF(INDEX(C:C, ROW())+INDEX(D:D, ROW())=0, 0, INDEX(C:C, ROW())/(INDEX(C:C, ROW())+INDEX(D:D, ROW())))</f>
        <v>0.86162361623616235</v>
      </c>
      <c r="F1146" s="1" t="s">
        <v>67</v>
      </c>
      <c r="G1146" s="1" t="s">
        <v>24</v>
      </c>
      <c r="H1146" s="1">
        <v>54613</v>
      </c>
      <c r="I1146" s="1">
        <v>103321</v>
      </c>
      <c r="J1146" s="7">
        <v>0.52900000000000003</v>
      </c>
      <c r="K1146" s="1" t="s">
        <v>21</v>
      </c>
      <c r="L1146" s="1" t="s">
        <v>29</v>
      </c>
      <c r="M1146" s="1" t="s">
        <v>29</v>
      </c>
      <c r="N1146" s="1" t="s">
        <v>22</v>
      </c>
    </row>
    <row r="1147" spans="1:14" x14ac:dyDescent="0.25">
      <c r="A1147" s="1">
        <v>1146</v>
      </c>
      <c r="B1147" s="2" t="str">
        <f>HYPERLINK("https://leetcode.com/problems/snapshot-array/", "Snapshot Array")</f>
        <v>Snapshot Array</v>
      </c>
      <c r="C1147" s="1">
        <v>3913</v>
      </c>
      <c r="D1147" s="1">
        <v>537</v>
      </c>
      <c r="E1147" s="3">
        <f>IF(INDEX(C:C, ROW())+INDEX(D:D, ROW())=0, 0, INDEX(C:C, ROW())/(INDEX(C:C, ROW())+INDEX(D:D, ROW())))</f>
        <v>0.87932584269662917</v>
      </c>
      <c r="F1147" s="1" t="s">
        <v>313</v>
      </c>
      <c r="G1147" s="1" t="s">
        <v>24</v>
      </c>
      <c r="H1147" s="1">
        <v>273004</v>
      </c>
      <c r="I1147" s="1">
        <v>744323</v>
      </c>
      <c r="J1147" s="7">
        <v>0.36699999999999999</v>
      </c>
      <c r="K1147" s="1" t="s">
        <v>21</v>
      </c>
      <c r="L1147" s="1" t="s">
        <v>21</v>
      </c>
      <c r="M1147" s="1" t="s">
        <v>29</v>
      </c>
      <c r="N1147" s="1" t="s">
        <v>22</v>
      </c>
    </row>
    <row r="1148" spans="1:14" x14ac:dyDescent="0.25">
      <c r="A1148" s="1">
        <v>1147</v>
      </c>
      <c r="B1148" s="2" t="str">
        <f>HYPERLINK("https://leetcode.com/problems/longest-chunked-palindrome-decomposition/", "Longest Chunked Palindrome Decomposition")</f>
        <v>Longest Chunked Palindrome Decomposition</v>
      </c>
      <c r="C1148" s="1">
        <v>709</v>
      </c>
      <c r="D1148" s="1">
        <v>35</v>
      </c>
      <c r="E1148" s="3">
        <f>IF(INDEX(C:C, ROW())+INDEX(D:D, ROW())=0, 0, INDEX(C:C, ROW())/(INDEX(C:C, ROW())+INDEX(D:D, ROW())))</f>
        <v>0.95295698924731187</v>
      </c>
      <c r="F1148" s="1" t="s">
        <v>800</v>
      </c>
      <c r="G1148" s="1" t="s">
        <v>28</v>
      </c>
      <c r="H1148" s="1">
        <v>30775</v>
      </c>
      <c r="I1148" s="1">
        <v>52171</v>
      </c>
      <c r="J1148" s="7">
        <v>0.59</v>
      </c>
      <c r="K1148" s="1" t="s">
        <v>21</v>
      </c>
      <c r="L1148" s="1" t="s">
        <v>29</v>
      </c>
      <c r="M1148" s="1" t="s">
        <v>29</v>
      </c>
      <c r="N1148" s="1" t="s">
        <v>22</v>
      </c>
    </row>
    <row r="1149" spans="1:14" x14ac:dyDescent="0.25">
      <c r="A1149" s="1">
        <v>1148</v>
      </c>
      <c r="B1149" s="2" t="str">
        <f>HYPERLINK("https://leetcode.com/problems/article-views-i/", "Article Views I")</f>
        <v>Article Views I</v>
      </c>
      <c r="C1149" s="1">
        <v>2236</v>
      </c>
      <c r="D1149" s="1">
        <v>138</v>
      </c>
      <c r="E1149" s="3">
        <f>IF(INDEX(C:C, ROW())+INDEX(D:D, ROW())=0, 0, INDEX(C:C, ROW())/(INDEX(C:C, ROW())+INDEX(D:D, ROW())))</f>
        <v>0.94187026116259476</v>
      </c>
      <c r="F1149" s="1" t="s">
        <v>297</v>
      </c>
      <c r="G1149" s="1" t="s">
        <v>20</v>
      </c>
      <c r="H1149" s="1">
        <v>1558992</v>
      </c>
      <c r="I1149" s="1">
        <v>2031556</v>
      </c>
      <c r="J1149" s="7">
        <v>0.76700000000000002</v>
      </c>
      <c r="K1149" s="1" t="s">
        <v>21</v>
      </c>
      <c r="L1149" s="1" t="s">
        <v>21</v>
      </c>
      <c r="M1149" s="1" t="s">
        <v>29</v>
      </c>
      <c r="N1149" s="1" t="s">
        <v>297</v>
      </c>
    </row>
    <row r="1150" spans="1:14" x14ac:dyDescent="0.25">
      <c r="A1150" s="1">
        <v>1149</v>
      </c>
      <c r="B1150" s="2" t="str">
        <f>HYPERLINK("https://leetcode.com/problems/article-views-ii/", "Article Views II")</f>
        <v>Article Views II</v>
      </c>
      <c r="C1150" s="1">
        <v>135</v>
      </c>
      <c r="D1150" s="1">
        <v>29</v>
      </c>
      <c r="E1150" s="3">
        <f>IF(INDEX(C:C, ROW())+INDEX(D:D, ROW())=0, 0, INDEX(C:C, ROW())/(INDEX(C:C, ROW())+INDEX(D:D, ROW())))</f>
        <v>0.82317073170731703</v>
      </c>
      <c r="F1150" s="1" t="s">
        <v>297</v>
      </c>
      <c r="G1150" s="1" t="s">
        <v>24</v>
      </c>
      <c r="H1150" s="1">
        <v>44195</v>
      </c>
      <c r="I1150" s="1">
        <v>93503</v>
      </c>
      <c r="J1150" s="7">
        <v>0.47299999999999998</v>
      </c>
      <c r="K1150" s="1" t="s">
        <v>29</v>
      </c>
      <c r="L1150" s="1" t="s">
        <v>21</v>
      </c>
      <c r="M1150" s="1" t="s">
        <v>29</v>
      </c>
      <c r="N1150" s="1" t="s">
        <v>297</v>
      </c>
    </row>
    <row r="1151" spans="1:14" x14ac:dyDescent="0.25">
      <c r="A1151" s="1">
        <v>1150</v>
      </c>
      <c r="B1151" s="2" t="str">
        <f>HYPERLINK("https://leetcode.com/problems/check-if-a-number-is-majority-element-in-a-sorted-array/", "Check If a Number Is Majority Element in a Sorted Array")</f>
        <v>Check If a Number Is Majority Element in a Sorted Array</v>
      </c>
      <c r="C1151" s="1">
        <v>480</v>
      </c>
      <c r="D1151" s="1">
        <v>36</v>
      </c>
      <c r="E1151" s="3">
        <f>IF(INDEX(C:C, ROW())+INDEX(D:D, ROW())=0, 0, INDEX(C:C, ROW())/(INDEX(C:C, ROW())+INDEX(D:D, ROW())))</f>
        <v>0.93023255813953487</v>
      </c>
      <c r="F1151" s="1" t="s">
        <v>35</v>
      </c>
      <c r="G1151" s="1" t="s">
        <v>20</v>
      </c>
      <c r="H1151" s="1">
        <v>61748</v>
      </c>
      <c r="I1151" s="1">
        <v>103064</v>
      </c>
      <c r="J1151" s="7">
        <v>0.59899999999999998</v>
      </c>
      <c r="K1151" s="1" t="s">
        <v>29</v>
      </c>
      <c r="L1151" s="1" t="s">
        <v>21</v>
      </c>
      <c r="M1151" s="1" t="s">
        <v>29</v>
      </c>
      <c r="N1151" s="1" t="s">
        <v>22</v>
      </c>
    </row>
    <row r="1152" spans="1:14" x14ac:dyDescent="0.25">
      <c r="A1152" s="1">
        <v>1151</v>
      </c>
      <c r="B1152" s="2" t="str">
        <f>HYPERLINK("https://leetcode.com/problems/minimum-swaps-to-group-all-1s-together/", "Minimum Swaps to Group All 1's Together")</f>
        <v>Minimum Swaps to Group All 1's Together</v>
      </c>
      <c r="C1152" s="1">
        <v>1275</v>
      </c>
      <c r="D1152" s="1">
        <v>18</v>
      </c>
      <c r="E1152" s="3">
        <f>IF(INDEX(C:C, ROW())+INDEX(D:D, ROW())=0, 0, INDEX(C:C, ROW())/(INDEX(C:C, ROW())+INDEX(D:D, ROW())))</f>
        <v>0.9860788863109049</v>
      </c>
      <c r="F1152" s="1" t="s">
        <v>295</v>
      </c>
      <c r="G1152" s="1" t="s">
        <v>24</v>
      </c>
      <c r="H1152" s="1">
        <v>88187</v>
      </c>
      <c r="I1152" s="1">
        <v>144109</v>
      </c>
      <c r="J1152" s="7">
        <v>0.61199999999999999</v>
      </c>
      <c r="K1152" s="1" t="s">
        <v>29</v>
      </c>
      <c r="L1152" s="1" t="s">
        <v>21</v>
      </c>
      <c r="M1152" s="1" t="s">
        <v>21</v>
      </c>
      <c r="N1152" s="1" t="s">
        <v>22</v>
      </c>
    </row>
    <row r="1153" spans="1:14" x14ac:dyDescent="0.25">
      <c r="A1153" s="1">
        <v>1152</v>
      </c>
      <c r="B1153" s="2" t="str">
        <f>HYPERLINK("https://leetcode.com/problems/analyze-user-website-visit-pattern/", "Analyze User Website Visit Pattern")</f>
        <v>Analyze User Website Visit Pattern</v>
      </c>
      <c r="C1153" s="1">
        <v>564</v>
      </c>
      <c r="D1153" s="1">
        <v>3987</v>
      </c>
      <c r="E1153" s="3">
        <f>IF(INDEX(C:C, ROW())+INDEX(D:D, ROW())=0, 0, INDEX(C:C, ROW())/(INDEX(C:C, ROW())+INDEX(D:D, ROW())))</f>
        <v>0.12392880685563612</v>
      </c>
      <c r="F1153" s="1" t="s">
        <v>49</v>
      </c>
      <c r="G1153" s="1" t="s">
        <v>24</v>
      </c>
      <c r="H1153" s="1">
        <v>130927</v>
      </c>
      <c r="I1153" s="1">
        <v>295995</v>
      </c>
      <c r="J1153" s="7">
        <v>0.442</v>
      </c>
      <c r="K1153" s="1" t="s">
        <v>29</v>
      </c>
      <c r="L1153" s="1" t="s">
        <v>21</v>
      </c>
      <c r="M1153" s="1" t="s">
        <v>29</v>
      </c>
      <c r="N1153" s="1" t="s">
        <v>22</v>
      </c>
    </row>
    <row r="1154" spans="1:14" x14ac:dyDescent="0.25">
      <c r="A1154" s="1">
        <v>1153</v>
      </c>
      <c r="B1154" s="2" t="str">
        <f>HYPERLINK("https://leetcode.com/problems/string-transforms-into-another-string/", "String Transforms Into Another String")</f>
        <v>String Transforms Into Another String</v>
      </c>
      <c r="C1154" s="1">
        <v>888</v>
      </c>
      <c r="D1154" s="1">
        <v>339</v>
      </c>
      <c r="E1154" s="3">
        <f>IF(INDEX(C:C, ROW())+INDEX(D:D, ROW())=0, 0, INDEX(C:C, ROW())/(INDEX(C:C, ROW())+INDEX(D:D, ROW())))</f>
        <v>0.72371638141809291</v>
      </c>
      <c r="F1154" s="1" t="s">
        <v>743</v>
      </c>
      <c r="G1154" s="1" t="s">
        <v>28</v>
      </c>
      <c r="H1154" s="1">
        <v>54254</v>
      </c>
      <c r="I1154" s="1">
        <v>156547</v>
      </c>
      <c r="J1154" s="7">
        <v>0.34699999999999998</v>
      </c>
      <c r="K1154" s="1" t="s">
        <v>29</v>
      </c>
      <c r="L1154" s="1" t="s">
        <v>21</v>
      </c>
      <c r="M1154" s="1" t="s">
        <v>29</v>
      </c>
      <c r="N1154" s="1" t="s">
        <v>22</v>
      </c>
    </row>
    <row r="1155" spans="1:14" x14ac:dyDescent="0.25">
      <c r="A1155" s="1">
        <v>1154</v>
      </c>
      <c r="B1155" s="2" t="str">
        <f>HYPERLINK("https://leetcode.com/problems/day-of-the-year/", "Day of the Year")</f>
        <v>Day of the Year</v>
      </c>
      <c r="C1155" s="1">
        <v>505</v>
      </c>
      <c r="D1155" s="1">
        <v>495</v>
      </c>
      <c r="E1155" s="3">
        <f>IF(INDEX(C:C, ROW())+INDEX(D:D, ROW())=0, 0, INDEX(C:C, ROW())/(INDEX(C:C, ROW())+INDEX(D:D, ROW())))</f>
        <v>0.505</v>
      </c>
      <c r="F1155" s="1" t="s">
        <v>228</v>
      </c>
      <c r="G1155" s="1" t="s">
        <v>20</v>
      </c>
      <c r="H1155" s="1">
        <v>92081</v>
      </c>
      <c r="I1155" s="1">
        <v>185800</v>
      </c>
      <c r="J1155" s="7">
        <v>0.496</v>
      </c>
      <c r="K1155" s="1" t="s">
        <v>21</v>
      </c>
      <c r="L1155" s="1" t="s">
        <v>29</v>
      </c>
      <c r="M1155" s="1" t="s">
        <v>29</v>
      </c>
      <c r="N1155" s="1" t="s">
        <v>22</v>
      </c>
    </row>
    <row r="1156" spans="1:14" x14ac:dyDescent="0.25">
      <c r="A1156" s="1">
        <v>1155</v>
      </c>
      <c r="B1156" s="2" t="str">
        <f>HYPERLINK("https://leetcode.com/problems/number-of-dice-rolls-with-target-sum/", "Number of Dice Rolls With Target Sum")</f>
        <v>Number of Dice Rolls With Target Sum</v>
      </c>
      <c r="C1156" s="1">
        <v>5316</v>
      </c>
      <c r="D1156" s="1">
        <v>186</v>
      </c>
      <c r="E1156" s="3">
        <f>IF(INDEX(C:C, ROW())+INDEX(D:D, ROW())=0, 0, INDEX(C:C, ROW())/(INDEX(C:C, ROW())+INDEX(D:D, ROW())))</f>
        <v>0.96619411123227916</v>
      </c>
      <c r="F1156" s="1" t="s">
        <v>251</v>
      </c>
      <c r="G1156" s="1" t="s">
        <v>24</v>
      </c>
      <c r="H1156" s="1">
        <v>348121</v>
      </c>
      <c r="I1156" s="1">
        <v>559872</v>
      </c>
      <c r="J1156" s="7">
        <v>0.622</v>
      </c>
      <c r="K1156" s="1" t="s">
        <v>21</v>
      </c>
      <c r="L1156" s="1" t="s">
        <v>21</v>
      </c>
      <c r="M1156" s="1" t="s">
        <v>29</v>
      </c>
      <c r="N1156" s="1" t="s">
        <v>22</v>
      </c>
    </row>
    <row r="1157" spans="1:14" x14ac:dyDescent="0.25">
      <c r="A1157" s="1">
        <v>1156</v>
      </c>
      <c r="B1157" s="2" t="str">
        <f>HYPERLINK("https://leetcode.com/problems/swap-for-longest-repeated-character-substring/", "Swap For Longest Repeated Character Substring")</f>
        <v>Swap For Longest Repeated Character Substring</v>
      </c>
      <c r="C1157" s="1">
        <v>1079</v>
      </c>
      <c r="D1157" s="1">
        <v>104</v>
      </c>
      <c r="E1157" s="3">
        <f>IF(INDEX(C:C, ROW())+INDEX(D:D, ROW())=0, 0, INDEX(C:C, ROW())/(INDEX(C:C, ROW())+INDEX(D:D, ROW())))</f>
        <v>0.91208791208791207</v>
      </c>
      <c r="F1157" s="1" t="s">
        <v>23</v>
      </c>
      <c r="G1157" s="1" t="s">
        <v>24</v>
      </c>
      <c r="H1157" s="1">
        <v>40349</v>
      </c>
      <c r="I1157" s="1">
        <v>91345</v>
      </c>
      <c r="J1157" s="7">
        <v>0.442</v>
      </c>
      <c r="K1157" s="1" t="s">
        <v>21</v>
      </c>
      <c r="L1157" s="1" t="s">
        <v>29</v>
      </c>
      <c r="M1157" s="1" t="s">
        <v>29</v>
      </c>
      <c r="N1157" s="1" t="s">
        <v>22</v>
      </c>
    </row>
    <row r="1158" spans="1:14" x14ac:dyDescent="0.25">
      <c r="A1158" s="1">
        <v>1157</v>
      </c>
      <c r="B1158" s="2" t="str">
        <f>HYPERLINK("https://leetcode.com/problems/online-majority-element-in-subarray/", "Online Majority Element In Subarray")</f>
        <v>Online Majority Element In Subarray</v>
      </c>
      <c r="C1158" s="1">
        <v>660</v>
      </c>
      <c r="D1158" s="1">
        <v>66</v>
      </c>
      <c r="E1158" s="3">
        <f>IF(INDEX(C:C, ROW())+INDEX(D:D, ROW())=0, 0, INDEX(C:C, ROW())/(INDEX(C:C, ROW())+INDEX(D:D, ROW())))</f>
        <v>0.90909090909090906</v>
      </c>
      <c r="F1158" s="1" t="s">
        <v>819</v>
      </c>
      <c r="G1158" s="1" t="s">
        <v>28</v>
      </c>
      <c r="H1158" s="1">
        <v>20789</v>
      </c>
      <c r="I1158" s="1">
        <v>51833</v>
      </c>
      <c r="J1158" s="7">
        <v>0.40100000000000002</v>
      </c>
      <c r="K1158" s="1" t="s">
        <v>21</v>
      </c>
      <c r="L1158" s="1" t="s">
        <v>29</v>
      </c>
      <c r="M1158" s="1" t="s">
        <v>29</v>
      </c>
      <c r="N1158" s="1" t="s">
        <v>22</v>
      </c>
    </row>
    <row r="1159" spans="1:14" x14ac:dyDescent="0.25">
      <c r="A1159" s="1">
        <v>1158</v>
      </c>
      <c r="B1159" s="2" t="str">
        <f>HYPERLINK("https://leetcode.com/problems/market-analysis-i/", "Market Analysis I")</f>
        <v>Market Analysis I</v>
      </c>
      <c r="C1159" s="1">
        <v>748</v>
      </c>
      <c r="D1159" s="1">
        <v>73</v>
      </c>
      <c r="E1159" s="3">
        <f>IF(INDEX(C:C, ROW())+INDEX(D:D, ROW())=0, 0, INDEX(C:C, ROW())/(INDEX(C:C, ROW())+INDEX(D:D, ROW())))</f>
        <v>0.91108404384896469</v>
      </c>
      <c r="F1159" s="1" t="s">
        <v>297</v>
      </c>
      <c r="G1159" s="1" t="s">
        <v>24</v>
      </c>
      <c r="H1159" s="1">
        <v>165136</v>
      </c>
      <c r="I1159" s="1">
        <v>288496</v>
      </c>
      <c r="J1159" s="7">
        <v>0.57199999999999995</v>
      </c>
      <c r="K1159" s="1" t="s">
        <v>21</v>
      </c>
      <c r="L1159" s="1" t="s">
        <v>21</v>
      </c>
      <c r="M1159" s="1" t="s">
        <v>29</v>
      </c>
      <c r="N1159" s="1" t="s">
        <v>297</v>
      </c>
    </row>
    <row r="1160" spans="1:14" x14ac:dyDescent="0.25">
      <c r="A1160" s="1">
        <v>1159</v>
      </c>
      <c r="B1160" s="2" t="str">
        <f>HYPERLINK("https://leetcode.com/problems/market-analysis-ii/", "Market Analysis II")</f>
        <v>Market Analysis II</v>
      </c>
      <c r="C1160" s="1">
        <v>124</v>
      </c>
      <c r="D1160" s="1">
        <v>81</v>
      </c>
      <c r="E1160" s="3">
        <f>IF(INDEX(C:C, ROW())+INDEX(D:D, ROW())=0, 0, INDEX(C:C, ROW())/(INDEX(C:C, ROW())+INDEX(D:D, ROW())))</f>
        <v>0.60487804878048779</v>
      </c>
      <c r="F1160" s="1" t="s">
        <v>297</v>
      </c>
      <c r="G1160" s="1" t="s">
        <v>28</v>
      </c>
      <c r="H1160" s="1">
        <v>23402</v>
      </c>
      <c r="I1160" s="1">
        <v>40600</v>
      </c>
      <c r="J1160" s="7">
        <v>0.57599999999999996</v>
      </c>
      <c r="K1160" s="1" t="s">
        <v>29</v>
      </c>
      <c r="L1160" s="1" t="s">
        <v>21</v>
      </c>
      <c r="M1160" s="1" t="s">
        <v>29</v>
      </c>
      <c r="N1160" s="1" t="s">
        <v>297</v>
      </c>
    </row>
    <row r="1161" spans="1:14" x14ac:dyDescent="0.25">
      <c r="A1161" s="1">
        <v>1160</v>
      </c>
      <c r="B1161" s="2" t="str">
        <f>HYPERLINK("https://leetcode.com/problems/find-words-that-can-be-formed-by-characters/", "Find Words That Can Be Formed by Characters")</f>
        <v>Find Words That Can Be Formed by Characters</v>
      </c>
      <c r="C1161" s="1">
        <v>2250</v>
      </c>
      <c r="D1161" s="1">
        <v>189</v>
      </c>
      <c r="E1161" s="3">
        <f>IF(INDEX(C:C, ROW())+INDEX(D:D, ROW())=0, 0, INDEX(C:C, ROW())/(INDEX(C:C, ROW())+INDEX(D:D, ROW())))</f>
        <v>0.92250922509225097</v>
      </c>
      <c r="F1161" s="1" t="s">
        <v>467</v>
      </c>
      <c r="G1161" s="1" t="s">
        <v>20</v>
      </c>
      <c r="H1161" s="1">
        <v>326889</v>
      </c>
      <c r="I1161" s="1">
        <v>457368</v>
      </c>
      <c r="J1161" s="7">
        <v>0.71499999999999997</v>
      </c>
      <c r="K1161" s="1" t="s">
        <v>21</v>
      </c>
      <c r="L1161" s="1" t="s">
        <v>21</v>
      </c>
      <c r="M1161" s="1" t="s">
        <v>29</v>
      </c>
      <c r="N1161" s="1" t="s">
        <v>22</v>
      </c>
    </row>
    <row r="1162" spans="1:14" x14ac:dyDescent="0.25">
      <c r="A1162" s="1">
        <v>1161</v>
      </c>
      <c r="B1162" s="2" t="str">
        <f>HYPERLINK("https://leetcode.com/problems/maximum-level-sum-of-a-binary-tree/", "Maximum Level Sum of a Binary Tree")</f>
        <v>Maximum Level Sum of a Binary Tree</v>
      </c>
      <c r="C1162" s="1">
        <v>4117</v>
      </c>
      <c r="D1162" s="1">
        <v>116</v>
      </c>
      <c r="E1162" s="3">
        <f>IF(INDEX(C:C, ROW())+INDEX(D:D, ROW())=0, 0, INDEX(C:C, ROW())/(INDEX(C:C, ROW())+INDEX(D:D, ROW())))</f>
        <v>0.97259626742263172</v>
      </c>
      <c r="F1162" s="1" t="s">
        <v>80</v>
      </c>
      <c r="G1162" s="1" t="s">
        <v>24</v>
      </c>
      <c r="H1162" s="1">
        <v>559836</v>
      </c>
      <c r="I1162" s="1">
        <v>800053</v>
      </c>
      <c r="J1162" s="7">
        <v>0.7</v>
      </c>
      <c r="K1162" s="1" t="s">
        <v>21</v>
      </c>
      <c r="L1162" s="1" t="s">
        <v>21</v>
      </c>
      <c r="M1162" s="1" t="s">
        <v>29</v>
      </c>
      <c r="N1162" s="1" t="s">
        <v>22</v>
      </c>
    </row>
    <row r="1163" spans="1:14" x14ac:dyDescent="0.25">
      <c r="A1163" s="1">
        <v>1162</v>
      </c>
      <c r="B1163" s="2" t="str">
        <f>HYPERLINK("https://leetcode.com/problems/as-far-from-land-as-possible/", "As Far from Land as Possible")</f>
        <v>As Far from Land as Possible</v>
      </c>
      <c r="C1163" s="1">
        <v>4265</v>
      </c>
      <c r="D1163" s="1">
        <v>113</v>
      </c>
      <c r="E1163" s="3">
        <f>IF(INDEX(C:C, ROW())+INDEX(D:D, ROW())=0, 0, INDEX(C:C, ROW())/(INDEX(C:C, ROW())+INDEX(D:D, ROW())))</f>
        <v>0.97418912745545916</v>
      </c>
      <c r="F1163" s="1" t="s">
        <v>127</v>
      </c>
      <c r="G1163" s="1" t="s">
        <v>24</v>
      </c>
      <c r="H1163" s="1">
        <v>181801</v>
      </c>
      <c r="I1163" s="1">
        <v>348433</v>
      </c>
      <c r="J1163" s="7">
        <v>0.52200000000000002</v>
      </c>
      <c r="K1163" s="1" t="s">
        <v>21</v>
      </c>
      <c r="L1163" s="1" t="s">
        <v>21</v>
      </c>
      <c r="M1163" s="1" t="s">
        <v>29</v>
      </c>
      <c r="N1163" s="1" t="s">
        <v>22</v>
      </c>
    </row>
    <row r="1164" spans="1:14" x14ac:dyDescent="0.25">
      <c r="A1164" s="1">
        <v>1163</v>
      </c>
      <c r="B1164" s="2" t="str">
        <f>HYPERLINK("https://leetcode.com/problems/last-substring-in-lexicographical-order/", "Last Substring in Lexicographical Order")</f>
        <v>Last Substring in Lexicographical Order</v>
      </c>
      <c r="C1164" s="1">
        <v>664</v>
      </c>
      <c r="D1164" s="1">
        <v>459</v>
      </c>
      <c r="E1164" s="3">
        <f>IF(INDEX(C:C, ROW())+INDEX(D:D, ROW())=0, 0, INDEX(C:C, ROW())/(INDEX(C:C, ROW())+INDEX(D:D, ROW())))</f>
        <v>0.59127337488869103</v>
      </c>
      <c r="F1164" s="1" t="s">
        <v>117</v>
      </c>
      <c r="G1164" s="1" t="s">
        <v>28</v>
      </c>
      <c r="H1164" s="1">
        <v>42581</v>
      </c>
      <c r="I1164" s="1">
        <v>121747</v>
      </c>
      <c r="J1164" s="7">
        <v>0.35</v>
      </c>
      <c r="K1164" s="1" t="s">
        <v>21</v>
      </c>
      <c r="L1164" s="1" t="s">
        <v>29</v>
      </c>
      <c r="M1164" s="1" t="s">
        <v>29</v>
      </c>
      <c r="N1164" s="1" t="s">
        <v>22</v>
      </c>
    </row>
    <row r="1165" spans="1:14" x14ac:dyDescent="0.25">
      <c r="A1165" s="1">
        <v>1164</v>
      </c>
      <c r="B1165" s="2" t="str">
        <f>HYPERLINK("https://leetcode.com/problems/product-price-at-a-given-date/", "Product Price at a Given Date")</f>
        <v>Product Price at a Given Date</v>
      </c>
      <c r="C1165" s="1">
        <v>1372</v>
      </c>
      <c r="D1165" s="1">
        <v>326</v>
      </c>
      <c r="E1165" s="3">
        <f>IF(INDEX(C:C, ROW())+INDEX(D:D, ROW())=0, 0, INDEX(C:C, ROW())/(INDEX(C:C, ROW())+INDEX(D:D, ROW())))</f>
        <v>0.80800942285041222</v>
      </c>
      <c r="F1165" s="1" t="s">
        <v>297</v>
      </c>
      <c r="G1165" s="1" t="s">
        <v>24</v>
      </c>
      <c r="H1165" s="1">
        <v>323987</v>
      </c>
      <c r="I1165" s="1">
        <v>561819</v>
      </c>
      <c r="J1165" s="7">
        <v>0.57699999999999996</v>
      </c>
      <c r="K1165" s="1" t="s">
        <v>21</v>
      </c>
      <c r="L1165" s="1" t="s">
        <v>21</v>
      </c>
      <c r="M1165" s="1" t="s">
        <v>29</v>
      </c>
      <c r="N1165" s="1" t="s">
        <v>297</v>
      </c>
    </row>
    <row r="1166" spans="1:14" x14ac:dyDescent="0.25">
      <c r="A1166" s="1">
        <v>1165</v>
      </c>
      <c r="B1166" s="2" t="str">
        <f>HYPERLINK("https://leetcode.com/problems/single-row-keyboard/", "Single-Row Keyboard")</f>
        <v>Single-Row Keyboard</v>
      </c>
      <c r="C1166" s="1">
        <v>544</v>
      </c>
      <c r="D1166" s="1">
        <v>23</v>
      </c>
      <c r="E1166" s="3">
        <f>IF(INDEX(C:C, ROW())+INDEX(D:D, ROW())=0, 0, INDEX(C:C, ROW())/(INDEX(C:C, ROW())+INDEX(D:D, ROW())))</f>
        <v>0.95943562610229272</v>
      </c>
      <c r="F1166" s="1" t="s">
        <v>131</v>
      </c>
      <c r="G1166" s="1" t="s">
        <v>20</v>
      </c>
      <c r="H1166" s="1">
        <v>93571</v>
      </c>
      <c r="I1166" s="1">
        <v>106572</v>
      </c>
      <c r="J1166" s="7">
        <v>0.878</v>
      </c>
      <c r="K1166" s="1" t="s">
        <v>29</v>
      </c>
      <c r="L1166" s="1" t="s">
        <v>21</v>
      </c>
      <c r="M1166" s="1" t="s">
        <v>21</v>
      </c>
      <c r="N1166" s="1" t="s">
        <v>22</v>
      </c>
    </row>
    <row r="1167" spans="1:14" x14ac:dyDescent="0.25">
      <c r="A1167" s="1">
        <v>1166</v>
      </c>
      <c r="B1167" s="2" t="str">
        <f>HYPERLINK("https://leetcode.com/problems/design-file-system/", "Design File System")</f>
        <v>Design File System</v>
      </c>
      <c r="C1167" s="1">
        <v>640</v>
      </c>
      <c r="D1167" s="1">
        <v>79</v>
      </c>
      <c r="E1167" s="3">
        <f>IF(INDEX(C:C, ROW())+INDEX(D:D, ROW())=0, 0, INDEX(C:C, ROW())/(INDEX(C:C, ROW())+INDEX(D:D, ROW())))</f>
        <v>0.89012517385257306</v>
      </c>
      <c r="F1167" s="1" t="s">
        <v>105</v>
      </c>
      <c r="G1167" s="1" t="s">
        <v>24</v>
      </c>
      <c r="H1167" s="1">
        <v>88931</v>
      </c>
      <c r="I1167" s="1">
        <v>136710</v>
      </c>
      <c r="J1167" s="7">
        <v>0.65100000000000002</v>
      </c>
      <c r="K1167" s="1" t="s">
        <v>29</v>
      </c>
      <c r="L1167" s="1" t="s">
        <v>21</v>
      </c>
      <c r="M1167" s="1" t="s">
        <v>29</v>
      </c>
      <c r="N1167" s="1" t="s">
        <v>22</v>
      </c>
    </row>
    <row r="1168" spans="1:14" x14ac:dyDescent="0.25">
      <c r="A1168" s="1">
        <v>1167</v>
      </c>
      <c r="B1168" s="2" t="str">
        <f>HYPERLINK("https://leetcode.com/problems/minimum-cost-to-connect-sticks/", "Minimum Cost to Connect Sticks")</f>
        <v>Minimum Cost to Connect Sticks</v>
      </c>
      <c r="C1168" s="1">
        <v>1350</v>
      </c>
      <c r="D1168" s="1">
        <v>158</v>
      </c>
      <c r="E1168" s="3">
        <f>IF(INDEX(C:C, ROW())+INDEX(D:D, ROW())=0, 0, INDEX(C:C, ROW())/(INDEX(C:C, ROW())+INDEX(D:D, ROW())))</f>
        <v>0.89522546419098148</v>
      </c>
      <c r="F1168" s="1" t="s">
        <v>221</v>
      </c>
      <c r="G1168" s="1" t="s">
        <v>24</v>
      </c>
      <c r="H1168" s="1">
        <v>147957</v>
      </c>
      <c r="I1168" s="1">
        <v>206174</v>
      </c>
      <c r="J1168" s="7">
        <v>0.71799999999999997</v>
      </c>
      <c r="K1168" s="1" t="s">
        <v>29</v>
      </c>
      <c r="L1168" s="1" t="s">
        <v>21</v>
      </c>
      <c r="M1168" s="1" t="s">
        <v>21</v>
      </c>
      <c r="N1168" s="1" t="s">
        <v>22</v>
      </c>
    </row>
    <row r="1169" spans="1:14" x14ac:dyDescent="0.25">
      <c r="A1169" s="1">
        <v>1168</v>
      </c>
      <c r="B1169" s="2" t="str">
        <f>HYPERLINK("https://leetcode.com/problems/optimize-water-distribution-in-a-village/", "Optimize Water Distribution in a Village")</f>
        <v>Optimize Water Distribution in a Village</v>
      </c>
      <c r="C1169" s="1">
        <v>1207</v>
      </c>
      <c r="D1169" s="1">
        <v>40</v>
      </c>
      <c r="E1169" s="3">
        <f>IF(INDEX(C:C, ROW())+INDEX(D:D, ROW())=0, 0, INDEX(C:C, ROW())/(INDEX(C:C, ROW())+INDEX(D:D, ROW())))</f>
        <v>0.96792301523656776</v>
      </c>
      <c r="F1169" s="1" t="s">
        <v>652</v>
      </c>
      <c r="G1169" s="1" t="s">
        <v>28</v>
      </c>
      <c r="H1169" s="1">
        <v>59017</v>
      </c>
      <c r="I1169" s="1">
        <v>90145</v>
      </c>
      <c r="J1169" s="7">
        <v>0.65500000000000003</v>
      </c>
      <c r="K1169" s="1" t="s">
        <v>29</v>
      </c>
      <c r="L1169" s="1" t="s">
        <v>21</v>
      </c>
      <c r="M1169" s="1" t="s">
        <v>29</v>
      </c>
      <c r="N1169" s="1" t="s">
        <v>22</v>
      </c>
    </row>
    <row r="1170" spans="1:14" x14ac:dyDescent="0.25">
      <c r="A1170" s="1">
        <v>1169</v>
      </c>
      <c r="B1170" s="2" t="str">
        <f>HYPERLINK("https://leetcode.com/problems/invalid-transactions/", "Invalid Transactions")</f>
        <v>Invalid Transactions</v>
      </c>
      <c r="C1170" s="1">
        <v>611</v>
      </c>
      <c r="D1170" s="1">
        <v>2429</v>
      </c>
      <c r="E1170" s="3">
        <f>IF(INDEX(C:C, ROW())+INDEX(D:D, ROW())=0, 0, INDEX(C:C, ROW())/(INDEX(C:C, ROW())+INDEX(D:D, ROW())))</f>
        <v>0.20098684210526316</v>
      </c>
      <c r="F1170" s="1" t="s">
        <v>49</v>
      </c>
      <c r="G1170" s="1" t="s">
        <v>24</v>
      </c>
      <c r="H1170" s="1">
        <v>110864</v>
      </c>
      <c r="I1170" s="1">
        <v>345729</v>
      </c>
      <c r="J1170" s="7">
        <v>0.32100000000000001</v>
      </c>
      <c r="K1170" s="1" t="s">
        <v>21</v>
      </c>
      <c r="L1170" s="1" t="s">
        <v>29</v>
      </c>
      <c r="M1170" s="1" t="s">
        <v>29</v>
      </c>
      <c r="N1170" s="1" t="s">
        <v>22</v>
      </c>
    </row>
    <row r="1171" spans="1:14" x14ac:dyDescent="0.25">
      <c r="A1171" s="1">
        <v>1170</v>
      </c>
      <c r="B1171" s="2" t="str">
        <f>HYPERLINK("https://leetcode.com/problems/compare-strings-by-frequency-of-the-smallest-character/", "Compare Strings by Frequency of the Smallest Character")</f>
        <v>Compare Strings by Frequency of the Smallest Character</v>
      </c>
      <c r="C1171" s="1">
        <v>752</v>
      </c>
      <c r="D1171" s="1">
        <v>980</v>
      </c>
      <c r="E1171" s="3">
        <f>IF(INDEX(C:C, ROW())+INDEX(D:D, ROW())=0, 0, INDEX(C:C, ROW())/(INDEX(C:C, ROW())+INDEX(D:D, ROW())))</f>
        <v>0.43418013856812931</v>
      </c>
      <c r="F1171" s="1" t="s">
        <v>780</v>
      </c>
      <c r="G1171" s="1" t="s">
        <v>24</v>
      </c>
      <c r="H1171" s="1">
        <v>92154</v>
      </c>
      <c r="I1171" s="1">
        <v>145751</v>
      </c>
      <c r="J1171" s="7">
        <v>0.63200000000000001</v>
      </c>
      <c r="K1171" s="1" t="s">
        <v>21</v>
      </c>
      <c r="L1171" s="1" t="s">
        <v>29</v>
      </c>
      <c r="M1171" s="1" t="s">
        <v>29</v>
      </c>
      <c r="N1171" s="1" t="s">
        <v>22</v>
      </c>
    </row>
    <row r="1172" spans="1:14" x14ac:dyDescent="0.25">
      <c r="A1172" s="1">
        <v>1171</v>
      </c>
      <c r="B1172" s="2" t="str">
        <f>HYPERLINK("https://leetcode.com/problems/remove-zero-sum-consecutive-nodes-from-linked-list/", "Remove Zero Sum Consecutive Nodes from Linked List")</f>
        <v>Remove Zero Sum Consecutive Nodes from Linked List</v>
      </c>
      <c r="C1172" s="1">
        <v>3500</v>
      </c>
      <c r="D1172" s="1">
        <v>226</v>
      </c>
      <c r="E1172" s="3">
        <f>IF(INDEX(C:C, ROW())+INDEX(D:D, ROW())=0, 0, INDEX(C:C, ROW())/(INDEX(C:C, ROW())+INDEX(D:D, ROW())))</f>
        <v>0.93934514224369292</v>
      </c>
      <c r="F1172" s="1" t="s">
        <v>85</v>
      </c>
      <c r="G1172" s="1" t="s">
        <v>24</v>
      </c>
      <c r="H1172" s="1">
        <v>185934</v>
      </c>
      <c r="I1172" s="1">
        <v>350086</v>
      </c>
      <c r="J1172" s="7">
        <v>0.53100000000000003</v>
      </c>
      <c r="K1172" s="1" t="s">
        <v>21</v>
      </c>
      <c r="L1172" s="1" t="s">
        <v>21</v>
      </c>
      <c r="M1172" s="1" t="s">
        <v>29</v>
      </c>
      <c r="N1172" s="1" t="s">
        <v>22</v>
      </c>
    </row>
    <row r="1173" spans="1:14" x14ac:dyDescent="0.25">
      <c r="A1173" s="1">
        <v>1172</v>
      </c>
      <c r="B1173" s="2" t="str">
        <f>HYPERLINK("https://leetcode.com/problems/dinner-plate-stacks/", "Dinner Plate Stacks")</f>
        <v>Dinner Plate Stacks</v>
      </c>
      <c r="C1173" s="1">
        <v>516</v>
      </c>
      <c r="D1173" s="1">
        <v>68</v>
      </c>
      <c r="E1173" s="3">
        <f>IF(INDEX(C:C, ROW())+INDEX(D:D, ROW())=0, 0, INDEX(C:C, ROW())/(INDEX(C:C, ROW())+INDEX(D:D, ROW())))</f>
        <v>0.88356164383561642</v>
      </c>
      <c r="F1173" s="1" t="s">
        <v>912</v>
      </c>
      <c r="G1173" s="1" t="s">
        <v>28</v>
      </c>
      <c r="H1173" s="1">
        <v>23232</v>
      </c>
      <c r="I1173" s="1">
        <v>69443</v>
      </c>
      <c r="J1173" s="7">
        <v>0.33500000000000002</v>
      </c>
      <c r="K1173" s="1" t="s">
        <v>21</v>
      </c>
      <c r="L1173" s="1" t="s">
        <v>29</v>
      </c>
      <c r="M1173" s="1" t="s">
        <v>29</v>
      </c>
      <c r="N1173" s="1" t="s">
        <v>22</v>
      </c>
    </row>
    <row r="1174" spans="1:14" x14ac:dyDescent="0.25">
      <c r="A1174" s="1">
        <v>1173</v>
      </c>
      <c r="B1174" s="2" t="str">
        <f>HYPERLINK("https://leetcode.com/problems/immediate-food-delivery-i/", "Immediate Food Delivery I")</f>
        <v>Immediate Food Delivery I</v>
      </c>
      <c r="C1174" s="1">
        <v>303</v>
      </c>
      <c r="D1174" s="1">
        <v>13</v>
      </c>
      <c r="E1174" s="3">
        <f>IF(INDEX(C:C, ROW())+INDEX(D:D, ROW())=0, 0, INDEX(C:C, ROW())/(INDEX(C:C, ROW())+INDEX(D:D, ROW())))</f>
        <v>0.95886075949367089</v>
      </c>
      <c r="F1174" s="1" t="s">
        <v>297</v>
      </c>
      <c r="G1174" s="1" t="s">
        <v>20</v>
      </c>
      <c r="H1174" s="1">
        <v>91097</v>
      </c>
      <c r="I1174" s="1">
        <v>112895</v>
      </c>
      <c r="J1174" s="7">
        <v>0.80700000000000005</v>
      </c>
      <c r="K1174" s="1" t="s">
        <v>29</v>
      </c>
      <c r="L1174" s="1" t="s">
        <v>21</v>
      </c>
      <c r="M1174" s="1" t="s">
        <v>29</v>
      </c>
      <c r="N1174" s="1" t="s">
        <v>297</v>
      </c>
    </row>
    <row r="1175" spans="1:14" x14ac:dyDescent="0.25">
      <c r="A1175" s="1">
        <v>1174</v>
      </c>
      <c r="B1175" s="2" t="str">
        <f>HYPERLINK("https://leetcode.com/problems/immediate-food-delivery-ii/", "Immediate Food Delivery II")</f>
        <v>Immediate Food Delivery II</v>
      </c>
      <c r="C1175" s="1">
        <v>1228</v>
      </c>
      <c r="D1175" s="1">
        <v>170</v>
      </c>
      <c r="E1175" s="3">
        <f>IF(INDEX(C:C, ROW())+INDEX(D:D, ROW())=0, 0, INDEX(C:C, ROW())/(INDEX(C:C, ROW())+INDEX(D:D, ROW())))</f>
        <v>0.87839771101573672</v>
      </c>
      <c r="F1175" s="1" t="s">
        <v>297</v>
      </c>
      <c r="G1175" s="1" t="s">
        <v>24</v>
      </c>
      <c r="H1175" s="1">
        <v>430582</v>
      </c>
      <c r="I1175" s="1">
        <v>773840</v>
      </c>
      <c r="J1175" s="7">
        <v>0.55600000000000005</v>
      </c>
      <c r="K1175" s="1" t="s">
        <v>21</v>
      </c>
      <c r="L1175" s="1" t="s">
        <v>29</v>
      </c>
      <c r="M1175" s="1" t="s">
        <v>29</v>
      </c>
      <c r="N1175" s="1" t="s">
        <v>297</v>
      </c>
    </row>
    <row r="1176" spans="1:14" x14ac:dyDescent="0.25">
      <c r="A1176" s="1">
        <v>1175</v>
      </c>
      <c r="B1176" s="2" t="str">
        <f>HYPERLINK("https://leetcode.com/problems/prime-arrangements/", "Prime Arrangements")</f>
        <v>Prime Arrangements</v>
      </c>
      <c r="C1176" s="1">
        <v>444</v>
      </c>
      <c r="D1176" s="1">
        <v>538</v>
      </c>
      <c r="E1176" s="3">
        <f>IF(INDEX(C:C, ROW())+INDEX(D:D, ROW())=0, 0, INDEX(C:C, ROW())/(INDEX(C:C, ROW())+INDEX(D:D, ROW())))</f>
        <v>0.45213849287169044</v>
      </c>
      <c r="F1176" s="1" t="s">
        <v>84</v>
      </c>
      <c r="G1176" s="1" t="s">
        <v>20</v>
      </c>
      <c r="H1176" s="1">
        <v>42437</v>
      </c>
      <c r="I1176" s="1">
        <v>69864</v>
      </c>
      <c r="J1176" s="7">
        <v>0.60699999999999998</v>
      </c>
      <c r="K1176" s="1" t="s">
        <v>21</v>
      </c>
      <c r="L1176" s="1" t="s">
        <v>29</v>
      </c>
      <c r="M1176" s="1" t="s">
        <v>29</v>
      </c>
      <c r="N1176" s="1" t="s">
        <v>22</v>
      </c>
    </row>
    <row r="1177" spans="1:14" x14ac:dyDescent="0.25">
      <c r="A1177" s="1">
        <v>1176</v>
      </c>
      <c r="B1177" s="2" t="str">
        <f>HYPERLINK("https://leetcode.com/problems/diet-plan-performance/", "Diet Plan Performance")</f>
        <v>Diet Plan Performance</v>
      </c>
      <c r="C1177" s="1">
        <v>174</v>
      </c>
      <c r="D1177" s="1">
        <v>297</v>
      </c>
      <c r="E1177" s="3">
        <f>IF(INDEX(C:C, ROW())+INDEX(D:D, ROW())=0, 0, INDEX(C:C, ROW())/(INDEX(C:C, ROW())+INDEX(D:D, ROW())))</f>
        <v>0.36942675159235666</v>
      </c>
      <c r="F1177" s="1" t="s">
        <v>295</v>
      </c>
      <c r="G1177" s="1" t="s">
        <v>20</v>
      </c>
      <c r="H1177" s="1">
        <v>41377</v>
      </c>
      <c r="I1177" s="1">
        <v>74102</v>
      </c>
      <c r="J1177" s="7">
        <v>0.55800000000000005</v>
      </c>
      <c r="K1177" s="1" t="s">
        <v>29</v>
      </c>
      <c r="L1177" s="1" t="s">
        <v>21</v>
      </c>
      <c r="M1177" s="1" t="s">
        <v>29</v>
      </c>
      <c r="N1177" s="1" t="s">
        <v>22</v>
      </c>
    </row>
    <row r="1178" spans="1:14" x14ac:dyDescent="0.25">
      <c r="A1178" s="1">
        <v>1177</v>
      </c>
      <c r="B1178" s="2" t="str">
        <f>HYPERLINK("https://leetcode.com/problems/can-make-palindrome-from-substring/", "Can Make Palindrome from Substring")</f>
        <v>Can Make Palindrome from Substring</v>
      </c>
      <c r="C1178" s="1">
        <v>875</v>
      </c>
      <c r="D1178" s="1">
        <v>281</v>
      </c>
      <c r="E1178" s="3">
        <f>IF(INDEX(C:C, ROW())+INDEX(D:D, ROW())=0, 0, INDEX(C:C, ROW())/(INDEX(C:C, ROW())+INDEX(D:D, ROW())))</f>
        <v>0.75692041522491349</v>
      </c>
      <c r="F1178" s="1" t="s">
        <v>745</v>
      </c>
      <c r="G1178" s="1" t="s">
        <v>24</v>
      </c>
      <c r="H1178" s="1">
        <v>35465</v>
      </c>
      <c r="I1178" s="1">
        <v>85896</v>
      </c>
      <c r="J1178" s="7">
        <v>0.41299999999999998</v>
      </c>
      <c r="K1178" s="1" t="s">
        <v>21</v>
      </c>
      <c r="L1178" s="1" t="s">
        <v>29</v>
      </c>
      <c r="M1178" s="1" t="s">
        <v>29</v>
      </c>
      <c r="N1178" s="1" t="s">
        <v>22</v>
      </c>
    </row>
    <row r="1179" spans="1:14" x14ac:dyDescent="0.25">
      <c r="A1179" s="1">
        <v>1178</v>
      </c>
      <c r="B1179" s="2" t="str">
        <f>HYPERLINK("https://leetcode.com/problems/number-of-valid-words-for-each-puzzle/", "Number of Valid Words for Each Puzzle")</f>
        <v>Number of Valid Words for Each Puzzle</v>
      </c>
      <c r="C1179" s="1">
        <v>1301</v>
      </c>
      <c r="D1179" s="1">
        <v>89</v>
      </c>
      <c r="E1179" s="3">
        <f>IF(INDEX(C:C, ROW())+INDEX(D:D, ROW())=0, 0, INDEX(C:C, ROW())/(INDEX(C:C, ROW())+INDEX(D:D, ROW())))</f>
        <v>0.93597122302158275</v>
      </c>
      <c r="F1179" s="1" t="s">
        <v>637</v>
      </c>
      <c r="G1179" s="1" t="s">
        <v>28</v>
      </c>
      <c r="H1179" s="1">
        <v>34598</v>
      </c>
      <c r="I1179" s="1">
        <v>72534</v>
      </c>
      <c r="J1179" s="7">
        <v>0.47699999999999998</v>
      </c>
      <c r="K1179" s="1" t="s">
        <v>21</v>
      </c>
      <c r="L1179" s="1" t="s">
        <v>21</v>
      </c>
      <c r="M1179" s="1" t="s">
        <v>29</v>
      </c>
      <c r="N1179" s="1" t="s">
        <v>22</v>
      </c>
    </row>
    <row r="1180" spans="1:14" x14ac:dyDescent="0.25">
      <c r="A1180" s="1">
        <v>1179</v>
      </c>
      <c r="B1180" s="2" t="str">
        <f>HYPERLINK("https://leetcode.com/problems/reformat-department-table/", "Reformat Department Table")</f>
        <v>Reformat Department Table</v>
      </c>
      <c r="C1180" s="1">
        <v>844</v>
      </c>
      <c r="D1180" s="1">
        <v>640</v>
      </c>
      <c r="E1180" s="3">
        <f>IF(INDEX(C:C, ROW())+INDEX(D:D, ROW())=0, 0, INDEX(C:C, ROW())/(INDEX(C:C, ROW())+INDEX(D:D, ROW())))</f>
        <v>0.56873315363881405</v>
      </c>
      <c r="F1180" s="1" t="s">
        <v>297</v>
      </c>
      <c r="G1180" s="1" t="s">
        <v>20</v>
      </c>
      <c r="H1180" s="1">
        <v>176641</v>
      </c>
      <c r="I1180" s="1">
        <v>231520</v>
      </c>
      <c r="J1180" s="7">
        <v>0.76300000000000001</v>
      </c>
      <c r="K1180" s="1" t="s">
        <v>21</v>
      </c>
      <c r="L1180" s="1" t="s">
        <v>21</v>
      </c>
      <c r="M1180" s="1" t="s">
        <v>29</v>
      </c>
      <c r="N1180" s="1" t="s">
        <v>297</v>
      </c>
    </row>
    <row r="1181" spans="1:14" x14ac:dyDescent="0.25">
      <c r="A1181" s="1">
        <v>1180</v>
      </c>
      <c r="B1181" s="2" t="str">
        <f>HYPERLINK("https://leetcode.com/problems/count-substrings-with-only-one-distinct-letter/", "Count Substrings with Only One Distinct Letter")</f>
        <v>Count Substrings with Only One Distinct Letter</v>
      </c>
      <c r="C1181" s="1">
        <v>363</v>
      </c>
      <c r="D1181" s="1">
        <v>52</v>
      </c>
      <c r="E1181" s="3">
        <f>IF(INDEX(C:C, ROW())+INDEX(D:D, ROW())=0, 0, INDEX(C:C, ROW())/(INDEX(C:C, ROW())+INDEX(D:D, ROW())))</f>
        <v>0.87469879518072291</v>
      </c>
      <c r="F1181" s="1" t="s">
        <v>228</v>
      </c>
      <c r="G1181" s="1" t="s">
        <v>20</v>
      </c>
      <c r="H1181" s="1">
        <v>31139</v>
      </c>
      <c r="I1181" s="1">
        <v>38488</v>
      </c>
      <c r="J1181" s="7">
        <v>0.80900000000000005</v>
      </c>
      <c r="K1181" s="1" t="s">
        <v>29</v>
      </c>
      <c r="L1181" s="1" t="s">
        <v>21</v>
      </c>
      <c r="M1181" s="1" t="s">
        <v>29</v>
      </c>
      <c r="N1181" s="1" t="s">
        <v>22</v>
      </c>
    </row>
    <row r="1182" spans="1:14" x14ac:dyDescent="0.25">
      <c r="A1182" s="1">
        <v>1181</v>
      </c>
      <c r="B1182" s="2" t="str">
        <f>HYPERLINK("https://leetcode.com/problems/before-and-after-puzzle/", "Before and After Puzzle")</f>
        <v>Before and After Puzzle</v>
      </c>
      <c r="C1182" s="1">
        <v>92</v>
      </c>
      <c r="D1182" s="1">
        <v>158</v>
      </c>
      <c r="E1182" s="3">
        <f>IF(INDEX(C:C, ROW())+INDEX(D:D, ROW())=0, 0, INDEX(C:C, ROW())/(INDEX(C:C, ROW())+INDEX(D:D, ROW())))</f>
        <v>0.36799999999999999</v>
      </c>
      <c r="F1182" s="1" t="s">
        <v>49</v>
      </c>
      <c r="G1182" s="1" t="s">
        <v>24</v>
      </c>
      <c r="H1182" s="1">
        <v>13057</v>
      </c>
      <c r="I1182" s="1">
        <v>25199</v>
      </c>
      <c r="J1182" s="7">
        <v>0.51800000000000002</v>
      </c>
      <c r="K1182" s="1" t="s">
        <v>29</v>
      </c>
      <c r="L1182" s="1" t="s">
        <v>21</v>
      </c>
      <c r="M1182" s="1" t="s">
        <v>29</v>
      </c>
      <c r="N1182" s="1" t="s">
        <v>22</v>
      </c>
    </row>
    <row r="1183" spans="1:14" x14ac:dyDescent="0.25">
      <c r="A1183" s="1">
        <v>1182</v>
      </c>
      <c r="B1183" s="2" t="str">
        <f>HYPERLINK("https://leetcode.com/problems/shortest-distance-to-target-color/", "Shortest Distance to Target Color")</f>
        <v>Shortest Distance to Target Color</v>
      </c>
      <c r="C1183" s="1">
        <v>539</v>
      </c>
      <c r="D1183" s="1">
        <v>22</v>
      </c>
      <c r="E1183" s="3">
        <f>IF(INDEX(C:C, ROW())+INDEX(D:D, ROW())=0, 0, INDEX(C:C, ROW())/(INDEX(C:C, ROW())+INDEX(D:D, ROW())))</f>
        <v>0.96078431372549022</v>
      </c>
      <c r="F1183" s="1" t="s">
        <v>47</v>
      </c>
      <c r="G1183" s="1" t="s">
        <v>24</v>
      </c>
      <c r="H1183" s="1">
        <v>40947</v>
      </c>
      <c r="I1183" s="1">
        <v>72483</v>
      </c>
      <c r="J1183" s="7">
        <v>0.56499999999999995</v>
      </c>
      <c r="K1183" s="1" t="s">
        <v>29</v>
      </c>
      <c r="L1183" s="1" t="s">
        <v>21</v>
      </c>
      <c r="M1183" s="1" t="s">
        <v>29</v>
      </c>
      <c r="N1183" s="1" t="s">
        <v>22</v>
      </c>
    </row>
    <row r="1184" spans="1:14" x14ac:dyDescent="0.25">
      <c r="A1184" s="1">
        <v>1183</v>
      </c>
      <c r="B1184" s="2" t="str">
        <f>HYPERLINK("https://leetcode.com/problems/maximum-number-of-ones/", "Maximum Number of Ones")</f>
        <v>Maximum Number of Ones</v>
      </c>
      <c r="C1184" s="1">
        <v>173</v>
      </c>
      <c r="D1184" s="1">
        <v>35</v>
      </c>
      <c r="E1184" s="3">
        <f>IF(INDEX(C:C, ROW())+INDEX(D:D, ROW())=0, 0, INDEX(C:C, ROW())/(INDEX(C:C, ROW())+INDEX(D:D, ROW())))</f>
        <v>0.83173076923076927</v>
      </c>
      <c r="F1184" s="1" t="s">
        <v>1118</v>
      </c>
      <c r="G1184" s="1" t="s">
        <v>28</v>
      </c>
      <c r="H1184" s="1">
        <v>7661</v>
      </c>
      <c r="I1184" s="1">
        <v>10862</v>
      </c>
      <c r="J1184" s="7">
        <v>0.70499999999999996</v>
      </c>
      <c r="K1184" s="1" t="s">
        <v>29</v>
      </c>
      <c r="L1184" s="1" t="s">
        <v>21</v>
      </c>
      <c r="M1184" s="1" t="s">
        <v>29</v>
      </c>
      <c r="N1184" s="1" t="s">
        <v>22</v>
      </c>
    </row>
    <row r="1185" spans="1:14" x14ac:dyDescent="0.25">
      <c r="A1185" s="1">
        <v>1184</v>
      </c>
      <c r="B1185" s="2" t="str">
        <f>HYPERLINK("https://leetcode.com/problems/distance-between-bus-stops/", "Distance Between Bus Stops")</f>
        <v>Distance Between Bus Stops</v>
      </c>
      <c r="C1185" s="1">
        <v>813</v>
      </c>
      <c r="D1185" s="1">
        <v>95</v>
      </c>
      <c r="E1185" s="3">
        <f>IF(INDEX(C:C, ROW())+INDEX(D:D, ROW())=0, 0, INDEX(C:C, ROW())/(INDEX(C:C, ROW())+INDEX(D:D, ROW())))</f>
        <v>0.89537444933920707</v>
      </c>
      <c r="F1185" s="1" t="s">
        <v>113</v>
      </c>
      <c r="G1185" s="1" t="s">
        <v>20</v>
      </c>
      <c r="H1185" s="1">
        <v>77633</v>
      </c>
      <c r="I1185" s="1">
        <v>140601</v>
      </c>
      <c r="J1185" s="7">
        <v>0.55200000000000005</v>
      </c>
      <c r="K1185" s="1" t="s">
        <v>21</v>
      </c>
      <c r="L1185" s="1" t="s">
        <v>29</v>
      </c>
      <c r="M1185" s="1" t="s">
        <v>29</v>
      </c>
      <c r="N1185" s="1" t="s">
        <v>22</v>
      </c>
    </row>
    <row r="1186" spans="1:14" x14ac:dyDescent="0.25">
      <c r="A1186" s="1">
        <v>1185</v>
      </c>
      <c r="B1186" s="2" t="str">
        <f>HYPERLINK("https://leetcode.com/problems/day-of-the-week/", "Day of the Week")</f>
        <v>Day of the Week</v>
      </c>
      <c r="C1186" s="1">
        <v>452</v>
      </c>
      <c r="D1186" s="1">
        <v>2558</v>
      </c>
      <c r="E1186" s="3">
        <f>IF(INDEX(C:C, ROW())+INDEX(D:D, ROW())=0, 0, INDEX(C:C, ROW())/(INDEX(C:C, ROW())+INDEX(D:D, ROW())))</f>
        <v>0.15016611295681062</v>
      </c>
      <c r="F1186" s="1" t="s">
        <v>84</v>
      </c>
      <c r="G1186" s="1" t="s">
        <v>20</v>
      </c>
      <c r="H1186" s="1">
        <v>88139</v>
      </c>
      <c r="I1186" s="1">
        <v>149424</v>
      </c>
      <c r="J1186" s="7">
        <v>0.59</v>
      </c>
      <c r="K1186" s="1" t="s">
        <v>21</v>
      </c>
      <c r="L1186" s="1" t="s">
        <v>29</v>
      </c>
      <c r="M1186" s="1" t="s">
        <v>29</v>
      </c>
      <c r="N1186" s="1" t="s">
        <v>22</v>
      </c>
    </row>
    <row r="1187" spans="1:14" x14ac:dyDescent="0.25">
      <c r="A1187" s="1">
        <v>1186</v>
      </c>
      <c r="B1187" s="2" t="str">
        <f>HYPERLINK("https://leetcode.com/problems/maximum-subarray-sum-with-one-deletion/", "Maximum Subarray Sum with One Deletion")</f>
        <v>Maximum Subarray Sum with One Deletion</v>
      </c>
      <c r="C1187" s="1">
        <v>2015</v>
      </c>
      <c r="D1187" s="1">
        <v>81</v>
      </c>
      <c r="E1187" s="3">
        <f>IF(INDEX(C:C, ROW())+INDEX(D:D, ROW())=0, 0, INDEX(C:C, ROW())/(INDEX(C:C, ROW())+INDEX(D:D, ROW())))</f>
        <v>0.96135496183206104</v>
      </c>
      <c r="F1187" s="1" t="s">
        <v>30</v>
      </c>
      <c r="G1187" s="1" t="s">
        <v>24</v>
      </c>
      <c r="H1187" s="1">
        <v>74779</v>
      </c>
      <c r="I1187" s="1">
        <v>160140</v>
      </c>
      <c r="J1187" s="7">
        <v>0.46700000000000003</v>
      </c>
      <c r="K1187" s="1" t="s">
        <v>21</v>
      </c>
      <c r="L1187" s="1" t="s">
        <v>29</v>
      </c>
      <c r="M1187" s="1" t="s">
        <v>29</v>
      </c>
      <c r="N1187" s="1" t="s">
        <v>22</v>
      </c>
    </row>
    <row r="1188" spans="1:14" x14ac:dyDescent="0.25">
      <c r="A1188" s="1">
        <v>1187</v>
      </c>
      <c r="B1188" s="2" t="str">
        <f>HYPERLINK("https://leetcode.com/problems/make-array-strictly-increasing/", "Make Array Strictly Increasing")</f>
        <v>Make Array Strictly Increasing</v>
      </c>
      <c r="C1188" s="1">
        <v>2341</v>
      </c>
      <c r="D1188" s="1">
        <v>51</v>
      </c>
      <c r="E1188" s="3">
        <f>IF(INDEX(C:C, ROW())+INDEX(D:D, ROW())=0, 0, INDEX(C:C, ROW())/(INDEX(C:C, ROW())+INDEX(D:D, ROW())))</f>
        <v>0.97867892976588633</v>
      </c>
      <c r="F1188" s="1" t="s">
        <v>188</v>
      </c>
      <c r="G1188" s="1" t="s">
        <v>28</v>
      </c>
      <c r="H1188" s="1">
        <v>66424</v>
      </c>
      <c r="I1188" s="1">
        <v>114721</v>
      </c>
      <c r="J1188" s="7">
        <v>0.57899999999999996</v>
      </c>
      <c r="K1188" s="1" t="s">
        <v>21</v>
      </c>
      <c r="L1188" s="1" t="s">
        <v>21</v>
      </c>
      <c r="M1188" s="1" t="s">
        <v>29</v>
      </c>
      <c r="N1188" s="1" t="s">
        <v>22</v>
      </c>
    </row>
    <row r="1189" spans="1:14" x14ac:dyDescent="0.25">
      <c r="A1189" s="1">
        <v>1188</v>
      </c>
      <c r="B1189" s="2" t="str">
        <f>HYPERLINK("https://leetcode.com/problems/design-bounded-blocking-queue/", "Design Bounded Blocking Queue")</f>
        <v>Design Bounded Blocking Queue</v>
      </c>
      <c r="C1189" s="1">
        <v>546</v>
      </c>
      <c r="D1189" s="1">
        <v>43</v>
      </c>
      <c r="E1189" s="3">
        <f>IF(INDEX(C:C, ROW())+INDEX(D:D, ROW())=0, 0, INDEX(C:C, ROW())/(INDEX(C:C, ROW())+INDEX(D:D, ROW())))</f>
        <v>0.92699490662139217</v>
      </c>
      <c r="F1189" s="1" t="s">
        <v>561</v>
      </c>
      <c r="G1189" s="1" t="s">
        <v>24</v>
      </c>
      <c r="H1189" s="1">
        <v>67701</v>
      </c>
      <c r="I1189" s="1">
        <v>92013</v>
      </c>
      <c r="J1189" s="7">
        <v>0.73599999999999999</v>
      </c>
      <c r="K1189" s="1" t="s">
        <v>29</v>
      </c>
      <c r="L1189" s="1" t="s">
        <v>29</v>
      </c>
      <c r="M1189" s="1" t="s">
        <v>29</v>
      </c>
      <c r="N1189" s="1" t="s">
        <v>561</v>
      </c>
    </row>
    <row r="1190" spans="1:14" x14ac:dyDescent="0.25">
      <c r="A1190" s="1">
        <v>1189</v>
      </c>
      <c r="B1190" s="2" t="str">
        <f>HYPERLINK("https://leetcode.com/problems/maximum-number-of-balloons/", "Maximum Number of Balloons")</f>
        <v>Maximum Number of Balloons</v>
      </c>
      <c r="C1190" s="1">
        <v>1870</v>
      </c>
      <c r="D1190" s="1">
        <v>121</v>
      </c>
      <c r="E1190" s="3">
        <f>IF(INDEX(C:C, ROW())+INDEX(D:D, ROW())=0, 0, INDEX(C:C, ROW())/(INDEX(C:C, ROW())+INDEX(D:D, ROW())))</f>
        <v>0.93922651933701662</v>
      </c>
      <c r="F1190" s="1" t="s">
        <v>237</v>
      </c>
      <c r="G1190" s="1" t="s">
        <v>20</v>
      </c>
      <c r="H1190" s="1">
        <v>320578</v>
      </c>
      <c r="I1190" s="1">
        <v>534140</v>
      </c>
      <c r="J1190" s="7">
        <v>0.6</v>
      </c>
      <c r="K1190" s="1" t="s">
        <v>21</v>
      </c>
      <c r="L1190" s="1" t="s">
        <v>21</v>
      </c>
      <c r="M1190" s="1" t="s">
        <v>29</v>
      </c>
      <c r="N1190" s="1" t="s">
        <v>22</v>
      </c>
    </row>
    <row r="1191" spans="1:14" x14ac:dyDescent="0.25">
      <c r="A1191" s="1">
        <v>1190</v>
      </c>
      <c r="B1191" s="2" t="str">
        <f>HYPERLINK("https://leetcode.com/problems/reverse-substrings-between-each-pair-of-parentheses/", "Reverse Substrings Between Each Pair of Parentheses")</f>
        <v>Reverse Substrings Between Each Pair of Parentheses</v>
      </c>
      <c r="C1191" s="1">
        <v>2938</v>
      </c>
      <c r="D1191" s="1">
        <v>128</v>
      </c>
      <c r="E1191" s="3">
        <f>IF(INDEX(C:C, ROW())+INDEX(D:D, ROW())=0, 0, INDEX(C:C, ROW())/(INDEX(C:C, ROW())+INDEX(D:D, ROW())))</f>
        <v>0.95825179386823223</v>
      </c>
      <c r="F1191" s="1" t="s">
        <v>36</v>
      </c>
      <c r="G1191" s="1" t="s">
        <v>24</v>
      </c>
      <c r="H1191" s="1">
        <v>242656</v>
      </c>
      <c r="I1191" s="1">
        <v>337306</v>
      </c>
      <c r="J1191" s="7">
        <v>0.71899999999999997</v>
      </c>
      <c r="K1191" s="1" t="s">
        <v>21</v>
      </c>
      <c r="L1191" s="1" t="s">
        <v>21</v>
      </c>
      <c r="M1191" s="1" t="s">
        <v>29</v>
      </c>
      <c r="N1191" s="1" t="s">
        <v>22</v>
      </c>
    </row>
    <row r="1192" spans="1:14" x14ac:dyDescent="0.25">
      <c r="A1192" s="1">
        <v>1191</v>
      </c>
      <c r="B1192" s="2" t="str">
        <f>HYPERLINK("https://leetcode.com/problems/k-concatenation-maximum-sum/", "K-Concatenation Maximum Sum")</f>
        <v>K-Concatenation Maximum Sum</v>
      </c>
      <c r="C1192" s="1">
        <v>1502</v>
      </c>
      <c r="D1192" s="1">
        <v>134</v>
      </c>
      <c r="E1192" s="3">
        <f>IF(INDEX(C:C, ROW())+INDEX(D:D, ROW())=0, 0, INDEX(C:C, ROW())/(INDEX(C:C, ROW())+INDEX(D:D, ROW())))</f>
        <v>0.91809290953545231</v>
      </c>
      <c r="F1192" s="1" t="s">
        <v>30</v>
      </c>
      <c r="G1192" s="1" t="s">
        <v>24</v>
      </c>
      <c r="H1192" s="1">
        <v>43901</v>
      </c>
      <c r="I1192" s="1">
        <v>174135</v>
      </c>
      <c r="J1192" s="7">
        <v>0.252</v>
      </c>
      <c r="K1192" s="1" t="s">
        <v>21</v>
      </c>
      <c r="L1192" s="1" t="s">
        <v>29</v>
      </c>
      <c r="M1192" s="1" t="s">
        <v>29</v>
      </c>
      <c r="N1192" s="1" t="s">
        <v>22</v>
      </c>
    </row>
    <row r="1193" spans="1:14" x14ac:dyDescent="0.25">
      <c r="A1193" s="1">
        <v>1192</v>
      </c>
      <c r="B1193" s="2" t="str">
        <f>HYPERLINK("https://leetcode.com/problems/critical-connections-in-a-network/", "Critical Connections in a Network")</f>
        <v>Critical Connections in a Network</v>
      </c>
      <c r="C1193" s="1">
        <v>6672</v>
      </c>
      <c r="D1193" s="1">
        <v>192</v>
      </c>
      <c r="E1193" s="3">
        <f>IF(INDEX(C:C, ROW())+INDEX(D:D, ROW())=0, 0, INDEX(C:C, ROW())/(INDEX(C:C, ROW())+INDEX(D:D, ROW())))</f>
        <v>0.97202797202797198</v>
      </c>
      <c r="F1193" s="1" t="s">
        <v>211</v>
      </c>
      <c r="G1193" s="1" t="s">
        <v>28</v>
      </c>
      <c r="H1193" s="1">
        <v>313992</v>
      </c>
      <c r="I1193" s="1">
        <v>529709</v>
      </c>
      <c r="J1193" s="7">
        <v>0.59299999999999997</v>
      </c>
      <c r="K1193" s="1" t="s">
        <v>21</v>
      </c>
      <c r="L1193" s="1" t="s">
        <v>21</v>
      </c>
      <c r="M1193" s="1" t="s">
        <v>29</v>
      </c>
      <c r="N1193" s="1" t="s">
        <v>22</v>
      </c>
    </row>
    <row r="1194" spans="1:14" x14ac:dyDescent="0.25">
      <c r="A1194" s="1">
        <v>1193</v>
      </c>
      <c r="B1194" s="2" t="str">
        <f>HYPERLINK("https://leetcode.com/problems/monthly-transactions-i/", "Monthly Transactions I")</f>
        <v>Monthly Transactions I</v>
      </c>
      <c r="C1194" s="1">
        <v>1389</v>
      </c>
      <c r="D1194" s="1">
        <v>132</v>
      </c>
      <c r="E1194" s="3">
        <f>IF(INDEX(C:C, ROW())+INDEX(D:D, ROW())=0, 0, INDEX(C:C, ROW())/(INDEX(C:C, ROW())+INDEX(D:D, ROW())))</f>
        <v>0.91321499013806706</v>
      </c>
      <c r="F1194" s="1" t="s">
        <v>297</v>
      </c>
      <c r="G1194" s="1" t="s">
        <v>24</v>
      </c>
      <c r="H1194" s="1">
        <v>506410</v>
      </c>
      <c r="I1194" s="1">
        <v>859377</v>
      </c>
      <c r="J1194" s="7">
        <v>0.58899999999999997</v>
      </c>
      <c r="K1194" s="1" t="s">
        <v>21</v>
      </c>
      <c r="L1194" s="1" t="s">
        <v>29</v>
      </c>
      <c r="M1194" s="1" t="s">
        <v>29</v>
      </c>
      <c r="N1194" s="1" t="s">
        <v>297</v>
      </c>
    </row>
    <row r="1195" spans="1:14" x14ac:dyDescent="0.25">
      <c r="A1195" s="1">
        <v>1194</v>
      </c>
      <c r="B1195" s="2" t="str">
        <f>HYPERLINK("https://leetcode.com/problems/tournament-winners/", "Tournament Winners")</f>
        <v>Tournament Winners</v>
      </c>
      <c r="C1195" s="1">
        <v>152</v>
      </c>
      <c r="D1195" s="1">
        <v>57</v>
      </c>
      <c r="E1195" s="3">
        <f>IF(INDEX(C:C, ROW())+INDEX(D:D, ROW())=0, 0, INDEX(C:C, ROW())/(INDEX(C:C, ROW())+INDEX(D:D, ROW())))</f>
        <v>0.72727272727272729</v>
      </c>
      <c r="F1195" s="1" t="s">
        <v>297</v>
      </c>
      <c r="G1195" s="1" t="s">
        <v>28</v>
      </c>
      <c r="H1195" s="1">
        <v>24801</v>
      </c>
      <c r="I1195" s="1">
        <v>49580</v>
      </c>
      <c r="J1195" s="7">
        <v>0.5</v>
      </c>
      <c r="K1195" s="1" t="s">
        <v>29</v>
      </c>
      <c r="L1195" s="1" t="s">
        <v>21</v>
      </c>
      <c r="M1195" s="1" t="s">
        <v>29</v>
      </c>
      <c r="N1195" s="1" t="s">
        <v>297</v>
      </c>
    </row>
    <row r="1196" spans="1:14" x14ac:dyDescent="0.25">
      <c r="A1196" s="1">
        <v>1195</v>
      </c>
      <c r="B1196" s="2" t="str">
        <f>HYPERLINK("https://leetcode.com/problems/fizz-buzz-multithreaded/", "Fizz Buzz Multithreaded")</f>
        <v>Fizz Buzz Multithreaded</v>
      </c>
      <c r="C1196" s="1">
        <v>673</v>
      </c>
      <c r="D1196" s="1">
        <v>440</v>
      </c>
      <c r="E1196" s="3">
        <f>IF(INDEX(C:C, ROW())+INDEX(D:D, ROW())=0, 0, INDEX(C:C, ROW())/(INDEX(C:C, ROW())+INDEX(D:D, ROW())))</f>
        <v>0.60467205750224617</v>
      </c>
      <c r="F1196" s="1" t="s">
        <v>561</v>
      </c>
      <c r="G1196" s="1" t="s">
        <v>24</v>
      </c>
      <c r="H1196" s="1">
        <v>74142</v>
      </c>
      <c r="I1196" s="1">
        <v>99363</v>
      </c>
      <c r="J1196" s="7">
        <v>0.746</v>
      </c>
      <c r="K1196" s="1" t="s">
        <v>21</v>
      </c>
      <c r="L1196" s="1" t="s">
        <v>29</v>
      </c>
      <c r="M1196" s="1" t="s">
        <v>29</v>
      </c>
      <c r="N1196" s="1" t="s">
        <v>561</v>
      </c>
    </row>
    <row r="1197" spans="1:14" x14ac:dyDescent="0.25">
      <c r="A1197" s="1">
        <v>1196</v>
      </c>
      <c r="B1197" s="2" t="str">
        <f>HYPERLINK("https://leetcode.com/problems/how-many-apples-can-you-put-into-the-basket/", "How Many Apples Can You Put into the Basket")</f>
        <v>How Many Apples Can You Put into the Basket</v>
      </c>
      <c r="C1197" s="1">
        <v>230</v>
      </c>
      <c r="D1197" s="1">
        <v>17</v>
      </c>
      <c r="E1197" s="3">
        <f>IF(INDEX(C:C, ROW())+INDEX(D:D, ROW())=0, 0, INDEX(C:C, ROW())/(INDEX(C:C, ROW())+INDEX(D:D, ROW())))</f>
        <v>0.93117408906882593</v>
      </c>
      <c r="F1197" s="1" t="s">
        <v>169</v>
      </c>
      <c r="G1197" s="1" t="s">
        <v>20</v>
      </c>
      <c r="H1197" s="1">
        <v>50910</v>
      </c>
      <c r="I1197" s="1">
        <v>75968</v>
      </c>
      <c r="J1197" s="7">
        <v>0.67</v>
      </c>
      <c r="K1197" s="1" t="s">
        <v>29</v>
      </c>
      <c r="L1197" s="1" t="s">
        <v>21</v>
      </c>
      <c r="M1197" s="1" t="s">
        <v>21</v>
      </c>
      <c r="N1197" s="1" t="s">
        <v>22</v>
      </c>
    </row>
    <row r="1198" spans="1:14" x14ac:dyDescent="0.25">
      <c r="A1198" s="1">
        <v>1197</v>
      </c>
      <c r="B1198" s="2" t="str">
        <f>HYPERLINK("https://leetcode.com/problems/minimum-knight-moves/", "Minimum Knight Moves")</f>
        <v>Minimum Knight Moves</v>
      </c>
      <c r="C1198" s="1">
        <v>1561</v>
      </c>
      <c r="D1198" s="1">
        <v>411</v>
      </c>
      <c r="E1198" s="3">
        <f>IF(INDEX(C:C, ROW())+INDEX(D:D, ROW())=0, 0, INDEX(C:C, ROW())/(INDEX(C:C, ROW())+INDEX(D:D, ROW())))</f>
        <v>0.79158215010141986</v>
      </c>
      <c r="F1198" s="1" t="s">
        <v>570</v>
      </c>
      <c r="G1198" s="1" t="s">
        <v>24</v>
      </c>
      <c r="H1198" s="1">
        <v>188165</v>
      </c>
      <c r="I1198" s="1">
        <v>450791</v>
      </c>
      <c r="J1198" s="7">
        <v>0.41699999999999998</v>
      </c>
      <c r="K1198" s="1" t="s">
        <v>29</v>
      </c>
      <c r="L1198" s="1" t="s">
        <v>21</v>
      </c>
      <c r="M1198" s="1" t="s">
        <v>29</v>
      </c>
      <c r="N1198" s="1" t="s">
        <v>22</v>
      </c>
    </row>
    <row r="1199" spans="1:14" x14ac:dyDescent="0.25">
      <c r="A1199" s="1">
        <v>1198</v>
      </c>
      <c r="B1199" s="2" t="str">
        <f>HYPERLINK("https://leetcode.com/problems/find-smallest-common-element-in-all-rows/", "Find Smallest Common Element in All Rows")</f>
        <v>Find Smallest Common Element in All Rows</v>
      </c>
      <c r="C1199" s="1">
        <v>606</v>
      </c>
      <c r="D1199" s="1">
        <v>34</v>
      </c>
      <c r="E1199" s="3">
        <f>IF(INDEX(C:C, ROW())+INDEX(D:D, ROW())=0, 0, INDEX(C:C, ROW())/(INDEX(C:C, ROW())+INDEX(D:D, ROW())))</f>
        <v>0.94687500000000002</v>
      </c>
      <c r="F1199" s="1" t="s">
        <v>850</v>
      </c>
      <c r="G1199" s="1" t="s">
        <v>24</v>
      </c>
      <c r="H1199" s="1">
        <v>55083</v>
      </c>
      <c r="I1199" s="1">
        <v>71731</v>
      </c>
      <c r="J1199" s="7">
        <v>0.76800000000000002</v>
      </c>
      <c r="K1199" s="1" t="s">
        <v>29</v>
      </c>
      <c r="L1199" s="1" t="s">
        <v>21</v>
      </c>
      <c r="M1199" s="1" t="s">
        <v>21</v>
      </c>
      <c r="N1199" s="1" t="s">
        <v>22</v>
      </c>
    </row>
    <row r="1200" spans="1:14" x14ac:dyDescent="0.25">
      <c r="A1200" s="1">
        <v>1199</v>
      </c>
      <c r="B1200" s="2" t="str">
        <f>HYPERLINK("https://leetcode.com/problems/minimum-time-to-build-blocks/", "Minimum Time to Build Blocks")</f>
        <v>Minimum Time to Build Blocks</v>
      </c>
      <c r="C1200" s="1">
        <v>240</v>
      </c>
      <c r="D1200" s="1">
        <v>33</v>
      </c>
      <c r="E1200" s="3">
        <f>IF(INDEX(C:C, ROW())+INDEX(D:D, ROW())=0, 0, INDEX(C:C, ROW())/(INDEX(C:C, ROW())+INDEX(D:D, ROW())))</f>
        <v>0.87912087912087911</v>
      </c>
      <c r="F1200" s="1" t="s">
        <v>1070</v>
      </c>
      <c r="G1200" s="1" t="s">
        <v>28</v>
      </c>
      <c r="H1200" s="1">
        <v>7148</v>
      </c>
      <c r="I1200" s="1">
        <v>15396</v>
      </c>
      <c r="J1200" s="7">
        <v>0.46400000000000002</v>
      </c>
      <c r="K1200" s="1" t="s">
        <v>29</v>
      </c>
      <c r="L1200" s="1" t="s">
        <v>21</v>
      </c>
      <c r="M1200" s="1" t="s">
        <v>29</v>
      </c>
      <c r="N1200" s="1" t="s">
        <v>22</v>
      </c>
    </row>
    <row r="1201" spans="1:14" x14ac:dyDescent="0.25">
      <c r="A1201" s="1">
        <v>1200</v>
      </c>
      <c r="B1201" s="2" t="str">
        <f>HYPERLINK("https://leetcode.com/problems/minimum-absolute-difference/", "Minimum Absolute Difference")</f>
        <v>Minimum Absolute Difference</v>
      </c>
      <c r="C1201" s="1">
        <v>2879</v>
      </c>
      <c r="D1201" s="1">
        <v>94</v>
      </c>
      <c r="E1201" s="3">
        <f>IF(INDEX(C:C, ROW())+INDEX(D:D, ROW())=0, 0, INDEX(C:C, ROW())/(INDEX(C:C, ROW())+INDEX(D:D, ROW())))</f>
        <v>0.96838210561722171</v>
      </c>
      <c r="F1201" s="1" t="s">
        <v>42</v>
      </c>
      <c r="G1201" s="1" t="s">
        <v>20</v>
      </c>
      <c r="H1201" s="1">
        <v>424388</v>
      </c>
      <c r="I1201" s="1">
        <v>565644</v>
      </c>
      <c r="J1201" s="7">
        <v>0.75</v>
      </c>
      <c r="K1201" s="1" t="s">
        <v>21</v>
      </c>
      <c r="L1201" s="1" t="s">
        <v>21</v>
      </c>
      <c r="M1201" s="1" t="s">
        <v>29</v>
      </c>
      <c r="N1201" s="1" t="s">
        <v>22</v>
      </c>
    </row>
    <row r="1202" spans="1:14" x14ac:dyDescent="0.25">
      <c r="A1202" s="1">
        <v>1201</v>
      </c>
      <c r="B1202" s="2" t="str">
        <f>HYPERLINK("https://leetcode.com/problems/ugly-number-iii/", "Ugly Number III")</f>
        <v>Ugly Number III</v>
      </c>
      <c r="C1202" s="1">
        <v>1316</v>
      </c>
      <c r="D1202" s="1">
        <v>518</v>
      </c>
      <c r="E1202" s="3">
        <f>IF(INDEX(C:C, ROW())+INDEX(D:D, ROW())=0, 0, INDEX(C:C, ROW())/(INDEX(C:C, ROW())+INDEX(D:D, ROW())))</f>
        <v>0.71755725190839692</v>
      </c>
      <c r="F1202" s="1" t="s">
        <v>632</v>
      </c>
      <c r="G1202" s="1" t="s">
        <v>24</v>
      </c>
      <c r="H1202" s="1">
        <v>42896</v>
      </c>
      <c r="I1202" s="1">
        <v>137293</v>
      </c>
      <c r="J1202" s="7">
        <v>0.312</v>
      </c>
      <c r="K1202" s="1" t="s">
        <v>21</v>
      </c>
      <c r="L1202" s="1" t="s">
        <v>29</v>
      </c>
      <c r="M1202" s="1" t="s">
        <v>29</v>
      </c>
      <c r="N1202" s="1" t="s">
        <v>22</v>
      </c>
    </row>
    <row r="1203" spans="1:14" x14ac:dyDescent="0.25">
      <c r="A1203" s="1">
        <v>1202</v>
      </c>
      <c r="B1203" s="2" t="str">
        <f>HYPERLINK("https://leetcode.com/problems/smallest-string-with-swaps/", "Smallest String With Swaps")</f>
        <v>Smallest String With Swaps</v>
      </c>
      <c r="C1203" s="1">
        <v>3896</v>
      </c>
      <c r="D1203" s="1">
        <v>165</v>
      </c>
      <c r="E1203" s="3">
        <f>IF(INDEX(C:C, ROW())+INDEX(D:D, ROW())=0, 0, INDEX(C:C, ROW())/(INDEX(C:C, ROW())+INDEX(D:D, ROW())))</f>
        <v>0.95936961339571536</v>
      </c>
      <c r="F1203" s="1" t="s">
        <v>179</v>
      </c>
      <c r="G1203" s="1" t="s">
        <v>24</v>
      </c>
      <c r="H1203" s="1">
        <v>145617</v>
      </c>
      <c r="I1203" s="1">
        <v>241273</v>
      </c>
      <c r="J1203" s="7">
        <v>0.60399999999999998</v>
      </c>
      <c r="K1203" s="1" t="s">
        <v>21</v>
      </c>
      <c r="L1203" s="1" t="s">
        <v>21</v>
      </c>
      <c r="M1203" s="1" t="s">
        <v>29</v>
      </c>
      <c r="N1203" s="1" t="s">
        <v>22</v>
      </c>
    </row>
    <row r="1204" spans="1:14" x14ac:dyDescent="0.25">
      <c r="A1204" s="1">
        <v>1203</v>
      </c>
      <c r="B1204" s="2" t="str">
        <f>HYPERLINK("https://leetcode.com/problems/sort-items-by-groups-respecting-dependencies/", "Sort Items by Groups Respecting Dependencies")</f>
        <v>Sort Items by Groups Respecting Dependencies</v>
      </c>
      <c r="C1204" s="1">
        <v>1906</v>
      </c>
      <c r="D1204" s="1">
        <v>320</v>
      </c>
      <c r="E1204" s="3">
        <f>IF(INDEX(C:C, ROW())+INDEX(D:D, ROW())=0, 0, INDEX(C:C, ROW())/(INDEX(C:C, ROW())+INDEX(D:D, ROW())))</f>
        <v>0.85624438454627139</v>
      </c>
      <c r="F1204" s="1" t="s">
        <v>72</v>
      </c>
      <c r="G1204" s="1" t="s">
        <v>28</v>
      </c>
      <c r="H1204" s="1">
        <v>65361</v>
      </c>
      <c r="I1204" s="1">
        <v>99600</v>
      </c>
      <c r="J1204" s="7">
        <v>0.65600000000000003</v>
      </c>
      <c r="K1204" s="1" t="s">
        <v>21</v>
      </c>
      <c r="L1204" s="1" t="s">
        <v>21</v>
      </c>
      <c r="M1204" s="1" t="s">
        <v>29</v>
      </c>
      <c r="N1204" s="1" t="s">
        <v>22</v>
      </c>
    </row>
    <row r="1205" spans="1:14" x14ac:dyDescent="0.25">
      <c r="A1205" s="1">
        <v>1204</v>
      </c>
      <c r="B1205" s="2" t="str">
        <f>HYPERLINK("https://leetcode.com/problems/last-person-to-fit-in-the-bus/", "Last Person to Fit in the Bus")</f>
        <v>Last Person to Fit in the Bus</v>
      </c>
      <c r="C1205" s="1">
        <v>1082</v>
      </c>
      <c r="D1205" s="1">
        <v>50</v>
      </c>
      <c r="E1205" s="3">
        <f>IF(INDEX(C:C, ROW())+INDEX(D:D, ROW())=0, 0, INDEX(C:C, ROW())/(INDEX(C:C, ROW())+INDEX(D:D, ROW())))</f>
        <v>0.95583038869257952</v>
      </c>
      <c r="F1205" s="1" t="s">
        <v>297</v>
      </c>
      <c r="G1205" s="1" t="s">
        <v>24</v>
      </c>
      <c r="H1205" s="1">
        <v>322135</v>
      </c>
      <c r="I1205" s="1">
        <v>467182</v>
      </c>
      <c r="J1205" s="7">
        <v>0.69</v>
      </c>
      <c r="K1205" s="1" t="s">
        <v>21</v>
      </c>
      <c r="L1205" s="1" t="s">
        <v>29</v>
      </c>
      <c r="M1205" s="1" t="s">
        <v>29</v>
      </c>
      <c r="N1205" s="1" t="s">
        <v>297</v>
      </c>
    </row>
    <row r="1206" spans="1:14" x14ac:dyDescent="0.25">
      <c r="A1206" s="1">
        <v>1205</v>
      </c>
      <c r="B1206" s="2" t="str">
        <f>HYPERLINK("https://leetcode.com/problems/monthly-transactions-ii/", "Monthly Transactions II")</f>
        <v>Monthly Transactions II</v>
      </c>
      <c r="C1206" s="1">
        <v>163</v>
      </c>
      <c r="D1206" s="1">
        <v>555</v>
      </c>
      <c r="E1206" s="3">
        <f>IF(INDEX(C:C, ROW())+INDEX(D:D, ROW())=0, 0, INDEX(C:C, ROW())/(INDEX(C:C, ROW())+INDEX(D:D, ROW())))</f>
        <v>0.22701949860724233</v>
      </c>
      <c r="F1206" s="1" t="s">
        <v>297</v>
      </c>
      <c r="G1206" s="1" t="s">
        <v>24</v>
      </c>
      <c r="H1206" s="1">
        <v>28233</v>
      </c>
      <c r="I1206" s="1">
        <v>67173</v>
      </c>
      <c r="J1206" s="7">
        <v>0.42</v>
      </c>
      <c r="K1206" s="1" t="s">
        <v>29</v>
      </c>
      <c r="L1206" s="1" t="s">
        <v>21</v>
      </c>
      <c r="M1206" s="1" t="s">
        <v>29</v>
      </c>
      <c r="N1206" s="1" t="s">
        <v>297</v>
      </c>
    </row>
    <row r="1207" spans="1:14" x14ac:dyDescent="0.25">
      <c r="A1207" s="1">
        <v>1206</v>
      </c>
      <c r="B1207" s="2" t="str">
        <f>HYPERLINK("https://leetcode.com/problems/design-skiplist/", "Design Skiplist")</f>
        <v>Design Skiplist</v>
      </c>
      <c r="C1207" s="1">
        <v>723</v>
      </c>
      <c r="D1207" s="1">
        <v>108</v>
      </c>
      <c r="E1207" s="3">
        <f>IF(INDEX(C:C, ROW())+INDEX(D:D, ROW())=0, 0, INDEX(C:C, ROW())/(INDEX(C:C, ROW())+INDEX(D:D, ROW())))</f>
        <v>0.87003610108303253</v>
      </c>
      <c r="F1207" s="1" t="s">
        <v>375</v>
      </c>
      <c r="G1207" s="1" t="s">
        <v>28</v>
      </c>
      <c r="H1207" s="1">
        <v>33538</v>
      </c>
      <c r="I1207" s="1">
        <v>56583</v>
      </c>
      <c r="J1207" s="7">
        <v>0.59299999999999997</v>
      </c>
      <c r="K1207" s="1" t="s">
        <v>21</v>
      </c>
      <c r="L1207" s="1" t="s">
        <v>29</v>
      </c>
      <c r="M1207" s="1" t="s">
        <v>29</v>
      </c>
      <c r="N1207" s="1" t="s">
        <v>22</v>
      </c>
    </row>
    <row r="1208" spans="1:14" x14ac:dyDescent="0.25">
      <c r="A1208" s="1">
        <v>1207</v>
      </c>
      <c r="B1208" s="2" t="str">
        <f>HYPERLINK("https://leetcode.com/problems/unique-number-of-occurrences/", "Unique Number of Occurrences")</f>
        <v>Unique Number of Occurrences</v>
      </c>
      <c r="C1208" s="1">
        <v>5537</v>
      </c>
      <c r="D1208" s="1">
        <v>155</v>
      </c>
      <c r="E1208" s="3">
        <f>IF(INDEX(C:C, ROW())+INDEX(D:D, ROW())=0, 0, INDEX(C:C, ROW())/(INDEX(C:C, ROW())+INDEX(D:D, ROW())))</f>
        <v>0.97276879831342233</v>
      </c>
      <c r="F1208" s="1" t="s">
        <v>19</v>
      </c>
      <c r="G1208" s="1" t="s">
        <v>20</v>
      </c>
      <c r="H1208" s="1">
        <v>957513</v>
      </c>
      <c r="I1208" s="1">
        <v>1217693</v>
      </c>
      <c r="J1208" s="7">
        <v>0.78600000000000003</v>
      </c>
      <c r="K1208" s="1" t="s">
        <v>21</v>
      </c>
      <c r="L1208" s="1" t="s">
        <v>21</v>
      </c>
      <c r="M1208" s="1" t="s">
        <v>21</v>
      </c>
      <c r="N1208" s="1" t="s">
        <v>22</v>
      </c>
    </row>
    <row r="1209" spans="1:14" x14ac:dyDescent="0.25">
      <c r="A1209" s="1">
        <v>1208</v>
      </c>
      <c r="B1209" s="2" t="str">
        <f>HYPERLINK("https://leetcode.com/problems/get-equal-substrings-within-budget/", "Get Equal Substrings Within Budget")</f>
        <v>Get Equal Substrings Within Budget</v>
      </c>
      <c r="C1209" s="1">
        <v>1916</v>
      </c>
      <c r="D1209" s="1">
        <v>150</v>
      </c>
      <c r="E1209" s="3">
        <f>IF(INDEX(C:C, ROW())+INDEX(D:D, ROW())=0, 0, INDEX(C:C, ROW())/(INDEX(C:C, ROW())+INDEX(D:D, ROW())))</f>
        <v>0.9273959341723137</v>
      </c>
      <c r="F1209" s="1" t="s">
        <v>374</v>
      </c>
      <c r="G1209" s="1" t="s">
        <v>24</v>
      </c>
      <c r="H1209" s="1">
        <v>197922</v>
      </c>
      <c r="I1209" s="1">
        <v>332760</v>
      </c>
      <c r="J1209" s="7">
        <v>0.59499999999999997</v>
      </c>
      <c r="K1209" s="1" t="s">
        <v>21</v>
      </c>
      <c r="L1209" s="1" t="s">
        <v>21</v>
      </c>
      <c r="M1209" s="1" t="s">
        <v>29</v>
      </c>
      <c r="N1209" s="1" t="s">
        <v>22</v>
      </c>
    </row>
    <row r="1210" spans="1:14" x14ac:dyDescent="0.25">
      <c r="A1210" s="1">
        <v>1209</v>
      </c>
      <c r="B1210" s="2" t="str">
        <f>HYPERLINK("https://leetcode.com/problems/remove-all-adjacent-duplicates-in-string-ii/", "Remove All Adjacent Duplicates in String II")</f>
        <v>Remove All Adjacent Duplicates in String II</v>
      </c>
      <c r="C1210" s="1">
        <v>6062</v>
      </c>
      <c r="D1210" s="1">
        <v>124</v>
      </c>
      <c r="E1210" s="3">
        <f>IF(INDEX(C:C, ROW())+INDEX(D:D, ROW())=0, 0, INDEX(C:C, ROW())/(INDEX(C:C, ROW())+INDEX(D:D, ROW())))</f>
        <v>0.97995473650177822</v>
      </c>
      <c r="F1210" s="1" t="s">
        <v>36</v>
      </c>
      <c r="G1210" s="1" t="s">
        <v>24</v>
      </c>
      <c r="H1210" s="1">
        <v>412810</v>
      </c>
      <c r="I1210" s="1">
        <v>677830</v>
      </c>
      <c r="J1210" s="7">
        <v>0.60899999999999999</v>
      </c>
      <c r="K1210" s="1" t="s">
        <v>21</v>
      </c>
      <c r="L1210" s="1" t="s">
        <v>21</v>
      </c>
      <c r="M1210" s="1" t="s">
        <v>29</v>
      </c>
      <c r="N1210" s="1" t="s">
        <v>22</v>
      </c>
    </row>
    <row r="1211" spans="1:14" x14ac:dyDescent="0.25">
      <c r="A1211" s="1">
        <v>1210</v>
      </c>
      <c r="B1211" s="2" t="str">
        <f>HYPERLINK("https://leetcode.com/problems/minimum-moves-to-reach-target-with-rotations/", "Minimum Moves to Reach Target with Rotations")</f>
        <v>Minimum Moves to Reach Target with Rotations</v>
      </c>
      <c r="C1211" s="1">
        <v>288</v>
      </c>
      <c r="D1211" s="1">
        <v>75</v>
      </c>
      <c r="E1211" s="3">
        <f>IF(INDEX(C:C, ROW())+INDEX(D:D, ROW())=0, 0, INDEX(C:C, ROW())/(INDEX(C:C, ROW())+INDEX(D:D, ROW())))</f>
        <v>0.79338842975206614</v>
      </c>
      <c r="F1211" s="1" t="s">
        <v>86</v>
      </c>
      <c r="G1211" s="1" t="s">
        <v>28</v>
      </c>
      <c r="H1211" s="1">
        <v>12406</v>
      </c>
      <c r="I1211" s="1">
        <v>23947</v>
      </c>
      <c r="J1211" s="7">
        <v>0.51800000000000002</v>
      </c>
      <c r="K1211" s="1" t="s">
        <v>21</v>
      </c>
      <c r="L1211" s="1" t="s">
        <v>29</v>
      </c>
      <c r="M1211" s="1" t="s">
        <v>29</v>
      </c>
      <c r="N1211" s="1" t="s">
        <v>22</v>
      </c>
    </row>
    <row r="1212" spans="1:14" x14ac:dyDescent="0.25">
      <c r="A1212" s="1">
        <v>1211</v>
      </c>
      <c r="B1212" s="2" t="str">
        <f>HYPERLINK("https://leetcode.com/problems/queries-quality-and-percentage/", "Queries Quality and Percentage")</f>
        <v>Queries Quality and Percentage</v>
      </c>
      <c r="C1212" s="1">
        <v>1086</v>
      </c>
      <c r="D1212" s="1">
        <v>541</v>
      </c>
      <c r="E1212" s="3">
        <f>IF(INDEX(C:C, ROW())+INDEX(D:D, ROW())=0, 0, INDEX(C:C, ROW())/(INDEX(C:C, ROW())+INDEX(D:D, ROW())))</f>
        <v>0.66748617086662565</v>
      </c>
      <c r="F1212" s="1" t="s">
        <v>297</v>
      </c>
      <c r="G1212" s="1" t="s">
        <v>20</v>
      </c>
      <c r="H1212" s="1">
        <v>495181</v>
      </c>
      <c r="I1212" s="1">
        <v>948532</v>
      </c>
      <c r="J1212" s="7">
        <v>0.52200000000000002</v>
      </c>
      <c r="K1212" s="1" t="s">
        <v>21</v>
      </c>
      <c r="L1212" s="1" t="s">
        <v>29</v>
      </c>
      <c r="M1212" s="1" t="s">
        <v>29</v>
      </c>
      <c r="N1212" s="1" t="s">
        <v>297</v>
      </c>
    </row>
    <row r="1213" spans="1:14" x14ac:dyDescent="0.25">
      <c r="A1213" s="1">
        <v>1212</v>
      </c>
      <c r="B1213" s="2" t="str">
        <f>HYPERLINK("https://leetcode.com/problems/team-scores-in-football-tournament/", "Team Scores in Football Tournament")</f>
        <v>Team Scores in Football Tournament</v>
      </c>
      <c r="C1213" s="1">
        <v>328</v>
      </c>
      <c r="D1213" s="1">
        <v>26</v>
      </c>
      <c r="E1213" s="3">
        <f>IF(INDEX(C:C, ROW())+INDEX(D:D, ROW())=0, 0, INDEX(C:C, ROW())/(INDEX(C:C, ROW())+INDEX(D:D, ROW())))</f>
        <v>0.92655367231638419</v>
      </c>
      <c r="F1213" s="1" t="s">
        <v>297</v>
      </c>
      <c r="G1213" s="1" t="s">
        <v>24</v>
      </c>
      <c r="H1213" s="1">
        <v>51436</v>
      </c>
      <c r="I1213" s="1">
        <v>92213</v>
      </c>
      <c r="J1213" s="7">
        <v>0.55800000000000005</v>
      </c>
      <c r="K1213" s="1" t="s">
        <v>29</v>
      </c>
      <c r="L1213" s="1" t="s">
        <v>29</v>
      </c>
      <c r="M1213" s="1" t="s">
        <v>29</v>
      </c>
      <c r="N1213" s="1" t="s">
        <v>297</v>
      </c>
    </row>
    <row r="1214" spans="1:14" x14ac:dyDescent="0.25">
      <c r="A1214" s="1">
        <v>1213</v>
      </c>
      <c r="B1214" s="2" t="str">
        <f>HYPERLINK("https://leetcode.com/problems/intersection-of-three-sorted-arrays/", "Intersection of Three Sorted Arrays")</f>
        <v>Intersection of Three Sorted Arrays</v>
      </c>
      <c r="C1214" s="1">
        <v>616</v>
      </c>
      <c r="D1214" s="1">
        <v>26</v>
      </c>
      <c r="E1214" s="3">
        <f>IF(INDEX(C:C, ROW())+INDEX(D:D, ROW())=0, 0, INDEX(C:C, ROW())/(INDEX(C:C, ROW())+INDEX(D:D, ROW())))</f>
        <v>0.95950155763239875</v>
      </c>
      <c r="F1214" s="1" t="s">
        <v>840</v>
      </c>
      <c r="G1214" s="1" t="s">
        <v>20</v>
      </c>
      <c r="H1214" s="1">
        <v>102641</v>
      </c>
      <c r="I1214" s="1">
        <v>128271</v>
      </c>
      <c r="J1214" s="7">
        <v>0.8</v>
      </c>
      <c r="K1214" s="1" t="s">
        <v>29</v>
      </c>
      <c r="L1214" s="1" t="s">
        <v>21</v>
      </c>
      <c r="M1214" s="1" t="s">
        <v>29</v>
      </c>
      <c r="N1214" s="1" t="s">
        <v>22</v>
      </c>
    </row>
    <row r="1215" spans="1:14" x14ac:dyDescent="0.25">
      <c r="A1215" s="1">
        <v>1214</v>
      </c>
      <c r="B1215" s="2" t="str">
        <f>HYPERLINK("https://leetcode.com/problems/two-sum-bsts/", "Two Sum BSTs")</f>
        <v>Two Sum BSTs</v>
      </c>
      <c r="C1215" s="1">
        <v>578</v>
      </c>
      <c r="D1215" s="1">
        <v>46</v>
      </c>
      <c r="E1215" s="3">
        <f>IF(INDEX(C:C, ROW())+INDEX(D:D, ROW())=0, 0, INDEX(C:C, ROW())/(INDEX(C:C, ROW())+INDEX(D:D, ROW())))</f>
        <v>0.92628205128205132</v>
      </c>
      <c r="F1215" s="1" t="s">
        <v>862</v>
      </c>
      <c r="G1215" s="1" t="s">
        <v>24</v>
      </c>
      <c r="H1215" s="1">
        <v>60889</v>
      </c>
      <c r="I1215" s="1">
        <v>89363</v>
      </c>
      <c r="J1215" s="7">
        <v>0.68100000000000005</v>
      </c>
      <c r="K1215" s="1" t="s">
        <v>29</v>
      </c>
      <c r="L1215" s="1" t="s">
        <v>21</v>
      </c>
      <c r="M1215" s="1" t="s">
        <v>29</v>
      </c>
      <c r="N1215" s="1" t="s">
        <v>22</v>
      </c>
    </row>
    <row r="1216" spans="1:14" x14ac:dyDescent="0.25">
      <c r="A1216" s="1">
        <v>1215</v>
      </c>
      <c r="B1216" s="2" t="str">
        <f>HYPERLINK("https://leetcode.com/problems/stepping-numbers/", "Stepping Numbers")</f>
        <v>Stepping Numbers</v>
      </c>
      <c r="C1216" s="1">
        <v>188</v>
      </c>
      <c r="D1216" s="1">
        <v>21</v>
      </c>
      <c r="E1216" s="3">
        <f>IF(INDEX(C:C, ROW())+INDEX(D:D, ROW())=0, 0, INDEX(C:C, ROW())/(INDEX(C:C, ROW())+INDEX(D:D, ROW())))</f>
        <v>0.8995215311004785</v>
      </c>
      <c r="F1216" s="1" t="s">
        <v>1106</v>
      </c>
      <c r="G1216" s="1" t="s">
        <v>24</v>
      </c>
      <c r="H1216" s="1">
        <v>11078</v>
      </c>
      <c r="I1216" s="1">
        <v>23006</v>
      </c>
      <c r="J1216" s="7">
        <v>0.48199999999999998</v>
      </c>
      <c r="K1216" s="1" t="s">
        <v>29</v>
      </c>
      <c r="L1216" s="1" t="s">
        <v>29</v>
      </c>
      <c r="M1216" s="1" t="s">
        <v>29</v>
      </c>
      <c r="N1216" s="1" t="s">
        <v>22</v>
      </c>
    </row>
    <row r="1217" spans="1:14" x14ac:dyDescent="0.25">
      <c r="A1217" s="1">
        <v>1216</v>
      </c>
      <c r="B1217" s="2" t="str">
        <f>HYPERLINK("https://leetcode.com/problems/valid-palindrome-iii/", "Valid Palindrome III")</f>
        <v>Valid Palindrome III</v>
      </c>
      <c r="C1217" s="1">
        <v>842</v>
      </c>
      <c r="D1217" s="1">
        <v>15</v>
      </c>
      <c r="E1217" s="3">
        <f>IF(INDEX(C:C, ROW())+INDEX(D:D, ROW())=0, 0, INDEX(C:C, ROW())/(INDEX(C:C, ROW())+INDEX(D:D, ROW())))</f>
        <v>0.98249708284714121</v>
      </c>
      <c r="F1217" s="1" t="s">
        <v>82</v>
      </c>
      <c r="G1217" s="1" t="s">
        <v>28</v>
      </c>
      <c r="H1217" s="1">
        <v>108289</v>
      </c>
      <c r="I1217" s="1">
        <v>220436</v>
      </c>
      <c r="J1217" s="7">
        <v>0.49099999999999999</v>
      </c>
      <c r="K1217" s="1" t="s">
        <v>29</v>
      </c>
      <c r="L1217" s="1" t="s">
        <v>21</v>
      </c>
      <c r="M1217" s="1" t="s">
        <v>29</v>
      </c>
      <c r="N1217" s="1" t="s">
        <v>22</v>
      </c>
    </row>
    <row r="1218" spans="1:14" x14ac:dyDescent="0.25">
      <c r="A1218" s="1">
        <v>1217</v>
      </c>
      <c r="B1218" s="2" t="str">
        <f>HYPERLINK("https://leetcode.com/problems/minimum-cost-to-move-chips-to-the-same-position/", "Minimum Cost to Move Chips to The Same Position")</f>
        <v>Minimum Cost to Move Chips to The Same Position</v>
      </c>
      <c r="C1218" s="1">
        <v>2454</v>
      </c>
      <c r="D1218" s="1">
        <v>349</v>
      </c>
      <c r="E1218" s="3">
        <f>IF(INDEX(C:C, ROW())+INDEX(D:D, ROW())=0, 0, INDEX(C:C, ROW())/(INDEX(C:C, ROW())+INDEX(D:D, ROW())))</f>
        <v>0.87549054584373887</v>
      </c>
      <c r="F1218" s="1" t="s">
        <v>435</v>
      </c>
      <c r="G1218" s="1" t="s">
        <v>20</v>
      </c>
      <c r="H1218" s="1">
        <v>166806</v>
      </c>
      <c r="I1218" s="1">
        <v>229287</v>
      </c>
      <c r="J1218" s="7">
        <v>0.72699999999999998</v>
      </c>
      <c r="K1218" s="1" t="s">
        <v>21</v>
      </c>
      <c r="L1218" s="1" t="s">
        <v>21</v>
      </c>
      <c r="M1218" s="1" t="s">
        <v>29</v>
      </c>
      <c r="N1218" s="1" t="s">
        <v>22</v>
      </c>
    </row>
    <row r="1219" spans="1:14" x14ac:dyDescent="0.25">
      <c r="A1219" s="1">
        <v>1218</v>
      </c>
      <c r="B1219" s="2" t="str">
        <f>HYPERLINK("https://leetcode.com/problems/longest-arithmetic-subsequence-of-given-difference/", "Longest Arithmetic Subsequence of Given Difference")</f>
        <v>Longest Arithmetic Subsequence of Given Difference</v>
      </c>
      <c r="C1219" s="1">
        <v>3373</v>
      </c>
      <c r="D1219" s="1">
        <v>92</v>
      </c>
      <c r="E1219" s="3">
        <f>IF(INDEX(C:C, ROW())+INDEX(D:D, ROW())=0, 0, INDEX(C:C, ROW())/(INDEX(C:C, ROW())+INDEX(D:D, ROW())))</f>
        <v>0.97344877344877345</v>
      </c>
      <c r="F1219" s="1" t="s">
        <v>174</v>
      </c>
      <c r="G1219" s="1" t="s">
        <v>24</v>
      </c>
      <c r="H1219" s="1">
        <v>170008</v>
      </c>
      <c r="I1219" s="1">
        <v>312961</v>
      </c>
      <c r="J1219" s="7">
        <v>0.54300000000000004</v>
      </c>
      <c r="K1219" s="1" t="s">
        <v>21</v>
      </c>
      <c r="L1219" s="1" t="s">
        <v>21</v>
      </c>
      <c r="M1219" s="1" t="s">
        <v>29</v>
      </c>
      <c r="N1219" s="1" t="s">
        <v>22</v>
      </c>
    </row>
    <row r="1220" spans="1:14" x14ac:dyDescent="0.25">
      <c r="A1220" s="1">
        <v>1219</v>
      </c>
      <c r="B1220" s="2" t="str">
        <f>HYPERLINK("https://leetcode.com/problems/path-with-maximum-gold/", "Path with Maximum Gold")</f>
        <v>Path with Maximum Gold</v>
      </c>
      <c r="C1220" s="1">
        <v>3431</v>
      </c>
      <c r="D1220" s="1">
        <v>105</v>
      </c>
      <c r="E1220" s="3">
        <f>IF(INDEX(C:C, ROW())+INDEX(D:D, ROW())=0, 0, INDEX(C:C, ROW())/(INDEX(C:C, ROW())+INDEX(D:D, ROW())))</f>
        <v>0.97030542986425339</v>
      </c>
      <c r="F1220" s="1" t="s">
        <v>353</v>
      </c>
      <c r="G1220" s="1" t="s">
        <v>24</v>
      </c>
      <c r="H1220" s="1">
        <v>252037</v>
      </c>
      <c r="I1220" s="1">
        <v>368897</v>
      </c>
      <c r="J1220" s="7">
        <v>0.68300000000000005</v>
      </c>
      <c r="K1220" s="1" t="s">
        <v>21</v>
      </c>
      <c r="L1220" s="1" t="s">
        <v>21</v>
      </c>
      <c r="M1220" s="1" t="s">
        <v>29</v>
      </c>
      <c r="N1220" s="1" t="s">
        <v>22</v>
      </c>
    </row>
    <row r="1221" spans="1:14" x14ac:dyDescent="0.25">
      <c r="A1221" s="1">
        <v>1220</v>
      </c>
      <c r="B1221" s="2" t="str">
        <f>HYPERLINK("https://leetcode.com/problems/count-vowels-permutation/", "Count Vowels Permutation")</f>
        <v>Count Vowels Permutation</v>
      </c>
      <c r="C1221" s="1">
        <v>3296</v>
      </c>
      <c r="D1221" s="1">
        <v>220</v>
      </c>
      <c r="E1221" s="3">
        <f>IF(INDEX(C:C, ROW())+INDEX(D:D, ROW())=0, 0, INDEX(C:C, ROW())/(INDEX(C:C, ROW())+INDEX(D:D, ROW())))</f>
        <v>0.93742889647326511</v>
      </c>
      <c r="F1221" s="1" t="s">
        <v>251</v>
      </c>
      <c r="G1221" s="1" t="s">
        <v>28</v>
      </c>
      <c r="H1221" s="1">
        <v>182294</v>
      </c>
      <c r="I1221" s="1">
        <v>297021</v>
      </c>
      <c r="J1221" s="7">
        <v>0.61399999999999999</v>
      </c>
      <c r="K1221" s="1" t="s">
        <v>21</v>
      </c>
      <c r="L1221" s="1" t="s">
        <v>21</v>
      </c>
      <c r="M1221" s="1" t="s">
        <v>29</v>
      </c>
      <c r="N1221" s="1" t="s">
        <v>22</v>
      </c>
    </row>
    <row r="1222" spans="1:14" x14ac:dyDescent="0.25">
      <c r="A1222" s="1">
        <v>1221</v>
      </c>
      <c r="B1222" s="2" t="str">
        <f>HYPERLINK("https://leetcode.com/problems/split-a-string-in-balanced-strings/", "Split a String in Balanced Strings")</f>
        <v>Split a String in Balanced Strings</v>
      </c>
      <c r="C1222" s="1">
        <v>2903</v>
      </c>
      <c r="D1222" s="1">
        <v>957</v>
      </c>
      <c r="E1222" s="3">
        <f>IF(INDEX(C:C, ROW())+INDEX(D:D, ROW())=0, 0, INDEX(C:C, ROW())/(INDEX(C:C, ROW())+INDEX(D:D, ROW())))</f>
        <v>0.75207253886010361</v>
      </c>
      <c r="F1222" s="1" t="s">
        <v>384</v>
      </c>
      <c r="G1222" s="1" t="s">
        <v>20</v>
      </c>
      <c r="H1222" s="1">
        <v>380844</v>
      </c>
      <c r="I1222" s="1">
        <v>436362</v>
      </c>
      <c r="J1222" s="7">
        <v>0.873</v>
      </c>
      <c r="K1222" s="1" t="s">
        <v>21</v>
      </c>
      <c r="L1222" s="1" t="s">
        <v>29</v>
      </c>
      <c r="M1222" s="1" t="s">
        <v>29</v>
      </c>
      <c r="N1222" s="1" t="s">
        <v>22</v>
      </c>
    </row>
    <row r="1223" spans="1:14" x14ac:dyDescent="0.25">
      <c r="A1223" s="1">
        <v>1222</v>
      </c>
      <c r="B1223" s="2" t="str">
        <f>HYPERLINK("https://leetcode.com/problems/queens-that-can-attack-the-king/", "Queens That Can Attack the King")</f>
        <v>Queens That Can Attack the King</v>
      </c>
      <c r="C1223" s="1">
        <v>1004</v>
      </c>
      <c r="D1223" s="1">
        <v>154</v>
      </c>
      <c r="E1223" s="3">
        <f>IF(INDEX(C:C, ROW())+INDEX(D:D, ROW())=0, 0, INDEX(C:C, ROW())/(INDEX(C:C, ROW())+INDEX(D:D, ROW())))</f>
        <v>0.86701208981001732</v>
      </c>
      <c r="F1223" s="1" t="s">
        <v>77</v>
      </c>
      <c r="G1223" s="1" t="s">
        <v>24</v>
      </c>
      <c r="H1223" s="1">
        <v>50563</v>
      </c>
      <c r="I1223" s="1">
        <v>69703</v>
      </c>
      <c r="J1223" s="7">
        <v>0.72499999999999998</v>
      </c>
      <c r="K1223" s="1" t="s">
        <v>21</v>
      </c>
      <c r="L1223" s="1" t="s">
        <v>29</v>
      </c>
      <c r="M1223" s="1" t="s">
        <v>29</v>
      </c>
      <c r="N1223" s="1" t="s">
        <v>22</v>
      </c>
    </row>
    <row r="1224" spans="1:14" x14ac:dyDescent="0.25">
      <c r="A1224" s="1">
        <v>1223</v>
      </c>
      <c r="B1224" s="2" t="str">
        <f>HYPERLINK("https://leetcode.com/problems/dice-roll-simulation/", "Dice Roll Simulation")</f>
        <v>Dice Roll Simulation</v>
      </c>
      <c r="C1224" s="1">
        <v>997</v>
      </c>
      <c r="D1224" s="1">
        <v>198</v>
      </c>
      <c r="E1224" s="3">
        <f>IF(INDEX(C:C, ROW())+INDEX(D:D, ROW())=0, 0, INDEX(C:C, ROW())/(INDEX(C:C, ROW())+INDEX(D:D, ROW())))</f>
        <v>0.83430962343096238</v>
      </c>
      <c r="F1224" s="1" t="s">
        <v>30</v>
      </c>
      <c r="G1224" s="1" t="s">
        <v>28</v>
      </c>
      <c r="H1224" s="1">
        <v>37162</v>
      </c>
      <c r="I1224" s="1">
        <v>73350</v>
      </c>
      <c r="J1224" s="7">
        <v>0.50700000000000001</v>
      </c>
      <c r="K1224" s="1" t="s">
        <v>21</v>
      </c>
      <c r="L1224" s="1" t="s">
        <v>29</v>
      </c>
      <c r="M1224" s="1" t="s">
        <v>29</v>
      </c>
      <c r="N1224" s="1" t="s">
        <v>22</v>
      </c>
    </row>
    <row r="1225" spans="1:14" x14ac:dyDescent="0.25">
      <c r="A1225" s="1">
        <v>1224</v>
      </c>
      <c r="B1225" s="2" t="str">
        <f>HYPERLINK("https://leetcode.com/problems/maximum-equal-frequency/", "Maximum Equal Frequency")</f>
        <v>Maximum Equal Frequency</v>
      </c>
      <c r="C1225" s="1">
        <v>565</v>
      </c>
      <c r="D1225" s="1">
        <v>68</v>
      </c>
      <c r="E1225" s="3">
        <f>IF(INDEX(C:C, ROW())+INDEX(D:D, ROW())=0, 0, INDEX(C:C, ROW())/(INDEX(C:C, ROW())+INDEX(D:D, ROW())))</f>
        <v>0.89257503949447081</v>
      </c>
      <c r="F1225" s="1" t="s">
        <v>19</v>
      </c>
      <c r="G1225" s="1" t="s">
        <v>28</v>
      </c>
      <c r="H1225" s="1">
        <v>18773</v>
      </c>
      <c r="I1225" s="1">
        <v>49505</v>
      </c>
      <c r="J1225" s="7">
        <v>0.379</v>
      </c>
      <c r="K1225" s="1" t="s">
        <v>21</v>
      </c>
      <c r="L1225" s="1" t="s">
        <v>29</v>
      </c>
      <c r="M1225" s="1" t="s">
        <v>29</v>
      </c>
      <c r="N1225" s="1" t="s">
        <v>22</v>
      </c>
    </row>
    <row r="1226" spans="1:14" x14ac:dyDescent="0.25">
      <c r="A1226" s="1">
        <v>1225</v>
      </c>
      <c r="B1226" s="2" t="str">
        <f>HYPERLINK("https://leetcode.com/problems/report-contiguous-dates/", "Report Contiguous Dates")</f>
        <v>Report Contiguous Dates</v>
      </c>
      <c r="C1226" s="1">
        <v>349</v>
      </c>
      <c r="D1226" s="1">
        <v>22</v>
      </c>
      <c r="E1226" s="3">
        <f>IF(INDEX(C:C, ROW())+INDEX(D:D, ROW())=0, 0, INDEX(C:C, ROW())/(INDEX(C:C, ROW())+INDEX(D:D, ROW())))</f>
        <v>0.94070080862533689</v>
      </c>
      <c r="F1226" s="1" t="s">
        <v>297</v>
      </c>
      <c r="G1226" s="1" t="s">
        <v>28</v>
      </c>
      <c r="H1226" s="1">
        <v>32514</v>
      </c>
      <c r="I1226" s="1">
        <v>57057</v>
      </c>
      <c r="J1226" s="7">
        <v>0.56999999999999995</v>
      </c>
      <c r="K1226" s="1" t="s">
        <v>29</v>
      </c>
      <c r="L1226" s="1" t="s">
        <v>29</v>
      </c>
      <c r="M1226" s="1" t="s">
        <v>29</v>
      </c>
      <c r="N1226" s="1" t="s">
        <v>297</v>
      </c>
    </row>
    <row r="1227" spans="1:14" x14ac:dyDescent="0.25">
      <c r="A1227" s="1">
        <v>1226</v>
      </c>
      <c r="B1227" s="2" t="str">
        <f>HYPERLINK("https://leetcode.com/problems/the-dining-philosophers/", "The Dining Philosophers")</f>
        <v>The Dining Philosophers</v>
      </c>
      <c r="C1227" s="1">
        <v>406</v>
      </c>
      <c r="D1227" s="1">
        <v>369</v>
      </c>
      <c r="E1227" s="3">
        <f>IF(INDEX(C:C, ROW())+INDEX(D:D, ROW())=0, 0, INDEX(C:C, ROW())/(INDEX(C:C, ROW())+INDEX(D:D, ROW())))</f>
        <v>0.52387096774193553</v>
      </c>
      <c r="F1227" s="1" t="s">
        <v>561</v>
      </c>
      <c r="G1227" s="1" t="s">
        <v>24</v>
      </c>
      <c r="H1227" s="1">
        <v>53768</v>
      </c>
      <c r="I1227" s="1">
        <v>99042</v>
      </c>
      <c r="J1227" s="7">
        <v>0.54300000000000004</v>
      </c>
      <c r="K1227" s="1" t="s">
        <v>21</v>
      </c>
      <c r="L1227" s="1" t="s">
        <v>29</v>
      </c>
      <c r="M1227" s="1" t="s">
        <v>29</v>
      </c>
      <c r="N1227" s="1" t="s">
        <v>561</v>
      </c>
    </row>
    <row r="1228" spans="1:14" x14ac:dyDescent="0.25">
      <c r="A1228" s="1">
        <v>1227</v>
      </c>
      <c r="B1228" s="2" t="str">
        <f>HYPERLINK("https://leetcode.com/problems/airplane-seat-assignment-probability/", "Airplane Seat Assignment Probability")</f>
        <v>Airplane Seat Assignment Probability</v>
      </c>
      <c r="C1228" s="1">
        <v>658</v>
      </c>
      <c r="D1228" s="1">
        <v>988</v>
      </c>
      <c r="E1228" s="3">
        <f>IF(INDEX(C:C, ROW())+INDEX(D:D, ROW())=0, 0, INDEX(C:C, ROW())/(INDEX(C:C, ROW())+INDEX(D:D, ROW())))</f>
        <v>0.3997569866342649</v>
      </c>
      <c r="F1228" s="1" t="s">
        <v>820</v>
      </c>
      <c r="G1228" s="1" t="s">
        <v>24</v>
      </c>
      <c r="H1228" s="1">
        <v>55892</v>
      </c>
      <c r="I1228" s="1">
        <v>83174</v>
      </c>
      <c r="J1228" s="7">
        <v>0.67200000000000004</v>
      </c>
      <c r="K1228" s="1" t="s">
        <v>21</v>
      </c>
      <c r="L1228" s="1" t="s">
        <v>29</v>
      </c>
      <c r="M1228" s="1" t="s">
        <v>29</v>
      </c>
      <c r="N1228" s="1" t="s">
        <v>22</v>
      </c>
    </row>
    <row r="1229" spans="1:14" x14ac:dyDescent="0.25">
      <c r="A1229" s="1">
        <v>1228</v>
      </c>
      <c r="B1229" s="2" t="str">
        <f>HYPERLINK("https://leetcode.com/problems/missing-number-in-arithmetic-progression/", "Missing Number In Arithmetic Progression")</f>
        <v>Missing Number In Arithmetic Progression</v>
      </c>
      <c r="C1229" s="1">
        <v>329</v>
      </c>
      <c r="D1229" s="1">
        <v>45</v>
      </c>
      <c r="E1229" s="3">
        <f>IF(INDEX(C:C, ROW())+INDEX(D:D, ROW())=0, 0, INDEX(C:C, ROW())/(INDEX(C:C, ROW())+INDEX(D:D, ROW())))</f>
        <v>0.8796791443850267</v>
      </c>
      <c r="F1229" s="1" t="s">
        <v>115</v>
      </c>
      <c r="G1229" s="1" t="s">
        <v>20</v>
      </c>
      <c r="H1229" s="1">
        <v>31428</v>
      </c>
      <c r="I1229" s="1">
        <v>60194</v>
      </c>
      <c r="J1229" s="7">
        <v>0.52200000000000002</v>
      </c>
      <c r="K1229" s="1" t="s">
        <v>29</v>
      </c>
      <c r="L1229" s="1" t="s">
        <v>21</v>
      </c>
      <c r="M1229" s="1" t="s">
        <v>21</v>
      </c>
      <c r="N1229" s="1" t="s">
        <v>22</v>
      </c>
    </row>
    <row r="1230" spans="1:14" x14ac:dyDescent="0.25">
      <c r="A1230" s="1">
        <v>1229</v>
      </c>
      <c r="B1230" s="2" t="str">
        <f>HYPERLINK("https://leetcode.com/problems/meeting-scheduler/", "Meeting Scheduler")</f>
        <v>Meeting Scheduler</v>
      </c>
      <c r="C1230" s="1">
        <v>957</v>
      </c>
      <c r="D1230" s="1">
        <v>39</v>
      </c>
      <c r="E1230" s="3">
        <f>IF(INDEX(C:C, ROW())+INDEX(D:D, ROW())=0, 0, INDEX(C:C, ROW())/(INDEX(C:C, ROW())+INDEX(D:D, ROW())))</f>
        <v>0.96084337349397586</v>
      </c>
      <c r="F1230" s="1" t="s">
        <v>31</v>
      </c>
      <c r="G1230" s="1" t="s">
        <v>24</v>
      </c>
      <c r="H1230" s="1">
        <v>104089</v>
      </c>
      <c r="I1230" s="1">
        <v>188555</v>
      </c>
      <c r="J1230" s="7">
        <v>0.55200000000000005</v>
      </c>
      <c r="K1230" s="1" t="s">
        <v>29</v>
      </c>
      <c r="L1230" s="1" t="s">
        <v>21</v>
      </c>
      <c r="M1230" s="1" t="s">
        <v>29</v>
      </c>
      <c r="N1230" s="1" t="s">
        <v>22</v>
      </c>
    </row>
    <row r="1231" spans="1:14" x14ac:dyDescent="0.25">
      <c r="A1231" s="1">
        <v>1230</v>
      </c>
      <c r="B1231" s="2" t="str">
        <f>HYPERLINK("https://leetcode.com/problems/toss-strange-coins/", "Toss Strange Coins")</f>
        <v>Toss Strange Coins</v>
      </c>
      <c r="C1231" s="1">
        <v>409</v>
      </c>
      <c r="D1231" s="1">
        <v>52</v>
      </c>
      <c r="E1231" s="3">
        <f>IF(INDEX(C:C, ROW())+INDEX(D:D, ROW())=0, 0, INDEX(C:C, ROW())/(INDEX(C:C, ROW())+INDEX(D:D, ROW())))</f>
        <v>0.88720173535791758</v>
      </c>
      <c r="F1231" s="1" t="s">
        <v>973</v>
      </c>
      <c r="G1231" s="1" t="s">
        <v>24</v>
      </c>
      <c r="H1231" s="1">
        <v>22968</v>
      </c>
      <c r="I1231" s="1">
        <v>39518</v>
      </c>
      <c r="J1231" s="7">
        <v>0.58099999999999996</v>
      </c>
      <c r="K1231" s="1" t="s">
        <v>29</v>
      </c>
      <c r="L1231" s="1" t="s">
        <v>21</v>
      </c>
      <c r="M1231" s="1" t="s">
        <v>29</v>
      </c>
      <c r="N1231" s="1" t="s">
        <v>22</v>
      </c>
    </row>
    <row r="1232" spans="1:14" x14ac:dyDescent="0.25">
      <c r="A1232" s="1">
        <v>1231</v>
      </c>
      <c r="B1232" s="2" t="str">
        <f>HYPERLINK("https://leetcode.com/problems/divide-chocolate/", "Divide Chocolate")</f>
        <v>Divide Chocolate</v>
      </c>
      <c r="C1232" s="1">
        <v>1035</v>
      </c>
      <c r="D1232" s="1">
        <v>74</v>
      </c>
      <c r="E1232" s="3">
        <f>IF(INDEX(C:C, ROW())+INDEX(D:D, ROW())=0, 0, INDEX(C:C, ROW())/(INDEX(C:C, ROW())+INDEX(D:D, ROW())))</f>
        <v>0.933273219116321</v>
      </c>
      <c r="F1232" s="1" t="s">
        <v>35</v>
      </c>
      <c r="G1232" s="1" t="s">
        <v>28</v>
      </c>
      <c r="H1232" s="1">
        <v>69662</v>
      </c>
      <c r="I1232" s="1">
        <v>115174</v>
      </c>
      <c r="J1232" s="7">
        <v>0.60499999999999998</v>
      </c>
      <c r="K1232" s="1" t="s">
        <v>29</v>
      </c>
      <c r="L1232" s="1" t="s">
        <v>21</v>
      </c>
      <c r="M1232" s="1" t="s">
        <v>29</v>
      </c>
      <c r="N1232" s="1" t="s">
        <v>22</v>
      </c>
    </row>
    <row r="1233" spans="1:14" x14ac:dyDescent="0.25">
      <c r="A1233" s="1">
        <v>1232</v>
      </c>
      <c r="B1233" s="2" t="str">
        <f>HYPERLINK("https://leetcode.com/problems/check-if-it-is-a-straight-line/", "Check If It Is a Straight Line")</f>
        <v>Check If It Is a Straight Line</v>
      </c>
      <c r="C1233" s="1">
        <v>2699</v>
      </c>
      <c r="D1233" s="1">
        <v>295</v>
      </c>
      <c r="E1233" s="3">
        <f>IF(INDEX(C:C, ROW())+INDEX(D:D, ROW())=0, 0, INDEX(C:C, ROW())/(INDEX(C:C, ROW())+INDEX(D:D, ROW())))</f>
        <v>0.90146960587842351</v>
      </c>
      <c r="F1233" s="1" t="s">
        <v>397</v>
      </c>
      <c r="G1233" s="1" t="s">
        <v>20</v>
      </c>
      <c r="H1233" s="1">
        <v>303546</v>
      </c>
      <c r="I1233" s="1">
        <v>759428</v>
      </c>
      <c r="J1233" s="7">
        <v>0.4</v>
      </c>
      <c r="K1233" s="1" t="s">
        <v>21</v>
      </c>
      <c r="L1233" s="1" t="s">
        <v>21</v>
      </c>
      <c r="M1233" s="1" t="s">
        <v>29</v>
      </c>
      <c r="N1233" s="1" t="s">
        <v>22</v>
      </c>
    </row>
    <row r="1234" spans="1:14" x14ac:dyDescent="0.25">
      <c r="A1234" s="1">
        <v>1233</v>
      </c>
      <c r="B1234" s="2" t="str">
        <f>HYPERLINK("https://leetcode.com/problems/remove-sub-folders-from-the-filesystem/", "Remove Sub-Folders from the Filesystem")</f>
        <v>Remove Sub-Folders from the Filesystem</v>
      </c>
      <c r="C1234" s="1">
        <v>1653</v>
      </c>
      <c r="D1234" s="1">
        <v>231</v>
      </c>
      <c r="E1234" s="3">
        <f>IF(INDEX(C:C, ROW())+INDEX(D:D, ROW())=0, 0, INDEX(C:C, ROW())/(INDEX(C:C, ROW())+INDEX(D:D, ROW())))</f>
        <v>0.87738853503184711</v>
      </c>
      <c r="F1234" s="1" t="s">
        <v>553</v>
      </c>
      <c r="G1234" s="1" t="s">
        <v>24</v>
      </c>
      <c r="H1234" s="1">
        <v>264129</v>
      </c>
      <c r="I1234" s="1">
        <v>335958</v>
      </c>
      <c r="J1234" s="7">
        <v>0.78600000000000003</v>
      </c>
      <c r="K1234" s="1" t="s">
        <v>21</v>
      </c>
      <c r="L1234" s="1" t="s">
        <v>21</v>
      </c>
      <c r="M1234" s="1" t="s">
        <v>29</v>
      </c>
      <c r="N1234" s="1" t="s">
        <v>22</v>
      </c>
    </row>
    <row r="1235" spans="1:14" x14ac:dyDescent="0.25">
      <c r="A1235" s="1">
        <v>1234</v>
      </c>
      <c r="B1235" s="2" t="str">
        <f>HYPERLINK("https://leetcode.com/problems/replace-the-substring-for-balanced-string/", "Replace the Substring for Balanced String")</f>
        <v>Replace the Substring for Balanced String</v>
      </c>
      <c r="C1235" s="1">
        <v>1282</v>
      </c>
      <c r="D1235" s="1">
        <v>224</v>
      </c>
      <c r="E1235" s="3">
        <f>IF(INDEX(C:C, ROW())+INDEX(D:D, ROW())=0, 0, INDEX(C:C, ROW())/(INDEX(C:C, ROW())+INDEX(D:D, ROW())))</f>
        <v>0.851261620185923</v>
      </c>
      <c r="F1235" s="1" t="s">
        <v>314</v>
      </c>
      <c r="G1235" s="1" t="s">
        <v>24</v>
      </c>
      <c r="H1235" s="1">
        <v>46669</v>
      </c>
      <c r="I1235" s="1">
        <v>115030</v>
      </c>
      <c r="J1235" s="7">
        <v>0.40600000000000003</v>
      </c>
      <c r="K1235" s="1" t="s">
        <v>21</v>
      </c>
      <c r="L1235" s="1" t="s">
        <v>29</v>
      </c>
      <c r="M1235" s="1" t="s">
        <v>29</v>
      </c>
      <c r="N1235" s="1" t="s">
        <v>22</v>
      </c>
    </row>
    <row r="1236" spans="1:14" x14ac:dyDescent="0.25">
      <c r="A1236" s="1">
        <v>1235</v>
      </c>
      <c r="B1236" s="2" t="str">
        <f>HYPERLINK("https://leetcode.com/problems/maximum-profit-in-job-scheduling/", "Maximum Profit in Job Scheduling")</f>
        <v>Maximum Profit in Job Scheduling</v>
      </c>
      <c r="C1236" s="1">
        <v>7270</v>
      </c>
      <c r="D1236" s="1">
        <v>122</v>
      </c>
      <c r="E1236" s="3">
        <f>IF(INDEX(C:C, ROW())+INDEX(D:D, ROW())=0, 0, INDEX(C:C, ROW())/(INDEX(C:C, ROW())+INDEX(D:D, ROW())))</f>
        <v>0.98349567099567103</v>
      </c>
      <c r="F1236" s="1" t="s">
        <v>188</v>
      </c>
      <c r="G1236" s="1" t="s">
        <v>28</v>
      </c>
      <c r="H1236" s="1">
        <v>409070</v>
      </c>
      <c r="I1236" s="1">
        <v>748762</v>
      </c>
      <c r="J1236" s="7">
        <v>0.54600000000000004</v>
      </c>
      <c r="K1236" s="1" t="s">
        <v>21</v>
      </c>
      <c r="L1236" s="1" t="s">
        <v>21</v>
      </c>
      <c r="M1236" s="1" t="s">
        <v>29</v>
      </c>
      <c r="N1236" s="1" t="s">
        <v>22</v>
      </c>
    </row>
    <row r="1237" spans="1:14" x14ac:dyDescent="0.25">
      <c r="A1237" s="1">
        <v>1236</v>
      </c>
      <c r="B1237" s="2" t="str">
        <f>HYPERLINK("https://leetcode.com/problems/web-crawler/", "Web Crawler")</f>
        <v>Web Crawler</v>
      </c>
      <c r="C1237" s="1">
        <v>308</v>
      </c>
      <c r="D1237" s="1">
        <v>335</v>
      </c>
      <c r="E1237" s="3">
        <f>IF(INDEX(C:C, ROW())+INDEX(D:D, ROW())=0, 0, INDEX(C:C, ROW())/(INDEX(C:C, ROW())+INDEX(D:D, ROW())))</f>
        <v>0.47900466562986005</v>
      </c>
      <c r="F1237" s="1" t="s">
        <v>1040</v>
      </c>
      <c r="G1237" s="1" t="s">
        <v>24</v>
      </c>
      <c r="H1237" s="1">
        <v>53304</v>
      </c>
      <c r="I1237" s="1">
        <v>77432</v>
      </c>
      <c r="J1237" s="7">
        <v>0.68799999999999994</v>
      </c>
      <c r="K1237" s="1" t="s">
        <v>29</v>
      </c>
      <c r="L1237" s="1" t="s">
        <v>21</v>
      </c>
      <c r="M1237" s="1" t="s">
        <v>29</v>
      </c>
      <c r="N1237" s="1" t="s">
        <v>22</v>
      </c>
    </row>
    <row r="1238" spans="1:14" x14ac:dyDescent="0.25">
      <c r="A1238" s="1">
        <v>1237</v>
      </c>
      <c r="B1238" s="2" t="str">
        <f>HYPERLINK("https://leetcode.com/problems/find-positive-integer-solution-for-a-given-equation/", "Find Positive Integer Solution for a Given Equation")</f>
        <v>Find Positive Integer Solution for a Given Equation</v>
      </c>
      <c r="C1238" s="1">
        <v>546</v>
      </c>
      <c r="D1238" s="1">
        <v>1446</v>
      </c>
      <c r="E1238" s="3">
        <f>IF(INDEX(C:C, ROW())+INDEX(D:D, ROW())=0, 0, INDEX(C:C, ROW())/(INDEX(C:C, ROW())+INDEX(D:D, ROW())))</f>
        <v>0.2740963855421687</v>
      </c>
      <c r="F1238" s="1" t="s">
        <v>884</v>
      </c>
      <c r="G1238" s="1" t="s">
        <v>24</v>
      </c>
      <c r="H1238" s="1">
        <v>81211</v>
      </c>
      <c r="I1238" s="1">
        <v>116266</v>
      </c>
      <c r="J1238" s="7">
        <v>0.69799999999999995</v>
      </c>
      <c r="K1238" s="1" t="s">
        <v>21</v>
      </c>
      <c r="L1238" s="1" t="s">
        <v>29</v>
      </c>
      <c r="M1238" s="1" t="s">
        <v>29</v>
      </c>
      <c r="N1238" s="1" t="s">
        <v>22</v>
      </c>
    </row>
    <row r="1239" spans="1:14" x14ac:dyDescent="0.25">
      <c r="A1239" s="1">
        <v>1238</v>
      </c>
      <c r="B1239" s="2" t="str">
        <f>HYPERLINK("https://leetcode.com/problems/circular-permutation-in-binary-representation/", "Circular Permutation in Binary Representation")</f>
        <v>Circular Permutation in Binary Representation</v>
      </c>
      <c r="C1239" s="1">
        <v>441</v>
      </c>
      <c r="D1239" s="1">
        <v>194</v>
      </c>
      <c r="E1239" s="3">
        <f>IF(INDEX(C:C, ROW())+INDEX(D:D, ROW())=0, 0, INDEX(C:C, ROW())/(INDEX(C:C, ROW())+INDEX(D:D, ROW())))</f>
        <v>0.69448818897637798</v>
      </c>
      <c r="F1239" s="1" t="s">
        <v>421</v>
      </c>
      <c r="G1239" s="1" t="s">
        <v>24</v>
      </c>
      <c r="H1239" s="1">
        <v>24083</v>
      </c>
      <c r="I1239" s="1">
        <v>33188</v>
      </c>
      <c r="J1239" s="7">
        <v>0.72599999999999998</v>
      </c>
      <c r="K1239" s="1" t="s">
        <v>21</v>
      </c>
      <c r="L1239" s="1" t="s">
        <v>29</v>
      </c>
      <c r="M1239" s="1" t="s">
        <v>29</v>
      </c>
      <c r="N1239" s="1" t="s">
        <v>22</v>
      </c>
    </row>
    <row r="1240" spans="1:14" x14ac:dyDescent="0.25">
      <c r="A1240" s="1">
        <v>1239</v>
      </c>
      <c r="B1240" s="2" t="str">
        <f>HYPERLINK("https://leetcode.com/problems/maximum-length-of-a-concatenated-string-with-unique-characters/", "Maximum Length of a Concatenated String with Unique Characters")</f>
        <v>Maximum Length of a Concatenated String with Unique Characters</v>
      </c>
      <c r="C1240" s="1">
        <v>4564</v>
      </c>
      <c r="D1240" s="1">
        <v>340</v>
      </c>
      <c r="E1240" s="3">
        <f>IF(INDEX(C:C, ROW())+INDEX(D:D, ROW())=0, 0, INDEX(C:C, ROW())/(INDEX(C:C, ROW())+INDEX(D:D, ROW())))</f>
        <v>0.93066884176182707</v>
      </c>
      <c r="F1240" s="1" t="s">
        <v>282</v>
      </c>
      <c r="G1240" s="1" t="s">
        <v>24</v>
      </c>
      <c r="H1240" s="1">
        <v>320930</v>
      </c>
      <c r="I1240" s="1">
        <v>587381</v>
      </c>
      <c r="J1240" s="7">
        <v>0.54600000000000004</v>
      </c>
      <c r="K1240" s="1" t="s">
        <v>21</v>
      </c>
      <c r="L1240" s="1" t="s">
        <v>21</v>
      </c>
      <c r="M1240" s="1" t="s">
        <v>21</v>
      </c>
      <c r="N1240" s="1" t="s">
        <v>22</v>
      </c>
    </row>
    <row r="1241" spans="1:14" x14ac:dyDescent="0.25">
      <c r="A1241" s="1">
        <v>1240</v>
      </c>
      <c r="B1241" s="2" t="str">
        <f>HYPERLINK("https://leetcode.com/problems/tiling-a-rectangle-with-the-fewest-squares/", "Tiling a Rectangle with the Fewest Squares")</f>
        <v>Tiling a Rectangle with the Fewest Squares</v>
      </c>
      <c r="C1241" s="1">
        <v>721</v>
      </c>
      <c r="D1241" s="1">
        <v>582</v>
      </c>
      <c r="E1241" s="3">
        <f>IF(INDEX(C:C, ROW())+INDEX(D:D, ROW())=0, 0, INDEX(C:C, ROW())/(INDEX(C:C, ROW())+INDEX(D:D, ROW())))</f>
        <v>0.55333844973138913</v>
      </c>
      <c r="F1241" s="1" t="s">
        <v>159</v>
      </c>
      <c r="G1241" s="1" t="s">
        <v>28</v>
      </c>
      <c r="H1241" s="1">
        <v>27234</v>
      </c>
      <c r="I1241" s="1">
        <v>49688</v>
      </c>
      <c r="J1241" s="7">
        <v>0.54800000000000004</v>
      </c>
      <c r="K1241" s="1" t="s">
        <v>21</v>
      </c>
      <c r="L1241" s="1" t="s">
        <v>29</v>
      </c>
      <c r="M1241" s="1" t="s">
        <v>29</v>
      </c>
      <c r="N1241" s="1" t="s">
        <v>22</v>
      </c>
    </row>
    <row r="1242" spans="1:14" x14ac:dyDescent="0.25">
      <c r="A1242" s="1">
        <v>1241</v>
      </c>
      <c r="B1242" s="2" t="str">
        <f>HYPERLINK("https://leetcode.com/problems/number-of-comments-per-post/", "Number of Comments per Post")</f>
        <v>Number of Comments per Post</v>
      </c>
      <c r="C1242" s="1">
        <v>187</v>
      </c>
      <c r="D1242" s="1">
        <v>545</v>
      </c>
      <c r="E1242" s="3">
        <f>IF(INDEX(C:C, ROW())+INDEX(D:D, ROW())=0, 0, INDEX(C:C, ROW())/(INDEX(C:C, ROW())+INDEX(D:D, ROW())))</f>
        <v>0.25546448087431695</v>
      </c>
      <c r="F1242" s="1" t="s">
        <v>297</v>
      </c>
      <c r="G1242" s="1" t="s">
        <v>20</v>
      </c>
      <c r="H1242" s="1">
        <v>40995</v>
      </c>
      <c r="I1242" s="1">
        <v>62445</v>
      </c>
      <c r="J1242" s="7">
        <v>0.65600000000000003</v>
      </c>
      <c r="K1242" s="1" t="s">
        <v>29</v>
      </c>
      <c r="L1242" s="1" t="s">
        <v>29</v>
      </c>
      <c r="M1242" s="1" t="s">
        <v>29</v>
      </c>
      <c r="N1242" s="1" t="s">
        <v>297</v>
      </c>
    </row>
    <row r="1243" spans="1:14" x14ac:dyDescent="0.25">
      <c r="A1243" s="1">
        <v>1242</v>
      </c>
      <c r="B1243" s="2" t="str">
        <f>HYPERLINK("https://leetcode.com/problems/web-crawler-multithreaded/", "Web Crawler Multithreaded")</f>
        <v>Web Crawler Multithreaded</v>
      </c>
      <c r="C1243" s="1">
        <v>592</v>
      </c>
      <c r="D1243" s="1">
        <v>102</v>
      </c>
      <c r="E1243" s="3">
        <f>IF(INDEX(C:C, ROW())+INDEX(D:D, ROW())=0, 0, INDEX(C:C, ROW())/(INDEX(C:C, ROW())+INDEX(D:D, ROW())))</f>
        <v>0.85302593659942361</v>
      </c>
      <c r="F1243" s="1" t="s">
        <v>856</v>
      </c>
      <c r="G1243" s="1" t="s">
        <v>24</v>
      </c>
      <c r="H1243" s="1">
        <v>98754</v>
      </c>
      <c r="I1243" s="1">
        <v>193717</v>
      </c>
      <c r="J1243" s="7">
        <v>0.51</v>
      </c>
      <c r="K1243" s="1" t="s">
        <v>29</v>
      </c>
      <c r="L1243" s="1" t="s">
        <v>29</v>
      </c>
      <c r="M1243" s="1" t="s">
        <v>29</v>
      </c>
      <c r="N1243" s="1" t="s">
        <v>561</v>
      </c>
    </row>
    <row r="1244" spans="1:14" x14ac:dyDescent="0.25">
      <c r="A1244" s="1">
        <v>1243</v>
      </c>
      <c r="B1244" s="2" t="str">
        <f>HYPERLINK("https://leetcode.com/problems/array-transformation/", "Array Transformation")</f>
        <v>Array Transformation</v>
      </c>
      <c r="C1244" s="1">
        <v>154</v>
      </c>
      <c r="D1244" s="1">
        <v>73</v>
      </c>
      <c r="E1244" s="3">
        <f>IF(INDEX(C:C, ROW())+INDEX(D:D, ROW())=0, 0, INDEX(C:C, ROW())/(INDEX(C:C, ROW())+INDEX(D:D, ROW())))</f>
        <v>0.67841409691629961</v>
      </c>
      <c r="F1244" s="1" t="s">
        <v>306</v>
      </c>
      <c r="G1244" s="1" t="s">
        <v>20</v>
      </c>
      <c r="H1244" s="1">
        <v>16142</v>
      </c>
      <c r="I1244" s="1">
        <v>30127</v>
      </c>
      <c r="J1244" s="7">
        <v>0.53600000000000003</v>
      </c>
      <c r="K1244" s="1" t="s">
        <v>29</v>
      </c>
      <c r="L1244" s="1" t="s">
        <v>29</v>
      </c>
      <c r="M1244" s="1" t="s">
        <v>29</v>
      </c>
      <c r="N1244" s="1" t="s">
        <v>22</v>
      </c>
    </row>
    <row r="1245" spans="1:14" x14ac:dyDescent="0.25">
      <c r="A1245" s="1">
        <v>1244</v>
      </c>
      <c r="B1245" s="2" t="str">
        <f>HYPERLINK("https://leetcode.com/problems/design-a-leaderboard/", "Design A Leaderboard")</f>
        <v>Design A Leaderboard</v>
      </c>
      <c r="C1245" s="1">
        <v>820</v>
      </c>
      <c r="D1245" s="1">
        <v>98</v>
      </c>
      <c r="E1245" s="3">
        <f>IF(INDEX(C:C, ROW())+INDEX(D:D, ROW())=0, 0, INDEX(C:C, ROW())/(INDEX(C:C, ROW())+INDEX(D:D, ROW())))</f>
        <v>0.89324618736383443</v>
      </c>
      <c r="F1245" s="1" t="s">
        <v>765</v>
      </c>
      <c r="G1245" s="1" t="s">
        <v>24</v>
      </c>
      <c r="H1245" s="1">
        <v>95905</v>
      </c>
      <c r="I1245" s="1">
        <v>140860</v>
      </c>
      <c r="J1245" s="7">
        <v>0.68100000000000005</v>
      </c>
      <c r="K1245" s="1" t="s">
        <v>29</v>
      </c>
      <c r="L1245" s="1" t="s">
        <v>21</v>
      </c>
      <c r="M1245" s="1" t="s">
        <v>29</v>
      </c>
      <c r="N1245" s="1" t="s">
        <v>22</v>
      </c>
    </row>
    <row r="1246" spans="1:14" x14ac:dyDescent="0.25">
      <c r="A1246" s="1">
        <v>1245</v>
      </c>
      <c r="B1246" s="2" t="str">
        <f>HYPERLINK("https://leetcode.com/problems/tree-diameter/", "Tree Diameter")</f>
        <v>Tree Diameter</v>
      </c>
      <c r="C1246" s="1">
        <v>902</v>
      </c>
      <c r="D1246" s="1">
        <v>25</v>
      </c>
      <c r="E1246" s="3">
        <f>IF(INDEX(C:C, ROW())+INDEX(D:D, ROW())=0, 0, INDEX(C:C, ROW())/(INDEX(C:C, ROW())+INDEX(D:D, ROW())))</f>
        <v>0.97303128371089531</v>
      </c>
      <c r="F1246" s="1" t="s">
        <v>735</v>
      </c>
      <c r="G1246" s="1" t="s">
        <v>24</v>
      </c>
      <c r="H1246" s="1">
        <v>56000</v>
      </c>
      <c r="I1246" s="1">
        <v>91428</v>
      </c>
      <c r="J1246" s="7">
        <v>0.61299999999999999</v>
      </c>
      <c r="K1246" s="1" t="s">
        <v>29</v>
      </c>
      <c r="L1246" s="1" t="s">
        <v>21</v>
      </c>
      <c r="M1246" s="1" t="s">
        <v>29</v>
      </c>
      <c r="N1246" s="1" t="s">
        <v>22</v>
      </c>
    </row>
    <row r="1247" spans="1:14" x14ac:dyDescent="0.25">
      <c r="A1247" s="1">
        <v>1246</v>
      </c>
      <c r="B1247" s="2" t="str">
        <f>HYPERLINK("https://leetcode.com/problems/palindrome-removal/", "Palindrome Removal")</f>
        <v>Palindrome Removal</v>
      </c>
      <c r="C1247" s="1">
        <v>317</v>
      </c>
      <c r="D1247" s="1">
        <v>14</v>
      </c>
      <c r="E1247" s="3">
        <f>IF(INDEX(C:C, ROW())+INDEX(D:D, ROW())=0, 0, INDEX(C:C, ROW())/(INDEX(C:C, ROW())+INDEX(D:D, ROW())))</f>
        <v>0.95770392749244715</v>
      </c>
      <c r="F1247" s="1" t="s">
        <v>30</v>
      </c>
      <c r="G1247" s="1" t="s">
        <v>28</v>
      </c>
      <c r="H1247" s="1">
        <v>11930</v>
      </c>
      <c r="I1247" s="1">
        <v>25815</v>
      </c>
      <c r="J1247" s="7">
        <v>0.46200000000000002</v>
      </c>
      <c r="K1247" s="1" t="s">
        <v>29</v>
      </c>
      <c r="L1247" s="1" t="s">
        <v>29</v>
      </c>
      <c r="M1247" s="1" t="s">
        <v>29</v>
      </c>
      <c r="N1247" s="1" t="s">
        <v>22</v>
      </c>
    </row>
    <row r="1248" spans="1:14" x14ac:dyDescent="0.25">
      <c r="A1248" s="1">
        <v>1247</v>
      </c>
      <c r="B1248" s="2" t="str">
        <f>HYPERLINK("https://leetcode.com/problems/minimum-swaps-to-make-strings-equal/", "Minimum Swaps to Make Strings Equal")</f>
        <v>Minimum Swaps to Make Strings Equal</v>
      </c>
      <c r="C1248" s="1">
        <v>1465</v>
      </c>
      <c r="D1248" s="1">
        <v>252</v>
      </c>
      <c r="E1248" s="3">
        <f>IF(INDEX(C:C, ROW())+INDEX(D:D, ROW())=0, 0, INDEX(C:C, ROW())/(INDEX(C:C, ROW())+INDEX(D:D, ROW())))</f>
        <v>0.85323238206173557</v>
      </c>
      <c r="F1248" s="1" t="s">
        <v>418</v>
      </c>
      <c r="G1248" s="1" t="s">
        <v>24</v>
      </c>
      <c r="H1248" s="1">
        <v>50864</v>
      </c>
      <c r="I1248" s="1">
        <v>77905</v>
      </c>
      <c r="J1248" s="7">
        <v>0.65300000000000002</v>
      </c>
      <c r="K1248" s="1" t="s">
        <v>21</v>
      </c>
      <c r="L1248" s="1" t="s">
        <v>29</v>
      </c>
      <c r="M1248" s="1" t="s">
        <v>29</v>
      </c>
      <c r="N1248" s="1" t="s">
        <v>22</v>
      </c>
    </row>
    <row r="1249" spans="1:14" x14ac:dyDescent="0.25">
      <c r="A1249" s="1">
        <v>1248</v>
      </c>
      <c r="B1249" s="2" t="str">
        <f>HYPERLINK("https://leetcode.com/problems/count-number-of-nice-subarrays/", "Count Number of Nice Subarrays")</f>
        <v>Count Number of Nice Subarrays</v>
      </c>
      <c r="C1249" s="1">
        <v>5369</v>
      </c>
      <c r="D1249" s="1">
        <v>144</v>
      </c>
      <c r="E1249" s="3">
        <f>IF(INDEX(C:C, ROW())+INDEX(D:D, ROW())=0, 0, INDEX(C:C, ROW())/(INDEX(C:C, ROW())+INDEX(D:D, ROW())))</f>
        <v>0.973879920188645</v>
      </c>
      <c r="F1249" s="1" t="s">
        <v>248</v>
      </c>
      <c r="G1249" s="1" t="s">
        <v>24</v>
      </c>
      <c r="H1249" s="1">
        <v>466019</v>
      </c>
      <c r="I1249" s="1">
        <v>623171</v>
      </c>
      <c r="J1249" s="7">
        <v>0.748</v>
      </c>
      <c r="K1249" s="1" t="s">
        <v>21</v>
      </c>
      <c r="L1249" s="1" t="s">
        <v>21</v>
      </c>
      <c r="M1249" s="1" t="s">
        <v>29</v>
      </c>
      <c r="N1249" s="1" t="s">
        <v>22</v>
      </c>
    </row>
    <row r="1250" spans="1:14" x14ac:dyDescent="0.25">
      <c r="A1250" s="1">
        <v>1249</v>
      </c>
      <c r="B1250" s="2" t="str">
        <f>HYPERLINK("https://leetcode.com/problems/minimum-remove-to-make-valid-parentheses/", "Minimum Remove to Make Valid Parentheses")</f>
        <v>Minimum Remove to Make Valid Parentheses</v>
      </c>
      <c r="C1250" s="1">
        <v>7368</v>
      </c>
      <c r="D1250" s="1">
        <v>167</v>
      </c>
      <c r="E1250" s="3">
        <f>IF(INDEX(C:C, ROW())+INDEX(D:D, ROW())=0, 0, INDEX(C:C, ROW())/(INDEX(C:C, ROW())+INDEX(D:D, ROW())))</f>
        <v>0.97783676177836765</v>
      </c>
      <c r="F1250" s="1" t="s">
        <v>36</v>
      </c>
      <c r="G1250" s="1" t="s">
        <v>24</v>
      </c>
      <c r="H1250" s="1">
        <v>1037693</v>
      </c>
      <c r="I1250" s="1">
        <v>1455971</v>
      </c>
      <c r="J1250" s="7">
        <v>0.71299999999999997</v>
      </c>
      <c r="K1250" s="1" t="s">
        <v>21</v>
      </c>
      <c r="L1250" s="1" t="s">
        <v>21</v>
      </c>
      <c r="M1250" s="1" t="s">
        <v>29</v>
      </c>
      <c r="N1250" s="1" t="s">
        <v>22</v>
      </c>
    </row>
    <row r="1251" spans="1:14" x14ac:dyDescent="0.25">
      <c r="A1251" s="1">
        <v>1250</v>
      </c>
      <c r="B1251" s="2" t="str">
        <f>HYPERLINK("https://leetcode.com/problems/check-if-it-is-a-good-array/", "Check If It Is a Good Array")</f>
        <v>Check If It Is a Good Array</v>
      </c>
      <c r="C1251" s="1">
        <v>568</v>
      </c>
      <c r="D1251" s="1">
        <v>385</v>
      </c>
      <c r="E1251" s="3">
        <f>IF(INDEX(C:C, ROW())+INDEX(D:D, ROW())=0, 0, INDEX(C:C, ROW())/(INDEX(C:C, ROW())+INDEX(D:D, ROW())))</f>
        <v>0.59601259181532007</v>
      </c>
      <c r="F1251" s="1" t="s">
        <v>640</v>
      </c>
      <c r="G1251" s="1" t="s">
        <v>28</v>
      </c>
      <c r="H1251" s="1">
        <v>36833</v>
      </c>
      <c r="I1251" s="1">
        <v>58138</v>
      </c>
      <c r="J1251" s="7">
        <v>0.63400000000000001</v>
      </c>
      <c r="K1251" s="1" t="s">
        <v>21</v>
      </c>
      <c r="L1251" s="1" t="s">
        <v>29</v>
      </c>
      <c r="M1251" s="1" t="s">
        <v>29</v>
      </c>
      <c r="N1251" s="1" t="s">
        <v>22</v>
      </c>
    </row>
    <row r="1252" spans="1:14" x14ac:dyDescent="0.25">
      <c r="A1252" s="1">
        <v>1251</v>
      </c>
      <c r="B1252" s="2" t="str">
        <f>HYPERLINK("https://leetcode.com/problems/average-selling-price/", "Average Selling Price")</f>
        <v>Average Selling Price</v>
      </c>
      <c r="C1252" s="1">
        <v>1932</v>
      </c>
      <c r="D1252" s="1">
        <v>266</v>
      </c>
      <c r="E1252" s="3">
        <f>IF(INDEX(C:C, ROW())+INDEX(D:D, ROW())=0, 0, INDEX(C:C, ROW())/(INDEX(C:C, ROW())+INDEX(D:D, ROW())))</f>
        <v>0.87898089171974525</v>
      </c>
      <c r="F1252" s="1" t="s">
        <v>297</v>
      </c>
      <c r="G1252" s="1" t="s">
        <v>20</v>
      </c>
      <c r="H1252" s="1">
        <v>618334</v>
      </c>
      <c r="I1252" s="1">
        <v>1666783</v>
      </c>
      <c r="J1252" s="7">
        <v>0.371</v>
      </c>
      <c r="K1252" s="1" t="s">
        <v>21</v>
      </c>
      <c r="L1252" s="1" t="s">
        <v>21</v>
      </c>
      <c r="M1252" s="1" t="s">
        <v>29</v>
      </c>
      <c r="N1252" s="1" t="s">
        <v>297</v>
      </c>
    </row>
    <row r="1253" spans="1:14" x14ac:dyDescent="0.25">
      <c r="A1253" s="1">
        <v>1252</v>
      </c>
      <c r="B1253" s="2" t="str">
        <f>HYPERLINK("https://leetcode.com/problems/cells-with-odd-values-in-a-matrix/", "Cells with Odd Values in a Matrix")</f>
        <v>Cells with Odd Values in a Matrix</v>
      </c>
      <c r="C1253" s="1">
        <v>1334</v>
      </c>
      <c r="D1253" s="1">
        <v>1560</v>
      </c>
      <c r="E1253" s="3">
        <f>IF(INDEX(C:C, ROW())+INDEX(D:D, ROW())=0, 0, INDEX(C:C, ROW())/(INDEX(C:C, ROW())+INDEX(D:D, ROW())))</f>
        <v>0.46095369730476848</v>
      </c>
      <c r="F1253" s="1" t="s">
        <v>629</v>
      </c>
      <c r="G1253" s="1" t="s">
        <v>20</v>
      </c>
      <c r="H1253" s="1">
        <v>141439</v>
      </c>
      <c r="I1253" s="1">
        <v>177526</v>
      </c>
      <c r="J1253" s="7">
        <v>0.79700000000000004</v>
      </c>
      <c r="K1253" s="1" t="s">
        <v>21</v>
      </c>
      <c r="L1253" s="1" t="s">
        <v>29</v>
      </c>
      <c r="M1253" s="1" t="s">
        <v>29</v>
      </c>
      <c r="N1253" s="1" t="s">
        <v>22</v>
      </c>
    </row>
    <row r="1254" spans="1:14" x14ac:dyDescent="0.25">
      <c r="A1254" s="1">
        <v>1253</v>
      </c>
      <c r="B1254" s="2" t="str">
        <f>HYPERLINK("https://leetcode.com/problems/reconstruct-a-2-row-binary-matrix/", "Reconstruct a 2-Row Binary Matrix")</f>
        <v>Reconstruct a 2-Row Binary Matrix</v>
      </c>
      <c r="C1254" s="1">
        <v>484</v>
      </c>
      <c r="D1254" s="1">
        <v>35</v>
      </c>
      <c r="E1254" s="3">
        <f>IF(INDEX(C:C, ROW())+INDEX(D:D, ROW())=0, 0, INDEX(C:C, ROW())/(INDEX(C:C, ROW())+INDEX(D:D, ROW())))</f>
        <v>0.93256262042389215</v>
      </c>
      <c r="F1254" s="1" t="s">
        <v>405</v>
      </c>
      <c r="G1254" s="1" t="s">
        <v>24</v>
      </c>
      <c r="H1254" s="1">
        <v>33774</v>
      </c>
      <c r="I1254" s="1">
        <v>69347</v>
      </c>
      <c r="J1254" s="7">
        <v>0.48699999999999999</v>
      </c>
      <c r="K1254" s="1" t="s">
        <v>21</v>
      </c>
      <c r="L1254" s="1" t="s">
        <v>29</v>
      </c>
      <c r="M1254" s="1" t="s">
        <v>29</v>
      </c>
      <c r="N1254" s="1" t="s">
        <v>22</v>
      </c>
    </row>
    <row r="1255" spans="1:14" x14ac:dyDescent="0.25">
      <c r="A1255" s="1">
        <v>1254</v>
      </c>
      <c r="B1255" s="2" t="str">
        <f>HYPERLINK("https://leetcode.com/problems/number-of-closed-islands/", "Number of Closed Islands")</f>
        <v>Number of Closed Islands</v>
      </c>
      <c r="C1255" s="1">
        <v>4756</v>
      </c>
      <c r="D1255" s="1">
        <v>190</v>
      </c>
      <c r="E1255" s="3">
        <f>IF(INDEX(C:C, ROW())+INDEX(D:D, ROW())=0, 0, INDEX(C:C, ROW())/(INDEX(C:C, ROW())+INDEX(D:D, ROW())))</f>
        <v>0.96158511928831381</v>
      </c>
      <c r="F1255" s="1" t="s">
        <v>40</v>
      </c>
      <c r="G1255" s="1" t="s">
        <v>24</v>
      </c>
      <c r="H1255" s="1">
        <v>276073</v>
      </c>
      <c r="I1255" s="1">
        <v>411961</v>
      </c>
      <c r="J1255" s="7">
        <v>0.67</v>
      </c>
      <c r="K1255" s="1" t="s">
        <v>21</v>
      </c>
      <c r="L1255" s="1" t="s">
        <v>21</v>
      </c>
      <c r="M1255" s="1" t="s">
        <v>29</v>
      </c>
      <c r="N1255" s="1" t="s">
        <v>22</v>
      </c>
    </row>
    <row r="1256" spans="1:14" x14ac:dyDescent="0.25">
      <c r="A1256" s="1">
        <v>1255</v>
      </c>
      <c r="B1256" s="2" t="str">
        <f>HYPERLINK("https://leetcode.com/problems/maximum-score-words-formed-by-letters/", "Maximum Score Words Formed by Letters")</f>
        <v>Maximum Score Words Formed by Letters</v>
      </c>
      <c r="C1256" s="1">
        <v>1846</v>
      </c>
      <c r="D1256" s="1">
        <v>119</v>
      </c>
      <c r="E1256" s="3">
        <f>IF(INDEX(C:C, ROW())+INDEX(D:D, ROW())=0, 0, INDEX(C:C, ROW())/(INDEX(C:C, ROW())+INDEX(D:D, ROW())))</f>
        <v>0.93944020356234093</v>
      </c>
      <c r="F1256" s="1" t="s">
        <v>529</v>
      </c>
      <c r="G1256" s="1" t="s">
        <v>28</v>
      </c>
      <c r="H1256" s="1">
        <v>133834</v>
      </c>
      <c r="I1256" s="1">
        <v>164118</v>
      </c>
      <c r="J1256" s="7">
        <v>0.81499999999999995</v>
      </c>
      <c r="K1256" s="1" t="s">
        <v>21</v>
      </c>
      <c r="L1256" s="1" t="s">
        <v>21</v>
      </c>
      <c r="M1256" s="1" t="s">
        <v>29</v>
      </c>
      <c r="N1256" s="1" t="s">
        <v>22</v>
      </c>
    </row>
    <row r="1257" spans="1:14" x14ac:dyDescent="0.25">
      <c r="A1257" s="1">
        <v>1256</v>
      </c>
      <c r="B1257" s="2" t="str">
        <f>HYPERLINK("https://leetcode.com/problems/encode-number/", "Encode Number")</f>
        <v>Encode Number</v>
      </c>
      <c r="C1257" s="1">
        <v>82</v>
      </c>
      <c r="D1257" s="1">
        <v>258</v>
      </c>
      <c r="E1257" s="3">
        <f>IF(INDEX(C:C, ROW())+INDEX(D:D, ROW())=0, 0, INDEX(C:C, ROW())/(INDEX(C:C, ROW())+INDEX(D:D, ROW())))</f>
        <v>0.2411764705882353</v>
      </c>
      <c r="F1257" s="1" t="s">
        <v>605</v>
      </c>
      <c r="G1257" s="1" t="s">
        <v>24</v>
      </c>
      <c r="H1257" s="1">
        <v>8596</v>
      </c>
      <c r="I1257" s="1">
        <v>12223</v>
      </c>
      <c r="J1257" s="7">
        <v>0.70299999999999996</v>
      </c>
      <c r="K1257" s="1" t="s">
        <v>29</v>
      </c>
      <c r="L1257" s="1" t="s">
        <v>29</v>
      </c>
      <c r="M1257" s="1" t="s">
        <v>29</v>
      </c>
      <c r="N1257" s="1" t="s">
        <v>22</v>
      </c>
    </row>
    <row r="1258" spans="1:14" x14ac:dyDescent="0.25">
      <c r="A1258" s="1">
        <v>1257</v>
      </c>
      <c r="B1258" s="2" t="str">
        <f>HYPERLINK("https://leetcode.com/problems/smallest-common-region/", "Smallest Common Region")</f>
        <v>Smallest Common Region</v>
      </c>
      <c r="C1258" s="1">
        <v>496</v>
      </c>
      <c r="D1258" s="1">
        <v>42</v>
      </c>
      <c r="E1258" s="3">
        <f>IF(INDEX(C:C, ROW())+INDEX(D:D, ROW())=0, 0, INDEX(C:C, ROW())/(INDEX(C:C, ROW())+INDEX(D:D, ROW())))</f>
        <v>0.92193308550185871</v>
      </c>
      <c r="F1258" s="1" t="s">
        <v>925</v>
      </c>
      <c r="G1258" s="1" t="s">
        <v>24</v>
      </c>
      <c r="H1258" s="1">
        <v>37263</v>
      </c>
      <c r="I1258" s="1">
        <v>54587</v>
      </c>
      <c r="J1258" s="7">
        <v>0.68300000000000005</v>
      </c>
      <c r="K1258" s="1" t="s">
        <v>29</v>
      </c>
      <c r="L1258" s="1" t="s">
        <v>21</v>
      </c>
      <c r="M1258" s="1" t="s">
        <v>29</v>
      </c>
      <c r="N1258" s="1" t="s">
        <v>22</v>
      </c>
    </row>
    <row r="1259" spans="1:14" x14ac:dyDescent="0.25">
      <c r="A1259" s="1">
        <v>1258</v>
      </c>
      <c r="B1259" s="2" t="str">
        <f>HYPERLINK("https://leetcode.com/problems/synonymous-sentences/", "Synonymous Sentences")</f>
        <v>Synonymous Sentences</v>
      </c>
      <c r="C1259" s="1">
        <v>373</v>
      </c>
      <c r="D1259" s="1">
        <v>171</v>
      </c>
      <c r="E1259" s="3">
        <f>IF(INDEX(C:C, ROW())+INDEX(D:D, ROW())=0, 0, INDEX(C:C, ROW())/(INDEX(C:C, ROW())+INDEX(D:D, ROW())))</f>
        <v>0.68566176470588236</v>
      </c>
      <c r="F1259" s="1" t="s">
        <v>1004</v>
      </c>
      <c r="G1259" s="1" t="s">
        <v>24</v>
      </c>
      <c r="H1259" s="1">
        <v>29132</v>
      </c>
      <c r="I1259" s="1">
        <v>51034</v>
      </c>
      <c r="J1259" s="7">
        <v>0.57099999999999995</v>
      </c>
      <c r="K1259" s="1" t="s">
        <v>29</v>
      </c>
      <c r="L1259" s="1" t="s">
        <v>29</v>
      </c>
      <c r="M1259" s="1" t="s">
        <v>29</v>
      </c>
      <c r="N1259" s="1" t="s">
        <v>22</v>
      </c>
    </row>
    <row r="1260" spans="1:14" x14ac:dyDescent="0.25">
      <c r="A1260" s="1">
        <v>1259</v>
      </c>
      <c r="B1260" s="2" t="str">
        <f>HYPERLINK("https://leetcode.com/problems/handshakes-that-dont-cross/", "Handshakes That Don't Cross")</f>
        <v>Handshakes That Don't Cross</v>
      </c>
      <c r="C1260" s="1">
        <v>251</v>
      </c>
      <c r="D1260" s="1">
        <v>17</v>
      </c>
      <c r="E1260" s="3">
        <f>IF(INDEX(C:C, ROW())+INDEX(D:D, ROW())=0, 0, INDEX(C:C, ROW())/(INDEX(C:C, ROW())+INDEX(D:D, ROW())))</f>
        <v>0.93656716417910446</v>
      </c>
      <c r="F1260" s="1" t="s">
        <v>250</v>
      </c>
      <c r="G1260" s="1" t="s">
        <v>28</v>
      </c>
      <c r="H1260" s="1">
        <v>13724</v>
      </c>
      <c r="I1260" s="1">
        <v>22915</v>
      </c>
      <c r="J1260" s="7">
        <v>0.59899999999999998</v>
      </c>
      <c r="K1260" s="1" t="s">
        <v>29</v>
      </c>
      <c r="L1260" s="1" t="s">
        <v>21</v>
      </c>
      <c r="M1260" s="1" t="s">
        <v>29</v>
      </c>
      <c r="N1260" s="1" t="s">
        <v>22</v>
      </c>
    </row>
    <row r="1261" spans="1:14" x14ac:dyDescent="0.25">
      <c r="A1261" s="1">
        <v>1260</v>
      </c>
      <c r="B1261" s="2" t="str">
        <f>HYPERLINK("https://leetcode.com/problems/shift-2d-grid/", "Shift 2D Grid")</f>
        <v>Shift 2D Grid</v>
      </c>
      <c r="C1261" s="1">
        <v>1792</v>
      </c>
      <c r="D1261" s="1">
        <v>353</v>
      </c>
      <c r="E1261" s="3">
        <f>IF(INDEX(C:C, ROW())+INDEX(D:D, ROW())=0, 0, INDEX(C:C, ROW())/(INDEX(C:C, ROW())+INDEX(D:D, ROW())))</f>
        <v>0.83543123543123543</v>
      </c>
      <c r="F1261" s="1" t="s">
        <v>77</v>
      </c>
      <c r="G1261" s="1" t="s">
        <v>20</v>
      </c>
      <c r="H1261" s="1">
        <v>124116</v>
      </c>
      <c r="I1261" s="1">
        <v>182700</v>
      </c>
      <c r="J1261" s="7">
        <v>0.67900000000000005</v>
      </c>
      <c r="K1261" s="1" t="s">
        <v>21</v>
      </c>
      <c r="L1261" s="1" t="s">
        <v>21</v>
      </c>
      <c r="M1261" s="1" t="s">
        <v>29</v>
      </c>
      <c r="N1261" s="1" t="s">
        <v>22</v>
      </c>
    </row>
    <row r="1262" spans="1:14" x14ac:dyDescent="0.25">
      <c r="A1262" s="1">
        <v>1261</v>
      </c>
      <c r="B1262" s="2" t="str">
        <f>HYPERLINK("https://leetcode.com/problems/find-elements-in-a-contaminated-binary-tree/", "Find Elements in a Contaminated Binary Tree")</f>
        <v>Find Elements in a Contaminated Binary Tree</v>
      </c>
      <c r="C1262" s="1">
        <v>1428</v>
      </c>
      <c r="D1262" s="1">
        <v>127</v>
      </c>
      <c r="E1262" s="3">
        <f>IF(INDEX(C:C, ROW())+INDEX(D:D, ROW())=0, 0, INDEX(C:C, ROW())/(INDEX(C:C, ROW())+INDEX(D:D, ROW())))</f>
        <v>0.91832797427652735</v>
      </c>
      <c r="F1262" s="1" t="s">
        <v>609</v>
      </c>
      <c r="G1262" s="1" t="s">
        <v>24</v>
      </c>
      <c r="H1262" s="1">
        <v>202841</v>
      </c>
      <c r="I1262" s="1">
        <v>241164</v>
      </c>
      <c r="J1262" s="7">
        <v>0.84099999999999997</v>
      </c>
      <c r="K1262" s="1" t="s">
        <v>21</v>
      </c>
      <c r="L1262" s="1" t="s">
        <v>21</v>
      </c>
      <c r="M1262" s="1" t="s">
        <v>29</v>
      </c>
      <c r="N1262" s="1" t="s">
        <v>22</v>
      </c>
    </row>
    <row r="1263" spans="1:14" x14ac:dyDescent="0.25">
      <c r="A1263" s="1">
        <v>1262</v>
      </c>
      <c r="B1263" s="2" t="str">
        <f>HYPERLINK("https://leetcode.com/problems/greatest-sum-divisible-by-three/", "Greatest Sum Divisible by Three")</f>
        <v>Greatest Sum Divisible by Three</v>
      </c>
      <c r="C1263" s="1">
        <v>2411</v>
      </c>
      <c r="D1263" s="1">
        <v>65</v>
      </c>
      <c r="E1263" s="3">
        <f>IF(INDEX(C:C, ROW())+INDEX(D:D, ROW())=0, 0, INDEX(C:C, ROW())/(INDEX(C:C, ROW())+INDEX(D:D, ROW())))</f>
        <v>0.97374798061389334</v>
      </c>
      <c r="F1263" s="1" t="s">
        <v>154</v>
      </c>
      <c r="G1263" s="1" t="s">
        <v>24</v>
      </c>
      <c r="H1263" s="1">
        <v>161361</v>
      </c>
      <c r="I1263" s="1">
        <v>282796</v>
      </c>
      <c r="J1263" s="7">
        <v>0.57099999999999995</v>
      </c>
      <c r="K1263" s="1" t="s">
        <v>21</v>
      </c>
      <c r="L1263" s="1" t="s">
        <v>21</v>
      </c>
      <c r="M1263" s="1" t="s">
        <v>29</v>
      </c>
      <c r="N1263" s="1" t="s">
        <v>22</v>
      </c>
    </row>
    <row r="1264" spans="1:14" x14ac:dyDescent="0.25">
      <c r="A1264" s="1">
        <v>1263</v>
      </c>
      <c r="B1264" s="2" t="str">
        <f>HYPERLINK("https://leetcode.com/problems/minimum-moves-to-move-a-box-to-their-target-location/", "Minimum Moves to Move a Box to Their Target Location")</f>
        <v>Minimum Moves to Move a Box to Their Target Location</v>
      </c>
      <c r="C1264" s="1">
        <v>886</v>
      </c>
      <c r="D1264" s="1">
        <v>60</v>
      </c>
      <c r="E1264" s="3">
        <f>IF(INDEX(C:C, ROW())+INDEX(D:D, ROW())=0, 0, INDEX(C:C, ROW())/(INDEX(C:C, ROW())+INDEX(D:D, ROW())))</f>
        <v>0.93657505285412257</v>
      </c>
      <c r="F1264" s="1" t="s">
        <v>261</v>
      </c>
      <c r="G1264" s="1" t="s">
        <v>28</v>
      </c>
      <c r="H1264" s="1">
        <v>31687</v>
      </c>
      <c r="I1264" s="1">
        <v>64064</v>
      </c>
      <c r="J1264" s="7">
        <v>0.495</v>
      </c>
      <c r="K1264" s="1" t="s">
        <v>21</v>
      </c>
      <c r="L1264" s="1" t="s">
        <v>29</v>
      </c>
      <c r="M1264" s="1" t="s">
        <v>29</v>
      </c>
      <c r="N1264" s="1" t="s">
        <v>22</v>
      </c>
    </row>
    <row r="1265" spans="1:14" x14ac:dyDescent="0.25">
      <c r="A1265" s="1">
        <v>1264</v>
      </c>
      <c r="B1265" s="2" t="str">
        <f>HYPERLINK("https://leetcode.com/problems/page-recommendations/", "Page Recommendations")</f>
        <v>Page Recommendations</v>
      </c>
      <c r="C1265" s="1">
        <v>266</v>
      </c>
      <c r="D1265" s="1">
        <v>27</v>
      </c>
      <c r="E1265" s="3">
        <f>IF(INDEX(C:C, ROW())+INDEX(D:D, ROW())=0, 0, INDEX(C:C, ROW())/(INDEX(C:C, ROW())+INDEX(D:D, ROW())))</f>
        <v>0.9078498293515358</v>
      </c>
      <c r="F1265" s="1" t="s">
        <v>297</v>
      </c>
      <c r="G1265" s="1" t="s">
        <v>24</v>
      </c>
      <c r="H1265" s="1">
        <v>53929</v>
      </c>
      <c r="I1265" s="1">
        <v>82526</v>
      </c>
      <c r="J1265" s="7">
        <v>0.65300000000000002</v>
      </c>
      <c r="K1265" s="1" t="s">
        <v>29</v>
      </c>
      <c r="L1265" s="1" t="s">
        <v>29</v>
      </c>
      <c r="M1265" s="1" t="s">
        <v>29</v>
      </c>
      <c r="N1265" s="1" t="s">
        <v>297</v>
      </c>
    </row>
    <row r="1266" spans="1:14" x14ac:dyDescent="0.25">
      <c r="A1266" s="1">
        <v>1265</v>
      </c>
      <c r="B1266" s="2" t="str">
        <f>HYPERLINK("https://leetcode.com/problems/print-immutable-linked-list-in-reverse/", "Print Immutable Linked List in Reverse")</f>
        <v>Print Immutable Linked List in Reverse</v>
      </c>
      <c r="C1266" s="1">
        <v>599</v>
      </c>
      <c r="D1266" s="1">
        <v>106</v>
      </c>
      <c r="E1266" s="3">
        <f>IF(INDEX(C:C, ROW())+INDEX(D:D, ROW())=0, 0, INDEX(C:C, ROW())/(INDEX(C:C, ROW())+INDEX(D:D, ROW())))</f>
        <v>0.84964539007092199</v>
      </c>
      <c r="F1266" s="1" t="s">
        <v>71</v>
      </c>
      <c r="G1266" s="1" t="s">
        <v>24</v>
      </c>
      <c r="H1266" s="1">
        <v>66720</v>
      </c>
      <c r="I1266" s="1">
        <v>70917</v>
      </c>
      <c r="J1266" s="7">
        <v>0.94099999999999995</v>
      </c>
      <c r="K1266" s="1" t="s">
        <v>29</v>
      </c>
      <c r="L1266" s="1" t="s">
        <v>21</v>
      </c>
      <c r="M1266" s="1" t="s">
        <v>29</v>
      </c>
      <c r="N1266" s="1" t="s">
        <v>22</v>
      </c>
    </row>
    <row r="1267" spans="1:14" x14ac:dyDescent="0.25">
      <c r="A1267" s="1">
        <v>1266</v>
      </c>
      <c r="B1267" s="2" t="str">
        <f>HYPERLINK("https://leetcode.com/problems/minimum-time-visiting-all-points/", "Minimum Time Visiting All Points")</f>
        <v>Minimum Time Visiting All Points</v>
      </c>
      <c r="C1267" s="1">
        <v>2732</v>
      </c>
      <c r="D1267" s="1">
        <v>271</v>
      </c>
      <c r="E1267" s="3">
        <f>IF(INDEX(C:C, ROW())+INDEX(D:D, ROW())=0, 0, INDEX(C:C, ROW())/(INDEX(C:C, ROW())+INDEX(D:D, ROW())))</f>
        <v>0.9097569097569097</v>
      </c>
      <c r="F1267" s="1" t="s">
        <v>397</v>
      </c>
      <c r="G1267" s="1" t="s">
        <v>20</v>
      </c>
      <c r="H1267" s="1">
        <v>402388</v>
      </c>
      <c r="I1267" s="1">
        <v>474572</v>
      </c>
      <c r="J1267" s="7">
        <v>0.84799999999999998</v>
      </c>
      <c r="K1267" s="1" t="s">
        <v>21</v>
      </c>
      <c r="L1267" s="1" t="s">
        <v>21</v>
      </c>
      <c r="M1267" s="1" t="s">
        <v>29</v>
      </c>
      <c r="N1267" s="1" t="s">
        <v>22</v>
      </c>
    </row>
    <row r="1268" spans="1:14" x14ac:dyDescent="0.25">
      <c r="A1268" s="1">
        <v>1267</v>
      </c>
      <c r="B1268" s="2" t="str">
        <f>HYPERLINK("https://leetcode.com/problems/count-servers-that-communicate/", "Count Servers that Communicate")</f>
        <v>Count Servers that Communicate</v>
      </c>
      <c r="C1268" s="1">
        <v>1909</v>
      </c>
      <c r="D1268" s="1">
        <v>108</v>
      </c>
      <c r="E1268" s="3">
        <f>IF(INDEX(C:C, ROW())+INDEX(D:D, ROW())=0, 0, INDEX(C:C, ROW())/(INDEX(C:C, ROW())+INDEX(D:D, ROW())))</f>
        <v>0.94645513138324244</v>
      </c>
      <c r="F1268" s="1" t="s">
        <v>515</v>
      </c>
      <c r="G1268" s="1" t="s">
        <v>24</v>
      </c>
      <c r="H1268" s="1">
        <v>198930</v>
      </c>
      <c r="I1268" s="1">
        <v>270572</v>
      </c>
      <c r="J1268" s="7">
        <v>0.73499999999999999</v>
      </c>
      <c r="K1268" s="1" t="s">
        <v>21</v>
      </c>
      <c r="L1268" s="1" t="s">
        <v>21</v>
      </c>
      <c r="M1268" s="1" t="s">
        <v>29</v>
      </c>
      <c r="N1268" s="1" t="s">
        <v>22</v>
      </c>
    </row>
    <row r="1269" spans="1:14" x14ac:dyDescent="0.25">
      <c r="A1269" s="1">
        <v>1268</v>
      </c>
      <c r="B1269" s="2" t="str">
        <f>HYPERLINK("https://leetcode.com/problems/search-suggestions-system/", "Search Suggestions System")</f>
        <v>Search Suggestions System</v>
      </c>
      <c r="C1269" s="1">
        <v>5109</v>
      </c>
      <c r="D1269" s="1">
        <v>266</v>
      </c>
      <c r="E1269" s="3">
        <f>IF(INDEX(C:C, ROW())+INDEX(D:D, ROW())=0, 0, INDEX(C:C, ROW())/(INDEX(C:C, ROW())+INDEX(D:D, ROW())))</f>
        <v>0.95051162790697674</v>
      </c>
      <c r="F1269" s="1" t="s">
        <v>256</v>
      </c>
      <c r="G1269" s="1" t="s">
        <v>24</v>
      </c>
      <c r="H1269" s="1">
        <v>433543</v>
      </c>
      <c r="I1269" s="1">
        <v>665436</v>
      </c>
      <c r="J1269" s="7">
        <v>0.65200000000000002</v>
      </c>
      <c r="K1269" s="1" t="s">
        <v>21</v>
      </c>
      <c r="L1269" s="1" t="s">
        <v>21</v>
      </c>
      <c r="M1269" s="1" t="s">
        <v>29</v>
      </c>
      <c r="N1269" s="1" t="s">
        <v>22</v>
      </c>
    </row>
    <row r="1270" spans="1:14" x14ac:dyDescent="0.25">
      <c r="A1270" s="1">
        <v>1269</v>
      </c>
      <c r="B1270" s="2" t="str">
        <f>HYPERLINK("https://leetcode.com/problems/number-of-ways-to-stay-in-the-same-place-after-some-steps/", "Number of Ways to Stay in the Same Place After Some Steps")</f>
        <v>Number of Ways to Stay in the Same Place After Some Steps</v>
      </c>
      <c r="C1270" s="1">
        <v>1597</v>
      </c>
      <c r="D1270" s="1">
        <v>67</v>
      </c>
      <c r="E1270" s="3">
        <f>IF(INDEX(C:C, ROW())+INDEX(D:D, ROW())=0, 0, INDEX(C:C, ROW())/(INDEX(C:C, ROW())+INDEX(D:D, ROW())))</f>
        <v>0.95973557692307687</v>
      </c>
      <c r="F1270" s="1" t="s">
        <v>251</v>
      </c>
      <c r="G1270" s="1" t="s">
        <v>28</v>
      </c>
      <c r="H1270" s="1">
        <v>101929</v>
      </c>
      <c r="I1270" s="1">
        <v>203913</v>
      </c>
      <c r="J1270" s="7">
        <v>0.5</v>
      </c>
      <c r="K1270" s="1" t="s">
        <v>21</v>
      </c>
      <c r="L1270" s="1" t="s">
        <v>21</v>
      </c>
      <c r="M1270" s="1" t="s">
        <v>29</v>
      </c>
      <c r="N1270" s="1" t="s">
        <v>22</v>
      </c>
    </row>
    <row r="1271" spans="1:14" x14ac:dyDescent="0.25">
      <c r="A1271" s="1">
        <v>1270</v>
      </c>
      <c r="B1271" s="2" t="str">
        <f>HYPERLINK("https://leetcode.com/problems/all-people-report-to-the-given-manager/", "All People Report to the Given Manager")</f>
        <v>All People Report to the Given Manager</v>
      </c>
      <c r="C1271" s="1">
        <v>444</v>
      </c>
      <c r="D1271" s="1">
        <v>32</v>
      </c>
      <c r="E1271" s="3">
        <f>IF(INDEX(C:C, ROW())+INDEX(D:D, ROW())=0, 0, INDEX(C:C, ROW())/(INDEX(C:C, ROW())+INDEX(D:D, ROW())))</f>
        <v>0.9327731092436975</v>
      </c>
      <c r="F1271" s="1" t="s">
        <v>297</v>
      </c>
      <c r="G1271" s="1" t="s">
        <v>24</v>
      </c>
      <c r="H1271" s="1">
        <v>66480</v>
      </c>
      <c r="I1271" s="1">
        <v>79160</v>
      </c>
      <c r="J1271" s="7">
        <v>0.84</v>
      </c>
      <c r="K1271" s="1" t="s">
        <v>29</v>
      </c>
      <c r="L1271" s="1" t="s">
        <v>29</v>
      </c>
      <c r="M1271" s="1" t="s">
        <v>29</v>
      </c>
      <c r="N1271" s="1" t="s">
        <v>297</v>
      </c>
    </row>
    <row r="1272" spans="1:14" x14ac:dyDescent="0.25">
      <c r="A1272" s="1">
        <v>1271</v>
      </c>
      <c r="B1272" s="2" t="str">
        <f>HYPERLINK("https://leetcode.com/problems/hexspeak/", "Hexspeak")</f>
        <v>Hexspeak</v>
      </c>
      <c r="C1272" s="1">
        <v>80</v>
      </c>
      <c r="D1272" s="1">
        <v>126</v>
      </c>
      <c r="E1272" s="3">
        <f>IF(INDEX(C:C, ROW())+INDEX(D:D, ROW())=0, 0, INDEX(C:C, ROW())/(INDEX(C:C, ROW())+INDEX(D:D, ROW())))</f>
        <v>0.38834951456310679</v>
      </c>
      <c r="F1272" s="1" t="s">
        <v>228</v>
      </c>
      <c r="G1272" s="1" t="s">
        <v>20</v>
      </c>
      <c r="H1272" s="1">
        <v>12977</v>
      </c>
      <c r="I1272" s="1">
        <v>22225</v>
      </c>
      <c r="J1272" s="7">
        <v>0.58399999999999996</v>
      </c>
      <c r="K1272" s="1" t="s">
        <v>29</v>
      </c>
      <c r="L1272" s="1" t="s">
        <v>29</v>
      </c>
      <c r="M1272" s="1" t="s">
        <v>29</v>
      </c>
      <c r="N1272" s="1" t="s">
        <v>22</v>
      </c>
    </row>
    <row r="1273" spans="1:14" x14ac:dyDescent="0.25">
      <c r="A1273" s="1">
        <v>1272</v>
      </c>
      <c r="B1273" s="2" t="str">
        <f>HYPERLINK("https://leetcode.com/problems/remove-interval/", "Remove Interval")</f>
        <v>Remove Interval</v>
      </c>
      <c r="C1273" s="1">
        <v>479</v>
      </c>
      <c r="D1273" s="1">
        <v>36</v>
      </c>
      <c r="E1273" s="3">
        <f>IF(INDEX(C:C, ROW())+INDEX(D:D, ROW())=0, 0, INDEX(C:C, ROW())/(INDEX(C:C, ROW())+INDEX(D:D, ROW())))</f>
        <v>0.93009708737864083</v>
      </c>
      <c r="F1273" s="1" t="s">
        <v>113</v>
      </c>
      <c r="G1273" s="1" t="s">
        <v>24</v>
      </c>
      <c r="H1273" s="1">
        <v>42040</v>
      </c>
      <c r="I1273" s="1">
        <v>62619</v>
      </c>
      <c r="J1273" s="7">
        <v>0.67100000000000004</v>
      </c>
      <c r="K1273" s="1" t="s">
        <v>29</v>
      </c>
      <c r="L1273" s="1" t="s">
        <v>21</v>
      </c>
      <c r="M1273" s="1" t="s">
        <v>21</v>
      </c>
      <c r="N1273" s="1" t="s">
        <v>22</v>
      </c>
    </row>
    <row r="1274" spans="1:14" x14ac:dyDescent="0.25">
      <c r="A1274" s="1">
        <v>1273</v>
      </c>
      <c r="B1274" s="2" t="str">
        <f>HYPERLINK("https://leetcode.com/problems/delete-tree-nodes/", "Delete Tree Nodes")</f>
        <v>Delete Tree Nodes</v>
      </c>
      <c r="C1274" s="1">
        <v>235</v>
      </c>
      <c r="D1274" s="1">
        <v>66</v>
      </c>
      <c r="E1274" s="3">
        <f>IF(INDEX(C:C, ROW())+INDEX(D:D, ROW())=0, 0, INDEX(C:C, ROW())/(INDEX(C:C, ROW())+INDEX(D:D, ROW())))</f>
        <v>0.78073089700996678</v>
      </c>
      <c r="F1274" s="1" t="s">
        <v>1075</v>
      </c>
      <c r="G1274" s="1" t="s">
        <v>24</v>
      </c>
      <c r="H1274" s="1">
        <v>11485</v>
      </c>
      <c r="I1274" s="1">
        <v>18644</v>
      </c>
      <c r="J1274" s="7">
        <v>0.61599999999999999</v>
      </c>
      <c r="K1274" s="1" t="s">
        <v>29</v>
      </c>
      <c r="L1274" s="1" t="s">
        <v>29</v>
      </c>
      <c r="M1274" s="1" t="s">
        <v>29</v>
      </c>
      <c r="N1274" s="1" t="s">
        <v>22</v>
      </c>
    </row>
    <row r="1275" spans="1:14" x14ac:dyDescent="0.25">
      <c r="A1275" s="1">
        <v>1274</v>
      </c>
      <c r="B1275" s="2" t="str">
        <f>HYPERLINK("https://leetcode.com/problems/number-of-ships-in-a-rectangle/", "Number of Ships in a Rectangle")</f>
        <v>Number of Ships in a Rectangle</v>
      </c>
      <c r="C1275" s="1">
        <v>536</v>
      </c>
      <c r="D1275" s="1">
        <v>68</v>
      </c>
      <c r="E1275" s="3">
        <f>IF(INDEX(C:C, ROW())+INDEX(D:D, ROW())=0, 0, INDEX(C:C, ROW())/(INDEX(C:C, ROW())+INDEX(D:D, ROW())))</f>
        <v>0.88741721854304634</v>
      </c>
      <c r="F1275" s="1" t="s">
        <v>891</v>
      </c>
      <c r="G1275" s="1" t="s">
        <v>28</v>
      </c>
      <c r="H1275" s="1">
        <v>34195</v>
      </c>
      <c r="I1275" s="1">
        <v>49637</v>
      </c>
      <c r="J1275" s="7">
        <v>0.68899999999999995</v>
      </c>
      <c r="K1275" s="1" t="s">
        <v>29</v>
      </c>
      <c r="L1275" s="1" t="s">
        <v>21</v>
      </c>
      <c r="M1275" s="1" t="s">
        <v>29</v>
      </c>
      <c r="N1275" s="1" t="s">
        <v>22</v>
      </c>
    </row>
    <row r="1276" spans="1:14" x14ac:dyDescent="0.25">
      <c r="A1276" s="1">
        <v>1275</v>
      </c>
      <c r="B1276" s="2" t="str">
        <f>HYPERLINK("https://leetcode.com/problems/find-winner-on-a-tic-tac-toe-game/", "Find Winner on a Tic Tac Toe Game")</f>
        <v>Find Winner on a Tic Tac Toe Game</v>
      </c>
      <c r="C1276" s="1">
        <v>1623</v>
      </c>
      <c r="D1276" s="1">
        <v>370</v>
      </c>
      <c r="E1276" s="3">
        <f>IF(INDEX(C:C, ROW())+INDEX(D:D, ROW())=0, 0, INDEX(C:C, ROW())/(INDEX(C:C, ROW())+INDEX(D:D, ROW())))</f>
        <v>0.81435022579026595</v>
      </c>
      <c r="F1276" s="1" t="s">
        <v>428</v>
      </c>
      <c r="G1276" s="1" t="s">
        <v>20</v>
      </c>
      <c r="H1276" s="1">
        <v>166891</v>
      </c>
      <c r="I1276" s="1">
        <v>306152</v>
      </c>
      <c r="J1276" s="7">
        <v>0.54500000000000004</v>
      </c>
      <c r="K1276" s="1" t="s">
        <v>21</v>
      </c>
      <c r="L1276" s="1" t="s">
        <v>21</v>
      </c>
      <c r="M1276" s="1" t="s">
        <v>29</v>
      </c>
      <c r="N1276" s="1" t="s">
        <v>22</v>
      </c>
    </row>
    <row r="1277" spans="1:14" x14ac:dyDescent="0.25">
      <c r="A1277" s="1">
        <v>1276</v>
      </c>
      <c r="B1277" s="2" t="str">
        <f>HYPERLINK("https://leetcode.com/problems/number-of-burgers-with-no-waste-of-ingredients/", "Number of Burgers with No Waste of Ingredients")</f>
        <v>Number of Burgers with No Waste of Ingredients</v>
      </c>
      <c r="C1277" s="1">
        <v>343</v>
      </c>
      <c r="D1277" s="1">
        <v>239</v>
      </c>
      <c r="E1277" s="3">
        <f>IF(INDEX(C:C, ROW())+INDEX(D:D, ROW())=0, 0, INDEX(C:C, ROW())/(INDEX(C:C, ROW())+INDEX(D:D, ROW())))</f>
        <v>0.5893470790378007</v>
      </c>
      <c r="F1277" s="1" t="s">
        <v>84</v>
      </c>
      <c r="G1277" s="1" t="s">
        <v>24</v>
      </c>
      <c r="H1277" s="1">
        <v>32356</v>
      </c>
      <c r="I1277" s="1">
        <v>63616</v>
      </c>
      <c r="J1277" s="7">
        <v>0.50900000000000001</v>
      </c>
      <c r="K1277" s="1" t="s">
        <v>21</v>
      </c>
      <c r="L1277" s="1" t="s">
        <v>29</v>
      </c>
      <c r="M1277" s="1" t="s">
        <v>29</v>
      </c>
      <c r="N1277" s="1" t="s">
        <v>22</v>
      </c>
    </row>
    <row r="1278" spans="1:14" x14ac:dyDescent="0.25">
      <c r="A1278" s="1">
        <v>1277</v>
      </c>
      <c r="B1278" s="2" t="str">
        <f>HYPERLINK("https://leetcode.com/problems/count-square-submatrices-with-all-ones/", "Count Square Submatrices with All Ones")</f>
        <v>Count Square Submatrices with All Ones</v>
      </c>
      <c r="C1278" s="1">
        <v>5937</v>
      </c>
      <c r="D1278" s="1">
        <v>117</v>
      </c>
      <c r="E1278" s="3">
        <f>IF(INDEX(C:C, ROW())+INDEX(D:D, ROW())=0, 0, INDEX(C:C, ROW())/(INDEX(C:C, ROW())+INDEX(D:D, ROW())))</f>
        <v>0.98067393458870167</v>
      </c>
      <c r="F1278" s="1" t="s">
        <v>94</v>
      </c>
      <c r="G1278" s="1" t="s">
        <v>24</v>
      </c>
      <c r="H1278" s="1">
        <v>473597</v>
      </c>
      <c r="I1278" s="1">
        <v>587144</v>
      </c>
      <c r="J1278" s="7">
        <v>0.80700000000000005</v>
      </c>
      <c r="K1278" s="1" t="s">
        <v>21</v>
      </c>
      <c r="L1278" s="1" t="s">
        <v>21</v>
      </c>
      <c r="M1278" s="1" t="s">
        <v>29</v>
      </c>
      <c r="N1278" s="1" t="s">
        <v>22</v>
      </c>
    </row>
    <row r="1279" spans="1:14" x14ac:dyDescent="0.25">
      <c r="A1279" s="1">
        <v>1278</v>
      </c>
      <c r="B1279" s="2" t="str">
        <f>HYPERLINK("https://leetcode.com/problems/palindrome-partitioning-iii/", "Palindrome Partitioning III")</f>
        <v>Palindrome Partitioning III</v>
      </c>
      <c r="C1279" s="1">
        <v>1208</v>
      </c>
      <c r="D1279" s="1">
        <v>19</v>
      </c>
      <c r="E1279" s="3">
        <f>IF(INDEX(C:C, ROW())+INDEX(D:D, ROW())=0, 0, INDEX(C:C, ROW())/(INDEX(C:C, ROW())+INDEX(D:D, ROW())))</f>
        <v>0.98451507742461286</v>
      </c>
      <c r="F1279" s="1" t="s">
        <v>82</v>
      </c>
      <c r="G1279" s="1" t="s">
        <v>28</v>
      </c>
      <c r="H1279" s="1">
        <v>36799</v>
      </c>
      <c r="I1279" s="1">
        <v>59215</v>
      </c>
      <c r="J1279" s="7">
        <v>0.621</v>
      </c>
      <c r="K1279" s="1" t="s">
        <v>21</v>
      </c>
      <c r="L1279" s="1" t="s">
        <v>29</v>
      </c>
      <c r="M1279" s="1" t="s">
        <v>29</v>
      </c>
      <c r="N1279" s="1" t="s">
        <v>22</v>
      </c>
    </row>
    <row r="1280" spans="1:14" x14ac:dyDescent="0.25">
      <c r="A1280" s="1">
        <v>1279</v>
      </c>
      <c r="B1280" s="2" t="str">
        <f>HYPERLINK("https://leetcode.com/problems/traffic-light-controlled-intersection/", "Traffic Light Controlled Intersection")</f>
        <v>Traffic Light Controlled Intersection</v>
      </c>
      <c r="C1280" s="1">
        <v>78</v>
      </c>
      <c r="D1280" s="1">
        <v>369</v>
      </c>
      <c r="E1280" s="3">
        <f>IF(INDEX(C:C, ROW())+INDEX(D:D, ROW())=0, 0, INDEX(C:C, ROW())/(INDEX(C:C, ROW())+INDEX(D:D, ROW())))</f>
        <v>0.17449664429530201</v>
      </c>
      <c r="F1280" s="1" t="s">
        <v>561</v>
      </c>
      <c r="G1280" s="1" t="s">
        <v>20</v>
      </c>
      <c r="H1280" s="1">
        <v>20634</v>
      </c>
      <c r="I1280" s="1">
        <v>28355</v>
      </c>
      <c r="J1280" s="7">
        <v>0.72799999999999998</v>
      </c>
      <c r="K1280" s="1" t="s">
        <v>29</v>
      </c>
      <c r="L1280" s="1" t="s">
        <v>29</v>
      </c>
      <c r="M1280" s="1" t="s">
        <v>29</v>
      </c>
      <c r="N1280" s="1" t="s">
        <v>561</v>
      </c>
    </row>
    <row r="1281" spans="1:14" x14ac:dyDescent="0.25">
      <c r="A1281" s="1">
        <v>1280</v>
      </c>
      <c r="B1281" s="2" t="str">
        <f>HYPERLINK("https://leetcode.com/problems/students-and-examinations/", "Students and Examinations")</f>
        <v>Students and Examinations</v>
      </c>
      <c r="C1281" s="1">
        <v>2940</v>
      </c>
      <c r="D1281" s="1">
        <v>352</v>
      </c>
      <c r="E1281" s="3">
        <f>IF(INDEX(C:C, ROW())+INDEX(D:D, ROW())=0, 0, INDEX(C:C, ROW())/(INDEX(C:C, ROW())+INDEX(D:D, ROW())))</f>
        <v>0.89307411907654921</v>
      </c>
      <c r="F1281" s="1" t="s">
        <v>297</v>
      </c>
      <c r="G1281" s="1" t="s">
        <v>20</v>
      </c>
      <c r="H1281" s="1">
        <v>707590</v>
      </c>
      <c r="I1281" s="1">
        <v>1161042</v>
      </c>
      <c r="J1281" s="7">
        <v>0.60899999999999999</v>
      </c>
      <c r="K1281" s="1" t="s">
        <v>21</v>
      </c>
      <c r="L1281" s="1" t="s">
        <v>21</v>
      </c>
      <c r="M1281" s="1" t="s">
        <v>29</v>
      </c>
      <c r="N1281" s="1" t="s">
        <v>297</v>
      </c>
    </row>
    <row r="1282" spans="1:14" x14ac:dyDescent="0.25">
      <c r="A1282" s="1">
        <v>1281</v>
      </c>
      <c r="B1282" s="2" t="str">
        <f>HYPERLINK("https://leetcode.com/problems/subtract-the-product-and-sum-of-digits-of-an-integer/", "Subtract the Product and Sum of Digits of an Integer")</f>
        <v>Subtract the Product and Sum of Digits of an Integer</v>
      </c>
      <c r="C1282" s="1">
        <v>2824</v>
      </c>
      <c r="D1282" s="1">
        <v>253</v>
      </c>
      <c r="E1282" s="3">
        <f>IF(INDEX(C:C, ROW())+INDEX(D:D, ROW())=0, 0, INDEX(C:C, ROW())/(INDEX(C:C, ROW())+INDEX(D:D, ROW())))</f>
        <v>0.91777705557361067</v>
      </c>
      <c r="F1282" s="1" t="s">
        <v>84</v>
      </c>
      <c r="G1282" s="1" t="s">
        <v>20</v>
      </c>
      <c r="H1282" s="1">
        <v>647247</v>
      </c>
      <c r="I1282" s="1">
        <v>747833</v>
      </c>
      <c r="J1282" s="7">
        <v>0.86499999999999999</v>
      </c>
      <c r="K1282" s="1" t="s">
        <v>21</v>
      </c>
      <c r="L1282" s="1" t="s">
        <v>29</v>
      </c>
      <c r="M1282" s="1" t="s">
        <v>29</v>
      </c>
      <c r="N1282" s="1" t="s">
        <v>22</v>
      </c>
    </row>
    <row r="1283" spans="1:14" x14ac:dyDescent="0.25">
      <c r="A1283" s="1">
        <v>1282</v>
      </c>
      <c r="B1283" s="2" t="str">
        <f>HYPERLINK("https://leetcode.com/problems/group-the-people-given-the-group-size-they-belong-to/", "Group the People Given the Group Size They Belong To")</f>
        <v>Group the People Given the Group Size They Belong To</v>
      </c>
      <c r="C1283" s="1">
        <v>3154</v>
      </c>
      <c r="D1283" s="1">
        <v>747</v>
      </c>
      <c r="E1283" s="3">
        <f>IF(INDEX(C:C, ROW())+INDEX(D:D, ROW())=0, 0, INDEX(C:C, ROW())/(INDEX(C:C, ROW())+INDEX(D:D, ROW())))</f>
        <v>0.80851063829787229</v>
      </c>
      <c r="F1283" s="1" t="s">
        <v>368</v>
      </c>
      <c r="G1283" s="1" t="s">
        <v>24</v>
      </c>
      <c r="H1283" s="1">
        <v>247831</v>
      </c>
      <c r="I1283" s="1">
        <v>283202</v>
      </c>
      <c r="J1283" s="7">
        <v>0.875</v>
      </c>
      <c r="K1283" s="1" t="s">
        <v>21</v>
      </c>
      <c r="L1283" s="1" t="s">
        <v>21</v>
      </c>
      <c r="M1283" s="1" t="s">
        <v>29</v>
      </c>
      <c r="N1283" s="1" t="s">
        <v>22</v>
      </c>
    </row>
    <row r="1284" spans="1:14" x14ac:dyDescent="0.25">
      <c r="A1284" s="1">
        <v>1283</v>
      </c>
      <c r="B1284" s="2" t="str">
        <f>HYPERLINK("https://leetcode.com/problems/find-the-smallest-divisor-given-a-threshold/", "Find the Smallest Divisor Given a Threshold")</f>
        <v>Find the Smallest Divisor Given a Threshold</v>
      </c>
      <c r="C1284" s="1">
        <v>3553</v>
      </c>
      <c r="D1284" s="1">
        <v>225</v>
      </c>
      <c r="E1284" s="3">
        <f>IF(INDEX(C:C, ROW())+INDEX(D:D, ROW())=0, 0, INDEX(C:C, ROW())/(INDEX(C:C, ROW())+INDEX(D:D, ROW())))</f>
        <v>0.94044467972472212</v>
      </c>
      <c r="F1284" s="1" t="s">
        <v>35</v>
      </c>
      <c r="G1284" s="1" t="s">
        <v>24</v>
      </c>
      <c r="H1284" s="1">
        <v>427402</v>
      </c>
      <c r="I1284" s="1">
        <v>652867</v>
      </c>
      <c r="J1284" s="7">
        <v>0.65500000000000003</v>
      </c>
      <c r="K1284" s="1" t="s">
        <v>21</v>
      </c>
      <c r="L1284" s="1" t="s">
        <v>21</v>
      </c>
      <c r="M1284" s="1" t="s">
        <v>29</v>
      </c>
      <c r="N1284" s="1" t="s">
        <v>22</v>
      </c>
    </row>
    <row r="1285" spans="1:14" x14ac:dyDescent="0.25">
      <c r="A1285" s="1">
        <v>1284</v>
      </c>
      <c r="B1285" s="2" t="str">
        <f>HYPERLINK("https://leetcode.com/problems/minimum-number-of-flips-to-convert-binary-matrix-to-zero-matrix/", "Minimum Number of Flips to Convert Binary Matrix to Zero Matrix")</f>
        <v>Minimum Number of Flips to Convert Binary Matrix to Zero Matrix</v>
      </c>
      <c r="C1285" s="1">
        <v>1007</v>
      </c>
      <c r="D1285" s="1">
        <v>103</v>
      </c>
      <c r="E1285" s="3">
        <f>IF(INDEX(C:C, ROW())+INDEX(D:D, ROW())=0, 0, INDEX(C:C, ROW())/(INDEX(C:C, ROW())+INDEX(D:D, ROW())))</f>
        <v>0.90720720720720716</v>
      </c>
      <c r="F1285" s="1" t="s">
        <v>714</v>
      </c>
      <c r="G1285" s="1" t="s">
        <v>28</v>
      </c>
      <c r="H1285" s="1">
        <v>38911</v>
      </c>
      <c r="I1285" s="1">
        <v>53725</v>
      </c>
      <c r="J1285" s="7">
        <v>0.72399999999999998</v>
      </c>
      <c r="K1285" s="1" t="s">
        <v>21</v>
      </c>
      <c r="L1285" s="1" t="s">
        <v>21</v>
      </c>
      <c r="M1285" s="1" t="s">
        <v>29</v>
      </c>
      <c r="N1285" s="1" t="s">
        <v>22</v>
      </c>
    </row>
    <row r="1286" spans="1:14" x14ac:dyDescent="0.25">
      <c r="A1286" s="1">
        <v>1285</v>
      </c>
      <c r="B1286" s="2" t="str">
        <f>HYPERLINK("https://leetcode.com/problems/find-the-start-and-end-number-of-continuous-ranges/", "Find the Start and End Number of Continuous Ranges")</f>
        <v>Find the Start and End Number of Continuous Ranges</v>
      </c>
      <c r="C1286" s="1">
        <v>592</v>
      </c>
      <c r="D1286" s="1">
        <v>36</v>
      </c>
      <c r="E1286" s="3">
        <f>IF(INDEX(C:C, ROW())+INDEX(D:D, ROW())=0, 0, INDEX(C:C, ROW())/(INDEX(C:C, ROW())+INDEX(D:D, ROW())))</f>
        <v>0.9426751592356688</v>
      </c>
      <c r="F1286" s="1" t="s">
        <v>297</v>
      </c>
      <c r="G1286" s="1" t="s">
        <v>24</v>
      </c>
      <c r="H1286" s="1">
        <v>49219</v>
      </c>
      <c r="I1286" s="1">
        <v>60156</v>
      </c>
      <c r="J1286" s="7">
        <v>0.81799999999999995</v>
      </c>
      <c r="K1286" s="1" t="s">
        <v>29</v>
      </c>
      <c r="L1286" s="1" t="s">
        <v>29</v>
      </c>
      <c r="M1286" s="1" t="s">
        <v>29</v>
      </c>
      <c r="N1286" s="1" t="s">
        <v>297</v>
      </c>
    </row>
    <row r="1287" spans="1:14" x14ac:dyDescent="0.25">
      <c r="A1287" s="1">
        <v>1286</v>
      </c>
      <c r="B1287" s="2" t="str">
        <f>HYPERLINK("https://leetcode.com/problems/iterator-for-combination/", "Iterator for Combination")</f>
        <v>Iterator for Combination</v>
      </c>
      <c r="C1287" s="1">
        <v>1390</v>
      </c>
      <c r="D1287" s="1">
        <v>108</v>
      </c>
      <c r="E1287" s="3">
        <f>IF(INDEX(C:C, ROW())+INDEX(D:D, ROW())=0, 0, INDEX(C:C, ROW())/(INDEX(C:C, ROW())+INDEX(D:D, ROW())))</f>
        <v>0.9279038718291055</v>
      </c>
      <c r="F1287" s="1" t="s">
        <v>618</v>
      </c>
      <c r="G1287" s="1" t="s">
        <v>24</v>
      </c>
      <c r="H1287" s="1">
        <v>81763</v>
      </c>
      <c r="I1287" s="1">
        <v>112524</v>
      </c>
      <c r="J1287" s="7">
        <v>0.72699999999999998</v>
      </c>
      <c r="K1287" s="1" t="s">
        <v>21</v>
      </c>
      <c r="L1287" s="1" t="s">
        <v>21</v>
      </c>
      <c r="M1287" s="1" t="s">
        <v>29</v>
      </c>
      <c r="N1287" s="1" t="s">
        <v>22</v>
      </c>
    </row>
    <row r="1288" spans="1:14" x14ac:dyDescent="0.25">
      <c r="A1288" s="1">
        <v>1287</v>
      </c>
      <c r="B1288" s="2" t="str">
        <f>HYPERLINK("https://leetcode.com/problems/element-appearing-more-than-25-in-sorted-array/", "Element Appearing More Than 25% In Sorted Array")</f>
        <v>Element Appearing More Than 25% In Sorted Array</v>
      </c>
      <c r="C1288" s="1">
        <v>1775</v>
      </c>
      <c r="D1288" s="1">
        <v>84</v>
      </c>
      <c r="E1288" s="3">
        <f>IF(INDEX(C:C, ROW())+INDEX(D:D, ROW())=0, 0, INDEX(C:C, ROW())/(INDEX(C:C, ROW())+INDEX(D:D, ROW())))</f>
        <v>0.95481441635287789</v>
      </c>
      <c r="F1288" s="1" t="s">
        <v>113</v>
      </c>
      <c r="G1288" s="1" t="s">
        <v>20</v>
      </c>
      <c r="H1288" s="1">
        <v>254061</v>
      </c>
      <c r="I1288" s="1">
        <v>415553</v>
      </c>
      <c r="J1288" s="7">
        <v>0.61099999999999999</v>
      </c>
      <c r="K1288" s="1" t="s">
        <v>21</v>
      </c>
      <c r="L1288" s="1" t="s">
        <v>21</v>
      </c>
      <c r="M1288" s="1" t="s">
        <v>29</v>
      </c>
      <c r="N1288" s="1" t="s">
        <v>22</v>
      </c>
    </row>
    <row r="1289" spans="1:14" x14ac:dyDescent="0.25">
      <c r="A1289" s="1">
        <v>1288</v>
      </c>
      <c r="B1289" s="2" t="str">
        <f>HYPERLINK("https://leetcode.com/problems/remove-covered-intervals/", "Remove Covered Intervals")</f>
        <v>Remove Covered Intervals</v>
      </c>
      <c r="C1289" s="1">
        <v>2312</v>
      </c>
      <c r="D1289" s="1">
        <v>60</v>
      </c>
      <c r="E1289" s="3">
        <f>IF(INDEX(C:C, ROW())+INDEX(D:D, ROW())=0, 0, INDEX(C:C, ROW())/(INDEX(C:C, ROW())+INDEX(D:D, ROW())))</f>
        <v>0.97470489038785835</v>
      </c>
      <c r="F1289" s="1" t="s">
        <v>42</v>
      </c>
      <c r="G1289" s="1" t="s">
        <v>24</v>
      </c>
      <c r="H1289" s="1">
        <v>141183</v>
      </c>
      <c r="I1289" s="1">
        <v>251682</v>
      </c>
      <c r="J1289" s="7">
        <v>0.56100000000000005</v>
      </c>
      <c r="K1289" s="1" t="s">
        <v>21</v>
      </c>
      <c r="L1289" s="1" t="s">
        <v>21</v>
      </c>
      <c r="M1289" s="1" t="s">
        <v>29</v>
      </c>
      <c r="N1289" s="1" t="s">
        <v>22</v>
      </c>
    </row>
    <row r="1290" spans="1:14" x14ac:dyDescent="0.25">
      <c r="A1290" s="1">
        <v>1289</v>
      </c>
      <c r="B1290" s="2" t="str">
        <f>HYPERLINK("https://leetcode.com/problems/minimum-falling-path-sum-ii/", "Minimum Falling Path Sum II")</f>
        <v>Minimum Falling Path Sum II</v>
      </c>
      <c r="C1290" s="1">
        <v>2372</v>
      </c>
      <c r="D1290" s="1">
        <v>124</v>
      </c>
      <c r="E1290" s="3">
        <f>IF(INDEX(C:C, ROW())+INDEX(D:D, ROW())=0, 0, INDEX(C:C, ROW())/(INDEX(C:C, ROW())+INDEX(D:D, ROW())))</f>
        <v>0.95032051282051277</v>
      </c>
      <c r="F1290" s="1" t="s">
        <v>94</v>
      </c>
      <c r="G1290" s="1" t="s">
        <v>28</v>
      </c>
      <c r="H1290" s="1">
        <v>163068</v>
      </c>
      <c r="I1290" s="1">
        <v>257890</v>
      </c>
      <c r="J1290" s="7">
        <v>0.63200000000000001</v>
      </c>
      <c r="K1290" s="1" t="s">
        <v>21</v>
      </c>
      <c r="L1290" s="1" t="s">
        <v>21</v>
      </c>
      <c r="M1290" s="1" t="s">
        <v>29</v>
      </c>
      <c r="N1290" s="1" t="s">
        <v>22</v>
      </c>
    </row>
    <row r="1291" spans="1:14" x14ac:dyDescent="0.25">
      <c r="A1291" s="1">
        <v>1290</v>
      </c>
      <c r="B1291" s="2" t="str">
        <f>HYPERLINK("https://leetcode.com/problems/convert-binary-number-in-a-linked-list-to-integer/", "Convert Binary Number in a Linked List to Integer")</f>
        <v>Convert Binary Number in a Linked List to Integer</v>
      </c>
      <c r="C1291" s="1">
        <v>4667</v>
      </c>
      <c r="D1291" s="1">
        <v>177</v>
      </c>
      <c r="E1291" s="3">
        <f>IF(INDEX(C:C, ROW())+INDEX(D:D, ROW())=0, 0, INDEX(C:C, ROW())/(INDEX(C:C, ROW())+INDEX(D:D, ROW())))</f>
        <v>0.9634599504541701</v>
      </c>
      <c r="F1291" s="1" t="s">
        <v>275</v>
      </c>
      <c r="G1291" s="1" t="s">
        <v>20</v>
      </c>
      <c r="H1291" s="1">
        <v>717538</v>
      </c>
      <c r="I1291" s="1">
        <v>871639</v>
      </c>
      <c r="J1291" s="7">
        <v>0.82299999999999995</v>
      </c>
      <c r="K1291" s="1" t="s">
        <v>21</v>
      </c>
      <c r="L1291" s="1" t="s">
        <v>21</v>
      </c>
      <c r="M1291" s="1" t="s">
        <v>29</v>
      </c>
      <c r="N1291" s="1" t="s">
        <v>22</v>
      </c>
    </row>
    <row r="1292" spans="1:14" x14ac:dyDescent="0.25">
      <c r="A1292" s="1">
        <v>1291</v>
      </c>
      <c r="B1292" s="2" t="str">
        <f>HYPERLINK("https://leetcode.com/problems/sequential-digits/", "Sequential Digits")</f>
        <v>Sequential Digits</v>
      </c>
      <c r="C1292" s="1">
        <v>2916</v>
      </c>
      <c r="D1292" s="1">
        <v>178</v>
      </c>
      <c r="E1292" s="3">
        <f>IF(INDEX(C:C, ROW())+INDEX(D:D, ROW())=0, 0, INDEX(C:C, ROW())/(INDEX(C:C, ROW())+INDEX(D:D, ROW())))</f>
        <v>0.94246929541047186</v>
      </c>
      <c r="F1292" s="1" t="s">
        <v>383</v>
      </c>
      <c r="G1292" s="1" t="s">
        <v>24</v>
      </c>
      <c r="H1292" s="1">
        <v>234302</v>
      </c>
      <c r="I1292" s="1">
        <v>358547</v>
      </c>
      <c r="J1292" s="7">
        <v>0.65300000000000002</v>
      </c>
      <c r="K1292" s="1" t="s">
        <v>21</v>
      </c>
      <c r="L1292" s="1" t="s">
        <v>21</v>
      </c>
      <c r="M1292" s="1" t="s">
        <v>29</v>
      </c>
      <c r="N1292" s="1" t="s">
        <v>22</v>
      </c>
    </row>
    <row r="1293" spans="1:14" x14ac:dyDescent="0.25">
      <c r="A1293" s="1">
        <v>1292</v>
      </c>
      <c r="B1293" s="2" t="str">
        <f>HYPERLINK("https://leetcode.com/problems/maximum-side-length-of-a-square-with-sum-less-than-or-equal-to-threshold/", "Maximum Side Length of a Square with Sum Less than or Equal to Threshold")</f>
        <v>Maximum Side Length of a Square with Sum Less than or Equal to Threshold</v>
      </c>
      <c r="C1293" s="1">
        <v>1535</v>
      </c>
      <c r="D1293" s="1">
        <v>124</v>
      </c>
      <c r="E1293" s="3">
        <f>IF(INDEX(C:C, ROW())+INDEX(D:D, ROW())=0, 0, INDEX(C:C, ROW())/(INDEX(C:C, ROW())+INDEX(D:D, ROW())))</f>
        <v>0.92525617842073538</v>
      </c>
      <c r="F1293" s="1" t="s">
        <v>580</v>
      </c>
      <c r="G1293" s="1" t="s">
        <v>24</v>
      </c>
      <c r="H1293" s="1">
        <v>123318</v>
      </c>
      <c r="I1293" s="1">
        <v>188409</v>
      </c>
      <c r="J1293" s="7">
        <v>0.65500000000000003</v>
      </c>
      <c r="K1293" s="1" t="s">
        <v>21</v>
      </c>
      <c r="L1293" s="1" t="s">
        <v>21</v>
      </c>
      <c r="M1293" s="1" t="s">
        <v>29</v>
      </c>
      <c r="N1293" s="1" t="s">
        <v>22</v>
      </c>
    </row>
    <row r="1294" spans="1:14" x14ac:dyDescent="0.25">
      <c r="A1294" s="1">
        <v>1293</v>
      </c>
      <c r="B1294" s="2" t="str">
        <f>HYPERLINK("https://leetcode.com/problems/shortest-path-in-a-grid-with-obstacles-elimination/", "Shortest Path in a Grid with Obstacles Elimination")</f>
        <v>Shortest Path in a Grid with Obstacles Elimination</v>
      </c>
      <c r="C1294" s="1">
        <v>4823</v>
      </c>
      <c r="D1294" s="1">
        <v>90</v>
      </c>
      <c r="E1294" s="3">
        <f>IF(INDEX(C:C, ROW())+INDEX(D:D, ROW())=0, 0, INDEX(C:C, ROW())/(INDEX(C:C, ROW())+INDEX(D:D, ROW())))</f>
        <v>0.98168125381640547</v>
      </c>
      <c r="F1294" s="1" t="s">
        <v>86</v>
      </c>
      <c r="G1294" s="1" t="s">
        <v>28</v>
      </c>
      <c r="H1294" s="1">
        <v>268293</v>
      </c>
      <c r="I1294" s="1">
        <v>582000</v>
      </c>
      <c r="J1294" s="7">
        <v>0.46100000000000002</v>
      </c>
      <c r="K1294" s="1" t="s">
        <v>21</v>
      </c>
      <c r="L1294" s="1" t="s">
        <v>21</v>
      </c>
      <c r="M1294" s="1" t="s">
        <v>29</v>
      </c>
      <c r="N1294" s="1" t="s">
        <v>22</v>
      </c>
    </row>
    <row r="1295" spans="1:14" x14ac:dyDescent="0.25">
      <c r="A1295" s="1">
        <v>1294</v>
      </c>
      <c r="B1295" s="2" t="str">
        <f>HYPERLINK("https://leetcode.com/problems/weather-type-in-each-country/", "Weather Type in Each Country")</f>
        <v>Weather Type in Each Country</v>
      </c>
      <c r="C1295" s="1">
        <v>147</v>
      </c>
      <c r="D1295" s="1">
        <v>30</v>
      </c>
      <c r="E1295" s="3">
        <f>IF(INDEX(C:C, ROW())+INDEX(D:D, ROW())=0, 0, INDEX(C:C, ROW())/(INDEX(C:C, ROW())+INDEX(D:D, ROW())))</f>
        <v>0.83050847457627119</v>
      </c>
      <c r="F1295" s="1" t="s">
        <v>297</v>
      </c>
      <c r="G1295" s="1" t="s">
        <v>20</v>
      </c>
      <c r="H1295" s="1">
        <v>45458</v>
      </c>
      <c r="I1295" s="1">
        <v>67804</v>
      </c>
      <c r="J1295" s="7">
        <v>0.67</v>
      </c>
      <c r="K1295" s="1" t="s">
        <v>29</v>
      </c>
      <c r="L1295" s="1" t="s">
        <v>29</v>
      </c>
      <c r="M1295" s="1" t="s">
        <v>29</v>
      </c>
      <c r="N1295" s="1" t="s">
        <v>297</v>
      </c>
    </row>
    <row r="1296" spans="1:14" x14ac:dyDescent="0.25">
      <c r="A1296" s="1">
        <v>1295</v>
      </c>
      <c r="B1296" s="2" t="str">
        <f>HYPERLINK("https://leetcode.com/problems/find-numbers-with-even-number-of-digits/", "Find Numbers with Even Number of Digits")</f>
        <v>Find Numbers with Even Number of Digits</v>
      </c>
      <c r="C1296" s="1">
        <v>2923</v>
      </c>
      <c r="D1296" s="1">
        <v>149</v>
      </c>
      <c r="E1296" s="3">
        <f>IF(INDEX(C:C, ROW())+INDEX(D:D, ROW())=0, 0, INDEX(C:C, ROW())/(INDEX(C:C, ROW())+INDEX(D:D, ROW())))</f>
        <v>0.95149739583333337</v>
      </c>
      <c r="F1296" s="1" t="s">
        <v>115</v>
      </c>
      <c r="G1296" s="1" t="s">
        <v>20</v>
      </c>
      <c r="H1296" s="1">
        <v>1050432</v>
      </c>
      <c r="I1296" s="1">
        <v>1318861</v>
      </c>
      <c r="J1296" s="7">
        <v>0.79600000000000004</v>
      </c>
      <c r="K1296" s="1" t="s">
        <v>21</v>
      </c>
      <c r="L1296" s="1" t="s">
        <v>21</v>
      </c>
      <c r="M1296" s="1" t="s">
        <v>29</v>
      </c>
      <c r="N1296" s="1" t="s">
        <v>22</v>
      </c>
    </row>
    <row r="1297" spans="1:14" x14ac:dyDescent="0.25">
      <c r="A1297" s="1">
        <v>1296</v>
      </c>
      <c r="B1297" s="2" t="str">
        <f>HYPERLINK("https://leetcode.com/problems/divide-array-in-sets-of-k-consecutive-numbers/", "Divide Array in Sets of K Consecutive Numbers")</f>
        <v>Divide Array in Sets of K Consecutive Numbers</v>
      </c>
      <c r="C1297" s="1">
        <v>1981</v>
      </c>
      <c r="D1297" s="1">
        <v>118</v>
      </c>
      <c r="E1297" s="3">
        <f>IF(INDEX(C:C, ROW())+INDEX(D:D, ROW())=0, 0, INDEX(C:C, ROW())/(INDEX(C:C, ROW())+INDEX(D:D, ROW())))</f>
        <v>0.94378275369223441</v>
      </c>
      <c r="F1297" s="1" t="s">
        <v>333</v>
      </c>
      <c r="G1297" s="1" t="s">
        <v>24</v>
      </c>
      <c r="H1297" s="1">
        <v>125024</v>
      </c>
      <c r="I1297" s="1">
        <v>211545</v>
      </c>
      <c r="J1297" s="7">
        <v>0.59099999999999997</v>
      </c>
      <c r="K1297" s="1" t="s">
        <v>21</v>
      </c>
      <c r="L1297" s="1" t="s">
        <v>29</v>
      </c>
      <c r="M1297" s="1" t="s">
        <v>29</v>
      </c>
      <c r="N1297" s="1" t="s">
        <v>22</v>
      </c>
    </row>
    <row r="1298" spans="1:14" x14ac:dyDescent="0.25">
      <c r="A1298" s="1">
        <v>1297</v>
      </c>
      <c r="B1298" s="2" t="str">
        <f>HYPERLINK("https://leetcode.com/problems/maximum-number-of-occurrences-of-a-substring/", "Maximum Number of Occurrences of a Substring")</f>
        <v>Maximum Number of Occurrences of a Substring</v>
      </c>
      <c r="C1298" s="1">
        <v>1234</v>
      </c>
      <c r="D1298" s="1">
        <v>426</v>
      </c>
      <c r="E1298" s="3">
        <f>IF(INDEX(C:C, ROW())+INDEX(D:D, ROW())=0, 0, INDEX(C:C, ROW())/(INDEX(C:C, ROW())+INDEX(D:D, ROW())))</f>
        <v>0.74337349397590358</v>
      </c>
      <c r="F1298" s="1" t="s">
        <v>23</v>
      </c>
      <c r="G1298" s="1" t="s">
        <v>24</v>
      </c>
      <c r="H1298" s="1">
        <v>82191</v>
      </c>
      <c r="I1298" s="1">
        <v>151463</v>
      </c>
      <c r="J1298" s="7">
        <v>0.54300000000000004</v>
      </c>
      <c r="K1298" s="1" t="s">
        <v>21</v>
      </c>
      <c r="L1298" s="1" t="s">
        <v>29</v>
      </c>
      <c r="M1298" s="1" t="s">
        <v>29</v>
      </c>
      <c r="N1298" s="1" t="s">
        <v>22</v>
      </c>
    </row>
    <row r="1299" spans="1:14" x14ac:dyDescent="0.25">
      <c r="A1299" s="1">
        <v>1298</v>
      </c>
      <c r="B1299" s="2" t="str">
        <f>HYPERLINK("https://leetcode.com/problems/maximum-candies-you-can-get-from-boxes/", "Maximum Candies You Can Get from Boxes")</f>
        <v>Maximum Candies You Can Get from Boxes</v>
      </c>
      <c r="C1299" s="1">
        <v>771</v>
      </c>
      <c r="D1299" s="1">
        <v>225</v>
      </c>
      <c r="E1299" s="3">
        <f>IF(INDEX(C:C, ROW())+INDEX(D:D, ROW())=0, 0, INDEX(C:C, ROW())/(INDEX(C:C, ROW())+INDEX(D:D, ROW())))</f>
        <v>0.77409638554216864</v>
      </c>
      <c r="F1299" s="1" t="s">
        <v>774</v>
      </c>
      <c r="G1299" s="1" t="s">
        <v>28</v>
      </c>
      <c r="H1299" s="1">
        <v>104644</v>
      </c>
      <c r="I1299" s="1">
        <v>154172</v>
      </c>
      <c r="J1299" s="7">
        <v>0.67900000000000005</v>
      </c>
      <c r="K1299" s="1" t="s">
        <v>21</v>
      </c>
      <c r="L1299" s="1" t="s">
        <v>21</v>
      </c>
      <c r="M1299" s="1" t="s">
        <v>29</v>
      </c>
      <c r="N1299" s="1" t="s">
        <v>22</v>
      </c>
    </row>
    <row r="1300" spans="1:14" x14ac:dyDescent="0.25">
      <c r="A1300" s="1">
        <v>1299</v>
      </c>
      <c r="B1300" s="2" t="str">
        <f>HYPERLINK("https://leetcode.com/problems/replace-elements-with-greatest-element-on-right-side/", "Replace Elements with Greatest Element on Right Side")</f>
        <v>Replace Elements with Greatest Element on Right Side</v>
      </c>
      <c r="C1300" s="1">
        <v>2841</v>
      </c>
      <c r="D1300" s="1">
        <v>267</v>
      </c>
      <c r="E1300" s="3">
        <f>IF(INDEX(C:C, ROW())+INDEX(D:D, ROW())=0, 0, INDEX(C:C, ROW())/(INDEX(C:C, ROW())+INDEX(D:D, ROW())))</f>
        <v>0.9140926640926641</v>
      </c>
      <c r="F1300" s="1" t="s">
        <v>113</v>
      </c>
      <c r="G1300" s="1" t="s">
        <v>20</v>
      </c>
      <c r="H1300" s="1">
        <v>526714</v>
      </c>
      <c r="I1300" s="1">
        <v>731934</v>
      </c>
      <c r="J1300" s="7">
        <v>0.72</v>
      </c>
      <c r="K1300" s="1" t="s">
        <v>21</v>
      </c>
      <c r="L1300" s="1" t="s">
        <v>29</v>
      </c>
      <c r="M1300" s="1" t="s">
        <v>29</v>
      </c>
      <c r="N1300" s="1" t="s">
        <v>22</v>
      </c>
    </row>
    <row r="1301" spans="1:14" x14ac:dyDescent="0.25">
      <c r="A1301" s="1">
        <v>1300</v>
      </c>
      <c r="B1301" s="2" t="str">
        <f>HYPERLINK("https://leetcode.com/problems/sum-of-mutated-array-closest-to-target/", "Sum of Mutated Array Closest to Target")</f>
        <v>Sum of Mutated Array Closest to Target</v>
      </c>
      <c r="C1301" s="1">
        <v>1204</v>
      </c>
      <c r="D1301" s="1">
        <v>155</v>
      </c>
      <c r="E1301" s="3">
        <f>IF(INDEX(C:C, ROW())+INDEX(D:D, ROW())=0, 0, INDEX(C:C, ROW())/(INDEX(C:C, ROW())+INDEX(D:D, ROW())))</f>
        <v>0.88594554819720384</v>
      </c>
      <c r="F1301" s="1" t="s">
        <v>367</v>
      </c>
      <c r="G1301" s="1" t="s">
        <v>24</v>
      </c>
      <c r="H1301" s="1">
        <v>48643</v>
      </c>
      <c r="I1301" s="1">
        <v>105416</v>
      </c>
      <c r="J1301" s="7">
        <v>0.46100000000000002</v>
      </c>
      <c r="K1301" s="1" t="s">
        <v>21</v>
      </c>
      <c r="L1301" s="1" t="s">
        <v>29</v>
      </c>
      <c r="M1301" s="1" t="s">
        <v>29</v>
      </c>
      <c r="N1301" s="1" t="s">
        <v>22</v>
      </c>
    </row>
    <row r="1302" spans="1:14" x14ac:dyDescent="0.25">
      <c r="A1302" s="1">
        <v>1301</v>
      </c>
      <c r="B1302" s="2" t="str">
        <f>HYPERLINK("https://leetcode.com/problems/number-of-paths-with-max-score/", "Number of Paths with Max Score")</f>
        <v>Number of Paths with Max Score</v>
      </c>
      <c r="C1302" s="1">
        <v>550</v>
      </c>
      <c r="D1302" s="1">
        <v>28</v>
      </c>
      <c r="E1302" s="3">
        <f>IF(INDEX(C:C, ROW())+INDEX(D:D, ROW())=0, 0, INDEX(C:C, ROW())/(INDEX(C:C, ROW())+INDEX(D:D, ROW())))</f>
        <v>0.95155709342560557</v>
      </c>
      <c r="F1302" s="1" t="s">
        <v>94</v>
      </c>
      <c r="G1302" s="1" t="s">
        <v>28</v>
      </c>
      <c r="H1302" s="1">
        <v>18430</v>
      </c>
      <c r="I1302" s="1">
        <v>43882</v>
      </c>
      <c r="J1302" s="7">
        <v>0.42</v>
      </c>
      <c r="K1302" s="1" t="s">
        <v>21</v>
      </c>
      <c r="L1302" s="1" t="s">
        <v>29</v>
      </c>
      <c r="M1302" s="1" t="s">
        <v>29</v>
      </c>
      <c r="N1302" s="1" t="s">
        <v>22</v>
      </c>
    </row>
    <row r="1303" spans="1:14" x14ac:dyDescent="0.25">
      <c r="A1303" s="1">
        <v>1302</v>
      </c>
      <c r="B1303" s="2" t="str">
        <f>HYPERLINK("https://leetcode.com/problems/deepest-leaves-sum/", "Deepest Leaves Sum")</f>
        <v>Deepest Leaves Sum</v>
      </c>
      <c r="C1303" s="1">
        <v>4827</v>
      </c>
      <c r="D1303" s="1">
        <v>126</v>
      </c>
      <c r="E1303" s="3">
        <f>IF(INDEX(C:C, ROW())+INDEX(D:D, ROW())=0, 0, INDEX(C:C, ROW())/(INDEX(C:C, ROW())+INDEX(D:D, ROW())))</f>
        <v>0.97456087219866749</v>
      </c>
      <c r="F1303" s="1" t="s">
        <v>80</v>
      </c>
      <c r="G1303" s="1" t="s">
        <v>24</v>
      </c>
      <c r="H1303" s="1">
        <v>400400</v>
      </c>
      <c r="I1303" s="1">
        <v>462930</v>
      </c>
      <c r="J1303" s="7">
        <v>0.86499999999999999</v>
      </c>
      <c r="K1303" s="1" t="s">
        <v>21</v>
      </c>
      <c r="L1303" s="1" t="s">
        <v>21</v>
      </c>
      <c r="M1303" s="1" t="s">
        <v>29</v>
      </c>
      <c r="N1303" s="1" t="s">
        <v>22</v>
      </c>
    </row>
    <row r="1304" spans="1:14" x14ac:dyDescent="0.25">
      <c r="A1304" s="1">
        <v>1303</v>
      </c>
      <c r="B1304" s="2" t="str">
        <f>HYPERLINK("https://leetcode.com/problems/find-the-team-size/", "Find the Team Size")</f>
        <v>Find the Team Size</v>
      </c>
      <c r="C1304" s="1">
        <v>343</v>
      </c>
      <c r="D1304" s="1">
        <v>16</v>
      </c>
      <c r="E1304" s="3">
        <f>IF(INDEX(C:C, ROW())+INDEX(D:D, ROW())=0, 0, INDEX(C:C, ROW())/(INDEX(C:C, ROW())+INDEX(D:D, ROW())))</f>
        <v>0.95543175487465182</v>
      </c>
      <c r="F1304" s="1" t="s">
        <v>297</v>
      </c>
      <c r="G1304" s="1" t="s">
        <v>20</v>
      </c>
      <c r="H1304" s="1">
        <v>81019</v>
      </c>
      <c r="I1304" s="1">
        <v>90451</v>
      </c>
      <c r="J1304" s="7">
        <v>0.89600000000000002</v>
      </c>
      <c r="K1304" s="1" t="s">
        <v>29</v>
      </c>
      <c r="L1304" s="1" t="s">
        <v>29</v>
      </c>
      <c r="M1304" s="1" t="s">
        <v>29</v>
      </c>
      <c r="N1304" s="1" t="s">
        <v>297</v>
      </c>
    </row>
    <row r="1305" spans="1:14" x14ac:dyDescent="0.25">
      <c r="A1305" s="1">
        <v>1304</v>
      </c>
      <c r="B1305" s="2" t="str">
        <f>HYPERLINK("https://leetcode.com/problems/find-n-unique-integers-sum-up-to-zero/", "Find N Unique Integers Sum up to Zero")</f>
        <v>Find N Unique Integers Sum up to Zero</v>
      </c>
      <c r="C1305" s="1">
        <v>2483</v>
      </c>
      <c r="D1305" s="1">
        <v>620</v>
      </c>
      <c r="E1305" s="3">
        <f>IF(INDEX(C:C, ROW())+INDEX(D:D, ROW())=0, 0, INDEX(C:C, ROW())/(INDEX(C:C, ROW())+INDEX(D:D, ROW())))</f>
        <v>0.80019336126329355</v>
      </c>
      <c r="F1305" s="1" t="s">
        <v>115</v>
      </c>
      <c r="G1305" s="1" t="s">
        <v>20</v>
      </c>
      <c r="H1305" s="1">
        <v>394808</v>
      </c>
      <c r="I1305" s="1">
        <v>503125</v>
      </c>
      <c r="J1305" s="7">
        <v>0.78500000000000003</v>
      </c>
      <c r="K1305" s="1" t="s">
        <v>21</v>
      </c>
      <c r="L1305" s="1" t="s">
        <v>21</v>
      </c>
      <c r="M1305" s="1" t="s">
        <v>29</v>
      </c>
      <c r="N1305" s="1" t="s">
        <v>22</v>
      </c>
    </row>
    <row r="1306" spans="1:14" x14ac:dyDescent="0.25">
      <c r="A1306" s="1">
        <v>1305</v>
      </c>
      <c r="B1306" s="2" t="str">
        <f>HYPERLINK("https://leetcode.com/problems/all-elements-in-two-binary-search-trees/", "All Elements in Two Binary Search Trees")</f>
        <v>All Elements in Two Binary Search Trees</v>
      </c>
      <c r="C1306" s="1">
        <v>3186</v>
      </c>
      <c r="D1306" s="1">
        <v>99</v>
      </c>
      <c r="E1306" s="3">
        <f>IF(INDEX(C:C, ROW())+INDEX(D:D, ROW())=0, 0, INDEX(C:C, ROW())/(INDEX(C:C, ROW())+INDEX(D:D, ROW())))</f>
        <v>0.96986301369863015</v>
      </c>
      <c r="F1306" s="1" t="s">
        <v>366</v>
      </c>
      <c r="G1306" s="1" t="s">
        <v>24</v>
      </c>
      <c r="H1306" s="1">
        <v>259085</v>
      </c>
      <c r="I1306" s="1">
        <v>322990</v>
      </c>
      <c r="J1306" s="7">
        <v>0.80200000000000005</v>
      </c>
      <c r="K1306" s="1" t="s">
        <v>21</v>
      </c>
      <c r="L1306" s="1" t="s">
        <v>21</v>
      </c>
      <c r="M1306" s="1" t="s">
        <v>29</v>
      </c>
      <c r="N1306" s="1" t="s">
        <v>22</v>
      </c>
    </row>
    <row r="1307" spans="1:14" x14ac:dyDescent="0.25">
      <c r="A1307" s="1">
        <v>1306</v>
      </c>
      <c r="B1307" s="2" t="str">
        <f>HYPERLINK("https://leetcode.com/problems/jump-game-iii/", "Jump Game III")</f>
        <v>Jump Game III</v>
      </c>
      <c r="C1307" s="1">
        <v>4329</v>
      </c>
      <c r="D1307" s="1">
        <v>117</v>
      </c>
      <c r="E1307" s="3">
        <f>IF(INDEX(C:C, ROW())+INDEX(D:D, ROW())=0, 0, INDEX(C:C, ROW())/(INDEX(C:C, ROW())+INDEX(D:D, ROW())))</f>
        <v>0.97368421052631582</v>
      </c>
      <c r="F1307" s="1" t="s">
        <v>293</v>
      </c>
      <c r="G1307" s="1" t="s">
        <v>24</v>
      </c>
      <c r="H1307" s="1">
        <v>295015</v>
      </c>
      <c r="I1307" s="1">
        <v>442421</v>
      </c>
      <c r="J1307" s="7">
        <v>0.66700000000000004</v>
      </c>
      <c r="K1307" s="1" t="s">
        <v>21</v>
      </c>
      <c r="L1307" s="1" t="s">
        <v>21</v>
      </c>
      <c r="M1307" s="1" t="s">
        <v>21</v>
      </c>
      <c r="N1307" s="1" t="s">
        <v>22</v>
      </c>
    </row>
    <row r="1308" spans="1:14" x14ac:dyDescent="0.25">
      <c r="A1308" s="1">
        <v>1307</v>
      </c>
      <c r="B1308" s="2" t="str">
        <f>HYPERLINK("https://leetcode.com/problems/verbal-arithmetic-puzzle/", "Verbal Arithmetic Puzzle")</f>
        <v>Verbal Arithmetic Puzzle</v>
      </c>
      <c r="C1308" s="1">
        <v>527</v>
      </c>
      <c r="D1308" s="1">
        <v>138</v>
      </c>
      <c r="E1308" s="3">
        <f>IF(INDEX(C:C, ROW())+INDEX(D:D, ROW())=0, 0, INDEX(C:C, ROW())/(INDEX(C:C, ROW())+INDEX(D:D, ROW())))</f>
        <v>0.79248120300751879</v>
      </c>
      <c r="F1308" s="1" t="s">
        <v>897</v>
      </c>
      <c r="G1308" s="1" t="s">
        <v>28</v>
      </c>
      <c r="H1308" s="1">
        <v>17381</v>
      </c>
      <c r="I1308" s="1">
        <v>49827</v>
      </c>
      <c r="J1308" s="7">
        <v>0.34899999999999998</v>
      </c>
      <c r="K1308" s="1" t="s">
        <v>21</v>
      </c>
      <c r="L1308" s="1" t="s">
        <v>29</v>
      </c>
      <c r="M1308" s="1" t="s">
        <v>29</v>
      </c>
      <c r="N1308" s="1" t="s">
        <v>22</v>
      </c>
    </row>
    <row r="1309" spans="1:14" x14ac:dyDescent="0.25">
      <c r="A1309" s="1">
        <v>1308</v>
      </c>
      <c r="B1309" s="2" t="str">
        <f>HYPERLINK("https://leetcode.com/problems/running-total-for-different-genders/", "Running Total for Different Genders")</f>
        <v>Running Total for Different Genders</v>
      </c>
      <c r="C1309" s="1">
        <v>224</v>
      </c>
      <c r="D1309" s="1">
        <v>70</v>
      </c>
      <c r="E1309" s="3">
        <f>IF(INDEX(C:C, ROW())+INDEX(D:D, ROW())=0, 0, INDEX(C:C, ROW())/(INDEX(C:C, ROW())+INDEX(D:D, ROW())))</f>
        <v>0.76190476190476186</v>
      </c>
      <c r="F1309" s="1" t="s">
        <v>297</v>
      </c>
      <c r="G1309" s="1" t="s">
        <v>24</v>
      </c>
      <c r="H1309" s="1">
        <v>46982</v>
      </c>
      <c r="I1309" s="1">
        <v>54511</v>
      </c>
      <c r="J1309" s="7">
        <v>0.86199999999999999</v>
      </c>
      <c r="K1309" s="1" t="s">
        <v>29</v>
      </c>
      <c r="L1309" s="1" t="s">
        <v>29</v>
      </c>
      <c r="M1309" s="1" t="s">
        <v>29</v>
      </c>
      <c r="N1309" s="1" t="s">
        <v>297</v>
      </c>
    </row>
    <row r="1310" spans="1:14" x14ac:dyDescent="0.25">
      <c r="A1310" s="1">
        <v>1309</v>
      </c>
      <c r="B1310" s="2" t="str">
        <f>HYPERLINK("https://leetcode.com/problems/decrypt-string-from-alphabet-to-integer-mapping/", "Decrypt String from Alphabet to Integer Mapping")</f>
        <v>Decrypt String from Alphabet to Integer Mapping</v>
      </c>
      <c r="C1310" s="1">
        <v>1606</v>
      </c>
      <c r="D1310" s="1">
        <v>120</v>
      </c>
      <c r="E1310" s="3">
        <f>IF(INDEX(C:C, ROW())+INDEX(D:D, ROW())=0, 0, INDEX(C:C, ROW())/(INDEX(C:C, ROW())+INDEX(D:D, ROW())))</f>
        <v>0.93047508690614134</v>
      </c>
      <c r="F1310" s="1" t="s">
        <v>146</v>
      </c>
      <c r="G1310" s="1" t="s">
        <v>20</v>
      </c>
      <c r="H1310" s="1">
        <v>147827</v>
      </c>
      <c r="I1310" s="1">
        <v>183537</v>
      </c>
      <c r="J1310" s="7">
        <v>0.80500000000000005</v>
      </c>
      <c r="K1310" s="1" t="s">
        <v>21</v>
      </c>
      <c r="L1310" s="1" t="s">
        <v>29</v>
      </c>
      <c r="M1310" s="1" t="s">
        <v>29</v>
      </c>
      <c r="N1310" s="1" t="s">
        <v>22</v>
      </c>
    </row>
    <row r="1311" spans="1:14" x14ac:dyDescent="0.25">
      <c r="A1311" s="1">
        <v>1310</v>
      </c>
      <c r="B1311" s="2" t="str">
        <f>HYPERLINK("https://leetcode.com/problems/xor-queries-of-a-subarray/", "XOR Queries of a Subarray")</f>
        <v>XOR Queries of a Subarray</v>
      </c>
      <c r="C1311" s="1">
        <v>2089</v>
      </c>
      <c r="D1311" s="1">
        <v>60</v>
      </c>
      <c r="E1311" s="3">
        <f>IF(INDEX(C:C, ROW())+INDEX(D:D, ROW())=0, 0, INDEX(C:C, ROW())/(INDEX(C:C, ROW())+INDEX(D:D, ROW())))</f>
        <v>0.97208003722661707</v>
      </c>
      <c r="F1311" s="1" t="s">
        <v>489</v>
      </c>
      <c r="G1311" s="1" t="s">
        <v>24</v>
      </c>
      <c r="H1311" s="1">
        <v>215378</v>
      </c>
      <c r="I1311" s="1">
        <v>275595</v>
      </c>
      <c r="J1311" s="7">
        <v>0.78200000000000003</v>
      </c>
      <c r="K1311" s="1" t="s">
        <v>21</v>
      </c>
      <c r="L1311" s="1" t="s">
        <v>21</v>
      </c>
      <c r="M1311" s="1" t="s">
        <v>29</v>
      </c>
      <c r="N1311" s="1" t="s">
        <v>22</v>
      </c>
    </row>
    <row r="1312" spans="1:14" x14ac:dyDescent="0.25">
      <c r="A1312" s="1">
        <v>1311</v>
      </c>
      <c r="B1312" s="2" t="str">
        <f>HYPERLINK("https://leetcode.com/problems/get-watched-videos-by-your-friends/", "Get Watched Videos by Your Friends")</f>
        <v>Get Watched Videos by Your Friends</v>
      </c>
      <c r="C1312" s="1">
        <v>482</v>
      </c>
      <c r="D1312" s="1">
        <v>452</v>
      </c>
      <c r="E1312" s="3">
        <f>IF(INDEX(C:C, ROW())+INDEX(D:D, ROW())=0, 0, INDEX(C:C, ROW())/(INDEX(C:C, ROW())+INDEX(D:D, ROW())))</f>
        <v>0.51605995717344755</v>
      </c>
      <c r="F1312" s="1" t="s">
        <v>934</v>
      </c>
      <c r="G1312" s="1" t="s">
        <v>24</v>
      </c>
      <c r="H1312" s="1">
        <v>39634</v>
      </c>
      <c r="I1312" s="1">
        <v>76067</v>
      </c>
      <c r="J1312" s="7">
        <v>0.52100000000000002</v>
      </c>
      <c r="K1312" s="1" t="s">
        <v>21</v>
      </c>
      <c r="L1312" s="1" t="s">
        <v>29</v>
      </c>
      <c r="M1312" s="1" t="s">
        <v>29</v>
      </c>
      <c r="N1312" s="1" t="s">
        <v>22</v>
      </c>
    </row>
    <row r="1313" spans="1:14" x14ac:dyDescent="0.25">
      <c r="A1313" s="1">
        <v>1312</v>
      </c>
      <c r="B1313" s="2" t="str">
        <f>HYPERLINK("https://leetcode.com/problems/minimum-insertion-steps-to-make-a-string-palindrome/", "Minimum Insertion Steps to Make a String Palindrome")</f>
        <v>Minimum Insertion Steps to Make a String Palindrome</v>
      </c>
      <c r="C1313" s="1">
        <v>5557</v>
      </c>
      <c r="D1313" s="1">
        <v>76</v>
      </c>
      <c r="E1313" s="3">
        <f>IF(INDEX(C:C, ROW())+INDEX(D:D, ROW())=0, 0, INDEX(C:C, ROW())/(INDEX(C:C, ROW())+INDEX(D:D, ROW())))</f>
        <v>0.98650807740102964</v>
      </c>
      <c r="F1313" s="1" t="s">
        <v>82</v>
      </c>
      <c r="G1313" s="1" t="s">
        <v>28</v>
      </c>
      <c r="H1313" s="1">
        <v>298829</v>
      </c>
      <c r="I1313" s="1">
        <v>405738</v>
      </c>
      <c r="J1313" s="7">
        <v>0.73699999999999999</v>
      </c>
      <c r="K1313" s="1" t="s">
        <v>21</v>
      </c>
      <c r="L1313" s="1" t="s">
        <v>21</v>
      </c>
      <c r="M1313" s="1" t="s">
        <v>29</v>
      </c>
      <c r="N1313" s="1" t="s">
        <v>22</v>
      </c>
    </row>
    <row r="1314" spans="1:14" x14ac:dyDescent="0.25">
      <c r="A1314" s="1">
        <v>1313</v>
      </c>
      <c r="B1314" s="2" t="str">
        <f>HYPERLINK("https://leetcode.com/problems/decompress-run-length-encoded-list/", "Decompress Run-Length Encoded List")</f>
        <v>Decompress Run-Length Encoded List</v>
      </c>
      <c r="C1314" s="1">
        <v>1342</v>
      </c>
      <c r="D1314" s="1">
        <v>1325</v>
      </c>
      <c r="E1314" s="3">
        <f>IF(INDEX(C:C, ROW())+INDEX(D:D, ROW())=0, 0, INDEX(C:C, ROW())/(INDEX(C:C, ROW())+INDEX(D:D, ROW())))</f>
        <v>0.50318710161229852</v>
      </c>
      <c r="F1314" s="1" t="s">
        <v>113</v>
      </c>
      <c r="G1314" s="1" t="s">
        <v>20</v>
      </c>
      <c r="H1314" s="1">
        <v>304479</v>
      </c>
      <c r="I1314" s="1">
        <v>353267</v>
      </c>
      <c r="J1314" s="7">
        <v>0.86199999999999999</v>
      </c>
      <c r="K1314" s="1" t="s">
        <v>21</v>
      </c>
      <c r="L1314" s="1" t="s">
        <v>29</v>
      </c>
      <c r="M1314" s="1" t="s">
        <v>29</v>
      </c>
      <c r="N1314" s="1" t="s">
        <v>22</v>
      </c>
    </row>
    <row r="1315" spans="1:14" x14ac:dyDescent="0.25">
      <c r="A1315" s="1">
        <v>1314</v>
      </c>
      <c r="B1315" s="2" t="str">
        <f>HYPERLINK("https://leetcode.com/problems/matrix-block-sum/", "Matrix Block Sum")</f>
        <v>Matrix Block Sum</v>
      </c>
      <c r="C1315" s="1">
        <v>2501</v>
      </c>
      <c r="D1315" s="1">
        <v>400</v>
      </c>
      <c r="E1315" s="3">
        <f>IF(INDEX(C:C, ROW())+INDEX(D:D, ROW())=0, 0, INDEX(C:C, ROW())/(INDEX(C:C, ROW())+INDEX(D:D, ROW())))</f>
        <v>0.86211651154774216</v>
      </c>
      <c r="F1315" s="1" t="s">
        <v>425</v>
      </c>
      <c r="G1315" s="1" t="s">
        <v>24</v>
      </c>
      <c r="H1315" s="1">
        <v>108379</v>
      </c>
      <c r="I1315" s="1">
        <v>141875</v>
      </c>
      <c r="J1315" s="7">
        <v>0.76400000000000001</v>
      </c>
      <c r="K1315" s="1" t="s">
        <v>21</v>
      </c>
      <c r="L1315" s="1" t="s">
        <v>29</v>
      </c>
      <c r="M1315" s="1" t="s">
        <v>29</v>
      </c>
      <c r="N1315" s="1" t="s">
        <v>22</v>
      </c>
    </row>
    <row r="1316" spans="1:14" x14ac:dyDescent="0.25">
      <c r="A1316" s="1">
        <v>1315</v>
      </c>
      <c r="B1316" s="2" t="str">
        <f>HYPERLINK("https://leetcode.com/problems/sum-of-nodes-with-even-valued-grandparent/", "Sum of Nodes with Even-Valued Grandparent")</f>
        <v>Sum of Nodes with Even-Valued Grandparent</v>
      </c>
      <c r="C1316" s="1">
        <v>2825</v>
      </c>
      <c r="D1316" s="1">
        <v>79</v>
      </c>
      <c r="E1316" s="3">
        <f>IF(INDEX(C:C, ROW())+INDEX(D:D, ROW())=0, 0, INDEX(C:C, ROW())/(INDEX(C:C, ROW())+INDEX(D:D, ROW())))</f>
        <v>0.97279614325068875</v>
      </c>
      <c r="F1316" s="1" t="s">
        <v>80</v>
      </c>
      <c r="G1316" s="1" t="s">
        <v>24</v>
      </c>
      <c r="H1316" s="1">
        <v>182347</v>
      </c>
      <c r="I1316" s="1">
        <v>212245</v>
      </c>
      <c r="J1316" s="7">
        <v>0.85899999999999999</v>
      </c>
      <c r="K1316" s="1" t="s">
        <v>21</v>
      </c>
      <c r="L1316" s="1" t="s">
        <v>21</v>
      </c>
      <c r="M1316" s="1" t="s">
        <v>29</v>
      </c>
      <c r="N1316" s="1" t="s">
        <v>22</v>
      </c>
    </row>
    <row r="1317" spans="1:14" x14ac:dyDescent="0.25">
      <c r="A1317" s="1">
        <v>1316</v>
      </c>
      <c r="B1317" s="2" t="str">
        <f>HYPERLINK("https://leetcode.com/problems/distinct-echo-substrings/", "Distinct Echo Substrings")</f>
        <v>Distinct Echo Substrings</v>
      </c>
      <c r="C1317" s="1">
        <v>337</v>
      </c>
      <c r="D1317" s="1">
        <v>208</v>
      </c>
      <c r="E1317" s="3">
        <f>IF(INDEX(C:C, ROW())+INDEX(D:D, ROW())=0, 0, INDEX(C:C, ROW())/(INDEX(C:C, ROW())+INDEX(D:D, ROW())))</f>
        <v>0.61834862385321099</v>
      </c>
      <c r="F1317" s="1" t="s">
        <v>1028</v>
      </c>
      <c r="G1317" s="1" t="s">
        <v>28</v>
      </c>
      <c r="H1317" s="1">
        <v>21776</v>
      </c>
      <c r="I1317" s="1">
        <v>41127</v>
      </c>
      <c r="J1317" s="7">
        <v>0.52900000000000003</v>
      </c>
      <c r="K1317" s="1" t="s">
        <v>21</v>
      </c>
      <c r="L1317" s="1" t="s">
        <v>29</v>
      </c>
      <c r="M1317" s="1" t="s">
        <v>29</v>
      </c>
      <c r="N1317" s="1" t="s">
        <v>22</v>
      </c>
    </row>
    <row r="1318" spans="1:14" x14ac:dyDescent="0.25">
      <c r="A1318" s="1">
        <v>1317</v>
      </c>
      <c r="B1318" s="2" t="str">
        <f>HYPERLINK("https://leetcode.com/problems/convert-integer-to-the-sum-of-two-no-zero-integers/", "Convert Integer to the Sum of Two No-Zero Integers")</f>
        <v>Convert Integer to the Sum of Two No-Zero Integers</v>
      </c>
      <c r="C1318" s="1">
        <v>861</v>
      </c>
      <c r="D1318" s="1">
        <v>370</v>
      </c>
      <c r="E1318" s="3">
        <f>IF(INDEX(C:C, ROW())+INDEX(D:D, ROW())=0, 0, INDEX(C:C, ROW())/(INDEX(C:C, ROW())+INDEX(D:D, ROW())))</f>
        <v>0.6994313566206336</v>
      </c>
      <c r="F1318" s="1" t="s">
        <v>84</v>
      </c>
      <c r="G1318" s="1" t="s">
        <v>20</v>
      </c>
      <c r="H1318" s="1">
        <v>206644</v>
      </c>
      <c r="I1318" s="1">
        <v>349481</v>
      </c>
      <c r="J1318" s="7">
        <v>0.59099999999999997</v>
      </c>
      <c r="K1318" s="1" t="s">
        <v>21</v>
      </c>
      <c r="L1318" s="1" t="s">
        <v>21</v>
      </c>
      <c r="M1318" s="1" t="s">
        <v>29</v>
      </c>
      <c r="N1318" s="1" t="s">
        <v>22</v>
      </c>
    </row>
    <row r="1319" spans="1:14" x14ac:dyDescent="0.25">
      <c r="A1319" s="1">
        <v>1318</v>
      </c>
      <c r="B1319" s="2" t="str">
        <f>HYPERLINK("https://leetcode.com/problems/minimum-flips-to-make-a-or-b-equal-to-c/", "Minimum Flips to Make a OR b Equal to c")</f>
        <v>Minimum Flips to Make a OR b Equal to c</v>
      </c>
      <c r="C1319" s="1">
        <v>2133</v>
      </c>
      <c r="D1319" s="1">
        <v>111</v>
      </c>
      <c r="E1319" s="3">
        <f>IF(INDEX(C:C, ROW())+INDEX(D:D, ROW())=0, 0, INDEX(C:C, ROW())/(INDEX(C:C, ROW())+INDEX(D:D, ROW())))</f>
        <v>0.95053475935828879</v>
      </c>
      <c r="F1319" s="1" t="s">
        <v>298</v>
      </c>
      <c r="G1319" s="1" t="s">
        <v>24</v>
      </c>
      <c r="H1319" s="1">
        <v>193221</v>
      </c>
      <c r="I1319" s="1">
        <v>268676</v>
      </c>
      <c r="J1319" s="7">
        <v>0.71899999999999997</v>
      </c>
      <c r="K1319" s="1" t="s">
        <v>21</v>
      </c>
      <c r="L1319" s="1" t="s">
        <v>21</v>
      </c>
      <c r="M1319" s="1" t="s">
        <v>29</v>
      </c>
      <c r="N1319" s="1" t="s">
        <v>22</v>
      </c>
    </row>
    <row r="1320" spans="1:14" x14ac:dyDescent="0.25">
      <c r="A1320" s="1">
        <v>1319</v>
      </c>
      <c r="B1320" s="2" t="str">
        <f>HYPERLINK("https://leetcode.com/problems/number-of-operations-to-make-network-connected/", "Number of Operations to Make Network Connected")</f>
        <v>Number of Operations to Make Network Connected</v>
      </c>
      <c r="C1320" s="1">
        <v>5569</v>
      </c>
      <c r="D1320" s="1">
        <v>83</v>
      </c>
      <c r="E1320" s="3">
        <f>IF(INDEX(C:C, ROW())+INDEX(D:D, ROW())=0, 0, INDEX(C:C, ROW())/(INDEX(C:C, ROW())+INDEX(D:D, ROW())))</f>
        <v>0.98531493276716209</v>
      </c>
      <c r="F1320" s="1" t="s">
        <v>122</v>
      </c>
      <c r="G1320" s="1" t="s">
        <v>24</v>
      </c>
      <c r="H1320" s="1">
        <v>348170</v>
      </c>
      <c r="I1320" s="1">
        <v>526426</v>
      </c>
      <c r="J1320" s="7">
        <v>0.66100000000000003</v>
      </c>
      <c r="K1320" s="1" t="s">
        <v>21</v>
      </c>
      <c r="L1320" s="1" t="s">
        <v>21</v>
      </c>
      <c r="M1320" s="1" t="s">
        <v>29</v>
      </c>
      <c r="N1320" s="1" t="s">
        <v>22</v>
      </c>
    </row>
    <row r="1321" spans="1:14" x14ac:dyDescent="0.25">
      <c r="A1321" s="1">
        <v>1320</v>
      </c>
      <c r="B1321" s="2" t="str">
        <f>HYPERLINK("https://leetcode.com/problems/minimum-distance-to-type-a-word-using-two-fingers/", "Minimum Distance to Type a Word Using Two Fingers")</f>
        <v>Minimum Distance to Type a Word Using Two Fingers</v>
      </c>
      <c r="C1321" s="1">
        <v>1046</v>
      </c>
      <c r="D1321" s="1">
        <v>39</v>
      </c>
      <c r="E1321" s="3">
        <f>IF(INDEX(C:C, ROW())+INDEX(D:D, ROW())=0, 0, INDEX(C:C, ROW())/(INDEX(C:C, ROW())+INDEX(D:D, ROW())))</f>
        <v>0.96405529953917046</v>
      </c>
      <c r="F1321" s="1" t="s">
        <v>82</v>
      </c>
      <c r="G1321" s="1" t="s">
        <v>28</v>
      </c>
      <c r="H1321" s="1">
        <v>37661</v>
      </c>
      <c r="I1321" s="1">
        <v>63365</v>
      </c>
      <c r="J1321" s="7">
        <v>0.59399999999999997</v>
      </c>
      <c r="K1321" s="1" t="s">
        <v>21</v>
      </c>
      <c r="L1321" s="1" t="s">
        <v>29</v>
      </c>
      <c r="M1321" s="1" t="s">
        <v>29</v>
      </c>
      <c r="N1321" s="1" t="s">
        <v>22</v>
      </c>
    </row>
    <row r="1322" spans="1:14" x14ac:dyDescent="0.25">
      <c r="A1322" s="1">
        <v>1321</v>
      </c>
      <c r="B1322" s="2" t="str">
        <f>HYPERLINK("https://leetcode.com/problems/restaurant-growth/", "Restaurant Growth")</f>
        <v>Restaurant Growth</v>
      </c>
      <c r="C1322" s="1">
        <v>1141</v>
      </c>
      <c r="D1322" s="1">
        <v>380</v>
      </c>
      <c r="E1322" s="3">
        <f>IF(INDEX(C:C, ROW())+INDEX(D:D, ROW())=0, 0, INDEX(C:C, ROW())/(INDEX(C:C, ROW())+INDEX(D:D, ROW())))</f>
        <v>0.75016436554898092</v>
      </c>
      <c r="F1322" s="1" t="s">
        <v>297</v>
      </c>
      <c r="G1322" s="1" t="s">
        <v>24</v>
      </c>
      <c r="H1322" s="1">
        <v>243039</v>
      </c>
      <c r="I1322" s="1">
        <v>417704</v>
      </c>
      <c r="J1322" s="7">
        <v>0.58199999999999996</v>
      </c>
      <c r="K1322" s="1" t="s">
        <v>21</v>
      </c>
      <c r="L1322" s="1" t="s">
        <v>29</v>
      </c>
      <c r="M1322" s="1" t="s">
        <v>29</v>
      </c>
      <c r="N1322" s="1" t="s">
        <v>297</v>
      </c>
    </row>
    <row r="1323" spans="1:14" x14ac:dyDescent="0.25">
      <c r="A1323" s="1">
        <v>1322</v>
      </c>
      <c r="B1323" s="2" t="str">
        <f>HYPERLINK("https://leetcode.com/problems/ads-performance/", "Ads Performance")</f>
        <v>Ads Performance</v>
      </c>
      <c r="C1323" s="1">
        <v>273</v>
      </c>
      <c r="D1323" s="1">
        <v>67</v>
      </c>
      <c r="E1323" s="3">
        <f>IF(INDEX(C:C, ROW())+INDEX(D:D, ROW())=0, 0, INDEX(C:C, ROW())/(INDEX(C:C, ROW())+INDEX(D:D, ROW())))</f>
        <v>0.80294117647058827</v>
      </c>
      <c r="F1323" s="1" t="s">
        <v>297</v>
      </c>
      <c r="G1323" s="1" t="s">
        <v>20</v>
      </c>
      <c r="H1323" s="1">
        <v>52362</v>
      </c>
      <c r="I1323" s="1">
        <v>89194</v>
      </c>
      <c r="J1323" s="7">
        <v>0.58699999999999997</v>
      </c>
      <c r="K1323" s="1" t="s">
        <v>29</v>
      </c>
      <c r="L1323" s="1" t="s">
        <v>21</v>
      </c>
      <c r="M1323" s="1" t="s">
        <v>29</v>
      </c>
      <c r="N1323" s="1" t="s">
        <v>297</v>
      </c>
    </row>
    <row r="1324" spans="1:14" x14ac:dyDescent="0.25">
      <c r="A1324" s="1">
        <v>1323</v>
      </c>
      <c r="B1324" s="2" t="str">
        <f>HYPERLINK("https://leetcode.com/problems/maximum-69-number/", "Maximum 69 Number")</f>
        <v>Maximum 69 Number</v>
      </c>
      <c r="C1324" s="1">
        <v>3304</v>
      </c>
      <c r="D1324" s="1">
        <v>240</v>
      </c>
      <c r="E1324" s="3">
        <f>IF(INDEX(C:C, ROW())+INDEX(D:D, ROW())=0, 0, INDEX(C:C, ROW())/(INDEX(C:C, ROW())+INDEX(D:D, ROW())))</f>
        <v>0.93227990970654628</v>
      </c>
      <c r="F1324" s="1" t="s">
        <v>296</v>
      </c>
      <c r="G1324" s="1" t="s">
        <v>20</v>
      </c>
      <c r="H1324" s="1">
        <v>482291</v>
      </c>
      <c r="I1324" s="1">
        <v>570678</v>
      </c>
      <c r="J1324" s="7">
        <v>0.84499999999999997</v>
      </c>
      <c r="K1324" s="1" t="s">
        <v>21</v>
      </c>
      <c r="L1324" s="1" t="s">
        <v>21</v>
      </c>
      <c r="M1324" s="1" t="s">
        <v>29</v>
      </c>
      <c r="N1324" s="1" t="s">
        <v>22</v>
      </c>
    </row>
    <row r="1325" spans="1:14" x14ac:dyDescent="0.25">
      <c r="A1325" s="1">
        <v>1324</v>
      </c>
      <c r="B1325" s="2" t="str">
        <f>HYPERLINK("https://leetcode.com/problems/print-words-vertically/", "Print Words Vertically")</f>
        <v>Print Words Vertically</v>
      </c>
      <c r="C1325" s="1">
        <v>823</v>
      </c>
      <c r="D1325" s="1">
        <v>121</v>
      </c>
      <c r="E1325" s="3">
        <f>IF(INDEX(C:C, ROW())+INDEX(D:D, ROW())=0, 0, INDEX(C:C, ROW())/(INDEX(C:C, ROW())+INDEX(D:D, ROW())))</f>
        <v>0.87182203389830504</v>
      </c>
      <c r="F1325" s="1" t="s">
        <v>285</v>
      </c>
      <c r="G1325" s="1" t="s">
        <v>24</v>
      </c>
      <c r="H1325" s="1">
        <v>51653</v>
      </c>
      <c r="I1325" s="1">
        <v>76648</v>
      </c>
      <c r="J1325" s="7">
        <v>0.67400000000000004</v>
      </c>
      <c r="K1325" s="1" t="s">
        <v>21</v>
      </c>
      <c r="L1325" s="1" t="s">
        <v>29</v>
      </c>
      <c r="M1325" s="1" t="s">
        <v>29</v>
      </c>
      <c r="N1325" s="1" t="s">
        <v>22</v>
      </c>
    </row>
    <row r="1326" spans="1:14" x14ac:dyDescent="0.25">
      <c r="A1326" s="1">
        <v>1325</v>
      </c>
      <c r="B1326" s="2" t="str">
        <f>HYPERLINK("https://leetcode.com/problems/delete-leaves-with-a-given-value/", "Delete Leaves With a Given Value")</f>
        <v>Delete Leaves With a Given Value</v>
      </c>
      <c r="C1326" s="1">
        <v>2891</v>
      </c>
      <c r="D1326" s="1">
        <v>59</v>
      </c>
      <c r="E1326" s="3">
        <f>IF(INDEX(C:C, ROW())+INDEX(D:D, ROW())=0, 0, INDEX(C:C, ROW())/(INDEX(C:C, ROW())+INDEX(D:D, ROW())))</f>
        <v>0.98</v>
      </c>
      <c r="F1326" s="1" t="s">
        <v>67</v>
      </c>
      <c r="G1326" s="1" t="s">
        <v>24</v>
      </c>
      <c r="H1326" s="1">
        <v>252934</v>
      </c>
      <c r="I1326" s="1">
        <v>327409</v>
      </c>
      <c r="J1326" s="7">
        <v>0.77300000000000002</v>
      </c>
      <c r="K1326" s="1" t="s">
        <v>21</v>
      </c>
      <c r="L1326" s="1" t="s">
        <v>21</v>
      </c>
      <c r="M1326" s="1" t="s">
        <v>29</v>
      </c>
      <c r="N1326" s="1" t="s">
        <v>22</v>
      </c>
    </row>
    <row r="1327" spans="1:14" x14ac:dyDescent="0.25">
      <c r="A1327" s="1">
        <v>1326</v>
      </c>
      <c r="B1327" s="2" t="str">
        <f>HYPERLINK("https://leetcode.com/problems/minimum-number-of-taps-to-open-to-water-a-garden/", "Minimum Number of Taps to Open to Water a Garden")</f>
        <v>Minimum Number of Taps to Open to Water a Garden</v>
      </c>
      <c r="C1327" s="1">
        <v>3616</v>
      </c>
      <c r="D1327" s="1">
        <v>197</v>
      </c>
      <c r="E1327" s="3">
        <f>IF(INDEX(C:C, ROW())+INDEX(D:D, ROW())=0, 0, INDEX(C:C, ROW())/(INDEX(C:C, ROW())+INDEX(D:D, ROW())))</f>
        <v>0.94833464463676898</v>
      </c>
      <c r="F1327" s="1" t="s">
        <v>50</v>
      </c>
      <c r="G1327" s="1" t="s">
        <v>28</v>
      </c>
      <c r="H1327" s="1">
        <v>158014</v>
      </c>
      <c r="I1327" s="1">
        <v>310082</v>
      </c>
      <c r="J1327" s="7">
        <v>0.51</v>
      </c>
      <c r="K1327" s="1" t="s">
        <v>21</v>
      </c>
      <c r="L1327" s="1" t="s">
        <v>21</v>
      </c>
      <c r="M1327" s="1" t="s">
        <v>29</v>
      </c>
      <c r="N1327" s="1" t="s">
        <v>22</v>
      </c>
    </row>
    <row r="1328" spans="1:14" x14ac:dyDescent="0.25">
      <c r="A1328" s="1">
        <v>1327</v>
      </c>
      <c r="B1328" s="2" t="str">
        <f>HYPERLINK("https://leetcode.com/problems/list-the-products-ordered-in-a-period/", "List the Products Ordered in a Period")</f>
        <v>List the Products Ordered in a Period</v>
      </c>
      <c r="C1328" s="1">
        <v>566</v>
      </c>
      <c r="D1328" s="1">
        <v>47</v>
      </c>
      <c r="E1328" s="3">
        <f>IF(INDEX(C:C, ROW())+INDEX(D:D, ROW())=0, 0, INDEX(C:C, ROW())/(INDEX(C:C, ROW())+INDEX(D:D, ROW())))</f>
        <v>0.92332789559543227</v>
      </c>
      <c r="F1328" s="1" t="s">
        <v>297</v>
      </c>
      <c r="G1328" s="1" t="s">
        <v>20</v>
      </c>
      <c r="H1328" s="1">
        <v>300808</v>
      </c>
      <c r="I1328" s="1">
        <v>419787</v>
      </c>
      <c r="J1328" s="7">
        <v>0.71699999999999997</v>
      </c>
      <c r="K1328" s="1" t="s">
        <v>21</v>
      </c>
      <c r="L1328" s="1" t="s">
        <v>29</v>
      </c>
      <c r="M1328" s="1" t="s">
        <v>29</v>
      </c>
      <c r="N1328" s="1" t="s">
        <v>297</v>
      </c>
    </row>
    <row r="1329" spans="1:14" x14ac:dyDescent="0.25">
      <c r="A1329" s="1">
        <v>1328</v>
      </c>
      <c r="B1329" s="2" t="str">
        <f>HYPERLINK("https://leetcode.com/problems/break-a-palindrome/", "Break a Palindrome")</f>
        <v>Break a Palindrome</v>
      </c>
      <c r="C1329" s="1">
        <v>2436</v>
      </c>
      <c r="D1329" s="1">
        <v>754</v>
      </c>
      <c r="E1329" s="3">
        <f>IF(INDEX(C:C, ROW())+INDEX(D:D, ROW())=0, 0, INDEX(C:C, ROW())/(INDEX(C:C, ROW())+INDEX(D:D, ROW())))</f>
        <v>0.76363636363636367</v>
      </c>
      <c r="F1329" s="1" t="s">
        <v>424</v>
      </c>
      <c r="G1329" s="1" t="s">
        <v>24</v>
      </c>
      <c r="H1329" s="1">
        <v>194693</v>
      </c>
      <c r="I1329" s="1">
        <v>377449</v>
      </c>
      <c r="J1329" s="7">
        <v>0.51600000000000001</v>
      </c>
      <c r="K1329" s="1" t="s">
        <v>21</v>
      </c>
      <c r="L1329" s="1" t="s">
        <v>21</v>
      </c>
      <c r="M1329" s="1" t="s">
        <v>29</v>
      </c>
      <c r="N1329" s="1" t="s">
        <v>22</v>
      </c>
    </row>
    <row r="1330" spans="1:14" x14ac:dyDescent="0.25">
      <c r="A1330" s="1">
        <v>1329</v>
      </c>
      <c r="B1330" s="2" t="str">
        <f>HYPERLINK("https://leetcode.com/problems/sort-the-matrix-diagonally/", "Sort the Matrix Diagonally")</f>
        <v>Sort the Matrix Diagonally</v>
      </c>
      <c r="C1330" s="1">
        <v>3569</v>
      </c>
      <c r="D1330" s="1">
        <v>239</v>
      </c>
      <c r="E1330" s="3">
        <f>IF(INDEX(C:C, ROW())+INDEX(D:D, ROW())=0, 0, INDEX(C:C, ROW())/(INDEX(C:C, ROW())+INDEX(D:D, ROW())))</f>
        <v>0.93723739495798319</v>
      </c>
      <c r="F1330" s="1" t="s">
        <v>343</v>
      </c>
      <c r="G1330" s="1" t="s">
        <v>24</v>
      </c>
      <c r="H1330" s="1">
        <v>194984</v>
      </c>
      <c r="I1330" s="1">
        <v>234468</v>
      </c>
      <c r="J1330" s="7">
        <v>0.83199999999999996</v>
      </c>
      <c r="K1330" s="1" t="s">
        <v>21</v>
      </c>
      <c r="L1330" s="1" t="s">
        <v>21</v>
      </c>
      <c r="M1330" s="1" t="s">
        <v>21</v>
      </c>
      <c r="N1330" s="1" t="s">
        <v>22</v>
      </c>
    </row>
    <row r="1331" spans="1:14" x14ac:dyDescent="0.25">
      <c r="A1331" s="1">
        <v>1330</v>
      </c>
      <c r="B1331" s="2" t="str">
        <f>HYPERLINK("https://leetcode.com/problems/reverse-subarray-to-maximize-array-value/", "Reverse Subarray To Maximize Array Value")</f>
        <v>Reverse Subarray To Maximize Array Value</v>
      </c>
      <c r="C1331" s="1">
        <v>493</v>
      </c>
      <c r="D1331" s="1">
        <v>61</v>
      </c>
      <c r="E1331" s="3">
        <f>IF(INDEX(C:C, ROW())+INDEX(D:D, ROW())=0, 0, INDEX(C:C, ROW())/(INDEX(C:C, ROW())+INDEX(D:D, ROW())))</f>
        <v>0.88989169675090252</v>
      </c>
      <c r="F1331" s="1" t="s">
        <v>435</v>
      </c>
      <c r="G1331" s="1" t="s">
        <v>28</v>
      </c>
      <c r="H1331" s="1">
        <v>8436</v>
      </c>
      <c r="I1331" s="1">
        <v>19265</v>
      </c>
      <c r="J1331" s="7">
        <v>0.438</v>
      </c>
      <c r="K1331" s="1" t="s">
        <v>21</v>
      </c>
      <c r="L1331" s="1" t="s">
        <v>29</v>
      </c>
      <c r="M1331" s="1" t="s">
        <v>29</v>
      </c>
      <c r="N1331" s="1" t="s">
        <v>22</v>
      </c>
    </row>
    <row r="1332" spans="1:14" x14ac:dyDescent="0.25">
      <c r="A1332" s="1">
        <v>1331</v>
      </c>
      <c r="B1332" s="2" t="str">
        <f>HYPERLINK("https://leetcode.com/problems/rank-transform-of-an-array/", "Rank Transform of an Array")</f>
        <v>Rank Transform of an Array</v>
      </c>
      <c r="C1332" s="1">
        <v>2374</v>
      </c>
      <c r="D1332" s="1">
        <v>114</v>
      </c>
      <c r="E1332" s="3">
        <f>IF(INDEX(C:C, ROW())+INDEX(D:D, ROW())=0, 0, INDEX(C:C, ROW())/(INDEX(C:C, ROW())+INDEX(D:D, ROW())))</f>
        <v>0.95418006430868163</v>
      </c>
      <c r="F1332" s="1" t="s">
        <v>92</v>
      </c>
      <c r="G1332" s="1" t="s">
        <v>20</v>
      </c>
      <c r="H1332" s="1">
        <v>317145</v>
      </c>
      <c r="I1332" s="1">
        <v>447881</v>
      </c>
      <c r="J1332" s="7">
        <v>0.70799999999999996</v>
      </c>
      <c r="K1332" s="1" t="s">
        <v>21</v>
      </c>
      <c r="L1332" s="1" t="s">
        <v>21</v>
      </c>
      <c r="M1332" s="1" t="s">
        <v>29</v>
      </c>
      <c r="N1332" s="1" t="s">
        <v>22</v>
      </c>
    </row>
    <row r="1333" spans="1:14" x14ac:dyDescent="0.25">
      <c r="A1333" s="1">
        <v>1332</v>
      </c>
      <c r="B1333" s="2" t="str">
        <f>HYPERLINK("https://leetcode.com/problems/remove-palindromic-subsequences/", "Remove Palindromic Subsequences")</f>
        <v>Remove Palindromic Subsequences</v>
      </c>
      <c r="C1333" s="1">
        <v>1743</v>
      </c>
      <c r="D1333" s="1">
        <v>1795</v>
      </c>
      <c r="E1333" s="3">
        <f>IF(INDEX(C:C, ROW())+INDEX(D:D, ROW())=0, 0, INDEX(C:C, ROW())/(INDEX(C:C, ROW())+INDEX(D:D, ROW())))</f>
        <v>0.49265121537591861</v>
      </c>
      <c r="F1333" s="1" t="s">
        <v>117</v>
      </c>
      <c r="G1333" s="1" t="s">
        <v>20</v>
      </c>
      <c r="H1333" s="1">
        <v>151765</v>
      </c>
      <c r="I1333" s="1">
        <v>197130</v>
      </c>
      <c r="J1333" s="7">
        <v>0.77</v>
      </c>
      <c r="K1333" s="1" t="s">
        <v>21</v>
      </c>
      <c r="L1333" s="1" t="s">
        <v>21</v>
      </c>
      <c r="M1333" s="1" t="s">
        <v>29</v>
      </c>
      <c r="N1333" s="1" t="s">
        <v>22</v>
      </c>
    </row>
    <row r="1334" spans="1:14" x14ac:dyDescent="0.25">
      <c r="A1334" s="1">
        <v>1333</v>
      </c>
      <c r="B1334" s="2" t="str">
        <f>HYPERLINK("https://leetcode.com/problems/filter-restaurants-by-vegan-friendly-price-and-distance/", "Filter Restaurants by Vegan-Friendly, Price and Distance")</f>
        <v>Filter Restaurants by Vegan-Friendly, Price and Distance</v>
      </c>
      <c r="C1334" s="1">
        <v>319</v>
      </c>
      <c r="D1334" s="1">
        <v>230</v>
      </c>
      <c r="E1334" s="3">
        <f>IF(INDEX(C:C, ROW())+INDEX(D:D, ROW())=0, 0, INDEX(C:C, ROW())/(INDEX(C:C, ROW())+INDEX(D:D, ROW())))</f>
        <v>0.58105646630236796</v>
      </c>
      <c r="F1334" s="1" t="s">
        <v>42</v>
      </c>
      <c r="G1334" s="1" t="s">
        <v>24</v>
      </c>
      <c r="H1334" s="1">
        <v>36941</v>
      </c>
      <c r="I1334" s="1">
        <v>57651</v>
      </c>
      <c r="J1334" s="7">
        <v>0.64100000000000001</v>
      </c>
      <c r="K1334" s="1" t="s">
        <v>21</v>
      </c>
      <c r="L1334" s="1" t="s">
        <v>29</v>
      </c>
      <c r="M1334" s="1" t="s">
        <v>29</v>
      </c>
      <c r="N1334" s="1" t="s">
        <v>22</v>
      </c>
    </row>
    <row r="1335" spans="1:14" x14ac:dyDescent="0.25">
      <c r="A1335" s="1">
        <v>1334</v>
      </c>
      <c r="B1335" s="2" t="str">
        <f>HYPERLINK("https://leetcode.com/problems/find-the-city-with-the-smallest-number-of-neighbors-at-a-threshold-distance/", "Find the City With the Smallest Number of Neighbors at a Threshold Distance")</f>
        <v>Find the City With the Smallest Number of Neighbors at a Threshold Distance</v>
      </c>
      <c r="C1335" s="1">
        <v>3591</v>
      </c>
      <c r="D1335" s="1">
        <v>155</v>
      </c>
      <c r="E1335" s="3">
        <f>IF(INDEX(C:C, ROW())+INDEX(D:D, ROW())=0, 0, INDEX(C:C, ROW())/(INDEX(C:C, ROW())+INDEX(D:D, ROW())))</f>
        <v>0.95862253069941272</v>
      </c>
      <c r="F1335" s="1" t="s">
        <v>338</v>
      </c>
      <c r="G1335" s="1" t="s">
        <v>24</v>
      </c>
      <c r="H1335" s="1">
        <v>312148</v>
      </c>
      <c r="I1335" s="1">
        <v>432594</v>
      </c>
      <c r="J1335" s="7">
        <v>0.72199999999999998</v>
      </c>
      <c r="K1335" s="1" t="s">
        <v>21</v>
      </c>
      <c r="L1335" s="1" t="s">
        <v>21</v>
      </c>
      <c r="M1335" s="1" t="s">
        <v>29</v>
      </c>
      <c r="N1335" s="1" t="s">
        <v>22</v>
      </c>
    </row>
    <row r="1336" spans="1:14" x14ac:dyDescent="0.25">
      <c r="A1336" s="1">
        <v>1335</v>
      </c>
      <c r="B1336" s="2" t="str">
        <f>HYPERLINK("https://leetcode.com/problems/minimum-difficulty-of-a-job-schedule/", "Minimum Difficulty of a Job Schedule")</f>
        <v>Minimum Difficulty of a Job Schedule</v>
      </c>
      <c r="C1336" s="1">
        <v>3587</v>
      </c>
      <c r="D1336" s="1">
        <v>336</v>
      </c>
      <c r="E1336" s="3">
        <f>IF(INDEX(C:C, ROW())+INDEX(D:D, ROW())=0, 0, INDEX(C:C, ROW())/(INDEX(C:C, ROW())+INDEX(D:D, ROW())))</f>
        <v>0.91435126178944681</v>
      </c>
      <c r="F1336" s="1" t="s">
        <v>30</v>
      </c>
      <c r="G1336" s="1" t="s">
        <v>28</v>
      </c>
      <c r="H1336" s="1">
        <v>225544</v>
      </c>
      <c r="I1336" s="1">
        <v>377670</v>
      </c>
      <c r="J1336" s="7">
        <v>0.59699999999999998</v>
      </c>
      <c r="K1336" s="1" t="s">
        <v>21</v>
      </c>
      <c r="L1336" s="1" t="s">
        <v>21</v>
      </c>
      <c r="M1336" s="1" t="s">
        <v>29</v>
      </c>
      <c r="N1336" s="1" t="s">
        <v>22</v>
      </c>
    </row>
    <row r="1337" spans="1:14" x14ac:dyDescent="0.25">
      <c r="A1337" s="1">
        <v>1336</v>
      </c>
      <c r="B1337" s="2" t="str">
        <f>HYPERLINK("https://leetcode.com/problems/number-of-transactions-per-visit/", "Number of Transactions per Visit")</f>
        <v>Number of Transactions per Visit</v>
      </c>
      <c r="C1337" s="1">
        <v>95</v>
      </c>
      <c r="D1337" s="1">
        <v>327</v>
      </c>
      <c r="E1337" s="3">
        <f>IF(INDEX(C:C, ROW())+INDEX(D:D, ROW())=0, 0, INDEX(C:C, ROW())/(INDEX(C:C, ROW())+INDEX(D:D, ROW())))</f>
        <v>0.22511848341232227</v>
      </c>
      <c r="F1337" s="1" t="s">
        <v>297</v>
      </c>
      <c r="G1337" s="1" t="s">
        <v>28</v>
      </c>
      <c r="H1337" s="1">
        <v>15636</v>
      </c>
      <c r="I1337" s="1">
        <v>32748</v>
      </c>
      <c r="J1337" s="7">
        <v>0.47699999999999998</v>
      </c>
      <c r="K1337" s="1" t="s">
        <v>29</v>
      </c>
      <c r="L1337" s="1" t="s">
        <v>29</v>
      </c>
      <c r="M1337" s="1" t="s">
        <v>29</v>
      </c>
      <c r="N1337" s="1" t="s">
        <v>297</v>
      </c>
    </row>
    <row r="1338" spans="1:14" x14ac:dyDescent="0.25">
      <c r="A1338" s="1">
        <v>1337</v>
      </c>
      <c r="B1338" s="2" t="str">
        <f>HYPERLINK("https://leetcode.com/problems/the-k-weakest-rows-in-a-matrix/", "The K Weakest Rows in a Matrix")</f>
        <v>The K Weakest Rows in a Matrix</v>
      </c>
      <c r="C1338" s="1">
        <v>4334</v>
      </c>
      <c r="D1338" s="1">
        <v>242</v>
      </c>
      <c r="E1338" s="3">
        <f>IF(INDEX(C:C, ROW())+INDEX(D:D, ROW())=0, 0, INDEX(C:C, ROW())/(INDEX(C:C, ROW())+INDEX(D:D, ROW())))</f>
        <v>0.94711538461538458</v>
      </c>
      <c r="F1338" s="1" t="s">
        <v>130</v>
      </c>
      <c r="G1338" s="1" t="s">
        <v>20</v>
      </c>
      <c r="H1338" s="1">
        <v>418404</v>
      </c>
      <c r="I1338" s="1">
        <v>563398</v>
      </c>
      <c r="J1338" s="7">
        <v>0.74299999999999999</v>
      </c>
      <c r="K1338" s="1" t="s">
        <v>21</v>
      </c>
      <c r="L1338" s="1" t="s">
        <v>21</v>
      </c>
      <c r="M1338" s="1" t="s">
        <v>29</v>
      </c>
      <c r="N1338" s="1" t="s">
        <v>22</v>
      </c>
    </row>
    <row r="1339" spans="1:14" x14ac:dyDescent="0.25">
      <c r="A1339" s="1">
        <v>1338</v>
      </c>
      <c r="B1339" s="2" t="str">
        <f>HYPERLINK("https://leetcode.com/problems/reduce-array-size-to-the-half/", "Reduce Array Size to The Half")</f>
        <v>Reduce Array Size to The Half</v>
      </c>
      <c r="C1339" s="1">
        <v>3362</v>
      </c>
      <c r="D1339" s="1">
        <v>153</v>
      </c>
      <c r="E1339" s="3">
        <f>IF(INDEX(C:C, ROW())+INDEX(D:D, ROW())=0, 0, INDEX(C:C, ROW())/(INDEX(C:C, ROW())+INDEX(D:D, ROW())))</f>
        <v>0.95647226173541966</v>
      </c>
      <c r="F1339" s="1" t="s">
        <v>358</v>
      </c>
      <c r="G1339" s="1" t="s">
        <v>24</v>
      </c>
      <c r="H1339" s="1">
        <v>230182</v>
      </c>
      <c r="I1339" s="1">
        <v>331975</v>
      </c>
      <c r="J1339" s="7">
        <v>0.69299999999999995</v>
      </c>
      <c r="K1339" s="1" t="s">
        <v>21</v>
      </c>
      <c r="L1339" s="1" t="s">
        <v>21</v>
      </c>
      <c r="M1339" s="1" t="s">
        <v>29</v>
      </c>
      <c r="N1339" s="1" t="s">
        <v>22</v>
      </c>
    </row>
    <row r="1340" spans="1:14" x14ac:dyDescent="0.25">
      <c r="A1340" s="1">
        <v>1339</v>
      </c>
      <c r="B1340" s="2" t="str">
        <f>HYPERLINK("https://leetcode.com/problems/maximum-product-of-splitted-binary-tree/", "Maximum Product of Splitted Binary Tree")</f>
        <v>Maximum Product of Splitted Binary Tree</v>
      </c>
      <c r="C1340" s="1">
        <v>3573</v>
      </c>
      <c r="D1340" s="1">
        <v>120</v>
      </c>
      <c r="E1340" s="3">
        <f>IF(INDEX(C:C, ROW())+INDEX(D:D, ROW())=0, 0, INDEX(C:C, ROW())/(INDEX(C:C, ROW())+INDEX(D:D, ROW())))</f>
        <v>0.96750609260763609</v>
      </c>
      <c r="F1340" s="1" t="s">
        <v>67</v>
      </c>
      <c r="G1340" s="1" t="s">
        <v>24</v>
      </c>
      <c r="H1340" s="1">
        <v>253710</v>
      </c>
      <c r="I1340" s="1">
        <v>456741</v>
      </c>
      <c r="J1340" s="7">
        <v>0.55500000000000005</v>
      </c>
      <c r="K1340" s="1" t="s">
        <v>21</v>
      </c>
      <c r="L1340" s="1" t="s">
        <v>21</v>
      </c>
      <c r="M1340" s="1" t="s">
        <v>29</v>
      </c>
      <c r="N1340" s="1" t="s">
        <v>22</v>
      </c>
    </row>
    <row r="1341" spans="1:14" x14ac:dyDescent="0.25">
      <c r="A1341" s="1">
        <v>1340</v>
      </c>
      <c r="B1341" s="2" t="str">
        <f>HYPERLINK("https://leetcode.com/problems/jump-game-v/", "Jump Game V")</f>
        <v>Jump Game V</v>
      </c>
      <c r="C1341" s="1">
        <v>1185</v>
      </c>
      <c r="D1341" s="1">
        <v>46</v>
      </c>
      <c r="E1341" s="3">
        <f>IF(INDEX(C:C, ROW())+INDEX(D:D, ROW())=0, 0, INDEX(C:C, ROW())/(INDEX(C:C, ROW())+INDEX(D:D, ROW())))</f>
        <v>0.96263200649878145</v>
      </c>
      <c r="F1341" s="1" t="s">
        <v>270</v>
      </c>
      <c r="G1341" s="1" t="s">
        <v>28</v>
      </c>
      <c r="H1341" s="1">
        <v>41662</v>
      </c>
      <c r="I1341" s="1">
        <v>64289</v>
      </c>
      <c r="J1341" s="7">
        <v>0.64800000000000002</v>
      </c>
      <c r="K1341" s="1" t="s">
        <v>21</v>
      </c>
      <c r="L1341" s="1" t="s">
        <v>29</v>
      </c>
      <c r="M1341" s="1" t="s">
        <v>29</v>
      </c>
      <c r="N1341" s="1" t="s">
        <v>22</v>
      </c>
    </row>
    <row r="1342" spans="1:14" x14ac:dyDescent="0.25">
      <c r="A1342" s="1">
        <v>1341</v>
      </c>
      <c r="B1342" s="2" t="str">
        <f>HYPERLINK("https://leetcode.com/problems/movie-rating/", "Movie Rating")</f>
        <v>Movie Rating</v>
      </c>
      <c r="C1342" s="1">
        <v>972</v>
      </c>
      <c r="D1342" s="1">
        <v>237</v>
      </c>
      <c r="E1342" s="3">
        <f>IF(INDEX(C:C, ROW())+INDEX(D:D, ROW())=0, 0, INDEX(C:C, ROW())/(INDEX(C:C, ROW())+INDEX(D:D, ROW())))</f>
        <v>0.80397022332506207</v>
      </c>
      <c r="F1342" s="1" t="s">
        <v>297</v>
      </c>
      <c r="G1342" s="1" t="s">
        <v>24</v>
      </c>
      <c r="H1342" s="1">
        <v>276308</v>
      </c>
      <c r="I1342" s="1">
        <v>646121</v>
      </c>
      <c r="J1342" s="7">
        <v>0.42799999999999999</v>
      </c>
      <c r="K1342" s="1" t="s">
        <v>21</v>
      </c>
      <c r="L1342" s="1" t="s">
        <v>29</v>
      </c>
      <c r="M1342" s="1" t="s">
        <v>29</v>
      </c>
      <c r="N1342" s="1" t="s">
        <v>297</v>
      </c>
    </row>
    <row r="1343" spans="1:14" x14ac:dyDescent="0.25">
      <c r="A1343" s="1">
        <v>1342</v>
      </c>
      <c r="B1343" s="2" t="str">
        <f>HYPERLINK("https://leetcode.com/problems/number-of-steps-to-reduce-a-number-to-zero/", "Number of Steps to Reduce a Number to Zero")</f>
        <v>Number of Steps to Reduce a Number to Zero</v>
      </c>
      <c r="C1343" s="1">
        <v>4254</v>
      </c>
      <c r="D1343" s="1">
        <v>180</v>
      </c>
      <c r="E1343" s="3">
        <f>IF(INDEX(C:C, ROW())+INDEX(D:D, ROW())=0, 0, INDEX(C:C, ROW())/(INDEX(C:C, ROW())+INDEX(D:D, ROW())))</f>
        <v>0.95940460081190804</v>
      </c>
      <c r="F1343" s="1" t="s">
        <v>227</v>
      </c>
      <c r="G1343" s="1" t="s">
        <v>20</v>
      </c>
      <c r="H1343" s="1">
        <v>900352</v>
      </c>
      <c r="I1343" s="1">
        <v>1050009</v>
      </c>
      <c r="J1343" s="7">
        <v>0.85699999999999998</v>
      </c>
      <c r="K1343" s="1" t="s">
        <v>21</v>
      </c>
      <c r="L1343" s="1" t="s">
        <v>21</v>
      </c>
      <c r="M1343" s="1" t="s">
        <v>21</v>
      </c>
      <c r="N1343" s="1" t="s">
        <v>22</v>
      </c>
    </row>
    <row r="1344" spans="1:14" x14ac:dyDescent="0.25">
      <c r="A1344" s="1">
        <v>1343</v>
      </c>
      <c r="B1344" s="2" t="str">
        <f>HYPERLINK("https://leetcode.com/problems/number-of-sub-arrays-of-size-k-and-average-greater-than-or-equal-to-threshold/", "Number of Sub-arrays of Size K and Average Greater than or Equal to Threshold")</f>
        <v>Number of Sub-arrays of Size K and Average Greater than or Equal to Threshold</v>
      </c>
      <c r="C1344" s="1">
        <v>1822</v>
      </c>
      <c r="D1344" s="1">
        <v>111</v>
      </c>
      <c r="E1344" s="3">
        <f>IF(INDEX(C:C, ROW())+INDEX(D:D, ROW())=0, 0, INDEX(C:C, ROW())/(INDEX(C:C, ROW())+INDEX(D:D, ROW())))</f>
        <v>0.9425763062596999</v>
      </c>
      <c r="F1344" s="1" t="s">
        <v>295</v>
      </c>
      <c r="G1344" s="1" t="s">
        <v>24</v>
      </c>
      <c r="H1344" s="1">
        <v>183243</v>
      </c>
      <c r="I1344" s="1">
        <v>253836</v>
      </c>
      <c r="J1344" s="7">
        <v>0.72199999999999998</v>
      </c>
      <c r="K1344" s="1" t="s">
        <v>21</v>
      </c>
      <c r="L1344" s="1" t="s">
        <v>29</v>
      </c>
      <c r="M1344" s="1" t="s">
        <v>29</v>
      </c>
      <c r="N1344" s="1" t="s">
        <v>22</v>
      </c>
    </row>
    <row r="1345" spans="1:14" x14ac:dyDescent="0.25">
      <c r="A1345" s="1">
        <v>1344</v>
      </c>
      <c r="B1345" s="2" t="str">
        <f>HYPERLINK("https://leetcode.com/problems/angle-between-hands-of-a-clock/", "Angle Between Hands of a Clock")</f>
        <v>Angle Between Hands of a Clock</v>
      </c>
      <c r="C1345" s="1">
        <v>1373</v>
      </c>
      <c r="D1345" s="1">
        <v>248</v>
      </c>
      <c r="E1345" s="3">
        <f>IF(INDEX(C:C, ROW())+INDEX(D:D, ROW())=0, 0, INDEX(C:C, ROW())/(INDEX(C:C, ROW())+INDEX(D:D, ROW())))</f>
        <v>0.84700801974090068</v>
      </c>
      <c r="F1345" s="1" t="s">
        <v>84</v>
      </c>
      <c r="G1345" s="1" t="s">
        <v>24</v>
      </c>
      <c r="H1345" s="1">
        <v>142221</v>
      </c>
      <c r="I1345" s="1">
        <v>220889</v>
      </c>
      <c r="J1345" s="7">
        <v>0.64400000000000002</v>
      </c>
      <c r="K1345" s="1" t="s">
        <v>21</v>
      </c>
      <c r="L1345" s="1" t="s">
        <v>21</v>
      </c>
      <c r="M1345" s="1" t="s">
        <v>29</v>
      </c>
      <c r="N1345" s="1" t="s">
        <v>22</v>
      </c>
    </row>
    <row r="1346" spans="1:14" x14ac:dyDescent="0.25">
      <c r="A1346" s="1">
        <v>1345</v>
      </c>
      <c r="B1346" s="2" t="str">
        <f>HYPERLINK("https://leetcode.com/problems/jump-game-iv/", "Jump Game IV")</f>
        <v>Jump Game IV</v>
      </c>
      <c r="C1346" s="1">
        <v>3862</v>
      </c>
      <c r="D1346" s="1">
        <v>132</v>
      </c>
      <c r="E1346" s="3">
        <f>IF(INDEX(C:C, ROW())+INDEX(D:D, ROW())=0, 0, INDEX(C:C, ROW())/(INDEX(C:C, ROW())+INDEX(D:D, ROW())))</f>
        <v>0.96695042563845768</v>
      </c>
      <c r="F1346" s="1" t="s">
        <v>276</v>
      </c>
      <c r="G1346" s="1" t="s">
        <v>28</v>
      </c>
      <c r="H1346" s="1">
        <v>162105</v>
      </c>
      <c r="I1346" s="1">
        <v>350667</v>
      </c>
      <c r="J1346" s="7">
        <v>0.46200000000000002</v>
      </c>
      <c r="K1346" s="1" t="s">
        <v>21</v>
      </c>
      <c r="L1346" s="1" t="s">
        <v>21</v>
      </c>
      <c r="M1346" s="1" t="s">
        <v>29</v>
      </c>
      <c r="N1346" s="1" t="s">
        <v>22</v>
      </c>
    </row>
    <row r="1347" spans="1:14" x14ac:dyDescent="0.25">
      <c r="A1347" s="1">
        <v>1346</v>
      </c>
      <c r="B1347" s="2" t="str">
        <f>HYPERLINK("https://leetcode.com/problems/check-if-n-and-its-double-exist/", "Check If N and Its Double Exist")</f>
        <v>Check If N and Its Double Exist</v>
      </c>
      <c r="C1347" s="1">
        <v>2514</v>
      </c>
      <c r="D1347" s="1">
        <v>257</v>
      </c>
      <c r="E1347" s="3">
        <f>IF(INDEX(C:C, ROW())+INDEX(D:D, ROW())=0, 0, INDEX(C:C, ROW())/(INDEX(C:C, ROW())+INDEX(D:D, ROW())))</f>
        <v>0.90725369902562247</v>
      </c>
      <c r="F1347" s="1" t="s">
        <v>167</v>
      </c>
      <c r="G1347" s="1" t="s">
        <v>20</v>
      </c>
      <c r="H1347" s="1">
        <v>619113</v>
      </c>
      <c r="I1347" s="1">
        <v>1486694</v>
      </c>
      <c r="J1347" s="7">
        <v>0.41599999999999998</v>
      </c>
      <c r="K1347" s="1" t="s">
        <v>21</v>
      </c>
      <c r="L1347" s="1" t="s">
        <v>21</v>
      </c>
      <c r="M1347" s="1" t="s">
        <v>29</v>
      </c>
      <c r="N1347" s="1" t="s">
        <v>22</v>
      </c>
    </row>
    <row r="1348" spans="1:14" x14ac:dyDescent="0.25">
      <c r="A1348" s="1">
        <v>1347</v>
      </c>
      <c r="B1348" s="2" t="str">
        <f>HYPERLINK("https://leetcode.com/problems/minimum-number-of-steps-to-make-two-strings-anagram/", "Minimum Number of Steps to Make Two Strings Anagram")</f>
        <v>Minimum Number of Steps to Make Two Strings Anagram</v>
      </c>
      <c r="C1348" s="1">
        <v>2818</v>
      </c>
      <c r="D1348" s="1">
        <v>121</v>
      </c>
      <c r="E1348" s="3">
        <f>IF(INDEX(C:C, ROW())+INDEX(D:D, ROW())=0, 0, INDEX(C:C, ROW())/(INDEX(C:C, ROW())+INDEX(D:D, ROW())))</f>
        <v>0.95882953385505276</v>
      </c>
      <c r="F1348" s="1" t="s">
        <v>237</v>
      </c>
      <c r="G1348" s="1" t="s">
        <v>24</v>
      </c>
      <c r="H1348" s="1">
        <v>332719</v>
      </c>
      <c r="I1348" s="1">
        <v>403493</v>
      </c>
      <c r="J1348" s="7">
        <v>0.82499999999999996</v>
      </c>
      <c r="K1348" s="1" t="s">
        <v>21</v>
      </c>
      <c r="L1348" s="1" t="s">
        <v>21</v>
      </c>
      <c r="M1348" s="1" t="s">
        <v>29</v>
      </c>
      <c r="N1348" s="1" t="s">
        <v>22</v>
      </c>
    </row>
    <row r="1349" spans="1:14" x14ac:dyDescent="0.25">
      <c r="A1349" s="1">
        <v>1348</v>
      </c>
      <c r="B1349" s="2" t="str">
        <f>HYPERLINK("https://leetcode.com/problems/tweet-counts-per-frequency/", "Tweet Counts Per Frequency")</f>
        <v>Tweet Counts Per Frequency</v>
      </c>
      <c r="C1349" s="1">
        <v>219</v>
      </c>
      <c r="D1349" s="1">
        <v>309</v>
      </c>
      <c r="E1349" s="3">
        <f>IF(INDEX(C:C, ROW())+INDEX(D:D, ROW())=0, 0, INDEX(C:C, ROW())/(INDEX(C:C, ROW())+INDEX(D:D, ROW())))</f>
        <v>0.41477272727272729</v>
      </c>
      <c r="F1349" s="1" t="s">
        <v>1081</v>
      </c>
      <c r="G1349" s="1" t="s">
        <v>24</v>
      </c>
      <c r="H1349" s="1">
        <v>38948</v>
      </c>
      <c r="I1349" s="1">
        <v>84867</v>
      </c>
      <c r="J1349" s="7">
        <v>0.45900000000000002</v>
      </c>
      <c r="K1349" s="1" t="s">
        <v>21</v>
      </c>
      <c r="L1349" s="1" t="s">
        <v>29</v>
      </c>
      <c r="M1349" s="1" t="s">
        <v>29</v>
      </c>
      <c r="N1349" s="1" t="s">
        <v>22</v>
      </c>
    </row>
    <row r="1350" spans="1:14" x14ac:dyDescent="0.25">
      <c r="A1350" s="1">
        <v>1349</v>
      </c>
      <c r="B1350" s="2" t="str">
        <f>HYPERLINK("https://leetcode.com/problems/maximum-students-taking-exam/", "Maximum Students Taking Exam")</f>
        <v>Maximum Students Taking Exam</v>
      </c>
      <c r="C1350" s="1">
        <v>895</v>
      </c>
      <c r="D1350" s="1">
        <v>19</v>
      </c>
      <c r="E1350" s="3">
        <f>IF(INDEX(C:C, ROW())+INDEX(D:D, ROW())=0, 0, INDEX(C:C, ROW())/(INDEX(C:C, ROW())+INDEX(D:D, ROW())))</f>
        <v>0.97921225382932164</v>
      </c>
      <c r="F1350" s="1" t="s">
        <v>740</v>
      </c>
      <c r="G1350" s="1" t="s">
        <v>28</v>
      </c>
      <c r="H1350" s="1">
        <v>22816</v>
      </c>
      <c r="I1350" s="1">
        <v>42743</v>
      </c>
      <c r="J1350" s="7">
        <v>0.53400000000000003</v>
      </c>
      <c r="K1350" s="1" t="s">
        <v>21</v>
      </c>
      <c r="L1350" s="1" t="s">
        <v>29</v>
      </c>
      <c r="M1350" s="1" t="s">
        <v>29</v>
      </c>
      <c r="N1350" s="1" t="s">
        <v>22</v>
      </c>
    </row>
    <row r="1351" spans="1:14" x14ac:dyDescent="0.25">
      <c r="A1351" s="1">
        <v>1350</v>
      </c>
      <c r="B1351" s="2" t="str">
        <f>HYPERLINK("https://leetcode.com/problems/students-with-invalid-departments/", "Students With Invalid Departments")</f>
        <v>Students With Invalid Departments</v>
      </c>
      <c r="C1351" s="1">
        <v>184</v>
      </c>
      <c r="D1351" s="1">
        <v>9</v>
      </c>
      <c r="E1351" s="3">
        <f>IF(INDEX(C:C, ROW())+INDEX(D:D, ROW())=0, 0, INDEX(C:C, ROW())/(INDEX(C:C, ROW())+INDEX(D:D, ROW())))</f>
        <v>0.95336787564766834</v>
      </c>
      <c r="F1351" s="1" t="s">
        <v>297</v>
      </c>
      <c r="G1351" s="1" t="s">
        <v>20</v>
      </c>
      <c r="H1351" s="1">
        <v>66121</v>
      </c>
      <c r="I1351" s="1">
        <v>73645</v>
      </c>
      <c r="J1351" s="7">
        <v>0.89800000000000002</v>
      </c>
      <c r="K1351" s="1" t="s">
        <v>29</v>
      </c>
      <c r="L1351" s="1" t="s">
        <v>29</v>
      </c>
      <c r="M1351" s="1" t="s">
        <v>29</v>
      </c>
      <c r="N1351" s="1" t="s">
        <v>297</v>
      </c>
    </row>
    <row r="1352" spans="1:14" x14ac:dyDescent="0.25">
      <c r="A1352" s="1">
        <v>1351</v>
      </c>
      <c r="B1352" s="2" t="str">
        <f>HYPERLINK("https://leetcode.com/problems/count-negative-numbers-in-a-sorted-matrix/", "Count Negative Numbers in a Sorted Matrix")</f>
        <v>Count Negative Numbers in a Sorted Matrix</v>
      </c>
      <c r="C1352" s="1">
        <v>5475</v>
      </c>
      <c r="D1352" s="1">
        <v>146</v>
      </c>
      <c r="E1352" s="3">
        <f>IF(INDEX(C:C, ROW())+INDEX(D:D, ROW())=0, 0, INDEX(C:C, ROW())/(INDEX(C:C, ROW())+INDEX(D:D, ROW())))</f>
        <v>0.97402597402597402</v>
      </c>
      <c r="F1352" s="1" t="s">
        <v>73</v>
      </c>
      <c r="G1352" s="1" t="s">
        <v>20</v>
      </c>
      <c r="H1352" s="1">
        <v>651876</v>
      </c>
      <c r="I1352" s="1">
        <v>819700</v>
      </c>
      <c r="J1352" s="7">
        <v>0.79500000000000004</v>
      </c>
      <c r="K1352" s="1" t="s">
        <v>21</v>
      </c>
      <c r="L1352" s="1" t="s">
        <v>21</v>
      </c>
      <c r="M1352" s="1" t="s">
        <v>29</v>
      </c>
      <c r="N1352" s="1" t="s">
        <v>22</v>
      </c>
    </row>
    <row r="1353" spans="1:14" x14ac:dyDescent="0.25">
      <c r="A1353" s="1">
        <v>1352</v>
      </c>
      <c r="B1353" s="2" t="str">
        <f>HYPERLINK("https://leetcode.com/problems/product-of-the-last-k-numbers/", "Product of the Last K Numbers")</f>
        <v>Product of the Last K Numbers</v>
      </c>
      <c r="C1353" s="1">
        <v>2152</v>
      </c>
      <c r="D1353" s="1">
        <v>107</v>
      </c>
      <c r="E1353" s="3">
        <f>IF(INDEX(C:C, ROW())+INDEX(D:D, ROW())=0, 0, INDEX(C:C, ROW())/(INDEX(C:C, ROW())+INDEX(D:D, ROW())))</f>
        <v>0.95263390880920762</v>
      </c>
      <c r="F1353" s="1" t="s">
        <v>476</v>
      </c>
      <c r="G1353" s="1" t="s">
        <v>24</v>
      </c>
      <c r="H1353" s="1">
        <v>258950</v>
      </c>
      <c r="I1353" s="1">
        <v>411870</v>
      </c>
      <c r="J1353" s="7">
        <v>0.629</v>
      </c>
      <c r="K1353" s="1" t="s">
        <v>21</v>
      </c>
      <c r="L1353" s="1" t="s">
        <v>21</v>
      </c>
      <c r="M1353" s="1" t="s">
        <v>29</v>
      </c>
      <c r="N1353" s="1" t="s">
        <v>22</v>
      </c>
    </row>
    <row r="1354" spans="1:14" x14ac:dyDescent="0.25">
      <c r="A1354" s="1">
        <v>1353</v>
      </c>
      <c r="B1354" s="2" t="str">
        <f>HYPERLINK("https://leetcode.com/problems/maximum-number-of-events-that-can-be-attended/", "Maximum Number of Events That Can Be Attended")</f>
        <v>Maximum Number of Events That Can Be Attended</v>
      </c>
      <c r="C1354" s="1">
        <v>3974</v>
      </c>
      <c r="D1354" s="1">
        <v>630</v>
      </c>
      <c r="E1354" s="3">
        <f>IF(INDEX(C:C, ROW())+INDEX(D:D, ROW())=0, 0, INDEX(C:C, ROW())/(INDEX(C:C, ROW())+INDEX(D:D, ROW())))</f>
        <v>0.86316246741963509</v>
      </c>
      <c r="F1354" s="1" t="s">
        <v>302</v>
      </c>
      <c r="G1354" s="1" t="s">
        <v>24</v>
      </c>
      <c r="H1354" s="1">
        <v>222752</v>
      </c>
      <c r="I1354" s="1">
        <v>572702</v>
      </c>
      <c r="J1354" s="7">
        <v>0.38900000000000001</v>
      </c>
      <c r="K1354" s="1" t="s">
        <v>21</v>
      </c>
      <c r="L1354" s="1" t="s">
        <v>21</v>
      </c>
      <c r="M1354" s="1" t="s">
        <v>29</v>
      </c>
      <c r="N1354" s="1" t="s">
        <v>22</v>
      </c>
    </row>
    <row r="1355" spans="1:14" x14ac:dyDescent="0.25">
      <c r="A1355" s="1">
        <v>1354</v>
      </c>
      <c r="B1355" s="2" t="str">
        <f>HYPERLINK("https://leetcode.com/problems/construct-target-array-with-multiple-sums/", "Construct Target Array With Multiple Sums")</f>
        <v>Construct Target Array With Multiple Sums</v>
      </c>
      <c r="C1355" s="1">
        <v>2112</v>
      </c>
      <c r="D1355" s="1">
        <v>176</v>
      </c>
      <c r="E1355" s="3">
        <f>IF(INDEX(C:C, ROW())+INDEX(D:D, ROW())=0, 0, INDEX(C:C, ROW())/(INDEX(C:C, ROW())+INDEX(D:D, ROW())))</f>
        <v>0.92307692307692313</v>
      </c>
      <c r="F1355" s="1" t="s">
        <v>202</v>
      </c>
      <c r="G1355" s="1" t="s">
        <v>28</v>
      </c>
      <c r="H1355" s="1">
        <v>80521</v>
      </c>
      <c r="I1355" s="1">
        <v>218610</v>
      </c>
      <c r="J1355" s="7">
        <v>0.36799999999999999</v>
      </c>
      <c r="K1355" s="1" t="s">
        <v>21</v>
      </c>
      <c r="L1355" s="1" t="s">
        <v>21</v>
      </c>
      <c r="M1355" s="1" t="s">
        <v>29</v>
      </c>
      <c r="N1355" s="1" t="s">
        <v>22</v>
      </c>
    </row>
    <row r="1356" spans="1:14" x14ac:dyDescent="0.25">
      <c r="A1356" s="1">
        <v>1355</v>
      </c>
      <c r="B1356" s="2" t="str">
        <f>HYPERLINK("https://leetcode.com/problems/activity-participants/", "Activity Participants")</f>
        <v>Activity Participants</v>
      </c>
      <c r="C1356" s="1">
        <v>152</v>
      </c>
      <c r="D1356" s="1">
        <v>48</v>
      </c>
      <c r="E1356" s="3">
        <f>IF(INDEX(C:C, ROW())+INDEX(D:D, ROW())=0, 0, INDEX(C:C, ROW())/(INDEX(C:C, ROW())+INDEX(D:D, ROW())))</f>
        <v>0.76</v>
      </c>
      <c r="F1356" s="1" t="s">
        <v>297</v>
      </c>
      <c r="G1356" s="1" t="s">
        <v>24</v>
      </c>
      <c r="H1356" s="1">
        <v>35136</v>
      </c>
      <c r="I1356" s="1">
        <v>48802</v>
      </c>
      <c r="J1356" s="7">
        <v>0.72</v>
      </c>
      <c r="K1356" s="1" t="s">
        <v>29</v>
      </c>
      <c r="L1356" s="1" t="s">
        <v>21</v>
      </c>
      <c r="M1356" s="1" t="s">
        <v>29</v>
      </c>
      <c r="N1356" s="1" t="s">
        <v>297</v>
      </c>
    </row>
    <row r="1357" spans="1:14" x14ac:dyDescent="0.25">
      <c r="A1357" s="1">
        <v>1356</v>
      </c>
      <c r="B1357" s="2" t="str">
        <f>HYPERLINK("https://leetcode.com/problems/sort-integers-by-the-number-of-1-bits/", "Sort Integers by The Number of 1 Bits")</f>
        <v>Sort Integers by The Number of 1 Bits</v>
      </c>
      <c r="C1357" s="1">
        <v>2593</v>
      </c>
      <c r="D1357" s="1">
        <v>128</v>
      </c>
      <c r="E1357" s="3">
        <f>IF(INDEX(C:C, ROW())+INDEX(D:D, ROW())=0, 0, INDEX(C:C, ROW())/(INDEX(C:C, ROW())+INDEX(D:D, ROW())))</f>
        <v>0.9529584711503124</v>
      </c>
      <c r="F1357" s="1" t="s">
        <v>413</v>
      </c>
      <c r="G1357" s="1" t="s">
        <v>20</v>
      </c>
      <c r="H1357" s="1">
        <v>267580</v>
      </c>
      <c r="I1357" s="1">
        <v>338743</v>
      </c>
      <c r="J1357" s="7">
        <v>0.79</v>
      </c>
      <c r="K1357" s="1" t="s">
        <v>21</v>
      </c>
      <c r="L1357" s="1" t="s">
        <v>21</v>
      </c>
      <c r="M1357" s="1" t="s">
        <v>29</v>
      </c>
      <c r="N1357" s="1" t="s">
        <v>22</v>
      </c>
    </row>
    <row r="1358" spans="1:14" x14ac:dyDescent="0.25">
      <c r="A1358" s="1">
        <v>1357</v>
      </c>
      <c r="B1358" s="2" t="str">
        <f>HYPERLINK("https://leetcode.com/problems/apply-discount-every-n-orders/", "Apply Discount Every n Orders")</f>
        <v>Apply Discount Every n Orders</v>
      </c>
      <c r="C1358" s="1">
        <v>215</v>
      </c>
      <c r="D1358" s="1">
        <v>233</v>
      </c>
      <c r="E1358" s="3">
        <f>IF(INDEX(C:C, ROW())+INDEX(D:D, ROW())=0, 0, INDEX(C:C, ROW())/(INDEX(C:C, ROW())+INDEX(D:D, ROW())))</f>
        <v>0.4799107142857143</v>
      </c>
      <c r="F1358" s="1" t="s">
        <v>708</v>
      </c>
      <c r="G1358" s="1" t="s">
        <v>24</v>
      </c>
      <c r="H1358" s="1">
        <v>29065</v>
      </c>
      <c r="I1358" s="1">
        <v>44485</v>
      </c>
      <c r="J1358" s="7">
        <v>0.65300000000000002</v>
      </c>
      <c r="K1358" s="1" t="s">
        <v>21</v>
      </c>
      <c r="L1358" s="1" t="s">
        <v>29</v>
      </c>
      <c r="M1358" s="1" t="s">
        <v>29</v>
      </c>
      <c r="N1358" s="1" t="s">
        <v>22</v>
      </c>
    </row>
    <row r="1359" spans="1:14" x14ac:dyDescent="0.25">
      <c r="A1359" s="1">
        <v>1358</v>
      </c>
      <c r="B1359" s="2" t="str">
        <f>HYPERLINK("https://leetcode.com/problems/number-of-substrings-containing-all-three-characters/", "Number of Substrings Containing All Three Characters")</f>
        <v>Number of Substrings Containing All Three Characters</v>
      </c>
      <c r="C1359" s="1">
        <v>4397</v>
      </c>
      <c r="D1359" s="1">
        <v>81</v>
      </c>
      <c r="E1359" s="3">
        <f>IF(INDEX(C:C, ROW())+INDEX(D:D, ROW())=0, 0, INDEX(C:C, ROW())/(INDEX(C:C, ROW())+INDEX(D:D, ROW())))</f>
        <v>0.98191156766413579</v>
      </c>
      <c r="F1359" s="1" t="s">
        <v>23</v>
      </c>
      <c r="G1359" s="1" t="s">
        <v>24</v>
      </c>
      <c r="H1359" s="1">
        <v>429676</v>
      </c>
      <c r="I1359" s="1">
        <v>584595</v>
      </c>
      <c r="J1359" s="7">
        <v>0.73499999999999999</v>
      </c>
      <c r="K1359" s="1" t="s">
        <v>21</v>
      </c>
      <c r="L1359" s="1" t="s">
        <v>21</v>
      </c>
      <c r="M1359" s="1" t="s">
        <v>29</v>
      </c>
      <c r="N1359" s="1" t="s">
        <v>22</v>
      </c>
    </row>
    <row r="1360" spans="1:14" x14ac:dyDescent="0.25">
      <c r="A1360" s="1">
        <v>1359</v>
      </c>
      <c r="B1360" s="2" t="str">
        <f>HYPERLINK("https://leetcode.com/problems/count-all-valid-pickup-and-delivery-options/", "Count All Valid Pickup and Delivery Options")</f>
        <v>Count All Valid Pickup and Delivery Options</v>
      </c>
      <c r="C1360" s="1">
        <v>3089</v>
      </c>
      <c r="D1360" s="1">
        <v>233</v>
      </c>
      <c r="E1360" s="3">
        <f>IF(INDEX(C:C, ROW())+INDEX(D:D, ROW())=0, 0, INDEX(C:C, ROW())/(INDEX(C:C, ROW())+INDEX(D:D, ROW())))</f>
        <v>0.92986152919927756</v>
      </c>
      <c r="F1360" s="1" t="s">
        <v>70</v>
      </c>
      <c r="G1360" s="1" t="s">
        <v>28</v>
      </c>
      <c r="H1360" s="1">
        <v>133779</v>
      </c>
      <c r="I1360" s="1">
        <v>206244</v>
      </c>
      <c r="J1360" s="7">
        <v>0.64900000000000002</v>
      </c>
      <c r="K1360" s="1" t="s">
        <v>21</v>
      </c>
      <c r="L1360" s="1" t="s">
        <v>21</v>
      </c>
      <c r="M1360" s="1" t="s">
        <v>29</v>
      </c>
      <c r="N1360" s="1" t="s">
        <v>22</v>
      </c>
    </row>
    <row r="1361" spans="1:14" x14ac:dyDescent="0.25">
      <c r="A1361" s="1">
        <v>1360</v>
      </c>
      <c r="B1361" s="2" t="str">
        <f>HYPERLINK("https://leetcode.com/problems/number-of-days-between-two-dates/", "Number of Days Between Two Dates")</f>
        <v>Number of Days Between Two Dates</v>
      </c>
      <c r="C1361" s="1">
        <v>434</v>
      </c>
      <c r="D1361" s="1">
        <v>1321</v>
      </c>
      <c r="E1361" s="3">
        <f>IF(INDEX(C:C, ROW())+INDEX(D:D, ROW())=0, 0, INDEX(C:C, ROW())/(INDEX(C:C, ROW())+INDEX(D:D, ROW())))</f>
        <v>0.24729344729344729</v>
      </c>
      <c r="F1361" s="1" t="s">
        <v>228</v>
      </c>
      <c r="G1361" s="1" t="s">
        <v>20</v>
      </c>
      <c r="H1361" s="1">
        <v>72196</v>
      </c>
      <c r="I1361" s="1">
        <v>137930</v>
      </c>
      <c r="J1361" s="7">
        <v>0.52300000000000002</v>
      </c>
      <c r="K1361" s="1" t="s">
        <v>21</v>
      </c>
      <c r="L1361" s="1" t="s">
        <v>29</v>
      </c>
      <c r="M1361" s="1" t="s">
        <v>29</v>
      </c>
      <c r="N1361" s="1" t="s">
        <v>22</v>
      </c>
    </row>
    <row r="1362" spans="1:14" x14ac:dyDescent="0.25">
      <c r="A1362" s="1">
        <v>1361</v>
      </c>
      <c r="B1362" s="2" t="str">
        <f>HYPERLINK("https://leetcode.com/problems/validate-binary-tree-nodes/", "Validate Binary Tree Nodes")</f>
        <v>Validate Binary Tree Nodes</v>
      </c>
      <c r="C1362" s="1">
        <v>2249</v>
      </c>
      <c r="D1362" s="1">
        <v>523</v>
      </c>
      <c r="E1362" s="3">
        <f>IF(INDEX(C:C, ROW())+INDEX(D:D, ROW())=0, 0, INDEX(C:C, ROW())/(INDEX(C:C, ROW())+INDEX(D:D, ROW())))</f>
        <v>0.81132756132756134</v>
      </c>
      <c r="F1362" s="1" t="s">
        <v>468</v>
      </c>
      <c r="G1362" s="1" t="s">
        <v>24</v>
      </c>
      <c r="H1362" s="1">
        <v>134072</v>
      </c>
      <c r="I1362" s="1">
        <v>304231</v>
      </c>
      <c r="J1362" s="7">
        <v>0.441</v>
      </c>
      <c r="K1362" s="1" t="s">
        <v>21</v>
      </c>
      <c r="L1362" s="1" t="s">
        <v>21</v>
      </c>
      <c r="M1362" s="1" t="s">
        <v>29</v>
      </c>
      <c r="N1362" s="1" t="s">
        <v>22</v>
      </c>
    </row>
    <row r="1363" spans="1:14" x14ac:dyDescent="0.25">
      <c r="A1363" s="1">
        <v>1362</v>
      </c>
      <c r="B1363" s="2" t="str">
        <f>HYPERLINK("https://leetcode.com/problems/closest-divisors/", "Closest Divisors")</f>
        <v>Closest Divisors</v>
      </c>
      <c r="C1363" s="1">
        <v>338</v>
      </c>
      <c r="D1363" s="1">
        <v>101</v>
      </c>
      <c r="E1363" s="3">
        <f>IF(INDEX(C:C, ROW())+INDEX(D:D, ROW())=0, 0, INDEX(C:C, ROW())/(INDEX(C:C, ROW())+INDEX(D:D, ROW())))</f>
        <v>0.76993166287015946</v>
      </c>
      <c r="F1363" s="1" t="s">
        <v>84</v>
      </c>
      <c r="G1363" s="1" t="s">
        <v>24</v>
      </c>
      <c r="H1363" s="1">
        <v>28463</v>
      </c>
      <c r="I1363" s="1">
        <v>45883</v>
      </c>
      <c r="J1363" s="7">
        <v>0.62</v>
      </c>
      <c r="K1363" s="1" t="s">
        <v>21</v>
      </c>
      <c r="L1363" s="1" t="s">
        <v>29</v>
      </c>
      <c r="M1363" s="1" t="s">
        <v>29</v>
      </c>
      <c r="N1363" s="1" t="s">
        <v>22</v>
      </c>
    </row>
    <row r="1364" spans="1:14" x14ac:dyDescent="0.25">
      <c r="A1364" s="1">
        <v>1363</v>
      </c>
      <c r="B1364" s="2" t="str">
        <f>HYPERLINK("https://leetcode.com/problems/largest-multiple-of-three/", "Largest Multiple of Three")</f>
        <v>Largest Multiple of Three</v>
      </c>
      <c r="C1364" s="1">
        <v>628</v>
      </c>
      <c r="D1364" s="1">
        <v>91</v>
      </c>
      <c r="E1364" s="3">
        <f>IF(INDEX(C:C, ROW())+INDEX(D:D, ROW())=0, 0, INDEX(C:C, ROW())/(INDEX(C:C, ROW())+INDEX(D:D, ROW())))</f>
        <v>0.87343532684283731</v>
      </c>
      <c r="F1364" s="1" t="s">
        <v>835</v>
      </c>
      <c r="G1364" s="1" t="s">
        <v>28</v>
      </c>
      <c r="H1364" s="1">
        <v>25895</v>
      </c>
      <c r="I1364" s="1">
        <v>78132</v>
      </c>
      <c r="J1364" s="7">
        <v>0.33100000000000002</v>
      </c>
      <c r="K1364" s="1" t="s">
        <v>21</v>
      </c>
      <c r="L1364" s="1" t="s">
        <v>29</v>
      </c>
      <c r="M1364" s="1" t="s">
        <v>29</v>
      </c>
      <c r="N1364" s="1" t="s">
        <v>22</v>
      </c>
    </row>
    <row r="1365" spans="1:14" x14ac:dyDescent="0.25">
      <c r="A1365" s="1">
        <v>1364</v>
      </c>
      <c r="B1365" s="2" t="str">
        <f>HYPERLINK("https://leetcode.com/problems/number-of-trusted-contacts-of-a-customer/", "Number of Trusted Contacts of a Customer")</f>
        <v>Number of Trusted Contacts of a Customer</v>
      </c>
      <c r="C1365" s="1">
        <v>95</v>
      </c>
      <c r="D1365" s="1">
        <v>403</v>
      </c>
      <c r="E1365" s="3">
        <f>IF(INDEX(C:C, ROW())+INDEX(D:D, ROW())=0, 0, INDEX(C:C, ROW())/(INDEX(C:C, ROW())+INDEX(D:D, ROW())))</f>
        <v>0.19076305220883535</v>
      </c>
      <c r="F1365" s="1" t="s">
        <v>297</v>
      </c>
      <c r="G1365" s="1" t="s">
        <v>24</v>
      </c>
      <c r="H1365" s="1">
        <v>24802</v>
      </c>
      <c r="I1365" s="1">
        <v>33165</v>
      </c>
      <c r="J1365" s="7">
        <v>0.748</v>
      </c>
      <c r="K1365" s="1" t="s">
        <v>29</v>
      </c>
      <c r="L1365" s="1" t="s">
        <v>21</v>
      </c>
      <c r="M1365" s="1" t="s">
        <v>29</v>
      </c>
      <c r="N1365" s="1" t="s">
        <v>297</v>
      </c>
    </row>
    <row r="1366" spans="1:14" x14ac:dyDescent="0.25">
      <c r="A1366" s="1">
        <v>1365</v>
      </c>
      <c r="B1366" s="2" t="str">
        <f>HYPERLINK("https://leetcode.com/problems/how-many-numbers-are-smaller-than-the-current-number/", "How Many Numbers Are Smaller Than the Current Number")</f>
        <v>How Many Numbers Are Smaller Than the Current Number</v>
      </c>
      <c r="C1366" s="1">
        <v>5984</v>
      </c>
      <c r="D1366" s="1">
        <v>158</v>
      </c>
      <c r="E1366" s="3">
        <f>IF(INDEX(C:C, ROW())+INDEX(D:D, ROW())=0, 0, INDEX(C:C, ROW())/(INDEX(C:C, ROW())+INDEX(D:D, ROW())))</f>
        <v>0.97427548029957667</v>
      </c>
      <c r="F1366" s="1" t="s">
        <v>229</v>
      </c>
      <c r="G1366" s="1" t="s">
        <v>20</v>
      </c>
      <c r="H1366" s="1">
        <v>841730</v>
      </c>
      <c r="I1366" s="1">
        <v>962476</v>
      </c>
      <c r="J1366" s="7">
        <v>0.875</v>
      </c>
      <c r="K1366" s="1" t="s">
        <v>21</v>
      </c>
      <c r="L1366" s="1" t="s">
        <v>29</v>
      </c>
      <c r="M1366" s="1" t="s">
        <v>29</v>
      </c>
      <c r="N1366" s="1" t="s">
        <v>22</v>
      </c>
    </row>
    <row r="1367" spans="1:14" x14ac:dyDescent="0.25">
      <c r="A1367" s="1">
        <v>1366</v>
      </c>
      <c r="B1367" s="2" t="str">
        <f>HYPERLINK("https://leetcode.com/problems/rank-teams-by-votes/", "Rank Teams by Votes")</f>
        <v>Rank Teams by Votes</v>
      </c>
      <c r="C1367" s="1">
        <v>1562</v>
      </c>
      <c r="D1367" s="1">
        <v>198</v>
      </c>
      <c r="E1367" s="3">
        <f>IF(INDEX(C:C, ROW())+INDEX(D:D, ROW())=0, 0, INDEX(C:C, ROW())/(INDEX(C:C, ROW())+INDEX(D:D, ROW())))</f>
        <v>0.88749999999999996</v>
      </c>
      <c r="F1367" s="1" t="s">
        <v>569</v>
      </c>
      <c r="G1367" s="1" t="s">
        <v>24</v>
      </c>
      <c r="H1367" s="1">
        <v>101446</v>
      </c>
      <c r="I1367" s="1">
        <v>169013</v>
      </c>
      <c r="J1367" s="7">
        <v>0.6</v>
      </c>
      <c r="K1367" s="1" t="s">
        <v>21</v>
      </c>
      <c r="L1367" s="1" t="s">
        <v>29</v>
      </c>
      <c r="M1367" s="1" t="s">
        <v>29</v>
      </c>
      <c r="N1367" s="1" t="s">
        <v>22</v>
      </c>
    </row>
    <row r="1368" spans="1:14" x14ac:dyDescent="0.25">
      <c r="A1368" s="1">
        <v>1367</v>
      </c>
      <c r="B1368" s="2" t="str">
        <f>HYPERLINK("https://leetcode.com/problems/linked-list-in-binary-tree/", "Linked List in Binary Tree")</f>
        <v>Linked List in Binary Tree</v>
      </c>
      <c r="C1368" s="1">
        <v>3024</v>
      </c>
      <c r="D1368" s="1">
        <v>90</v>
      </c>
      <c r="E1368" s="3">
        <f>IF(INDEX(C:C, ROW())+INDEX(D:D, ROW())=0, 0, INDEX(C:C, ROW())/(INDEX(C:C, ROW())+INDEX(D:D, ROW())))</f>
        <v>0.97109826589595372</v>
      </c>
      <c r="F1368" s="1" t="s">
        <v>377</v>
      </c>
      <c r="G1368" s="1" t="s">
        <v>24</v>
      </c>
      <c r="H1368" s="1">
        <v>207589</v>
      </c>
      <c r="I1368" s="1">
        <v>399818</v>
      </c>
      <c r="J1368" s="7">
        <v>0.51900000000000002</v>
      </c>
      <c r="K1368" s="1" t="s">
        <v>21</v>
      </c>
      <c r="L1368" s="1" t="s">
        <v>21</v>
      </c>
      <c r="M1368" s="1" t="s">
        <v>29</v>
      </c>
      <c r="N1368" s="1" t="s">
        <v>22</v>
      </c>
    </row>
    <row r="1369" spans="1:14" x14ac:dyDescent="0.25">
      <c r="A1369" s="1">
        <v>1368</v>
      </c>
      <c r="B1369" s="2" t="str">
        <f>HYPERLINK("https://leetcode.com/problems/minimum-cost-to-make-at-least-one-valid-path-in-a-grid/", "Minimum Cost to Make at Least One Valid Path in a Grid")</f>
        <v>Minimum Cost to Make at Least One Valid Path in a Grid</v>
      </c>
      <c r="C1369" s="1">
        <v>2585</v>
      </c>
      <c r="D1369" s="1">
        <v>35</v>
      </c>
      <c r="E1369" s="3">
        <f>IF(INDEX(C:C, ROW())+INDEX(D:D, ROW())=0, 0, INDEX(C:C, ROW())/(INDEX(C:C, ROW())+INDEX(D:D, ROW())))</f>
        <v>0.98664122137404575</v>
      </c>
      <c r="F1369" s="1" t="s">
        <v>415</v>
      </c>
      <c r="G1369" s="1" t="s">
        <v>28</v>
      </c>
      <c r="H1369" s="1">
        <v>163996</v>
      </c>
      <c r="I1369" s="1">
        <v>231274</v>
      </c>
      <c r="J1369" s="7">
        <v>0.70899999999999996</v>
      </c>
      <c r="K1369" s="1" t="s">
        <v>21</v>
      </c>
      <c r="L1369" s="1" t="s">
        <v>21</v>
      </c>
      <c r="M1369" s="1" t="s">
        <v>29</v>
      </c>
      <c r="N1369" s="1" t="s">
        <v>22</v>
      </c>
    </row>
    <row r="1370" spans="1:14" x14ac:dyDescent="0.25">
      <c r="A1370" s="1">
        <v>1369</v>
      </c>
      <c r="B1370" s="2" t="str">
        <f>HYPERLINK("https://leetcode.com/problems/get-the-second-most-recent-activity/", "Get the Second Most Recent Activity")</f>
        <v>Get the Second Most Recent Activity</v>
      </c>
      <c r="C1370" s="1">
        <v>168</v>
      </c>
      <c r="D1370" s="1">
        <v>13</v>
      </c>
      <c r="E1370" s="3">
        <f>IF(INDEX(C:C, ROW())+INDEX(D:D, ROW())=0, 0, INDEX(C:C, ROW())/(INDEX(C:C, ROW())+INDEX(D:D, ROW())))</f>
        <v>0.92817679558011046</v>
      </c>
      <c r="F1370" s="1" t="s">
        <v>297</v>
      </c>
      <c r="G1370" s="1" t="s">
        <v>28</v>
      </c>
      <c r="H1370" s="1">
        <v>26062</v>
      </c>
      <c r="I1370" s="1">
        <v>38712</v>
      </c>
      <c r="J1370" s="7">
        <v>0.67300000000000004</v>
      </c>
      <c r="K1370" s="1" t="s">
        <v>29</v>
      </c>
      <c r="L1370" s="1" t="s">
        <v>29</v>
      </c>
      <c r="M1370" s="1" t="s">
        <v>29</v>
      </c>
      <c r="N1370" s="1" t="s">
        <v>297</v>
      </c>
    </row>
    <row r="1371" spans="1:14" x14ac:dyDescent="0.25">
      <c r="A1371" s="1">
        <v>1370</v>
      </c>
      <c r="B1371" s="2" t="str">
        <f>HYPERLINK("https://leetcode.com/problems/increasing-decreasing-string/", "Increasing Decreasing String")</f>
        <v>Increasing Decreasing String</v>
      </c>
      <c r="C1371" s="1">
        <v>840</v>
      </c>
      <c r="D1371" s="1">
        <v>878</v>
      </c>
      <c r="E1371" s="3">
        <f>IF(INDEX(C:C, ROW())+INDEX(D:D, ROW())=0, 0, INDEX(C:C, ROW())/(INDEX(C:C, ROW())+INDEX(D:D, ROW())))</f>
        <v>0.48894062863795112</v>
      </c>
      <c r="F1371" s="1" t="s">
        <v>237</v>
      </c>
      <c r="G1371" s="1" t="s">
        <v>20</v>
      </c>
      <c r="H1371" s="1">
        <v>97675</v>
      </c>
      <c r="I1371" s="1">
        <v>126493</v>
      </c>
      <c r="J1371" s="7">
        <v>0.77200000000000002</v>
      </c>
      <c r="K1371" s="1" t="s">
        <v>21</v>
      </c>
      <c r="L1371" s="1" t="s">
        <v>29</v>
      </c>
      <c r="M1371" s="1" t="s">
        <v>29</v>
      </c>
      <c r="N1371" s="1" t="s">
        <v>22</v>
      </c>
    </row>
    <row r="1372" spans="1:14" x14ac:dyDescent="0.25">
      <c r="A1372" s="1">
        <v>1371</v>
      </c>
      <c r="B1372" s="2" t="str">
        <f>HYPERLINK("https://leetcode.com/problems/find-the-longest-substring-containing-vowels-in-even-counts/", "Find the Longest Substring Containing Vowels in Even Counts")</f>
        <v>Find the Longest Substring Containing Vowels in Even Counts</v>
      </c>
      <c r="C1372" s="1">
        <v>2558</v>
      </c>
      <c r="D1372" s="1">
        <v>142</v>
      </c>
      <c r="E1372" s="3">
        <f>IF(INDEX(C:C, ROW())+INDEX(D:D, ROW())=0, 0, INDEX(C:C, ROW())/(INDEX(C:C, ROW())+INDEX(D:D, ROW())))</f>
        <v>0.94740740740740736</v>
      </c>
      <c r="F1372" s="1" t="s">
        <v>388</v>
      </c>
      <c r="G1372" s="1" t="s">
        <v>24</v>
      </c>
      <c r="H1372" s="1">
        <v>140119</v>
      </c>
      <c r="I1372" s="1">
        <v>185143</v>
      </c>
      <c r="J1372" s="7">
        <v>0.75700000000000001</v>
      </c>
      <c r="K1372" s="1" t="s">
        <v>21</v>
      </c>
      <c r="L1372" s="1" t="s">
        <v>21</v>
      </c>
      <c r="M1372" s="1" t="s">
        <v>29</v>
      </c>
      <c r="N1372" s="1" t="s">
        <v>22</v>
      </c>
    </row>
    <row r="1373" spans="1:14" x14ac:dyDescent="0.25">
      <c r="A1373" s="1">
        <v>1372</v>
      </c>
      <c r="B1373" s="2" t="str">
        <f>HYPERLINK("https://leetcode.com/problems/longest-zigzag-path-in-a-binary-tree/", "Longest ZigZag Path in a Binary Tree")</f>
        <v>Longest ZigZag Path in a Binary Tree</v>
      </c>
      <c r="C1373" s="1">
        <v>3742</v>
      </c>
      <c r="D1373" s="1">
        <v>86</v>
      </c>
      <c r="E1373" s="3">
        <f>IF(INDEX(C:C, ROW())+INDEX(D:D, ROW())=0, 0, INDEX(C:C, ROW())/(INDEX(C:C, ROW())+INDEX(D:D, ROW())))</f>
        <v>0.97753396029258099</v>
      </c>
      <c r="F1373" s="1" t="s">
        <v>68</v>
      </c>
      <c r="G1373" s="1" t="s">
        <v>24</v>
      </c>
      <c r="H1373" s="1">
        <v>277987</v>
      </c>
      <c r="I1373" s="1">
        <v>414933</v>
      </c>
      <c r="J1373" s="7">
        <v>0.67</v>
      </c>
      <c r="K1373" s="1" t="s">
        <v>21</v>
      </c>
      <c r="L1373" s="1" t="s">
        <v>21</v>
      </c>
      <c r="M1373" s="1" t="s">
        <v>29</v>
      </c>
      <c r="N1373" s="1" t="s">
        <v>22</v>
      </c>
    </row>
    <row r="1374" spans="1:14" x14ac:dyDescent="0.25">
      <c r="A1374" s="1">
        <v>1373</v>
      </c>
      <c r="B1374" s="2" t="str">
        <f>HYPERLINK("https://leetcode.com/problems/maximum-sum-bst-in-binary-tree/", "Maximum Sum BST in Binary Tree")</f>
        <v>Maximum Sum BST in Binary Tree</v>
      </c>
      <c r="C1374" s="1">
        <v>2960</v>
      </c>
      <c r="D1374" s="1">
        <v>198</v>
      </c>
      <c r="E1374" s="3">
        <f>IF(INDEX(C:C, ROW())+INDEX(D:D, ROW())=0, 0, INDEX(C:C, ROW())/(INDEX(C:C, ROW())+INDEX(D:D, ROW())))</f>
        <v>0.9373020899303357</v>
      </c>
      <c r="F1374" s="1" t="s">
        <v>379</v>
      </c>
      <c r="G1374" s="1" t="s">
        <v>28</v>
      </c>
      <c r="H1374" s="1">
        <v>121023</v>
      </c>
      <c r="I1374" s="1">
        <v>260560</v>
      </c>
      <c r="J1374" s="7">
        <v>0.46400000000000002</v>
      </c>
      <c r="K1374" s="1" t="s">
        <v>21</v>
      </c>
      <c r="L1374" s="1" t="s">
        <v>29</v>
      </c>
      <c r="M1374" s="1" t="s">
        <v>29</v>
      </c>
      <c r="N1374" s="1" t="s">
        <v>22</v>
      </c>
    </row>
    <row r="1375" spans="1:14" x14ac:dyDescent="0.25">
      <c r="A1375" s="1">
        <v>1374</v>
      </c>
      <c r="B1375" s="2" t="str">
        <f>HYPERLINK("https://leetcode.com/problems/generate-a-string-with-characters-that-have-odd-counts/", "Generate a String With Characters That Have Odd Counts")</f>
        <v>Generate a String With Characters That Have Odd Counts</v>
      </c>
      <c r="C1375" s="1">
        <v>527</v>
      </c>
      <c r="D1375" s="1">
        <v>1287</v>
      </c>
      <c r="E1375" s="3">
        <f>IF(INDEX(C:C, ROW())+INDEX(D:D, ROW())=0, 0, INDEX(C:C, ROW())/(INDEX(C:C, ROW())+INDEX(D:D, ROW())))</f>
        <v>0.29051819184123484</v>
      </c>
      <c r="F1375" s="1" t="s">
        <v>146</v>
      </c>
      <c r="G1375" s="1" t="s">
        <v>20</v>
      </c>
      <c r="H1375" s="1">
        <v>112892</v>
      </c>
      <c r="I1375" s="1">
        <v>143831</v>
      </c>
      <c r="J1375" s="7">
        <v>0.78500000000000003</v>
      </c>
      <c r="K1375" s="1" t="s">
        <v>21</v>
      </c>
      <c r="L1375" s="1" t="s">
        <v>29</v>
      </c>
      <c r="M1375" s="1" t="s">
        <v>29</v>
      </c>
      <c r="N1375" s="1" t="s">
        <v>22</v>
      </c>
    </row>
    <row r="1376" spans="1:14" x14ac:dyDescent="0.25">
      <c r="A1376" s="1">
        <v>1375</v>
      </c>
      <c r="B1376" s="2" t="str">
        <f>HYPERLINK("https://leetcode.com/problems/number-of-times-binary-string-is-prefix-aligned/", "Number of Times Binary String Is Prefix-Aligned")</f>
        <v>Number of Times Binary String Is Prefix-Aligned</v>
      </c>
      <c r="C1376" s="1">
        <v>968</v>
      </c>
      <c r="D1376" s="1">
        <v>139</v>
      </c>
      <c r="E1376" s="3">
        <f>IF(INDEX(C:C, ROW())+INDEX(D:D, ROW())=0, 0, INDEX(C:C, ROW())/(INDEX(C:C, ROW())+INDEX(D:D, ROW())))</f>
        <v>0.87443541102077682</v>
      </c>
      <c r="F1376" s="1" t="s">
        <v>113</v>
      </c>
      <c r="G1376" s="1" t="s">
        <v>24</v>
      </c>
      <c r="H1376" s="1">
        <v>59617</v>
      </c>
      <c r="I1376" s="1">
        <v>90313</v>
      </c>
      <c r="J1376" s="7">
        <v>0.66</v>
      </c>
      <c r="K1376" s="1" t="s">
        <v>21</v>
      </c>
      <c r="L1376" s="1" t="s">
        <v>29</v>
      </c>
      <c r="M1376" s="1" t="s">
        <v>29</v>
      </c>
      <c r="N1376" s="1" t="s">
        <v>22</v>
      </c>
    </row>
    <row r="1377" spans="1:14" x14ac:dyDescent="0.25">
      <c r="A1377" s="1">
        <v>1376</v>
      </c>
      <c r="B1377" s="2" t="str">
        <f>HYPERLINK("https://leetcode.com/problems/time-needed-to-inform-all-employees/", "Time Needed to Inform All Employees")</f>
        <v>Time Needed to Inform All Employees</v>
      </c>
      <c r="C1377" s="1">
        <v>4248</v>
      </c>
      <c r="D1377" s="1">
        <v>323</v>
      </c>
      <c r="E1377" s="3">
        <f>IF(INDEX(C:C, ROW())+INDEX(D:D, ROW())=0, 0, INDEX(C:C, ROW())/(INDEX(C:C, ROW())+INDEX(D:D, ROW())))</f>
        <v>0.92933712535550206</v>
      </c>
      <c r="F1377" s="1" t="s">
        <v>300</v>
      </c>
      <c r="G1377" s="1" t="s">
        <v>24</v>
      </c>
      <c r="H1377" s="1">
        <v>256193</v>
      </c>
      <c r="I1377" s="1">
        <v>423986</v>
      </c>
      <c r="J1377" s="7">
        <v>0.60399999999999998</v>
      </c>
      <c r="K1377" s="1" t="s">
        <v>21</v>
      </c>
      <c r="L1377" s="1" t="s">
        <v>21</v>
      </c>
      <c r="M1377" s="1" t="s">
        <v>29</v>
      </c>
      <c r="N1377" s="1" t="s">
        <v>22</v>
      </c>
    </row>
    <row r="1378" spans="1:14" x14ac:dyDescent="0.25">
      <c r="A1378" s="1">
        <v>1377</v>
      </c>
      <c r="B1378" s="2" t="str">
        <f>HYPERLINK("https://leetcode.com/problems/frog-position-after-t-seconds/", "Frog Position After T Seconds")</f>
        <v>Frog Position After T Seconds</v>
      </c>
      <c r="C1378" s="1">
        <v>840</v>
      </c>
      <c r="D1378" s="1">
        <v>151</v>
      </c>
      <c r="E1378" s="3">
        <f>IF(INDEX(C:C, ROW())+INDEX(D:D, ROW())=0, 0, INDEX(C:C, ROW())/(INDEX(C:C, ROW())+INDEX(D:D, ROW())))</f>
        <v>0.84762865792129161</v>
      </c>
      <c r="F1378" s="1" t="s">
        <v>455</v>
      </c>
      <c r="G1378" s="1" t="s">
        <v>28</v>
      </c>
      <c r="H1378" s="1">
        <v>41966</v>
      </c>
      <c r="I1378" s="1">
        <v>110783</v>
      </c>
      <c r="J1378" s="7">
        <v>0.379</v>
      </c>
      <c r="K1378" s="1" t="s">
        <v>21</v>
      </c>
      <c r="L1378" s="1" t="s">
        <v>29</v>
      </c>
      <c r="M1378" s="1" t="s">
        <v>29</v>
      </c>
      <c r="N1378" s="1" t="s">
        <v>22</v>
      </c>
    </row>
    <row r="1379" spans="1:14" x14ac:dyDescent="0.25">
      <c r="A1379" s="1">
        <v>1378</v>
      </c>
      <c r="B1379" s="2" t="str">
        <f>HYPERLINK("https://leetcode.com/problems/replace-employee-id-with-the-unique-identifier/", "Replace Employee ID With The Unique Identifier")</f>
        <v>Replace Employee ID With The Unique Identifier</v>
      </c>
      <c r="C1379" s="1">
        <v>2001</v>
      </c>
      <c r="D1379" s="1">
        <v>160</v>
      </c>
      <c r="E1379" s="3">
        <f>IF(INDEX(C:C, ROW())+INDEX(D:D, ROW())=0, 0, INDEX(C:C, ROW())/(INDEX(C:C, ROW())+INDEX(D:D, ROW())))</f>
        <v>0.92596020360944009</v>
      </c>
      <c r="F1379" s="1" t="s">
        <v>297</v>
      </c>
      <c r="G1379" s="1" t="s">
        <v>20</v>
      </c>
      <c r="H1379" s="1">
        <v>1268791</v>
      </c>
      <c r="I1379" s="1">
        <v>1518933</v>
      </c>
      <c r="J1379" s="7">
        <v>0.83499999999999996</v>
      </c>
      <c r="K1379" s="1" t="s">
        <v>21</v>
      </c>
      <c r="L1379" s="1" t="s">
        <v>21</v>
      </c>
      <c r="M1379" s="1" t="s">
        <v>29</v>
      </c>
      <c r="N1379" s="1" t="s">
        <v>297</v>
      </c>
    </row>
    <row r="1380" spans="1:14" x14ac:dyDescent="0.25">
      <c r="A1380" s="1">
        <v>1379</v>
      </c>
      <c r="B1380" s="2" t="str">
        <f>HYPERLINK("https://leetcode.com/problems/find-a-corresponding-node-of-a-binary-tree-in-a-clone-of-that-tree/", "Find a Corresponding Node of a Binary Tree in a Clone of That Tree")</f>
        <v>Find a Corresponding Node of a Binary Tree in a Clone of That Tree</v>
      </c>
      <c r="C1380" s="1">
        <v>1809</v>
      </c>
      <c r="D1380" s="1">
        <v>2018</v>
      </c>
      <c r="E1380" s="3">
        <f>IF(INDEX(C:C, ROW())+INDEX(D:D, ROW())=0, 0, INDEX(C:C, ROW())/(INDEX(C:C, ROW())+INDEX(D:D, ROW())))</f>
        <v>0.47269401620067936</v>
      </c>
      <c r="F1380" s="1" t="s">
        <v>80</v>
      </c>
      <c r="G1380" s="1" t="s">
        <v>20</v>
      </c>
      <c r="H1380" s="1">
        <v>262999</v>
      </c>
      <c r="I1380" s="1">
        <v>306405</v>
      </c>
      <c r="J1380" s="7">
        <v>0.85799999999999998</v>
      </c>
      <c r="K1380" s="1" t="s">
        <v>21</v>
      </c>
      <c r="L1380" s="1" t="s">
        <v>21</v>
      </c>
      <c r="M1380" s="1" t="s">
        <v>29</v>
      </c>
      <c r="N1380" s="1" t="s">
        <v>22</v>
      </c>
    </row>
    <row r="1381" spans="1:14" x14ac:dyDescent="0.25">
      <c r="A1381" s="1">
        <v>1380</v>
      </c>
      <c r="B1381" s="2" t="str">
        <f>HYPERLINK("https://leetcode.com/problems/lucky-numbers-in-a-matrix/", "Lucky Numbers in a Matrix")</f>
        <v>Lucky Numbers in a Matrix</v>
      </c>
      <c r="C1381" s="1">
        <v>2336</v>
      </c>
      <c r="D1381" s="1">
        <v>123</v>
      </c>
      <c r="E1381" s="3">
        <f>IF(INDEX(C:C, ROW())+INDEX(D:D, ROW())=0, 0, INDEX(C:C, ROW())/(INDEX(C:C, ROW())+INDEX(D:D, ROW())))</f>
        <v>0.94997966653111021</v>
      </c>
      <c r="F1381" s="1" t="s">
        <v>266</v>
      </c>
      <c r="G1381" s="1" t="s">
        <v>20</v>
      </c>
      <c r="H1381" s="1">
        <v>292105</v>
      </c>
      <c r="I1381" s="1">
        <v>365169</v>
      </c>
      <c r="J1381" s="7">
        <v>0.8</v>
      </c>
      <c r="K1381" s="1" t="s">
        <v>21</v>
      </c>
      <c r="L1381" s="1" t="s">
        <v>21</v>
      </c>
      <c r="M1381" s="1" t="s">
        <v>29</v>
      </c>
      <c r="N1381" s="1" t="s">
        <v>22</v>
      </c>
    </row>
    <row r="1382" spans="1:14" x14ac:dyDescent="0.25">
      <c r="A1382" s="1">
        <v>1381</v>
      </c>
      <c r="B1382" s="2" t="str">
        <f>HYPERLINK("https://leetcode.com/problems/design-a-stack-with-increment-operation/", "Design a Stack With Increment Operation")</f>
        <v>Design a Stack With Increment Operation</v>
      </c>
      <c r="C1382" s="1">
        <v>2363</v>
      </c>
      <c r="D1382" s="1">
        <v>112</v>
      </c>
      <c r="E1382" s="3">
        <f>IF(INDEX(C:C, ROW())+INDEX(D:D, ROW())=0, 0, INDEX(C:C, ROW())/(INDEX(C:C, ROW())+INDEX(D:D, ROW())))</f>
        <v>0.95474747474747479</v>
      </c>
      <c r="F1382" s="1" t="s">
        <v>447</v>
      </c>
      <c r="G1382" s="1" t="s">
        <v>24</v>
      </c>
      <c r="H1382" s="1">
        <v>258032</v>
      </c>
      <c r="I1382" s="1">
        <v>322761</v>
      </c>
      <c r="J1382" s="7">
        <v>0.79900000000000004</v>
      </c>
      <c r="K1382" s="1" t="s">
        <v>21</v>
      </c>
      <c r="L1382" s="1" t="s">
        <v>21</v>
      </c>
      <c r="M1382" s="1" t="s">
        <v>29</v>
      </c>
      <c r="N1382" s="1" t="s">
        <v>22</v>
      </c>
    </row>
    <row r="1383" spans="1:14" x14ac:dyDescent="0.25">
      <c r="A1383" s="1">
        <v>1382</v>
      </c>
      <c r="B1383" s="2" t="str">
        <f>HYPERLINK("https://leetcode.com/problems/balance-a-binary-search-tree/", "Balance a Binary Search Tree")</f>
        <v>Balance a Binary Search Tree</v>
      </c>
      <c r="C1383" s="1">
        <v>4157</v>
      </c>
      <c r="D1383" s="1">
        <v>105</v>
      </c>
      <c r="E1383" s="3">
        <f>IF(INDEX(C:C, ROW())+INDEX(D:D, ROW())=0, 0, INDEX(C:C, ROW())/(INDEX(C:C, ROW())+INDEX(D:D, ROW())))</f>
        <v>0.9753636790239324</v>
      </c>
      <c r="F1383" s="1" t="s">
        <v>301</v>
      </c>
      <c r="G1383" s="1" t="s">
        <v>24</v>
      </c>
      <c r="H1383" s="1">
        <v>396946</v>
      </c>
      <c r="I1383" s="1">
        <v>459908</v>
      </c>
      <c r="J1383" s="7">
        <v>0.86299999999999999</v>
      </c>
      <c r="K1383" s="1" t="s">
        <v>21</v>
      </c>
      <c r="L1383" s="1" t="s">
        <v>21</v>
      </c>
      <c r="M1383" s="1" t="s">
        <v>29</v>
      </c>
      <c r="N1383" s="1" t="s">
        <v>22</v>
      </c>
    </row>
    <row r="1384" spans="1:14" x14ac:dyDescent="0.25">
      <c r="A1384" s="1">
        <v>1383</v>
      </c>
      <c r="B1384" s="2" t="str">
        <f>HYPERLINK("https://leetcode.com/problems/maximum-performance-of-a-team/", "Maximum Performance of a Team")</f>
        <v>Maximum Performance of a Team</v>
      </c>
      <c r="C1384" s="1">
        <v>3204</v>
      </c>
      <c r="D1384" s="1">
        <v>85</v>
      </c>
      <c r="E1384" s="3">
        <f>IF(INDEX(C:C, ROW())+INDEX(D:D, ROW())=0, 0, INDEX(C:C, ROW())/(INDEX(C:C, ROW())+INDEX(D:D, ROW())))</f>
        <v>0.97415627850410458</v>
      </c>
      <c r="F1384" s="1" t="s">
        <v>302</v>
      </c>
      <c r="G1384" s="1" t="s">
        <v>28</v>
      </c>
      <c r="H1384" s="1">
        <v>108866</v>
      </c>
      <c r="I1384" s="1">
        <v>228169</v>
      </c>
      <c r="J1384" s="7">
        <v>0.47699999999999998</v>
      </c>
      <c r="K1384" s="1" t="s">
        <v>21</v>
      </c>
      <c r="L1384" s="1" t="s">
        <v>21</v>
      </c>
      <c r="M1384" s="1" t="s">
        <v>29</v>
      </c>
      <c r="N1384" s="1" t="s">
        <v>22</v>
      </c>
    </row>
    <row r="1385" spans="1:14" x14ac:dyDescent="0.25">
      <c r="A1385" s="1">
        <v>1384</v>
      </c>
      <c r="B1385" s="2" t="str">
        <f>HYPERLINK("https://leetcode.com/problems/total-sales-amount-by-year/", "Total Sales Amount by Year")</f>
        <v>Total Sales Amount by Year</v>
      </c>
      <c r="C1385" s="1">
        <v>235</v>
      </c>
      <c r="D1385" s="1">
        <v>133</v>
      </c>
      <c r="E1385" s="3">
        <f>IF(INDEX(C:C, ROW())+INDEX(D:D, ROW())=0, 0, INDEX(C:C, ROW())/(INDEX(C:C, ROW())+INDEX(D:D, ROW())))</f>
        <v>0.63858695652173914</v>
      </c>
      <c r="F1385" s="1" t="s">
        <v>297</v>
      </c>
      <c r="G1385" s="1" t="s">
        <v>28</v>
      </c>
      <c r="H1385" s="1">
        <v>19806</v>
      </c>
      <c r="I1385" s="1">
        <v>32340</v>
      </c>
      <c r="J1385" s="7">
        <v>0.61199999999999999</v>
      </c>
      <c r="K1385" s="1" t="s">
        <v>29</v>
      </c>
      <c r="L1385" s="1" t="s">
        <v>29</v>
      </c>
      <c r="M1385" s="1" t="s">
        <v>29</v>
      </c>
      <c r="N1385" s="1" t="s">
        <v>297</v>
      </c>
    </row>
    <row r="1386" spans="1:14" x14ac:dyDescent="0.25">
      <c r="A1386" s="1">
        <v>1385</v>
      </c>
      <c r="B1386" s="2" t="str">
        <f>HYPERLINK("https://leetcode.com/problems/find-the-distance-value-between-two-arrays/", "Find the Distance Value Between Two Arrays")</f>
        <v>Find the Distance Value Between Two Arrays</v>
      </c>
      <c r="C1386" s="1">
        <v>1020</v>
      </c>
      <c r="D1386" s="1">
        <v>3159</v>
      </c>
      <c r="E1386" s="3">
        <f>IF(INDEX(C:C, ROW())+INDEX(D:D, ROW())=0, 0, INDEX(C:C, ROW())/(INDEX(C:C, ROW())+INDEX(D:D, ROW())))</f>
        <v>0.2440775305096913</v>
      </c>
      <c r="F1386" s="1" t="s">
        <v>277</v>
      </c>
      <c r="G1386" s="1" t="s">
        <v>20</v>
      </c>
      <c r="H1386" s="1">
        <v>143882</v>
      </c>
      <c r="I1386" s="1">
        <v>201410</v>
      </c>
      <c r="J1386" s="7">
        <v>0.71399999999999997</v>
      </c>
      <c r="K1386" s="1" t="s">
        <v>21</v>
      </c>
      <c r="L1386" s="1" t="s">
        <v>29</v>
      </c>
      <c r="M1386" s="1" t="s">
        <v>29</v>
      </c>
      <c r="N1386" s="1" t="s">
        <v>22</v>
      </c>
    </row>
    <row r="1387" spans="1:14" x14ac:dyDescent="0.25">
      <c r="A1387" s="1">
        <v>1386</v>
      </c>
      <c r="B1387" s="2" t="str">
        <f>HYPERLINK("https://leetcode.com/problems/cinema-seat-allocation/", "Cinema Seat Allocation")</f>
        <v>Cinema Seat Allocation</v>
      </c>
      <c r="C1387" s="1">
        <v>974</v>
      </c>
      <c r="D1387" s="1">
        <v>417</v>
      </c>
      <c r="E1387" s="3">
        <f>IF(INDEX(C:C, ROW())+INDEX(D:D, ROW())=0, 0, INDEX(C:C, ROW())/(INDEX(C:C, ROW())+INDEX(D:D, ROW())))</f>
        <v>0.70021567217828895</v>
      </c>
      <c r="F1387" s="1" t="s">
        <v>719</v>
      </c>
      <c r="G1387" s="1" t="s">
        <v>24</v>
      </c>
      <c r="H1387" s="1">
        <v>61325</v>
      </c>
      <c r="I1387" s="1">
        <v>140598</v>
      </c>
      <c r="J1387" s="7">
        <v>0.436</v>
      </c>
      <c r="K1387" s="1" t="s">
        <v>21</v>
      </c>
      <c r="L1387" s="1" t="s">
        <v>29</v>
      </c>
      <c r="M1387" s="1" t="s">
        <v>29</v>
      </c>
      <c r="N1387" s="1" t="s">
        <v>22</v>
      </c>
    </row>
    <row r="1388" spans="1:14" x14ac:dyDescent="0.25">
      <c r="A1388" s="1">
        <v>1387</v>
      </c>
      <c r="B1388" s="2" t="str">
        <f>HYPERLINK("https://leetcode.com/problems/sort-integers-by-the-power-value/", "Sort Integers by The Power Value")</f>
        <v>Sort Integers by The Power Value</v>
      </c>
      <c r="C1388" s="1">
        <v>1511</v>
      </c>
      <c r="D1388" s="1">
        <v>121</v>
      </c>
      <c r="E1388" s="3">
        <f>IF(INDEX(C:C, ROW())+INDEX(D:D, ROW())=0, 0, INDEX(C:C, ROW())/(INDEX(C:C, ROW())+INDEX(D:D, ROW())))</f>
        <v>0.92585784313725494</v>
      </c>
      <c r="F1388" s="1" t="s">
        <v>585</v>
      </c>
      <c r="G1388" s="1" t="s">
        <v>24</v>
      </c>
      <c r="H1388" s="1">
        <v>120150</v>
      </c>
      <c r="I1388" s="1">
        <v>167918</v>
      </c>
      <c r="J1388" s="7">
        <v>0.71599999999999997</v>
      </c>
      <c r="K1388" s="1" t="s">
        <v>21</v>
      </c>
      <c r="L1388" s="1" t="s">
        <v>29</v>
      </c>
      <c r="M1388" s="1" t="s">
        <v>29</v>
      </c>
      <c r="N1388" s="1" t="s">
        <v>22</v>
      </c>
    </row>
    <row r="1389" spans="1:14" x14ac:dyDescent="0.25">
      <c r="A1389" s="1">
        <v>1388</v>
      </c>
      <c r="B1389" s="2" t="str">
        <f>HYPERLINK("https://leetcode.com/problems/pizza-with-3n-slices/", "Pizza With 3n Slices")</f>
        <v>Pizza With 3n Slices</v>
      </c>
      <c r="C1389" s="1">
        <v>1133</v>
      </c>
      <c r="D1389" s="1">
        <v>24</v>
      </c>
      <c r="E1389" s="3">
        <f>IF(INDEX(C:C, ROW())+INDEX(D:D, ROW())=0, 0, INDEX(C:C, ROW())/(INDEX(C:C, ROW())+INDEX(D:D, ROW())))</f>
        <v>0.97925669835782192</v>
      </c>
      <c r="F1389" s="1" t="s">
        <v>265</v>
      </c>
      <c r="G1389" s="1" t="s">
        <v>28</v>
      </c>
      <c r="H1389" s="1">
        <v>37080</v>
      </c>
      <c r="I1389" s="1">
        <v>68969</v>
      </c>
      <c r="J1389" s="7">
        <v>0.53800000000000003</v>
      </c>
      <c r="K1389" s="1" t="s">
        <v>21</v>
      </c>
      <c r="L1389" s="1" t="s">
        <v>29</v>
      </c>
      <c r="M1389" s="1" t="s">
        <v>29</v>
      </c>
      <c r="N1389" s="1" t="s">
        <v>22</v>
      </c>
    </row>
    <row r="1390" spans="1:14" x14ac:dyDescent="0.25">
      <c r="A1390" s="1">
        <v>1389</v>
      </c>
      <c r="B1390" s="2" t="str">
        <f>HYPERLINK("https://leetcode.com/problems/create-target-array-in-the-given-order/", "Create Target Array in the Given Order")</f>
        <v>Create Target Array in the Given Order</v>
      </c>
      <c r="C1390" s="1">
        <v>2280</v>
      </c>
      <c r="D1390" s="1">
        <v>1915</v>
      </c>
      <c r="E1390" s="3">
        <f>IF(INDEX(C:C, ROW())+INDEX(D:D, ROW())=0, 0, INDEX(C:C, ROW())/(INDEX(C:C, ROW())+INDEX(D:D, ROW())))</f>
        <v>0.54350417163289633</v>
      </c>
      <c r="F1390" s="1" t="s">
        <v>306</v>
      </c>
      <c r="G1390" s="1" t="s">
        <v>20</v>
      </c>
      <c r="H1390" s="1">
        <v>311252</v>
      </c>
      <c r="I1390" s="1">
        <v>360002</v>
      </c>
      <c r="J1390" s="7">
        <v>0.86499999999999999</v>
      </c>
      <c r="K1390" s="1" t="s">
        <v>21</v>
      </c>
      <c r="L1390" s="1" t="s">
        <v>29</v>
      </c>
      <c r="M1390" s="1" t="s">
        <v>29</v>
      </c>
      <c r="N1390" s="1" t="s">
        <v>22</v>
      </c>
    </row>
    <row r="1391" spans="1:14" x14ac:dyDescent="0.25">
      <c r="A1391" s="1">
        <v>1390</v>
      </c>
      <c r="B1391" s="2" t="str">
        <f>HYPERLINK("https://leetcode.com/problems/four-divisors/", "Four Divisors")</f>
        <v>Four Divisors</v>
      </c>
      <c r="C1391" s="1">
        <v>887</v>
      </c>
      <c r="D1391" s="1">
        <v>222</v>
      </c>
      <c r="E1391" s="3">
        <f>IF(INDEX(C:C, ROW())+INDEX(D:D, ROW())=0, 0, INDEX(C:C, ROW())/(INDEX(C:C, ROW())+INDEX(D:D, ROW())))</f>
        <v>0.79981965734896299</v>
      </c>
      <c r="F1391" s="1" t="s">
        <v>115</v>
      </c>
      <c r="G1391" s="1" t="s">
        <v>24</v>
      </c>
      <c r="H1391" s="1">
        <v>193469</v>
      </c>
      <c r="I1391" s="1">
        <v>341600</v>
      </c>
      <c r="J1391" s="7">
        <v>0.56599999999999995</v>
      </c>
      <c r="K1391" s="1" t="s">
        <v>21</v>
      </c>
      <c r="L1391" s="1" t="s">
        <v>21</v>
      </c>
      <c r="M1391" s="1" t="s">
        <v>29</v>
      </c>
      <c r="N1391" s="1" t="s">
        <v>22</v>
      </c>
    </row>
    <row r="1392" spans="1:14" x14ac:dyDescent="0.25">
      <c r="A1392" s="1">
        <v>1391</v>
      </c>
      <c r="B1392" s="2" t="str">
        <f>HYPERLINK("https://leetcode.com/problems/check-if-there-is-a-valid-path-in-a-grid/", "Check if There is a Valid Path in a Grid")</f>
        <v>Check if There is a Valid Path in a Grid</v>
      </c>
      <c r="C1392" s="1">
        <v>881</v>
      </c>
      <c r="D1392" s="1">
        <v>326</v>
      </c>
      <c r="E1392" s="3">
        <f>IF(INDEX(C:C, ROW())+INDEX(D:D, ROW())=0, 0, INDEX(C:C, ROW())/(INDEX(C:C, ROW())+INDEX(D:D, ROW())))</f>
        <v>0.72990886495443252</v>
      </c>
      <c r="F1392" s="1" t="s">
        <v>40</v>
      </c>
      <c r="G1392" s="1" t="s">
        <v>24</v>
      </c>
      <c r="H1392" s="1">
        <v>37010</v>
      </c>
      <c r="I1392" s="1">
        <v>74068</v>
      </c>
      <c r="J1392" s="7">
        <v>0.5</v>
      </c>
      <c r="K1392" s="1" t="s">
        <v>21</v>
      </c>
      <c r="L1392" s="1" t="s">
        <v>29</v>
      </c>
      <c r="M1392" s="1" t="s">
        <v>29</v>
      </c>
      <c r="N1392" s="1" t="s">
        <v>22</v>
      </c>
    </row>
    <row r="1393" spans="1:14" x14ac:dyDescent="0.25">
      <c r="A1393" s="1">
        <v>1392</v>
      </c>
      <c r="B1393" s="2" t="str">
        <f>HYPERLINK("https://leetcode.com/problems/longest-happy-prefix/", "Longest Happy Prefix")</f>
        <v>Longest Happy Prefix</v>
      </c>
      <c r="C1393" s="1">
        <v>1575</v>
      </c>
      <c r="D1393" s="1">
        <v>46</v>
      </c>
      <c r="E1393" s="3">
        <f>IF(INDEX(C:C, ROW())+INDEX(D:D, ROW())=0, 0, INDEX(C:C, ROW())/(INDEX(C:C, ROW())+INDEX(D:D, ROW())))</f>
        <v>0.97162245527452185</v>
      </c>
      <c r="F1393" s="1" t="s">
        <v>283</v>
      </c>
      <c r="G1393" s="1" t="s">
        <v>28</v>
      </c>
      <c r="H1393" s="1">
        <v>91101</v>
      </c>
      <c r="I1393" s="1">
        <v>176153</v>
      </c>
      <c r="J1393" s="7">
        <v>0.51700000000000002</v>
      </c>
      <c r="K1393" s="1" t="s">
        <v>21</v>
      </c>
      <c r="L1393" s="1" t="s">
        <v>29</v>
      </c>
      <c r="M1393" s="1" t="s">
        <v>29</v>
      </c>
      <c r="N1393" s="1" t="s">
        <v>22</v>
      </c>
    </row>
    <row r="1394" spans="1:14" x14ac:dyDescent="0.25">
      <c r="A1394" s="1">
        <v>1393</v>
      </c>
      <c r="B1394" s="2" t="str">
        <f>HYPERLINK("https://leetcode.com/problems/capital-gainloss/", "Capital Gain/Loss")</f>
        <v>Capital Gain/Loss</v>
      </c>
      <c r="C1394" s="1">
        <v>921</v>
      </c>
      <c r="D1394" s="1">
        <v>51</v>
      </c>
      <c r="E1394" s="3">
        <f>IF(INDEX(C:C, ROW())+INDEX(D:D, ROW())=0, 0, INDEX(C:C, ROW())/(INDEX(C:C, ROW())+INDEX(D:D, ROW())))</f>
        <v>0.94753086419753085</v>
      </c>
      <c r="F1394" s="1" t="s">
        <v>297</v>
      </c>
      <c r="G1394" s="1" t="s">
        <v>24</v>
      </c>
      <c r="H1394" s="1">
        <v>162707</v>
      </c>
      <c r="I1394" s="1">
        <v>192246</v>
      </c>
      <c r="J1394" s="7">
        <v>0.84599999999999997</v>
      </c>
      <c r="K1394" s="1" t="s">
        <v>21</v>
      </c>
      <c r="L1394" s="1" t="s">
        <v>21</v>
      </c>
      <c r="M1394" s="1" t="s">
        <v>29</v>
      </c>
      <c r="N1394" s="1" t="s">
        <v>297</v>
      </c>
    </row>
    <row r="1395" spans="1:14" x14ac:dyDescent="0.25">
      <c r="A1395" s="1">
        <v>1394</v>
      </c>
      <c r="B1395" s="2" t="str">
        <f>HYPERLINK("https://leetcode.com/problems/find-lucky-integer-in-an-array/", "Find Lucky Integer in an Array")</f>
        <v>Find Lucky Integer in an Array</v>
      </c>
      <c r="C1395" s="1">
        <v>1615</v>
      </c>
      <c r="D1395" s="1">
        <v>45</v>
      </c>
      <c r="E1395" s="3">
        <f>IF(INDEX(C:C, ROW())+INDEX(D:D, ROW())=0, 0, INDEX(C:C, ROW())/(INDEX(C:C, ROW())+INDEX(D:D, ROW())))</f>
        <v>0.97289156626506024</v>
      </c>
      <c r="F1395" s="1" t="s">
        <v>294</v>
      </c>
      <c r="G1395" s="1" t="s">
        <v>20</v>
      </c>
      <c r="H1395" s="1">
        <v>332139</v>
      </c>
      <c r="I1395" s="1">
        <v>439917</v>
      </c>
      <c r="J1395" s="7">
        <v>0.755</v>
      </c>
      <c r="K1395" s="1" t="s">
        <v>21</v>
      </c>
      <c r="L1395" s="1" t="s">
        <v>21</v>
      </c>
      <c r="M1395" s="1" t="s">
        <v>29</v>
      </c>
      <c r="N1395" s="1" t="s">
        <v>22</v>
      </c>
    </row>
    <row r="1396" spans="1:14" x14ac:dyDescent="0.25">
      <c r="A1396" s="1">
        <v>1395</v>
      </c>
      <c r="B1396" s="2" t="str">
        <f>HYPERLINK("https://leetcode.com/problems/count-number-of-teams/", "Count Number of Teams")</f>
        <v>Count Number of Teams</v>
      </c>
      <c r="C1396" s="1">
        <v>3448</v>
      </c>
      <c r="D1396" s="1">
        <v>237</v>
      </c>
      <c r="E1396" s="3">
        <f>IF(INDEX(C:C, ROW())+INDEX(D:D, ROW())=0, 0, INDEX(C:C, ROW())/(INDEX(C:C, ROW())+INDEX(D:D, ROW())))</f>
        <v>0.93568521031207597</v>
      </c>
      <c r="F1396" s="1" t="s">
        <v>186</v>
      </c>
      <c r="G1396" s="1" t="s">
        <v>24</v>
      </c>
      <c r="H1396" s="1">
        <v>242264</v>
      </c>
      <c r="I1396" s="1">
        <v>345327</v>
      </c>
      <c r="J1396" s="7">
        <v>0.70199999999999996</v>
      </c>
      <c r="K1396" s="1" t="s">
        <v>21</v>
      </c>
      <c r="L1396" s="1" t="s">
        <v>21</v>
      </c>
      <c r="M1396" s="1" t="s">
        <v>29</v>
      </c>
      <c r="N1396" s="1" t="s">
        <v>22</v>
      </c>
    </row>
    <row r="1397" spans="1:14" x14ac:dyDescent="0.25">
      <c r="A1397" s="1">
        <v>1396</v>
      </c>
      <c r="B1397" s="2" t="str">
        <f>HYPERLINK("https://leetcode.com/problems/design-underground-system/", "Design Underground System")</f>
        <v>Design Underground System</v>
      </c>
      <c r="C1397" s="1">
        <v>3584</v>
      </c>
      <c r="D1397" s="1">
        <v>178</v>
      </c>
      <c r="E1397" s="3">
        <f>IF(INDEX(C:C, ROW())+INDEX(D:D, ROW())=0, 0, INDEX(C:C, ROW())/(INDEX(C:C, ROW())+INDEX(D:D, ROW())))</f>
        <v>0.95268474215842636</v>
      </c>
      <c r="F1397" s="1" t="s">
        <v>340</v>
      </c>
      <c r="G1397" s="1" t="s">
        <v>24</v>
      </c>
      <c r="H1397" s="1">
        <v>266768</v>
      </c>
      <c r="I1397" s="1">
        <v>358661</v>
      </c>
      <c r="J1397" s="7">
        <v>0.74399999999999999</v>
      </c>
      <c r="K1397" s="1" t="s">
        <v>21</v>
      </c>
      <c r="L1397" s="1" t="s">
        <v>21</v>
      </c>
      <c r="M1397" s="1" t="s">
        <v>29</v>
      </c>
      <c r="N1397" s="1" t="s">
        <v>22</v>
      </c>
    </row>
    <row r="1398" spans="1:14" x14ac:dyDescent="0.25">
      <c r="A1398" s="1">
        <v>1397</v>
      </c>
      <c r="B1398" s="2" t="str">
        <f>HYPERLINK("https://leetcode.com/problems/find-all-good-strings/", "Find All Good Strings")</f>
        <v>Find All Good Strings</v>
      </c>
      <c r="C1398" s="1">
        <v>531</v>
      </c>
      <c r="D1398" s="1">
        <v>130</v>
      </c>
      <c r="E1398" s="3">
        <f>IF(INDEX(C:C, ROW())+INDEX(D:D, ROW())=0, 0, INDEX(C:C, ROW())/(INDEX(C:C, ROW())+INDEX(D:D, ROW())))</f>
        <v>0.80332829046898635</v>
      </c>
      <c r="F1398" s="1" t="s">
        <v>760</v>
      </c>
      <c r="G1398" s="1" t="s">
        <v>28</v>
      </c>
      <c r="H1398" s="1">
        <v>9119</v>
      </c>
      <c r="I1398" s="1">
        <v>20227</v>
      </c>
      <c r="J1398" s="7">
        <v>0.45100000000000001</v>
      </c>
      <c r="K1398" s="1" t="s">
        <v>21</v>
      </c>
      <c r="L1398" s="1" t="s">
        <v>29</v>
      </c>
      <c r="M1398" s="1" t="s">
        <v>29</v>
      </c>
      <c r="N1398" s="1" t="s">
        <v>22</v>
      </c>
    </row>
    <row r="1399" spans="1:14" x14ac:dyDescent="0.25">
      <c r="A1399" s="1">
        <v>1398</v>
      </c>
      <c r="B1399" s="2" t="str">
        <f>HYPERLINK("https://leetcode.com/problems/customers-who-bought-products-a-and-b-but-not-c/", "Customers Who Bought Products A and B but Not C")</f>
        <v>Customers Who Bought Products A and B but Not C</v>
      </c>
      <c r="C1399" s="1">
        <v>326</v>
      </c>
      <c r="D1399" s="1">
        <v>18</v>
      </c>
      <c r="E1399" s="3">
        <f>IF(INDEX(C:C, ROW())+INDEX(D:D, ROW())=0, 0, INDEX(C:C, ROW())/(INDEX(C:C, ROW())+INDEX(D:D, ROW())))</f>
        <v>0.94767441860465118</v>
      </c>
      <c r="F1399" s="1" t="s">
        <v>297</v>
      </c>
      <c r="G1399" s="1" t="s">
        <v>24</v>
      </c>
      <c r="H1399" s="1">
        <v>68218</v>
      </c>
      <c r="I1399" s="1">
        <v>95387</v>
      </c>
      <c r="J1399" s="7">
        <v>0.71499999999999997</v>
      </c>
      <c r="K1399" s="1" t="s">
        <v>29</v>
      </c>
      <c r="L1399" s="1" t="s">
        <v>21</v>
      </c>
      <c r="M1399" s="1" t="s">
        <v>29</v>
      </c>
      <c r="N1399" s="1" t="s">
        <v>297</v>
      </c>
    </row>
    <row r="1400" spans="1:14" x14ac:dyDescent="0.25">
      <c r="A1400" s="1">
        <v>1399</v>
      </c>
      <c r="B1400" s="2" t="str">
        <f>HYPERLINK("https://leetcode.com/problems/count-largest-group/", "Count Largest Group")</f>
        <v>Count Largest Group</v>
      </c>
      <c r="C1400" s="1">
        <v>802</v>
      </c>
      <c r="D1400" s="1">
        <v>1189</v>
      </c>
      <c r="E1400" s="3">
        <f>IF(INDEX(C:C, ROW())+INDEX(D:D, ROW())=0, 0, INDEX(C:C, ROW())/(INDEX(C:C, ROW())+INDEX(D:D, ROW())))</f>
        <v>0.40281265695630336</v>
      </c>
      <c r="F1400" s="1" t="s">
        <v>557</v>
      </c>
      <c r="G1400" s="1" t="s">
        <v>20</v>
      </c>
      <c r="H1400" s="1">
        <v>183335</v>
      </c>
      <c r="I1400" s="1">
        <v>245356</v>
      </c>
      <c r="J1400" s="7">
        <v>0.747</v>
      </c>
      <c r="K1400" s="1" t="s">
        <v>21</v>
      </c>
      <c r="L1400" s="1" t="s">
        <v>21</v>
      </c>
      <c r="M1400" s="1" t="s">
        <v>29</v>
      </c>
      <c r="N1400" s="1" t="s">
        <v>22</v>
      </c>
    </row>
    <row r="1401" spans="1:14" x14ac:dyDescent="0.25">
      <c r="A1401" s="1">
        <v>1400</v>
      </c>
      <c r="B1401" s="2" t="str">
        <f>HYPERLINK("https://leetcode.com/problems/construct-k-palindrome-strings/", "Construct K Palindrome Strings")</f>
        <v>Construct K Palindrome Strings</v>
      </c>
      <c r="C1401" s="1">
        <v>1792</v>
      </c>
      <c r="D1401" s="1">
        <v>160</v>
      </c>
      <c r="E1401" s="3">
        <f>IF(INDEX(C:C, ROW())+INDEX(D:D, ROW())=0, 0, INDEX(C:C, ROW())/(INDEX(C:C, ROW())+INDEX(D:D, ROW())))</f>
        <v>0.91803278688524592</v>
      </c>
      <c r="F1401" s="1" t="s">
        <v>539</v>
      </c>
      <c r="G1401" s="1" t="s">
        <v>24</v>
      </c>
      <c r="H1401" s="1">
        <v>209344</v>
      </c>
      <c r="I1401" s="1">
        <v>305270</v>
      </c>
      <c r="J1401" s="7">
        <v>0.68600000000000005</v>
      </c>
      <c r="K1401" s="1" t="s">
        <v>21</v>
      </c>
      <c r="L1401" s="1" t="s">
        <v>21</v>
      </c>
      <c r="M1401" s="1" t="s">
        <v>29</v>
      </c>
      <c r="N1401" s="1" t="s">
        <v>22</v>
      </c>
    </row>
    <row r="1402" spans="1:14" x14ac:dyDescent="0.25">
      <c r="A1402" s="1">
        <v>1401</v>
      </c>
      <c r="B1402" s="2" t="str">
        <f>HYPERLINK("https://leetcode.com/problems/circle-and-rectangle-overlapping/", "Circle and Rectangle Overlapping")</f>
        <v>Circle and Rectangle Overlapping</v>
      </c>
      <c r="C1402" s="1">
        <v>402</v>
      </c>
      <c r="D1402" s="1">
        <v>85</v>
      </c>
      <c r="E1402" s="3">
        <f>IF(INDEX(C:C, ROW())+INDEX(D:D, ROW())=0, 0, INDEX(C:C, ROW())/(INDEX(C:C, ROW())+INDEX(D:D, ROW())))</f>
        <v>0.82546201232032856</v>
      </c>
      <c r="F1402" s="1" t="s">
        <v>477</v>
      </c>
      <c r="G1402" s="1" t="s">
        <v>24</v>
      </c>
      <c r="H1402" s="1">
        <v>23844</v>
      </c>
      <c r="I1402" s="1">
        <v>47875</v>
      </c>
      <c r="J1402" s="7">
        <v>0.498</v>
      </c>
      <c r="K1402" s="1" t="s">
        <v>21</v>
      </c>
      <c r="L1402" s="1" t="s">
        <v>29</v>
      </c>
      <c r="M1402" s="1" t="s">
        <v>29</v>
      </c>
      <c r="N1402" s="1" t="s">
        <v>22</v>
      </c>
    </row>
    <row r="1403" spans="1:14" x14ac:dyDescent="0.25">
      <c r="A1403" s="1">
        <v>1402</v>
      </c>
      <c r="B1403" s="2" t="str">
        <f>HYPERLINK("https://leetcode.com/problems/reducing-dishes/", "Reducing Dishes")</f>
        <v>Reducing Dishes</v>
      </c>
      <c r="C1403" s="1">
        <v>3507</v>
      </c>
      <c r="D1403" s="1">
        <v>317</v>
      </c>
      <c r="E1403" s="3">
        <f>IF(INDEX(C:C, ROW())+INDEX(D:D, ROW())=0, 0, INDEX(C:C, ROW())/(INDEX(C:C, ROW())+INDEX(D:D, ROW())))</f>
        <v>0.91710251046025104</v>
      </c>
      <c r="F1403" s="1" t="s">
        <v>154</v>
      </c>
      <c r="G1403" s="1" t="s">
        <v>28</v>
      </c>
      <c r="H1403" s="1">
        <v>182732</v>
      </c>
      <c r="I1403" s="1">
        <v>238394</v>
      </c>
      <c r="J1403" s="7">
        <v>0.76700000000000002</v>
      </c>
      <c r="K1403" s="1" t="s">
        <v>21</v>
      </c>
      <c r="L1403" s="1" t="s">
        <v>21</v>
      </c>
      <c r="M1403" s="1" t="s">
        <v>29</v>
      </c>
      <c r="N1403" s="1" t="s">
        <v>22</v>
      </c>
    </row>
    <row r="1404" spans="1:14" x14ac:dyDescent="0.25">
      <c r="A1404" s="1">
        <v>1403</v>
      </c>
      <c r="B1404" s="2" t="str">
        <f>HYPERLINK("https://leetcode.com/problems/minimum-subsequence-in-non-increasing-order/", "Minimum Subsequence in Non-Increasing Order")</f>
        <v>Minimum Subsequence in Non-Increasing Order</v>
      </c>
      <c r="C1404" s="1">
        <v>634</v>
      </c>
      <c r="D1404" s="1">
        <v>512</v>
      </c>
      <c r="E1404" s="3">
        <f>IF(INDEX(C:C, ROW())+INDEX(D:D, ROW())=0, 0, INDEX(C:C, ROW())/(INDEX(C:C, ROW())+INDEX(D:D, ROW())))</f>
        <v>0.55322862129144856</v>
      </c>
      <c r="F1404" s="1" t="s">
        <v>169</v>
      </c>
      <c r="G1404" s="1" t="s">
        <v>20</v>
      </c>
      <c r="H1404" s="1">
        <v>90240</v>
      </c>
      <c r="I1404" s="1">
        <v>122624</v>
      </c>
      <c r="J1404" s="7">
        <v>0.73599999999999999</v>
      </c>
      <c r="K1404" s="1" t="s">
        <v>21</v>
      </c>
      <c r="L1404" s="1" t="s">
        <v>29</v>
      </c>
      <c r="M1404" s="1" t="s">
        <v>29</v>
      </c>
      <c r="N1404" s="1" t="s">
        <v>22</v>
      </c>
    </row>
    <row r="1405" spans="1:14" x14ac:dyDescent="0.25">
      <c r="A1405" s="1">
        <v>1404</v>
      </c>
      <c r="B1405" s="2" t="str">
        <f>HYPERLINK("https://leetcode.com/problems/number-of-steps-to-reduce-a-number-in-binary-representation-to-one/", "Number of Steps to Reduce a Number in Binary Representation to One")</f>
        <v>Number of Steps to Reduce a Number in Binary Representation to One</v>
      </c>
      <c r="C1405" s="1">
        <v>1423</v>
      </c>
      <c r="D1405" s="1">
        <v>90</v>
      </c>
      <c r="E1405" s="3">
        <f>IF(INDEX(C:C, ROW())+INDEX(D:D, ROW())=0, 0, INDEX(C:C, ROW())/(INDEX(C:C, ROW())+INDEX(D:D, ROW())))</f>
        <v>0.94051553205551885</v>
      </c>
      <c r="F1405" s="1" t="s">
        <v>610</v>
      </c>
      <c r="G1405" s="1" t="s">
        <v>24</v>
      </c>
      <c r="H1405" s="1">
        <v>158187</v>
      </c>
      <c r="I1405" s="1">
        <v>257863</v>
      </c>
      <c r="J1405" s="7">
        <v>0.61299999999999999</v>
      </c>
      <c r="K1405" s="1" t="s">
        <v>21</v>
      </c>
      <c r="L1405" s="1" t="s">
        <v>21</v>
      </c>
      <c r="M1405" s="1" t="s">
        <v>29</v>
      </c>
      <c r="N1405" s="1" t="s">
        <v>22</v>
      </c>
    </row>
    <row r="1406" spans="1:14" x14ac:dyDescent="0.25">
      <c r="A1406" s="1">
        <v>1405</v>
      </c>
      <c r="B1406" s="2" t="str">
        <f>HYPERLINK("https://leetcode.com/problems/longest-happy-string/", "Longest Happy String")</f>
        <v>Longest Happy String</v>
      </c>
      <c r="C1406" s="1">
        <v>2795</v>
      </c>
      <c r="D1406" s="1">
        <v>319</v>
      </c>
      <c r="E1406" s="3">
        <f>IF(INDEX(C:C, ROW())+INDEX(D:D, ROW())=0, 0, INDEX(C:C, ROW())/(INDEX(C:C, ROW())+INDEX(D:D, ROW())))</f>
        <v>0.89755940912010279</v>
      </c>
      <c r="F1406" s="1" t="s">
        <v>393</v>
      </c>
      <c r="G1406" s="1" t="s">
        <v>24</v>
      </c>
      <c r="H1406" s="1">
        <v>216252</v>
      </c>
      <c r="I1406" s="1">
        <v>330141</v>
      </c>
      <c r="J1406" s="7">
        <v>0.65500000000000003</v>
      </c>
      <c r="K1406" s="1" t="s">
        <v>21</v>
      </c>
      <c r="L1406" s="1" t="s">
        <v>21</v>
      </c>
      <c r="M1406" s="1" t="s">
        <v>29</v>
      </c>
      <c r="N1406" s="1" t="s">
        <v>22</v>
      </c>
    </row>
    <row r="1407" spans="1:14" x14ac:dyDescent="0.25">
      <c r="A1407" s="1">
        <v>1406</v>
      </c>
      <c r="B1407" s="2" t="str">
        <f>HYPERLINK("https://leetcode.com/problems/stone-game-iii/", "Stone Game III")</f>
        <v>Stone Game III</v>
      </c>
      <c r="C1407" s="1">
        <v>2298</v>
      </c>
      <c r="D1407" s="1">
        <v>80</v>
      </c>
      <c r="E1407" s="3">
        <f>IF(INDEX(C:C, ROW())+INDEX(D:D, ROW())=0, 0, INDEX(C:C, ROW())/(INDEX(C:C, ROW())+INDEX(D:D, ROW())))</f>
        <v>0.96635828427249792</v>
      </c>
      <c r="F1407" s="1" t="s">
        <v>349</v>
      </c>
      <c r="G1407" s="1" t="s">
        <v>28</v>
      </c>
      <c r="H1407" s="1">
        <v>109559</v>
      </c>
      <c r="I1407" s="1">
        <v>173096</v>
      </c>
      <c r="J1407" s="7">
        <v>0.63300000000000001</v>
      </c>
      <c r="K1407" s="1" t="s">
        <v>21</v>
      </c>
      <c r="L1407" s="1" t="s">
        <v>21</v>
      </c>
      <c r="M1407" s="1" t="s">
        <v>29</v>
      </c>
      <c r="N1407" s="1" t="s">
        <v>22</v>
      </c>
    </row>
    <row r="1408" spans="1:14" x14ac:dyDescent="0.25">
      <c r="A1408" s="1">
        <v>1407</v>
      </c>
      <c r="B1408" s="2" t="str">
        <f>HYPERLINK("https://leetcode.com/problems/top-travellers/", "Top Travellers")</f>
        <v>Top Travellers</v>
      </c>
      <c r="C1408" s="1">
        <v>741</v>
      </c>
      <c r="D1408" s="1">
        <v>85</v>
      </c>
      <c r="E1408" s="3">
        <f>IF(INDEX(C:C, ROW())+INDEX(D:D, ROW())=0, 0, INDEX(C:C, ROW())/(INDEX(C:C, ROW())+INDEX(D:D, ROW())))</f>
        <v>0.89709443099273611</v>
      </c>
      <c r="F1408" s="1" t="s">
        <v>297</v>
      </c>
      <c r="G1408" s="1" t="s">
        <v>20</v>
      </c>
      <c r="H1408" s="1">
        <v>204252</v>
      </c>
      <c r="I1408" s="1">
        <v>357744</v>
      </c>
      <c r="J1408" s="7">
        <v>0.57099999999999995</v>
      </c>
      <c r="K1408" s="1" t="s">
        <v>21</v>
      </c>
      <c r="L1408" s="1" t="s">
        <v>21</v>
      </c>
      <c r="M1408" s="1" t="s">
        <v>29</v>
      </c>
      <c r="N1408" s="1" t="s">
        <v>297</v>
      </c>
    </row>
    <row r="1409" spans="1:14" x14ac:dyDescent="0.25">
      <c r="A1409" s="1">
        <v>1408</v>
      </c>
      <c r="B1409" s="2" t="str">
        <f>HYPERLINK("https://leetcode.com/problems/string-matching-in-an-array/", "String Matching in an Array")</f>
        <v>String Matching in an Array</v>
      </c>
      <c r="C1409" s="1">
        <v>1492</v>
      </c>
      <c r="D1409" s="1">
        <v>130</v>
      </c>
      <c r="E1409" s="3">
        <f>IF(INDEX(C:C, ROW())+INDEX(D:D, ROW())=0, 0, INDEX(C:C, ROW())/(INDEX(C:C, ROW())+INDEX(D:D, ROW())))</f>
        <v>0.91985203452527742</v>
      </c>
      <c r="F1409" s="1" t="s">
        <v>592</v>
      </c>
      <c r="G1409" s="1" t="s">
        <v>20</v>
      </c>
      <c r="H1409" s="1">
        <v>289713</v>
      </c>
      <c r="I1409" s="1">
        <v>415408</v>
      </c>
      <c r="J1409" s="7">
        <v>0.69699999999999995</v>
      </c>
      <c r="K1409" s="1" t="s">
        <v>21</v>
      </c>
      <c r="L1409" s="1" t="s">
        <v>21</v>
      </c>
      <c r="M1409" s="1" t="s">
        <v>29</v>
      </c>
      <c r="N1409" s="1" t="s">
        <v>22</v>
      </c>
    </row>
    <row r="1410" spans="1:14" x14ac:dyDescent="0.25">
      <c r="A1410" s="1">
        <v>1409</v>
      </c>
      <c r="B1410" s="2" t="str">
        <f>HYPERLINK("https://leetcode.com/problems/queries-on-a-permutation-with-key/", "Queries on a Permutation With Key")</f>
        <v>Queries on a Permutation With Key</v>
      </c>
      <c r="C1410" s="1">
        <v>514</v>
      </c>
      <c r="D1410" s="1">
        <v>645</v>
      </c>
      <c r="E1410" s="3">
        <f>IF(INDEX(C:C, ROW())+INDEX(D:D, ROW())=0, 0, INDEX(C:C, ROW())/(INDEX(C:C, ROW())+INDEX(D:D, ROW())))</f>
        <v>0.44348576358930114</v>
      </c>
      <c r="F1410" s="1" t="s">
        <v>914</v>
      </c>
      <c r="G1410" s="1" t="s">
        <v>24</v>
      </c>
      <c r="H1410" s="1">
        <v>58444</v>
      </c>
      <c r="I1410" s="1">
        <v>68887</v>
      </c>
      <c r="J1410" s="7">
        <v>0.84799999999999998</v>
      </c>
      <c r="K1410" s="1" t="s">
        <v>21</v>
      </c>
      <c r="L1410" s="1" t="s">
        <v>29</v>
      </c>
      <c r="M1410" s="1" t="s">
        <v>29</v>
      </c>
      <c r="N1410" s="1" t="s">
        <v>22</v>
      </c>
    </row>
    <row r="1411" spans="1:14" x14ac:dyDescent="0.25">
      <c r="A1411" s="1">
        <v>1410</v>
      </c>
      <c r="B1411" s="2" t="str">
        <f>HYPERLINK("https://leetcode.com/problems/html-entity-parser/", "HTML Entity Parser")</f>
        <v>HTML Entity Parser</v>
      </c>
      <c r="C1411" s="1">
        <v>214</v>
      </c>
      <c r="D1411" s="1">
        <v>332</v>
      </c>
      <c r="E1411" s="3">
        <f>IF(INDEX(C:C, ROW())+INDEX(D:D, ROW())=0, 0, INDEX(C:C, ROW())/(INDEX(C:C, ROW())+INDEX(D:D, ROW())))</f>
        <v>0.39194139194139194</v>
      </c>
      <c r="F1411" s="1" t="s">
        <v>131</v>
      </c>
      <c r="G1411" s="1" t="s">
        <v>24</v>
      </c>
      <c r="H1411" s="1">
        <v>31234</v>
      </c>
      <c r="I1411" s="1">
        <v>62129</v>
      </c>
      <c r="J1411" s="7">
        <v>0.503</v>
      </c>
      <c r="K1411" s="1" t="s">
        <v>21</v>
      </c>
      <c r="L1411" s="1" t="s">
        <v>29</v>
      </c>
      <c r="M1411" s="1" t="s">
        <v>29</v>
      </c>
      <c r="N1411" s="1" t="s">
        <v>22</v>
      </c>
    </row>
    <row r="1412" spans="1:14" x14ac:dyDescent="0.25">
      <c r="A1412" s="1">
        <v>1411</v>
      </c>
      <c r="B1412" s="2" t="str">
        <f>HYPERLINK("https://leetcode.com/problems/number-of-ways-to-paint-n-3-grid/", "Number of Ways to Paint N × 3 Grid")</f>
        <v>Number of Ways to Paint N × 3 Grid</v>
      </c>
      <c r="C1412" s="1">
        <v>1648</v>
      </c>
      <c r="D1412" s="1">
        <v>91</v>
      </c>
      <c r="E1412" s="3">
        <f>IF(INDEX(C:C, ROW())+INDEX(D:D, ROW())=0, 0, INDEX(C:C, ROW())/(INDEX(C:C, ROW())+INDEX(D:D, ROW())))</f>
        <v>0.94767107533064976</v>
      </c>
      <c r="F1412" s="1" t="s">
        <v>251</v>
      </c>
      <c r="G1412" s="1" t="s">
        <v>28</v>
      </c>
      <c r="H1412" s="1">
        <v>132642</v>
      </c>
      <c r="I1412" s="1">
        <v>164694</v>
      </c>
      <c r="J1412" s="7">
        <v>0.80500000000000005</v>
      </c>
      <c r="K1412" s="1" t="s">
        <v>21</v>
      </c>
      <c r="L1412" s="1" t="s">
        <v>29</v>
      </c>
      <c r="M1412" s="1" t="s">
        <v>29</v>
      </c>
      <c r="N1412" s="1" t="s">
        <v>22</v>
      </c>
    </row>
    <row r="1413" spans="1:14" x14ac:dyDescent="0.25">
      <c r="A1413" s="1">
        <v>1412</v>
      </c>
      <c r="B1413" s="2" t="str">
        <f>HYPERLINK("https://leetcode.com/problems/find-the-quiet-students-in-all-exams/", "Find the Quiet Students in All Exams")</f>
        <v>Find the Quiet Students in All Exams</v>
      </c>
      <c r="C1413" s="1">
        <v>227</v>
      </c>
      <c r="D1413" s="1">
        <v>28</v>
      </c>
      <c r="E1413" s="3">
        <f>IF(INDEX(C:C, ROW())+INDEX(D:D, ROW())=0, 0, INDEX(C:C, ROW())/(INDEX(C:C, ROW())+INDEX(D:D, ROW())))</f>
        <v>0.8901960784313725</v>
      </c>
      <c r="F1413" s="1" t="s">
        <v>297</v>
      </c>
      <c r="G1413" s="1" t="s">
        <v>28</v>
      </c>
      <c r="H1413" s="1">
        <v>34983</v>
      </c>
      <c r="I1413" s="1">
        <v>60186</v>
      </c>
      <c r="J1413" s="7">
        <v>0.58099999999999996</v>
      </c>
      <c r="K1413" s="1" t="s">
        <v>29</v>
      </c>
      <c r="L1413" s="1" t="s">
        <v>29</v>
      </c>
      <c r="M1413" s="1" t="s">
        <v>29</v>
      </c>
      <c r="N1413" s="1" t="s">
        <v>297</v>
      </c>
    </row>
    <row r="1414" spans="1:14" x14ac:dyDescent="0.25">
      <c r="A1414" s="1">
        <v>1413</v>
      </c>
      <c r="B1414" s="2" t="str">
        <f>HYPERLINK("https://leetcode.com/problems/minimum-value-to-get-positive-step-by-step-sum/", "Minimum Value to Get Positive Step by Step Sum")</f>
        <v>Minimum Value to Get Positive Step by Step Sum</v>
      </c>
      <c r="C1414" s="1">
        <v>1669</v>
      </c>
      <c r="D1414" s="1">
        <v>386</v>
      </c>
      <c r="E1414" s="3">
        <f>IF(INDEX(C:C, ROW())+INDEX(D:D, ROW())=0, 0, INDEX(C:C, ROW())/(INDEX(C:C, ROW())+INDEX(D:D, ROW())))</f>
        <v>0.81216545012165453</v>
      </c>
      <c r="F1414" s="1" t="s">
        <v>37</v>
      </c>
      <c r="G1414" s="1" t="s">
        <v>20</v>
      </c>
      <c r="H1414" s="1">
        <v>223096</v>
      </c>
      <c r="I1414" s="1">
        <v>345239</v>
      </c>
      <c r="J1414" s="7">
        <v>0.64600000000000002</v>
      </c>
      <c r="K1414" s="1" t="s">
        <v>21</v>
      </c>
      <c r="L1414" s="1" t="s">
        <v>21</v>
      </c>
      <c r="M1414" s="1" t="s">
        <v>29</v>
      </c>
      <c r="N1414" s="1" t="s">
        <v>22</v>
      </c>
    </row>
    <row r="1415" spans="1:14" x14ac:dyDescent="0.25">
      <c r="A1415" s="1">
        <v>1414</v>
      </c>
      <c r="B1415" s="2" t="str">
        <f>HYPERLINK("https://leetcode.com/problems/find-the-minimum-number-of-fibonacci-numbers-whose-sum-is-k/", "Find the Minimum Number of Fibonacci Numbers Whose Sum Is K")</f>
        <v>Find the Minimum Number of Fibonacci Numbers Whose Sum Is K</v>
      </c>
      <c r="C1415" s="1">
        <v>1051</v>
      </c>
      <c r="D1415" s="1">
        <v>68</v>
      </c>
      <c r="E1415" s="3">
        <f>IF(INDEX(C:C, ROW())+INDEX(D:D, ROW())=0, 0, INDEX(C:C, ROW())/(INDEX(C:C, ROW())+INDEX(D:D, ROW())))</f>
        <v>0.93923145665773011</v>
      </c>
      <c r="F1415" s="1" t="s">
        <v>296</v>
      </c>
      <c r="G1415" s="1" t="s">
        <v>24</v>
      </c>
      <c r="H1415" s="1">
        <v>51692</v>
      </c>
      <c r="I1415" s="1">
        <v>79747</v>
      </c>
      <c r="J1415" s="7">
        <v>0.64800000000000002</v>
      </c>
      <c r="K1415" s="1" t="s">
        <v>21</v>
      </c>
      <c r="L1415" s="1" t="s">
        <v>29</v>
      </c>
      <c r="M1415" s="1" t="s">
        <v>29</v>
      </c>
      <c r="N1415" s="1" t="s">
        <v>22</v>
      </c>
    </row>
    <row r="1416" spans="1:14" x14ac:dyDescent="0.25">
      <c r="A1416" s="1">
        <v>1415</v>
      </c>
      <c r="B1416" s="2" t="str">
        <f>HYPERLINK("https://leetcode.com/problems/the-k-th-lexicographical-string-of-all-happy-strings-of-length-n/", "The k-th Lexicographical String of All Happy Strings of Length n")</f>
        <v>The k-th Lexicographical String of All Happy Strings of Length n</v>
      </c>
      <c r="C1416" s="1">
        <v>1531</v>
      </c>
      <c r="D1416" s="1">
        <v>45</v>
      </c>
      <c r="E1416" s="3">
        <f>IF(INDEX(C:C, ROW())+INDEX(D:D, ROW())=0, 0, INDEX(C:C, ROW())/(INDEX(C:C, ROW())+INDEX(D:D, ROW())))</f>
        <v>0.97144670050761417</v>
      </c>
      <c r="F1416" s="1" t="s">
        <v>238</v>
      </c>
      <c r="G1416" s="1" t="s">
        <v>24</v>
      </c>
      <c r="H1416" s="1">
        <v>183651</v>
      </c>
      <c r="I1416" s="1">
        <v>215296</v>
      </c>
      <c r="J1416" s="7">
        <v>0.85299999999999998</v>
      </c>
      <c r="K1416" s="1" t="s">
        <v>21</v>
      </c>
      <c r="L1416" s="1" t="s">
        <v>21</v>
      </c>
      <c r="M1416" s="1" t="s">
        <v>29</v>
      </c>
      <c r="N1416" s="1" t="s">
        <v>22</v>
      </c>
    </row>
    <row r="1417" spans="1:14" x14ac:dyDescent="0.25">
      <c r="A1417" s="1">
        <v>1416</v>
      </c>
      <c r="B1417" s="2" t="str">
        <f>HYPERLINK("https://leetcode.com/problems/restore-the-array/", "Restore The Array")</f>
        <v>Restore The Array</v>
      </c>
      <c r="C1417" s="1">
        <v>1667</v>
      </c>
      <c r="D1417" s="1">
        <v>53</v>
      </c>
      <c r="E1417" s="3">
        <f>IF(INDEX(C:C, ROW())+INDEX(D:D, ROW())=0, 0, INDEX(C:C, ROW())/(INDEX(C:C, ROW())+INDEX(D:D, ROW())))</f>
        <v>0.96918604651162787</v>
      </c>
      <c r="F1417" s="1" t="s">
        <v>82</v>
      </c>
      <c r="G1417" s="1" t="s">
        <v>28</v>
      </c>
      <c r="H1417" s="1">
        <v>67167</v>
      </c>
      <c r="I1417" s="1">
        <v>143681</v>
      </c>
      <c r="J1417" s="7">
        <v>0.46700000000000003</v>
      </c>
      <c r="K1417" s="1" t="s">
        <v>21</v>
      </c>
      <c r="L1417" s="1" t="s">
        <v>21</v>
      </c>
      <c r="M1417" s="1" t="s">
        <v>29</v>
      </c>
      <c r="N1417" s="1" t="s">
        <v>22</v>
      </c>
    </row>
    <row r="1418" spans="1:14" x14ac:dyDescent="0.25">
      <c r="A1418" s="1">
        <v>1417</v>
      </c>
      <c r="B1418" s="2" t="str">
        <f>HYPERLINK("https://leetcode.com/problems/reformat-the-string/", "Reformat The String")</f>
        <v>Reformat The String</v>
      </c>
      <c r="C1418" s="1">
        <v>618</v>
      </c>
      <c r="D1418" s="1">
        <v>110</v>
      </c>
      <c r="E1418" s="3">
        <f>IF(INDEX(C:C, ROW())+INDEX(D:D, ROW())=0, 0, INDEX(C:C, ROW())/(INDEX(C:C, ROW())+INDEX(D:D, ROW())))</f>
        <v>0.84890109890109888</v>
      </c>
      <c r="F1418" s="1" t="s">
        <v>146</v>
      </c>
      <c r="G1418" s="1" t="s">
        <v>20</v>
      </c>
      <c r="H1418" s="1">
        <v>71172</v>
      </c>
      <c r="I1418" s="1">
        <v>136545</v>
      </c>
      <c r="J1418" s="7">
        <v>0.52100000000000002</v>
      </c>
      <c r="K1418" s="1" t="s">
        <v>21</v>
      </c>
      <c r="L1418" s="1" t="s">
        <v>29</v>
      </c>
      <c r="M1418" s="1" t="s">
        <v>29</v>
      </c>
      <c r="N1418" s="1" t="s">
        <v>22</v>
      </c>
    </row>
    <row r="1419" spans="1:14" x14ac:dyDescent="0.25">
      <c r="A1419" s="1">
        <v>1418</v>
      </c>
      <c r="B1419" s="2" t="str">
        <f>HYPERLINK("https://leetcode.com/problems/display-table-of-food-orders-in-a-restaurant/", "Display Table of Food Orders in a Restaurant")</f>
        <v>Display Table of Food Orders in a Restaurant</v>
      </c>
      <c r="C1419" s="1">
        <v>430</v>
      </c>
      <c r="D1419" s="1">
        <v>494</v>
      </c>
      <c r="E1419" s="3">
        <f>IF(INDEX(C:C, ROW())+INDEX(D:D, ROW())=0, 0, INDEX(C:C, ROW())/(INDEX(C:C, ROW())+INDEX(D:D, ROW())))</f>
        <v>0.46536796536796537</v>
      </c>
      <c r="F1419" s="1" t="s">
        <v>959</v>
      </c>
      <c r="G1419" s="1" t="s">
        <v>24</v>
      </c>
      <c r="H1419" s="1">
        <v>36769</v>
      </c>
      <c r="I1419" s="1">
        <v>48120</v>
      </c>
      <c r="J1419" s="7">
        <v>0.76400000000000001</v>
      </c>
      <c r="K1419" s="1" t="s">
        <v>21</v>
      </c>
      <c r="L1419" s="1" t="s">
        <v>29</v>
      </c>
      <c r="M1419" s="1" t="s">
        <v>29</v>
      </c>
      <c r="N1419" s="1" t="s">
        <v>22</v>
      </c>
    </row>
    <row r="1420" spans="1:14" x14ac:dyDescent="0.25">
      <c r="A1420" s="1">
        <v>1419</v>
      </c>
      <c r="B1420" s="2" t="str">
        <f>HYPERLINK("https://leetcode.com/problems/minimum-number-of-frogs-croaking/", "Minimum Number of Frogs Croaking")</f>
        <v>Minimum Number of Frogs Croaking</v>
      </c>
      <c r="C1420" s="1">
        <v>1122</v>
      </c>
      <c r="D1420" s="1">
        <v>95</v>
      </c>
      <c r="E1420" s="3">
        <f>IF(INDEX(C:C, ROW())+INDEX(D:D, ROW())=0, 0, INDEX(C:C, ROW())/(INDEX(C:C, ROW())+INDEX(D:D, ROW())))</f>
        <v>0.92193919474116681</v>
      </c>
      <c r="F1420" s="1" t="s">
        <v>452</v>
      </c>
      <c r="G1420" s="1" t="s">
        <v>24</v>
      </c>
      <c r="H1420" s="1">
        <v>62697</v>
      </c>
      <c r="I1420" s="1">
        <v>122606</v>
      </c>
      <c r="J1420" s="7">
        <v>0.51100000000000001</v>
      </c>
      <c r="K1420" s="1" t="s">
        <v>21</v>
      </c>
      <c r="L1420" s="1" t="s">
        <v>29</v>
      </c>
      <c r="M1420" s="1" t="s">
        <v>29</v>
      </c>
      <c r="N1420" s="1" t="s">
        <v>22</v>
      </c>
    </row>
    <row r="1421" spans="1:14" x14ac:dyDescent="0.25">
      <c r="A1421" s="1">
        <v>1420</v>
      </c>
      <c r="B1421" s="2" t="str">
        <f>HYPERLINK("https://leetcode.com/problems/build-array-where-you-can-find-the-maximum-exactly-k-comparisons/", "Build Array Where You Can Find The Maximum Exactly K Comparisons")</f>
        <v>Build Array Where You Can Find The Maximum Exactly K Comparisons</v>
      </c>
      <c r="C1421" s="1">
        <v>1461</v>
      </c>
      <c r="D1421" s="1">
        <v>94</v>
      </c>
      <c r="E1421" s="3">
        <f>IF(INDEX(C:C, ROW())+INDEX(D:D, ROW())=0, 0, INDEX(C:C, ROW())/(INDEX(C:C, ROW())+INDEX(D:D, ROW())))</f>
        <v>0.93954983922829582</v>
      </c>
      <c r="F1421" s="1" t="s">
        <v>599</v>
      </c>
      <c r="G1421" s="1" t="s">
        <v>28</v>
      </c>
      <c r="H1421" s="1">
        <v>72072</v>
      </c>
      <c r="I1421" s="1">
        <v>109337</v>
      </c>
      <c r="J1421" s="7">
        <v>0.65900000000000003</v>
      </c>
      <c r="K1421" s="1" t="s">
        <v>21</v>
      </c>
      <c r="L1421" s="1" t="s">
        <v>21</v>
      </c>
      <c r="M1421" s="1" t="s">
        <v>29</v>
      </c>
      <c r="N1421" s="1" t="s">
        <v>22</v>
      </c>
    </row>
    <row r="1422" spans="1:14" x14ac:dyDescent="0.25">
      <c r="A1422" s="1">
        <v>1421</v>
      </c>
      <c r="B1422" s="2" t="str">
        <f>HYPERLINK("https://leetcode.com/problems/npv-queries/", "NPV Queries")</f>
        <v>NPV Queries</v>
      </c>
      <c r="C1422" s="1">
        <v>61</v>
      </c>
      <c r="D1422" s="1">
        <v>297</v>
      </c>
      <c r="E1422" s="3">
        <f>IF(INDEX(C:C, ROW())+INDEX(D:D, ROW())=0, 0, INDEX(C:C, ROW())/(INDEX(C:C, ROW())+INDEX(D:D, ROW())))</f>
        <v>0.17039106145251395</v>
      </c>
      <c r="F1422" s="1" t="s">
        <v>297</v>
      </c>
      <c r="G1422" s="1" t="s">
        <v>20</v>
      </c>
      <c r="H1422" s="1">
        <v>31318</v>
      </c>
      <c r="I1422" s="1">
        <v>37765</v>
      </c>
      <c r="J1422" s="7">
        <v>0.82899999999999996</v>
      </c>
      <c r="K1422" s="1" t="s">
        <v>29</v>
      </c>
      <c r="L1422" s="1" t="s">
        <v>21</v>
      </c>
      <c r="M1422" s="1" t="s">
        <v>29</v>
      </c>
      <c r="N1422" s="1" t="s">
        <v>297</v>
      </c>
    </row>
    <row r="1423" spans="1:14" x14ac:dyDescent="0.25">
      <c r="A1423" s="1">
        <v>1422</v>
      </c>
      <c r="B1423" s="2" t="str">
        <f>HYPERLINK("https://leetcode.com/problems/maximum-score-after-splitting-a-string/", "Maximum Score After Splitting a String")</f>
        <v>Maximum Score After Splitting a String</v>
      </c>
      <c r="C1423" s="1">
        <v>2186</v>
      </c>
      <c r="D1423" s="1">
        <v>91</v>
      </c>
      <c r="E1423" s="3">
        <f>IF(INDEX(C:C, ROW())+INDEX(D:D, ROW())=0, 0, INDEX(C:C, ROW())/(INDEX(C:C, ROW())+INDEX(D:D, ROW())))</f>
        <v>0.96003513394817741</v>
      </c>
      <c r="F1423" s="1" t="s">
        <v>438</v>
      </c>
      <c r="G1423" s="1" t="s">
        <v>20</v>
      </c>
      <c r="H1423" s="1">
        <v>369548</v>
      </c>
      <c r="I1423" s="1">
        <v>567924</v>
      </c>
      <c r="J1423" s="7">
        <v>0.65100000000000002</v>
      </c>
      <c r="K1423" s="1" t="s">
        <v>21</v>
      </c>
      <c r="L1423" s="1" t="s">
        <v>21</v>
      </c>
      <c r="M1423" s="1" t="s">
        <v>29</v>
      </c>
      <c r="N1423" s="1" t="s">
        <v>22</v>
      </c>
    </row>
    <row r="1424" spans="1:14" x14ac:dyDescent="0.25">
      <c r="A1424" s="1">
        <v>1423</v>
      </c>
      <c r="B1424" s="2" t="str">
        <f>HYPERLINK("https://leetcode.com/problems/maximum-points-you-can-obtain-from-cards/", "Maximum Points You Can Obtain from Cards")</f>
        <v>Maximum Points You Can Obtain from Cards</v>
      </c>
      <c r="C1424" s="1">
        <v>7035</v>
      </c>
      <c r="D1424" s="1">
        <v>316</v>
      </c>
      <c r="E1424" s="3">
        <f>IF(INDEX(C:C, ROW())+INDEX(D:D, ROW())=0, 0, INDEX(C:C, ROW())/(INDEX(C:C, ROW())+INDEX(D:D, ROW())))</f>
        <v>0.95701265133995372</v>
      </c>
      <c r="F1424" s="1" t="s">
        <v>197</v>
      </c>
      <c r="G1424" s="1" t="s">
        <v>24</v>
      </c>
      <c r="H1424" s="1">
        <v>495757</v>
      </c>
      <c r="I1424" s="1">
        <v>865805</v>
      </c>
      <c r="J1424" s="7">
        <v>0.57299999999999995</v>
      </c>
      <c r="K1424" s="1" t="s">
        <v>21</v>
      </c>
      <c r="L1424" s="1" t="s">
        <v>21</v>
      </c>
      <c r="M1424" s="1" t="s">
        <v>29</v>
      </c>
      <c r="N1424" s="1" t="s">
        <v>22</v>
      </c>
    </row>
    <row r="1425" spans="1:14" x14ac:dyDescent="0.25">
      <c r="A1425" s="1">
        <v>1424</v>
      </c>
      <c r="B1425" s="2" t="str">
        <f>HYPERLINK("https://leetcode.com/problems/diagonal-traverse-ii/", "Diagonal Traverse II")</f>
        <v>Diagonal Traverse II</v>
      </c>
      <c r="C1425" s="1">
        <v>2298</v>
      </c>
      <c r="D1425" s="1">
        <v>159</v>
      </c>
      <c r="E1425" s="3">
        <f>IF(INDEX(C:C, ROW())+INDEX(D:D, ROW())=0, 0, INDEX(C:C, ROW())/(INDEX(C:C, ROW())+INDEX(D:D, ROW())))</f>
        <v>0.93528693528693529</v>
      </c>
      <c r="F1425" s="1" t="s">
        <v>350</v>
      </c>
      <c r="G1425" s="1" t="s">
        <v>24</v>
      </c>
      <c r="H1425" s="1">
        <v>177442</v>
      </c>
      <c r="I1425" s="1">
        <v>304330</v>
      </c>
      <c r="J1425" s="7">
        <v>0.58299999999999996</v>
      </c>
      <c r="K1425" s="1" t="s">
        <v>21</v>
      </c>
      <c r="L1425" s="1" t="s">
        <v>21</v>
      </c>
      <c r="M1425" s="1" t="s">
        <v>29</v>
      </c>
      <c r="N1425" s="1" t="s">
        <v>22</v>
      </c>
    </row>
    <row r="1426" spans="1:14" x14ac:dyDescent="0.25">
      <c r="A1426" s="1">
        <v>1425</v>
      </c>
      <c r="B1426" s="2" t="str">
        <f>HYPERLINK("https://leetcode.com/problems/constrained-subsequence-sum/", "Constrained Subsequence Sum")</f>
        <v>Constrained Subsequence Sum</v>
      </c>
      <c r="C1426" s="1">
        <v>2238</v>
      </c>
      <c r="D1426" s="1">
        <v>109</v>
      </c>
      <c r="E1426" s="3">
        <f>IF(INDEX(C:C, ROW())+INDEX(D:D, ROW())=0, 0, INDEX(C:C, ROW())/(INDEX(C:C, ROW())+INDEX(D:D, ROW())))</f>
        <v>0.95355773327652327</v>
      </c>
      <c r="F1426" s="1" t="s">
        <v>469</v>
      </c>
      <c r="G1426" s="1" t="s">
        <v>28</v>
      </c>
      <c r="H1426" s="1">
        <v>90868</v>
      </c>
      <c r="I1426" s="1">
        <v>161214</v>
      </c>
      <c r="J1426" s="7">
        <v>0.56399999999999995</v>
      </c>
      <c r="K1426" s="1" t="s">
        <v>21</v>
      </c>
      <c r="L1426" s="1" t="s">
        <v>21</v>
      </c>
      <c r="M1426" s="1" t="s">
        <v>29</v>
      </c>
      <c r="N1426" s="1" t="s">
        <v>22</v>
      </c>
    </row>
    <row r="1427" spans="1:14" x14ac:dyDescent="0.25">
      <c r="A1427" s="1">
        <v>1426</v>
      </c>
      <c r="B1427" s="2" t="str">
        <f>HYPERLINK("https://leetcode.com/problems/counting-elements/", "Counting Elements")</f>
        <v>Counting Elements</v>
      </c>
      <c r="C1427" s="1">
        <v>166</v>
      </c>
      <c r="D1427" s="1">
        <v>65</v>
      </c>
      <c r="E1427" s="3">
        <f>IF(INDEX(C:C, ROW())+INDEX(D:D, ROW())=0, 0, INDEX(C:C, ROW())/(INDEX(C:C, ROW())+INDEX(D:D, ROW())))</f>
        <v>0.7186147186147186</v>
      </c>
      <c r="F1427" s="1" t="s">
        <v>19</v>
      </c>
      <c r="G1427" s="1" t="s">
        <v>20</v>
      </c>
      <c r="H1427" s="1">
        <v>165688</v>
      </c>
      <c r="I1427" s="1">
        <v>272822</v>
      </c>
      <c r="J1427" s="7">
        <v>0.60699999999999998</v>
      </c>
      <c r="K1427" s="1" t="s">
        <v>29</v>
      </c>
      <c r="L1427" s="1" t="s">
        <v>21</v>
      </c>
      <c r="M1427" s="1" t="s">
        <v>29</v>
      </c>
      <c r="N1427" s="1" t="s">
        <v>22</v>
      </c>
    </row>
    <row r="1428" spans="1:14" x14ac:dyDescent="0.25">
      <c r="A1428" s="1">
        <v>1427</v>
      </c>
      <c r="B1428" s="2" t="str">
        <f>HYPERLINK("https://leetcode.com/problems/perform-string-shifts/", "Perform String Shifts")</f>
        <v>Perform String Shifts</v>
      </c>
      <c r="C1428" s="1">
        <v>276</v>
      </c>
      <c r="D1428" s="1">
        <v>16</v>
      </c>
      <c r="E1428" s="3">
        <f>IF(INDEX(C:C, ROW())+INDEX(D:D, ROW())=0, 0, INDEX(C:C, ROW())/(INDEX(C:C, ROW())+INDEX(D:D, ROW())))</f>
        <v>0.9452054794520548</v>
      </c>
      <c r="F1428" s="1" t="s">
        <v>858</v>
      </c>
      <c r="G1428" s="1" t="s">
        <v>20</v>
      </c>
      <c r="H1428" s="1">
        <v>93597</v>
      </c>
      <c r="I1428" s="1">
        <v>167256</v>
      </c>
      <c r="J1428" s="7">
        <v>0.56000000000000005</v>
      </c>
      <c r="K1428" s="1" t="s">
        <v>29</v>
      </c>
      <c r="L1428" s="1" t="s">
        <v>21</v>
      </c>
      <c r="M1428" s="1" t="s">
        <v>29</v>
      </c>
      <c r="N1428" s="1" t="s">
        <v>22</v>
      </c>
    </row>
    <row r="1429" spans="1:14" x14ac:dyDescent="0.25">
      <c r="A1429" s="1">
        <v>1428</v>
      </c>
      <c r="B1429" s="2" t="str">
        <f>HYPERLINK("https://leetcode.com/problems/leftmost-column-with-at-least-a-one/", "Leftmost Column with at Least a One")</f>
        <v>Leftmost Column with at Least a One</v>
      </c>
      <c r="C1429" s="1">
        <v>1255</v>
      </c>
      <c r="D1429" s="1">
        <v>152</v>
      </c>
      <c r="E1429" s="3">
        <f>IF(INDEX(C:C, ROW())+INDEX(D:D, ROW())=0, 0, INDEX(C:C, ROW())/(INDEX(C:C, ROW())+INDEX(D:D, ROW())))</f>
        <v>0.89196872778962333</v>
      </c>
      <c r="F1429" s="1" t="s">
        <v>647</v>
      </c>
      <c r="G1429" s="1" t="s">
        <v>24</v>
      </c>
      <c r="H1429" s="1">
        <v>196374</v>
      </c>
      <c r="I1429" s="1">
        <v>356571</v>
      </c>
      <c r="J1429" s="7">
        <v>0.55100000000000005</v>
      </c>
      <c r="K1429" s="1" t="s">
        <v>29</v>
      </c>
      <c r="L1429" s="1" t="s">
        <v>21</v>
      </c>
      <c r="M1429" s="1" t="s">
        <v>29</v>
      </c>
      <c r="N1429" s="1" t="s">
        <v>22</v>
      </c>
    </row>
    <row r="1430" spans="1:14" x14ac:dyDescent="0.25">
      <c r="A1430" s="1">
        <v>1429</v>
      </c>
      <c r="B1430" s="2" t="str">
        <f>HYPERLINK("https://leetcode.com/problems/first-unique-number/", "First Unique Number")</f>
        <v>First Unique Number</v>
      </c>
      <c r="C1430" s="1">
        <v>605</v>
      </c>
      <c r="D1430" s="1">
        <v>35</v>
      </c>
      <c r="E1430" s="3">
        <f>IF(INDEX(C:C, ROW())+INDEX(D:D, ROW())=0, 0, INDEX(C:C, ROW())/(INDEX(C:C, ROW())+INDEX(D:D, ROW())))</f>
        <v>0.9453125</v>
      </c>
      <c r="F1430" s="1" t="s">
        <v>851</v>
      </c>
      <c r="G1430" s="1" t="s">
        <v>24</v>
      </c>
      <c r="H1430" s="1">
        <v>110111</v>
      </c>
      <c r="I1430" s="1">
        <v>193142</v>
      </c>
      <c r="J1430" s="7">
        <v>0.56999999999999995</v>
      </c>
      <c r="K1430" s="1" t="s">
        <v>29</v>
      </c>
      <c r="L1430" s="1" t="s">
        <v>21</v>
      </c>
      <c r="M1430" s="1" t="s">
        <v>29</v>
      </c>
      <c r="N1430" s="1" t="s">
        <v>22</v>
      </c>
    </row>
    <row r="1431" spans="1:14" x14ac:dyDescent="0.25">
      <c r="A1431" s="1">
        <v>1430</v>
      </c>
      <c r="B1431" s="2" t="str">
        <f>HYPERLINK("https://leetcode.com/problems/check-if-a-string-is-a-valid-sequence-from-root-to-leaves-path-in-a-binary-tree/", "Check If a String Is a Valid Sequence from Root to Leaves Path in a Binary Tree")</f>
        <v>Check If a String Is a Valid Sequence from Root to Leaves Path in a Binary Tree</v>
      </c>
      <c r="C1431" s="1">
        <v>219</v>
      </c>
      <c r="D1431" s="1">
        <v>15</v>
      </c>
      <c r="E1431" s="3">
        <f>IF(INDEX(C:C, ROW())+INDEX(D:D, ROW())=0, 0, INDEX(C:C, ROW())/(INDEX(C:C, ROW())+INDEX(D:D, ROW())))</f>
        <v>0.9358974358974359</v>
      </c>
      <c r="F1431" s="1" t="s">
        <v>80</v>
      </c>
      <c r="G1431" s="1" t="s">
        <v>24</v>
      </c>
      <c r="H1431" s="1">
        <v>46366</v>
      </c>
      <c r="I1431" s="1">
        <v>97672</v>
      </c>
      <c r="J1431" s="7">
        <v>0.47499999999999998</v>
      </c>
      <c r="K1431" s="1" t="s">
        <v>29</v>
      </c>
      <c r="L1431" s="1" t="s">
        <v>29</v>
      </c>
      <c r="M1431" s="1" t="s">
        <v>29</v>
      </c>
      <c r="N1431" s="1" t="s">
        <v>22</v>
      </c>
    </row>
    <row r="1432" spans="1:14" x14ac:dyDescent="0.25">
      <c r="A1432" s="1">
        <v>1431</v>
      </c>
      <c r="B1432" s="2" t="str">
        <f>HYPERLINK("https://leetcode.com/problems/kids-with-the-greatest-number-of-candies/", "Kids With the Greatest Number of Candies")</f>
        <v>Kids With the Greatest Number of Candies</v>
      </c>
      <c r="C1432" s="1">
        <v>4945</v>
      </c>
      <c r="D1432" s="1">
        <v>634</v>
      </c>
      <c r="E1432" s="3">
        <f>IF(INDEX(C:C, ROW())+INDEX(D:D, ROW())=0, 0, INDEX(C:C, ROW())/(INDEX(C:C, ROW())+INDEX(D:D, ROW())))</f>
        <v>0.88635956264563542</v>
      </c>
      <c r="F1432" s="1" t="s">
        <v>113</v>
      </c>
      <c r="G1432" s="1" t="s">
        <v>20</v>
      </c>
      <c r="H1432" s="1">
        <v>1468747</v>
      </c>
      <c r="I1432" s="1">
        <v>1668104</v>
      </c>
      <c r="J1432" s="7">
        <v>0.88</v>
      </c>
      <c r="K1432" s="1" t="s">
        <v>21</v>
      </c>
      <c r="L1432" s="1" t="s">
        <v>21</v>
      </c>
      <c r="M1432" s="1" t="s">
        <v>29</v>
      </c>
      <c r="N1432" s="1" t="s">
        <v>22</v>
      </c>
    </row>
    <row r="1433" spans="1:14" x14ac:dyDescent="0.25">
      <c r="A1433" s="1">
        <v>1432</v>
      </c>
      <c r="B1433" s="2" t="str">
        <f>HYPERLINK("https://leetcode.com/problems/max-difference-you-can-get-from-changing-an-integer/", "Max Difference You Can Get From Changing an Integer")</f>
        <v>Max Difference You Can Get From Changing an Integer</v>
      </c>
      <c r="C1433" s="1">
        <v>595</v>
      </c>
      <c r="D1433" s="1">
        <v>377</v>
      </c>
      <c r="E1433" s="3">
        <f>IF(INDEX(C:C, ROW())+INDEX(D:D, ROW())=0, 0, INDEX(C:C, ROW())/(INDEX(C:C, ROW())+INDEX(D:D, ROW())))</f>
        <v>0.61213991769547327</v>
      </c>
      <c r="F1433" s="1" t="s">
        <v>296</v>
      </c>
      <c r="G1433" s="1" t="s">
        <v>24</v>
      </c>
      <c r="H1433" s="1">
        <v>112396</v>
      </c>
      <c r="I1433" s="1">
        <v>230307</v>
      </c>
      <c r="J1433" s="7">
        <v>0.48799999999999999</v>
      </c>
      <c r="K1433" s="1" t="s">
        <v>21</v>
      </c>
      <c r="L1433" s="1" t="s">
        <v>21</v>
      </c>
      <c r="M1433" s="1" t="s">
        <v>29</v>
      </c>
      <c r="N1433" s="1" t="s">
        <v>22</v>
      </c>
    </row>
    <row r="1434" spans="1:14" x14ac:dyDescent="0.25">
      <c r="A1434" s="1">
        <v>1433</v>
      </c>
      <c r="B1434" s="2" t="str">
        <f>HYPERLINK("https://leetcode.com/problems/check-if-a-string-can-break-another-string/", "Check If a String Can Break Another String")</f>
        <v>Check If a String Can Break Another String</v>
      </c>
      <c r="C1434" s="1">
        <v>781</v>
      </c>
      <c r="D1434" s="1">
        <v>155</v>
      </c>
      <c r="E1434" s="3">
        <f>IF(INDEX(C:C, ROW())+INDEX(D:D, ROW())=0, 0, INDEX(C:C, ROW())/(INDEX(C:C, ROW())+INDEX(D:D, ROW())))</f>
        <v>0.83440170940170943</v>
      </c>
      <c r="F1434" s="1" t="s">
        <v>771</v>
      </c>
      <c r="G1434" s="1" t="s">
        <v>24</v>
      </c>
      <c r="H1434" s="1">
        <v>52899</v>
      </c>
      <c r="I1434" s="1">
        <v>74646</v>
      </c>
      <c r="J1434" s="7">
        <v>0.70899999999999996</v>
      </c>
      <c r="K1434" s="1" t="s">
        <v>21</v>
      </c>
      <c r="L1434" s="1" t="s">
        <v>29</v>
      </c>
      <c r="M1434" s="1" t="s">
        <v>29</v>
      </c>
      <c r="N1434" s="1" t="s">
        <v>22</v>
      </c>
    </row>
    <row r="1435" spans="1:14" x14ac:dyDescent="0.25">
      <c r="A1435" s="1">
        <v>1434</v>
      </c>
      <c r="B1435" s="2" t="str">
        <f>HYPERLINK("https://leetcode.com/problems/number-of-ways-to-wear-different-hats-to-each-other/", "Number of Ways to Wear Different Hats to Each Other")</f>
        <v>Number of Ways to Wear Different Hats to Each Other</v>
      </c>
      <c r="C1435" s="1">
        <v>959</v>
      </c>
      <c r="D1435" s="1">
        <v>12</v>
      </c>
      <c r="E1435" s="3">
        <f>IF(INDEX(C:C, ROW())+INDEX(D:D, ROW())=0, 0, INDEX(C:C, ROW())/(INDEX(C:C, ROW())+INDEX(D:D, ROW())))</f>
        <v>0.9876416065911432</v>
      </c>
      <c r="F1435" s="1" t="s">
        <v>462</v>
      </c>
      <c r="G1435" s="1" t="s">
        <v>28</v>
      </c>
      <c r="H1435" s="1">
        <v>21589</v>
      </c>
      <c r="I1435" s="1">
        <v>47275</v>
      </c>
      <c r="J1435" s="7">
        <v>0.45700000000000002</v>
      </c>
      <c r="K1435" s="1" t="s">
        <v>21</v>
      </c>
      <c r="L1435" s="1" t="s">
        <v>21</v>
      </c>
      <c r="M1435" s="1" t="s">
        <v>29</v>
      </c>
      <c r="N1435" s="1" t="s">
        <v>22</v>
      </c>
    </row>
    <row r="1436" spans="1:14" x14ac:dyDescent="0.25">
      <c r="A1436" s="1">
        <v>1435</v>
      </c>
      <c r="B1436" s="2" t="str">
        <f>HYPERLINK("https://leetcode.com/problems/create-a-session-bar-chart/", "Create a Session Bar Chart")</f>
        <v>Create a Session Bar Chart</v>
      </c>
      <c r="C1436" s="1">
        <v>158</v>
      </c>
      <c r="D1436" s="1">
        <v>265</v>
      </c>
      <c r="E1436" s="3">
        <f>IF(INDEX(C:C, ROW())+INDEX(D:D, ROW())=0, 0, INDEX(C:C, ROW())/(INDEX(C:C, ROW())+INDEX(D:D, ROW())))</f>
        <v>0.37352245862884159</v>
      </c>
      <c r="F1436" s="1" t="s">
        <v>297</v>
      </c>
      <c r="G1436" s="1" t="s">
        <v>20</v>
      </c>
      <c r="H1436" s="1">
        <v>27118</v>
      </c>
      <c r="I1436" s="1">
        <v>36443</v>
      </c>
      <c r="J1436" s="7">
        <v>0.74399999999999999</v>
      </c>
      <c r="K1436" s="1" t="s">
        <v>29</v>
      </c>
      <c r="L1436" s="1" t="s">
        <v>29</v>
      </c>
      <c r="M1436" s="1" t="s">
        <v>29</v>
      </c>
      <c r="N1436" s="1" t="s">
        <v>297</v>
      </c>
    </row>
    <row r="1437" spans="1:14" x14ac:dyDescent="0.25">
      <c r="A1437" s="1">
        <v>1436</v>
      </c>
      <c r="B1437" s="2" t="str">
        <f>HYPERLINK("https://leetcode.com/problems/destination-city/", "Destination City")</f>
        <v>Destination City</v>
      </c>
      <c r="C1437" s="1">
        <v>2310</v>
      </c>
      <c r="D1437" s="1">
        <v>107</v>
      </c>
      <c r="E1437" s="3">
        <f>IF(INDEX(C:C, ROW())+INDEX(D:D, ROW())=0, 0, INDEX(C:C, ROW())/(INDEX(C:C, ROW())+INDEX(D:D, ROW())))</f>
        <v>0.95573024410426144</v>
      </c>
      <c r="F1437" s="1" t="s">
        <v>258</v>
      </c>
      <c r="G1437" s="1" t="s">
        <v>20</v>
      </c>
      <c r="H1437" s="1">
        <v>322707</v>
      </c>
      <c r="I1437" s="1">
        <v>405966</v>
      </c>
      <c r="J1437" s="7">
        <v>0.79500000000000004</v>
      </c>
      <c r="K1437" s="1" t="s">
        <v>21</v>
      </c>
      <c r="L1437" s="1" t="s">
        <v>21</v>
      </c>
      <c r="M1437" s="1" t="s">
        <v>29</v>
      </c>
      <c r="N1437" s="1" t="s">
        <v>22</v>
      </c>
    </row>
    <row r="1438" spans="1:14" x14ac:dyDescent="0.25">
      <c r="A1438" s="1">
        <v>1437</v>
      </c>
      <c r="B1438" s="2" t="str">
        <f>HYPERLINK("https://leetcode.com/problems/check-if-all-1s-are-at-least-length-k-places-away/", "Check If All 1's Are at Least Length K Places Away")</f>
        <v>Check If All 1's Are at Least Length K Places Away</v>
      </c>
      <c r="C1438" s="1">
        <v>957</v>
      </c>
      <c r="D1438" s="1">
        <v>243</v>
      </c>
      <c r="E1438" s="3">
        <f>IF(INDEX(C:C, ROW())+INDEX(D:D, ROW())=0, 0, INDEX(C:C, ROW())/(INDEX(C:C, ROW())+INDEX(D:D, ROW())))</f>
        <v>0.79749999999999999</v>
      </c>
      <c r="F1438" s="1" t="s">
        <v>113</v>
      </c>
      <c r="G1438" s="1" t="s">
        <v>20</v>
      </c>
      <c r="H1438" s="1">
        <v>211714</v>
      </c>
      <c r="I1438" s="1">
        <v>329441</v>
      </c>
      <c r="J1438" s="7">
        <v>0.64300000000000002</v>
      </c>
      <c r="K1438" s="1" t="s">
        <v>21</v>
      </c>
      <c r="L1438" s="1" t="s">
        <v>21</v>
      </c>
      <c r="M1438" s="1" t="s">
        <v>29</v>
      </c>
      <c r="N1438" s="1" t="s">
        <v>22</v>
      </c>
    </row>
    <row r="1439" spans="1:14" x14ac:dyDescent="0.25">
      <c r="A1439" s="1">
        <v>1438</v>
      </c>
      <c r="B1439" s="2" t="str">
        <f>HYPERLINK("https://leetcode.com/problems/longest-continuous-subarray-with-absolute-diff-less-than-or-equal-to-limit/", "Longest Continuous Subarray With Absolute Diff Less Than or Equal to Limit")</f>
        <v>Longest Continuous Subarray With Absolute Diff Less Than or Equal to Limit</v>
      </c>
      <c r="C1439" s="1">
        <v>4480</v>
      </c>
      <c r="D1439" s="1">
        <v>225</v>
      </c>
      <c r="E1439" s="3">
        <f>IF(INDEX(C:C, ROW())+INDEX(D:D, ROW())=0, 0, INDEX(C:C, ROW())/(INDEX(C:C, ROW())+INDEX(D:D, ROW())))</f>
        <v>0.95217853347502657</v>
      </c>
      <c r="F1439" s="1" t="s">
        <v>287</v>
      </c>
      <c r="G1439" s="1" t="s">
        <v>24</v>
      </c>
      <c r="H1439" s="1">
        <v>304886</v>
      </c>
      <c r="I1439" s="1">
        <v>531625</v>
      </c>
      <c r="J1439" s="7">
        <v>0.57299999999999995</v>
      </c>
      <c r="K1439" s="1" t="s">
        <v>21</v>
      </c>
      <c r="L1439" s="1" t="s">
        <v>21</v>
      </c>
      <c r="M1439" s="1" t="s">
        <v>29</v>
      </c>
      <c r="N1439" s="1" t="s">
        <v>22</v>
      </c>
    </row>
    <row r="1440" spans="1:14" x14ac:dyDescent="0.25">
      <c r="A1440" s="1">
        <v>1439</v>
      </c>
      <c r="B1440" s="2" t="str">
        <f>HYPERLINK("https://leetcode.com/problems/find-the-kth-smallest-sum-of-a-matrix-with-sorted-rows/", "Find the Kth Smallest Sum of a Matrix With Sorted Rows")</f>
        <v>Find the Kth Smallest Sum of a Matrix With Sorted Rows</v>
      </c>
      <c r="C1440" s="1">
        <v>1292</v>
      </c>
      <c r="D1440" s="1">
        <v>21</v>
      </c>
      <c r="E1440" s="3">
        <f>IF(INDEX(C:C, ROW())+INDEX(D:D, ROW())=0, 0, INDEX(C:C, ROW())/(INDEX(C:C, ROW())+INDEX(D:D, ROW())))</f>
        <v>0.98400609291698404</v>
      </c>
      <c r="F1440" s="1" t="s">
        <v>641</v>
      </c>
      <c r="G1440" s="1" t="s">
        <v>28</v>
      </c>
      <c r="H1440" s="1">
        <v>42857</v>
      </c>
      <c r="I1440" s="1">
        <v>68818</v>
      </c>
      <c r="J1440" s="7">
        <v>0.623</v>
      </c>
      <c r="K1440" s="1" t="s">
        <v>21</v>
      </c>
      <c r="L1440" s="1" t="s">
        <v>29</v>
      </c>
      <c r="M1440" s="1" t="s">
        <v>29</v>
      </c>
      <c r="N1440" s="1" t="s">
        <v>22</v>
      </c>
    </row>
    <row r="1441" spans="1:14" x14ac:dyDescent="0.25">
      <c r="A1441" s="1">
        <v>1440</v>
      </c>
      <c r="B1441" s="2" t="str">
        <f>HYPERLINK("https://leetcode.com/problems/evaluate-boolean-expression/", "Evaluate Boolean Expression")</f>
        <v>Evaluate Boolean Expression</v>
      </c>
      <c r="C1441" s="1">
        <v>231</v>
      </c>
      <c r="D1441" s="1">
        <v>41</v>
      </c>
      <c r="E1441" s="3">
        <f>IF(INDEX(C:C, ROW())+INDEX(D:D, ROW())=0, 0, INDEX(C:C, ROW())/(INDEX(C:C, ROW())+INDEX(D:D, ROW())))</f>
        <v>0.84926470588235292</v>
      </c>
      <c r="F1441" s="1" t="s">
        <v>297</v>
      </c>
      <c r="G1441" s="1" t="s">
        <v>24</v>
      </c>
      <c r="H1441" s="1">
        <v>38314</v>
      </c>
      <c r="I1441" s="1">
        <v>53395</v>
      </c>
      <c r="J1441" s="7">
        <v>0.71799999999999997</v>
      </c>
      <c r="K1441" s="1" t="s">
        <v>29</v>
      </c>
      <c r="L1441" s="1" t="s">
        <v>29</v>
      </c>
      <c r="M1441" s="1" t="s">
        <v>29</v>
      </c>
      <c r="N1441" s="1" t="s">
        <v>297</v>
      </c>
    </row>
    <row r="1442" spans="1:14" x14ac:dyDescent="0.25">
      <c r="A1442" s="1">
        <v>1441</v>
      </c>
      <c r="B1442" s="2" t="str">
        <f>HYPERLINK("https://leetcode.com/problems/build-an-array-with-stack-operations/", "Build an Array With Stack Operations")</f>
        <v>Build an Array With Stack Operations</v>
      </c>
      <c r="C1442" s="1">
        <v>1214</v>
      </c>
      <c r="D1442" s="1">
        <v>532</v>
      </c>
      <c r="E1442" s="3">
        <f>IF(INDEX(C:C, ROW())+INDEX(D:D, ROW())=0, 0, INDEX(C:C, ROW())/(INDEX(C:C, ROW())+INDEX(D:D, ROW())))</f>
        <v>0.69530355097365404</v>
      </c>
      <c r="F1442" s="1" t="s">
        <v>145</v>
      </c>
      <c r="G1442" s="1" t="s">
        <v>24</v>
      </c>
      <c r="H1442" s="1">
        <v>244574</v>
      </c>
      <c r="I1442" s="1">
        <v>301981</v>
      </c>
      <c r="J1442" s="7">
        <v>0.81</v>
      </c>
      <c r="K1442" s="1" t="s">
        <v>21</v>
      </c>
      <c r="L1442" s="1" t="s">
        <v>21</v>
      </c>
      <c r="M1442" s="1" t="s">
        <v>29</v>
      </c>
      <c r="N1442" s="1" t="s">
        <v>22</v>
      </c>
    </row>
    <row r="1443" spans="1:14" x14ac:dyDescent="0.25">
      <c r="A1443" s="1">
        <v>1442</v>
      </c>
      <c r="B1443" s="2" t="str">
        <f>HYPERLINK("https://leetcode.com/problems/count-triplets-that-can-form-two-arrays-of-equal-xor/", "Count Triplets That Can Form Two Arrays of Equal XOR")</f>
        <v>Count Triplets That Can Form Two Arrays of Equal XOR</v>
      </c>
      <c r="C1443" s="1">
        <v>2024</v>
      </c>
      <c r="D1443" s="1">
        <v>138</v>
      </c>
      <c r="E1443" s="3">
        <f>IF(INDEX(C:C, ROW())+INDEX(D:D, ROW())=0, 0, INDEX(C:C, ROW())/(INDEX(C:C, ROW())+INDEX(D:D, ROW())))</f>
        <v>0.93617021276595747</v>
      </c>
      <c r="F1443" s="1" t="s">
        <v>499</v>
      </c>
      <c r="G1443" s="1" t="s">
        <v>24</v>
      </c>
      <c r="H1443" s="1">
        <v>140536</v>
      </c>
      <c r="I1443" s="1">
        <v>165650</v>
      </c>
      <c r="J1443" s="7">
        <v>0.84799999999999998</v>
      </c>
      <c r="K1443" s="1" t="s">
        <v>21</v>
      </c>
      <c r="L1443" s="1" t="s">
        <v>21</v>
      </c>
      <c r="M1443" s="1" t="s">
        <v>29</v>
      </c>
      <c r="N1443" s="1" t="s">
        <v>22</v>
      </c>
    </row>
    <row r="1444" spans="1:14" x14ac:dyDescent="0.25">
      <c r="A1444" s="1">
        <v>1443</v>
      </c>
      <c r="B1444" s="2" t="str">
        <f>HYPERLINK("https://leetcode.com/problems/minimum-time-to-collect-all-apples-in-a-tree/", "Minimum Time to Collect All Apples in a Tree")</f>
        <v>Minimum Time to Collect All Apples in a Tree</v>
      </c>
      <c r="C1444" s="1">
        <v>3849</v>
      </c>
      <c r="D1444" s="1">
        <v>333</v>
      </c>
      <c r="E1444" s="3">
        <f>IF(INDEX(C:C, ROW())+INDEX(D:D, ROW())=0, 0, INDEX(C:C, ROW())/(INDEX(C:C, ROW())+INDEX(D:D, ROW())))</f>
        <v>0.9203730272596844</v>
      </c>
      <c r="F1444" s="1" t="s">
        <v>320</v>
      </c>
      <c r="G1444" s="1" t="s">
        <v>24</v>
      </c>
      <c r="H1444" s="1">
        <v>153999</v>
      </c>
      <c r="I1444" s="1">
        <v>242352</v>
      </c>
      <c r="J1444" s="7">
        <v>0.63500000000000001</v>
      </c>
      <c r="K1444" s="1" t="s">
        <v>21</v>
      </c>
      <c r="L1444" s="1" t="s">
        <v>21</v>
      </c>
      <c r="M1444" s="1" t="s">
        <v>29</v>
      </c>
      <c r="N1444" s="1" t="s">
        <v>22</v>
      </c>
    </row>
    <row r="1445" spans="1:14" x14ac:dyDescent="0.25">
      <c r="A1445" s="1">
        <v>1444</v>
      </c>
      <c r="B1445" s="2" t="str">
        <f>HYPERLINK("https://leetcode.com/problems/number-of-ways-of-cutting-a-pizza/", "Number of Ways of Cutting a Pizza")</f>
        <v>Number of Ways of Cutting a Pizza</v>
      </c>
      <c r="C1445" s="1">
        <v>1905</v>
      </c>
      <c r="D1445" s="1">
        <v>96</v>
      </c>
      <c r="E1445" s="3">
        <f>IF(INDEX(C:C, ROW())+INDEX(D:D, ROW())=0, 0, INDEX(C:C, ROW())/(INDEX(C:C, ROW())+INDEX(D:D, ROW())))</f>
        <v>0.95202398800599697</v>
      </c>
      <c r="F1445" s="1" t="s">
        <v>517</v>
      </c>
      <c r="G1445" s="1" t="s">
        <v>28</v>
      </c>
      <c r="H1445" s="1">
        <v>75783</v>
      </c>
      <c r="I1445" s="1">
        <v>123032</v>
      </c>
      <c r="J1445" s="7">
        <v>0.61599999999999999</v>
      </c>
      <c r="K1445" s="1" t="s">
        <v>21</v>
      </c>
      <c r="L1445" s="1" t="s">
        <v>21</v>
      </c>
      <c r="M1445" s="1" t="s">
        <v>29</v>
      </c>
      <c r="N1445" s="1" t="s">
        <v>22</v>
      </c>
    </row>
    <row r="1446" spans="1:14" x14ac:dyDescent="0.25">
      <c r="A1446" s="1">
        <v>1445</v>
      </c>
      <c r="B1446" s="2" t="str">
        <f>HYPERLINK("https://leetcode.com/problems/apples-oranges/", "Apples &amp; Oranges")</f>
        <v>Apples &amp; Oranges</v>
      </c>
      <c r="C1446" s="1">
        <v>251</v>
      </c>
      <c r="D1446" s="1">
        <v>23</v>
      </c>
      <c r="E1446" s="3">
        <f>IF(INDEX(C:C, ROW())+INDEX(D:D, ROW())=0, 0, INDEX(C:C, ROW())/(INDEX(C:C, ROW())+INDEX(D:D, ROW())))</f>
        <v>0.91605839416058399</v>
      </c>
      <c r="F1446" s="1" t="s">
        <v>297</v>
      </c>
      <c r="G1446" s="1" t="s">
        <v>24</v>
      </c>
      <c r="H1446" s="1">
        <v>65466</v>
      </c>
      <c r="I1446" s="1">
        <v>76103</v>
      </c>
      <c r="J1446" s="7">
        <v>0.86</v>
      </c>
      <c r="K1446" s="1" t="s">
        <v>29</v>
      </c>
      <c r="L1446" s="1" t="s">
        <v>21</v>
      </c>
      <c r="M1446" s="1" t="s">
        <v>29</v>
      </c>
      <c r="N1446" s="1" t="s">
        <v>297</v>
      </c>
    </row>
    <row r="1447" spans="1:14" x14ac:dyDescent="0.25">
      <c r="A1447" s="1">
        <v>1446</v>
      </c>
      <c r="B1447" s="2" t="str">
        <f>HYPERLINK("https://leetcode.com/problems/consecutive-characters/", "Consecutive Characters")</f>
        <v>Consecutive Characters</v>
      </c>
      <c r="C1447" s="1">
        <v>1842</v>
      </c>
      <c r="D1447" s="1">
        <v>35</v>
      </c>
      <c r="E1447" s="3">
        <f>IF(INDEX(C:C, ROW())+INDEX(D:D, ROW())=0, 0, INDEX(C:C, ROW())/(INDEX(C:C, ROW())+INDEX(D:D, ROW())))</f>
        <v>0.98135322322855623</v>
      </c>
      <c r="F1447" s="1" t="s">
        <v>146</v>
      </c>
      <c r="G1447" s="1" t="s">
        <v>20</v>
      </c>
      <c r="H1447" s="1">
        <v>224645</v>
      </c>
      <c r="I1447" s="1">
        <v>372473</v>
      </c>
      <c r="J1447" s="7">
        <v>0.60299999999999998</v>
      </c>
      <c r="K1447" s="1" t="s">
        <v>21</v>
      </c>
      <c r="L1447" s="1" t="s">
        <v>21</v>
      </c>
      <c r="M1447" s="1" t="s">
        <v>29</v>
      </c>
      <c r="N1447" s="1" t="s">
        <v>22</v>
      </c>
    </row>
    <row r="1448" spans="1:14" x14ac:dyDescent="0.25">
      <c r="A1448" s="1">
        <v>1447</v>
      </c>
      <c r="B1448" s="2" t="str">
        <f>HYPERLINK("https://leetcode.com/problems/simplified-fractions/", "Simplified Fractions")</f>
        <v>Simplified Fractions</v>
      </c>
      <c r="C1448" s="1">
        <v>442</v>
      </c>
      <c r="D1448" s="1">
        <v>48</v>
      </c>
      <c r="E1448" s="3">
        <f>IF(INDEX(C:C, ROW())+INDEX(D:D, ROW())=0, 0, INDEX(C:C, ROW())/(INDEX(C:C, ROW())+INDEX(D:D, ROW())))</f>
        <v>0.90204081632653066</v>
      </c>
      <c r="F1448" s="1" t="s">
        <v>953</v>
      </c>
      <c r="G1448" s="1" t="s">
        <v>24</v>
      </c>
      <c r="H1448" s="1">
        <v>44500</v>
      </c>
      <c r="I1448" s="1">
        <v>63924</v>
      </c>
      <c r="J1448" s="7">
        <v>0.69599999999999995</v>
      </c>
      <c r="K1448" s="1" t="s">
        <v>21</v>
      </c>
      <c r="L1448" s="1" t="s">
        <v>29</v>
      </c>
      <c r="M1448" s="1" t="s">
        <v>29</v>
      </c>
      <c r="N1448" s="1" t="s">
        <v>22</v>
      </c>
    </row>
    <row r="1449" spans="1:14" x14ac:dyDescent="0.25">
      <c r="A1449" s="1">
        <v>1448</v>
      </c>
      <c r="B1449" s="2" t="str">
        <f>HYPERLINK("https://leetcode.com/problems/count-good-nodes-in-binary-tree/", "Count Good Nodes in Binary Tree")</f>
        <v>Count Good Nodes in Binary Tree</v>
      </c>
      <c r="C1449" s="1">
        <v>6319</v>
      </c>
      <c r="D1449" s="1">
        <v>210</v>
      </c>
      <c r="E1449" s="3">
        <f>IF(INDEX(C:C, ROW())+INDEX(D:D, ROW())=0, 0, INDEX(C:C, ROW())/(INDEX(C:C, ROW())+INDEX(D:D, ROW())))</f>
        <v>0.96783580946546177</v>
      </c>
      <c r="F1449" s="1" t="s">
        <v>80</v>
      </c>
      <c r="G1449" s="1" t="s">
        <v>24</v>
      </c>
      <c r="H1449" s="1">
        <v>850164</v>
      </c>
      <c r="I1449" s="1">
        <v>1152660</v>
      </c>
      <c r="J1449" s="7">
        <v>0.73799999999999999</v>
      </c>
      <c r="K1449" s="1" t="s">
        <v>21</v>
      </c>
      <c r="L1449" s="1" t="s">
        <v>21</v>
      </c>
      <c r="M1449" s="1" t="s">
        <v>21</v>
      </c>
      <c r="N1449" s="1" t="s">
        <v>22</v>
      </c>
    </row>
    <row r="1450" spans="1:14" x14ac:dyDescent="0.25">
      <c r="A1450" s="1">
        <v>1449</v>
      </c>
      <c r="B1450" s="2" t="str">
        <f>HYPERLINK("https://leetcode.com/problems/form-largest-integer-with-digits-that-add-up-to-target/", "Form Largest Integer With Digits That Add up to Target")</f>
        <v>Form Largest Integer With Digits That Add up to Target</v>
      </c>
      <c r="C1450" s="1">
        <v>720</v>
      </c>
      <c r="D1450" s="1">
        <v>20</v>
      </c>
      <c r="E1450" s="3">
        <f>IF(INDEX(C:C, ROW())+INDEX(D:D, ROW())=0, 0, INDEX(C:C, ROW())/(INDEX(C:C, ROW())+INDEX(D:D, ROW())))</f>
        <v>0.97297297297297303</v>
      </c>
      <c r="F1450" s="1" t="s">
        <v>30</v>
      </c>
      <c r="G1450" s="1" t="s">
        <v>28</v>
      </c>
      <c r="H1450" s="1">
        <v>22879</v>
      </c>
      <c r="I1450" s="1">
        <v>46216</v>
      </c>
      <c r="J1450" s="7">
        <v>0.495</v>
      </c>
      <c r="K1450" s="1" t="s">
        <v>21</v>
      </c>
      <c r="L1450" s="1" t="s">
        <v>29</v>
      </c>
      <c r="M1450" s="1" t="s">
        <v>29</v>
      </c>
      <c r="N1450" s="1" t="s">
        <v>22</v>
      </c>
    </row>
    <row r="1451" spans="1:14" x14ac:dyDescent="0.25">
      <c r="A1451" s="1">
        <v>1450</v>
      </c>
      <c r="B1451" s="2" t="str">
        <f>HYPERLINK("https://leetcode.com/problems/number-of-students-doing-homework-at-a-given-time/", "Number of Students Doing Homework at a Given Time")</f>
        <v>Number of Students Doing Homework at a Given Time</v>
      </c>
      <c r="C1451" s="1">
        <v>931</v>
      </c>
      <c r="D1451" s="1">
        <v>157</v>
      </c>
      <c r="E1451" s="3">
        <f>IF(INDEX(C:C, ROW())+INDEX(D:D, ROW())=0, 0, INDEX(C:C, ROW())/(INDEX(C:C, ROW())+INDEX(D:D, ROW())))</f>
        <v>0.85569852941176472</v>
      </c>
      <c r="F1451" s="1" t="s">
        <v>113</v>
      </c>
      <c r="G1451" s="1" t="s">
        <v>20</v>
      </c>
      <c r="H1451" s="1">
        <v>148268</v>
      </c>
      <c r="I1451" s="1">
        <v>195640</v>
      </c>
      <c r="J1451" s="7">
        <v>0.75800000000000001</v>
      </c>
      <c r="K1451" s="1" t="s">
        <v>21</v>
      </c>
      <c r="L1451" s="1" t="s">
        <v>29</v>
      </c>
      <c r="M1451" s="1" t="s">
        <v>29</v>
      </c>
      <c r="N1451" s="1" t="s">
        <v>22</v>
      </c>
    </row>
    <row r="1452" spans="1:14" x14ac:dyDescent="0.25">
      <c r="A1452" s="1">
        <v>1451</v>
      </c>
      <c r="B1452" s="2" t="str">
        <f>HYPERLINK("https://leetcode.com/problems/rearrange-words-in-a-sentence/", "Rearrange Words in a Sentence")</f>
        <v>Rearrange Words in a Sentence</v>
      </c>
      <c r="C1452" s="1">
        <v>786</v>
      </c>
      <c r="D1452" s="1">
        <v>80</v>
      </c>
      <c r="E1452" s="3">
        <f>IF(INDEX(C:C, ROW())+INDEX(D:D, ROW())=0, 0, INDEX(C:C, ROW())/(INDEX(C:C, ROW())+INDEX(D:D, ROW())))</f>
        <v>0.90762124711316394</v>
      </c>
      <c r="F1452" s="1" t="s">
        <v>444</v>
      </c>
      <c r="G1452" s="1" t="s">
        <v>24</v>
      </c>
      <c r="H1452" s="1">
        <v>63593</v>
      </c>
      <c r="I1452" s="1">
        <v>95103</v>
      </c>
      <c r="J1452" s="7">
        <v>0.66900000000000004</v>
      </c>
      <c r="K1452" s="1" t="s">
        <v>21</v>
      </c>
      <c r="L1452" s="1" t="s">
        <v>29</v>
      </c>
      <c r="M1452" s="1" t="s">
        <v>29</v>
      </c>
      <c r="N1452" s="1" t="s">
        <v>22</v>
      </c>
    </row>
    <row r="1453" spans="1:14" x14ac:dyDescent="0.25">
      <c r="A1453" s="1">
        <v>1452</v>
      </c>
      <c r="B1453" s="2" t="str">
        <f>HYPERLINK("https://leetcode.com/problems/people-whose-list-of-favorite-companies-is-not-a-subset-of-another-list/", "People Whose List of Favorite Companies Is Not a Subset of Another List")</f>
        <v>People Whose List of Favorite Companies Is Not a Subset of Another List</v>
      </c>
      <c r="C1453" s="1">
        <v>382</v>
      </c>
      <c r="D1453" s="1">
        <v>230</v>
      </c>
      <c r="E1453" s="3">
        <f>IF(INDEX(C:C, ROW())+INDEX(D:D, ROW())=0, 0, INDEX(C:C, ROW())/(INDEX(C:C, ROW())+INDEX(D:D, ROW())))</f>
        <v>0.62418300653594772</v>
      </c>
      <c r="F1453" s="1" t="s">
        <v>258</v>
      </c>
      <c r="G1453" s="1" t="s">
        <v>24</v>
      </c>
      <c r="H1453" s="1">
        <v>34853</v>
      </c>
      <c r="I1453" s="1">
        <v>57618</v>
      </c>
      <c r="J1453" s="7">
        <v>0.60499999999999998</v>
      </c>
      <c r="K1453" s="1" t="s">
        <v>21</v>
      </c>
      <c r="L1453" s="1" t="s">
        <v>29</v>
      </c>
      <c r="M1453" s="1" t="s">
        <v>29</v>
      </c>
      <c r="N1453" s="1" t="s">
        <v>22</v>
      </c>
    </row>
    <row r="1454" spans="1:14" x14ac:dyDescent="0.25">
      <c r="A1454" s="1">
        <v>1453</v>
      </c>
      <c r="B1454" s="2" t="str">
        <f>HYPERLINK("https://leetcode.com/problems/maximum-number-of-darts-inside-of-a-circular-dartboard/", "Maximum Number of Darts Inside of a Circular Dartboard")</f>
        <v>Maximum Number of Darts Inside of a Circular Dartboard</v>
      </c>
      <c r="C1454" s="1">
        <v>159</v>
      </c>
      <c r="D1454" s="1">
        <v>277</v>
      </c>
      <c r="E1454" s="3">
        <f>IF(INDEX(C:C, ROW())+INDEX(D:D, ROW())=0, 0, INDEX(C:C, ROW())/(INDEX(C:C, ROW())+INDEX(D:D, ROW())))</f>
        <v>0.36467889908256879</v>
      </c>
      <c r="F1454" s="1" t="s">
        <v>397</v>
      </c>
      <c r="G1454" s="1" t="s">
        <v>28</v>
      </c>
      <c r="H1454" s="1">
        <v>8407</v>
      </c>
      <c r="I1454" s="1">
        <v>20955</v>
      </c>
      <c r="J1454" s="7">
        <v>0.40100000000000002</v>
      </c>
      <c r="K1454" s="1" t="s">
        <v>21</v>
      </c>
      <c r="L1454" s="1" t="s">
        <v>29</v>
      </c>
      <c r="M1454" s="1" t="s">
        <v>29</v>
      </c>
      <c r="N1454" s="1" t="s">
        <v>22</v>
      </c>
    </row>
    <row r="1455" spans="1:14" x14ac:dyDescent="0.25">
      <c r="A1455" s="1">
        <v>1454</v>
      </c>
      <c r="B1455" s="2" t="str">
        <f>HYPERLINK("https://leetcode.com/problems/active-users/", "Active Users")</f>
        <v>Active Users</v>
      </c>
      <c r="C1455" s="1">
        <v>419</v>
      </c>
      <c r="D1455" s="1">
        <v>40</v>
      </c>
      <c r="E1455" s="3">
        <f>IF(INDEX(C:C, ROW())+INDEX(D:D, ROW())=0, 0, INDEX(C:C, ROW())/(INDEX(C:C, ROW())+INDEX(D:D, ROW())))</f>
        <v>0.91285403050108938</v>
      </c>
      <c r="F1455" s="1" t="s">
        <v>297</v>
      </c>
      <c r="G1455" s="1" t="s">
        <v>24</v>
      </c>
      <c r="H1455" s="1">
        <v>46782</v>
      </c>
      <c r="I1455" s="1">
        <v>127844</v>
      </c>
      <c r="J1455" s="7">
        <v>0.36599999999999999</v>
      </c>
      <c r="K1455" s="1" t="s">
        <v>29</v>
      </c>
      <c r="L1455" s="1" t="s">
        <v>29</v>
      </c>
      <c r="M1455" s="1" t="s">
        <v>29</v>
      </c>
      <c r="N1455" s="1" t="s">
        <v>297</v>
      </c>
    </row>
    <row r="1456" spans="1:14" x14ac:dyDescent="0.25">
      <c r="A1456" s="1">
        <v>1455</v>
      </c>
      <c r="B1456" s="2" t="str">
        <f>HYPERLINK("https://leetcode.com/problems/check-if-a-word-occurs-as-a-prefix-of-any-word-in-a-sentence/", "Check If a Word Occurs As a Prefix of Any Word in a Sentence")</f>
        <v>Check If a Word Occurs As a Prefix of Any Word in a Sentence</v>
      </c>
      <c r="C1456" s="1">
        <v>1324</v>
      </c>
      <c r="D1456" s="1">
        <v>59</v>
      </c>
      <c r="E1456" s="3">
        <f>IF(INDEX(C:C, ROW())+INDEX(D:D, ROW())=0, 0, INDEX(C:C, ROW())/(INDEX(C:C, ROW())+INDEX(D:D, ROW())))</f>
        <v>0.95733911785972525</v>
      </c>
      <c r="F1456" s="1" t="s">
        <v>184</v>
      </c>
      <c r="G1456" s="1" t="s">
        <v>20</v>
      </c>
      <c r="H1456" s="1">
        <v>235945</v>
      </c>
      <c r="I1456" s="1">
        <v>343141</v>
      </c>
      <c r="J1456" s="7">
        <v>0.68799999999999994</v>
      </c>
      <c r="K1456" s="1" t="s">
        <v>21</v>
      </c>
      <c r="L1456" s="1" t="s">
        <v>21</v>
      </c>
      <c r="M1456" s="1" t="s">
        <v>29</v>
      </c>
      <c r="N1456" s="1" t="s">
        <v>22</v>
      </c>
    </row>
    <row r="1457" spans="1:14" x14ac:dyDescent="0.25">
      <c r="A1457" s="1">
        <v>1456</v>
      </c>
      <c r="B1457" s="2" t="str">
        <f>HYPERLINK("https://leetcode.com/problems/maximum-number-of-vowels-in-a-substring-of-given-length/", "Maximum Number of Vowels in a Substring of Given Length")</f>
        <v>Maximum Number of Vowels in a Substring of Given Length</v>
      </c>
      <c r="C1457" s="1">
        <v>3909</v>
      </c>
      <c r="D1457" s="1">
        <v>152</v>
      </c>
      <c r="E1457" s="3">
        <f>IF(INDEX(C:C, ROW())+INDEX(D:D, ROW())=0, 0, INDEX(C:C, ROW())/(INDEX(C:C, ROW())+INDEX(D:D, ROW())))</f>
        <v>0.96257079537059842</v>
      </c>
      <c r="F1457" s="1" t="s">
        <v>314</v>
      </c>
      <c r="G1457" s="1" t="s">
        <v>24</v>
      </c>
      <c r="H1457" s="1">
        <v>658497</v>
      </c>
      <c r="I1457" s="1">
        <v>1069936</v>
      </c>
      <c r="J1457" s="7">
        <v>0.61499999999999999</v>
      </c>
      <c r="K1457" s="1" t="s">
        <v>21</v>
      </c>
      <c r="L1457" s="1" t="s">
        <v>21</v>
      </c>
      <c r="M1457" s="1" t="s">
        <v>29</v>
      </c>
      <c r="N1457" s="1" t="s">
        <v>22</v>
      </c>
    </row>
    <row r="1458" spans="1:14" x14ac:dyDescent="0.25">
      <c r="A1458" s="1">
        <v>1457</v>
      </c>
      <c r="B1458" s="2" t="str">
        <f>HYPERLINK("https://leetcode.com/problems/pseudo-palindromic-paths-in-a-binary-tree/", "Pseudo-Palindromic Paths in a Binary Tree")</f>
        <v>Pseudo-Palindromic Paths in a Binary Tree</v>
      </c>
      <c r="C1458" s="1">
        <v>3338</v>
      </c>
      <c r="D1458" s="1">
        <v>131</v>
      </c>
      <c r="E1458" s="3">
        <f>IF(INDEX(C:C, ROW())+INDEX(D:D, ROW())=0, 0, INDEX(C:C, ROW())/(INDEX(C:C, ROW())+INDEX(D:D, ROW())))</f>
        <v>0.96223695589507063</v>
      </c>
      <c r="F1458" s="1" t="s">
        <v>359</v>
      </c>
      <c r="G1458" s="1" t="s">
        <v>24</v>
      </c>
      <c r="H1458" s="1">
        <v>235266</v>
      </c>
      <c r="I1458" s="1">
        <v>344110</v>
      </c>
      <c r="J1458" s="7">
        <v>0.68400000000000005</v>
      </c>
      <c r="K1458" s="1" t="s">
        <v>21</v>
      </c>
      <c r="L1458" s="1" t="s">
        <v>21</v>
      </c>
      <c r="M1458" s="1" t="s">
        <v>29</v>
      </c>
      <c r="N1458" s="1" t="s">
        <v>22</v>
      </c>
    </row>
    <row r="1459" spans="1:14" x14ac:dyDescent="0.25">
      <c r="A1459" s="1">
        <v>1458</v>
      </c>
      <c r="B1459" s="2" t="str">
        <f>HYPERLINK("https://leetcode.com/problems/max-dot-product-of-two-subsequences/", "Max Dot Product of Two Subsequences")</f>
        <v>Max Dot Product of Two Subsequences</v>
      </c>
      <c r="C1459" s="1">
        <v>2151</v>
      </c>
      <c r="D1459" s="1">
        <v>51</v>
      </c>
      <c r="E1459" s="3">
        <f>IF(INDEX(C:C, ROW())+INDEX(D:D, ROW())=0, 0, INDEX(C:C, ROW())/(INDEX(C:C, ROW())+INDEX(D:D, ROW())))</f>
        <v>0.97683923705722076</v>
      </c>
      <c r="F1459" s="1" t="s">
        <v>30</v>
      </c>
      <c r="G1459" s="1" t="s">
        <v>28</v>
      </c>
      <c r="H1459" s="1">
        <v>183388</v>
      </c>
      <c r="I1459" s="1">
        <v>264614</v>
      </c>
      <c r="J1459" s="7">
        <v>0.69299999999999995</v>
      </c>
      <c r="K1459" s="1" t="s">
        <v>21</v>
      </c>
      <c r="L1459" s="1" t="s">
        <v>21</v>
      </c>
      <c r="M1459" s="1" t="s">
        <v>29</v>
      </c>
      <c r="N1459" s="1" t="s">
        <v>22</v>
      </c>
    </row>
    <row r="1460" spans="1:14" x14ac:dyDescent="0.25">
      <c r="A1460" s="1">
        <v>1459</v>
      </c>
      <c r="B1460" s="2" t="str">
        <f>HYPERLINK("https://leetcode.com/problems/rectangles-area/", "Rectangles Area")</f>
        <v>Rectangles Area</v>
      </c>
      <c r="C1460" s="1">
        <v>99</v>
      </c>
      <c r="D1460" s="1">
        <v>162</v>
      </c>
      <c r="E1460" s="3">
        <f>IF(INDEX(C:C, ROW())+INDEX(D:D, ROW())=0, 0, INDEX(C:C, ROW())/(INDEX(C:C, ROW())+INDEX(D:D, ROW())))</f>
        <v>0.37931034482758619</v>
      </c>
      <c r="F1460" s="1" t="s">
        <v>297</v>
      </c>
      <c r="G1460" s="1" t="s">
        <v>24</v>
      </c>
      <c r="H1460" s="1">
        <v>20016</v>
      </c>
      <c r="I1460" s="1">
        <v>29133</v>
      </c>
      <c r="J1460" s="7">
        <v>0.68700000000000006</v>
      </c>
      <c r="K1460" s="1" t="s">
        <v>29</v>
      </c>
      <c r="L1460" s="1" t="s">
        <v>29</v>
      </c>
      <c r="M1460" s="1" t="s">
        <v>29</v>
      </c>
      <c r="N1460" s="1" t="s">
        <v>297</v>
      </c>
    </row>
    <row r="1461" spans="1:14" x14ac:dyDescent="0.25">
      <c r="A1461" s="1">
        <v>1460</v>
      </c>
      <c r="B1461" s="2" t="str">
        <f>HYPERLINK("https://leetcode.com/problems/make-two-arrays-equal-by-reversing-subarrays/", "Make Two Arrays Equal by Reversing Subarrays")</f>
        <v>Make Two Arrays Equal by Reversing Subarrays</v>
      </c>
      <c r="C1461" s="1">
        <v>1523</v>
      </c>
      <c r="D1461" s="1">
        <v>164</v>
      </c>
      <c r="E1461" s="3">
        <f>IF(INDEX(C:C, ROW())+INDEX(D:D, ROW())=0, 0, INDEX(C:C, ROW())/(INDEX(C:C, ROW())+INDEX(D:D, ROW())))</f>
        <v>0.90278601066982811</v>
      </c>
      <c r="F1461" s="1" t="s">
        <v>92</v>
      </c>
      <c r="G1461" s="1" t="s">
        <v>20</v>
      </c>
      <c r="H1461" s="1">
        <v>330881</v>
      </c>
      <c r="I1461" s="1">
        <v>436463</v>
      </c>
      <c r="J1461" s="7">
        <v>0.75800000000000001</v>
      </c>
      <c r="K1461" s="1" t="s">
        <v>21</v>
      </c>
      <c r="L1461" s="1" t="s">
        <v>21</v>
      </c>
      <c r="M1461" s="1" t="s">
        <v>29</v>
      </c>
      <c r="N1461" s="1" t="s">
        <v>22</v>
      </c>
    </row>
    <row r="1462" spans="1:14" x14ac:dyDescent="0.25">
      <c r="A1462" s="1">
        <v>1461</v>
      </c>
      <c r="B1462" s="2" t="str">
        <f>HYPERLINK("https://leetcode.com/problems/check-if-a-string-contains-all-binary-codes-of-size-k/", "Check If a String Contains All Binary Codes of Size K")</f>
        <v>Check If a String Contains All Binary Codes of Size K</v>
      </c>
      <c r="C1462" s="1">
        <v>2687</v>
      </c>
      <c r="D1462" s="1">
        <v>115</v>
      </c>
      <c r="E1462" s="3">
        <f>IF(INDEX(C:C, ROW())+INDEX(D:D, ROW())=0, 0, INDEX(C:C, ROW())/(INDEX(C:C, ROW())+INDEX(D:D, ROW())))</f>
        <v>0.9589578872234118</v>
      </c>
      <c r="F1462" s="1" t="s">
        <v>401</v>
      </c>
      <c r="G1462" s="1" t="s">
        <v>24</v>
      </c>
      <c r="H1462" s="1">
        <v>250685</v>
      </c>
      <c r="I1462" s="1">
        <v>407930</v>
      </c>
      <c r="J1462" s="7">
        <v>0.61499999999999999</v>
      </c>
      <c r="K1462" s="1" t="s">
        <v>21</v>
      </c>
      <c r="L1462" s="1" t="s">
        <v>21</v>
      </c>
      <c r="M1462" s="1" t="s">
        <v>29</v>
      </c>
      <c r="N1462" s="1" t="s">
        <v>22</v>
      </c>
    </row>
    <row r="1463" spans="1:14" x14ac:dyDescent="0.25">
      <c r="A1463" s="1">
        <v>1462</v>
      </c>
      <c r="B1463" s="2" t="str">
        <f>HYPERLINK("https://leetcode.com/problems/course-schedule-iv/", "Course Schedule IV")</f>
        <v>Course Schedule IV</v>
      </c>
      <c r="C1463" s="1">
        <v>2115</v>
      </c>
      <c r="D1463" s="1">
        <v>93</v>
      </c>
      <c r="E1463" s="3">
        <f>IF(INDEX(C:C, ROW())+INDEX(D:D, ROW())=0, 0, INDEX(C:C, ROW())/(INDEX(C:C, ROW())+INDEX(D:D, ROW())))</f>
        <v>0.95788043478260865</v>
      </c>
      <c r="F1463" s="1" t="s">
        <v>72</v>
      </c>
      <c r="G1463" s="1" t="s">
        <v>24</v>
      </c>
      <c r="H1463" s="1">
        <v>199893</v>
      </c>
      <c r="I1463" s="1">
        <v>334733</v>
      </c>
      <c r="J1463" s="7">
        <v>0.59699999999999998</v>
      </c>
      <c r="K1463" s="1" t="s">
        <v>21</v>
      </c>
      <c r="L1463" s="1" t="s">
        <v>21</v>
      </c>
      <c r="M1463" s="1" t="s">
        <v>29</v>
      </c>
      <c r="N1463" s="1" t="s">
        <v>22</v>
      </c>
    </row>
    <row r="1464" spans="1:14" x14ac:dyDescent="0.25">
      <c r="A1464" s="1">
        <v>1463</v>
      </c>
      <c r="B1464" s="2" t="str">
        <f>HYPERLINK("https://leetcode.com/problems/cherry-pickup-ii/", "Cherry Pickup II")</f>
        <v>Cherry Pickup II</v>
      </c>
      <c r="C1464" s="1">
        <v>4448</v>
      </c>
      <c r="D1464" s="1">
        <v>54</v>
      </c>
      <c r="E1464" s="3">
        <f>IF(INDEX(C:C, ROW())+INDEX(D:D, ROW())=0, 0, INDEX(C:C, ROW())/(INDEX(C:C, ROW())+INDEX(D:D, ROW())))</f>
        <v>0.98800533096401599</v>
      </c>
      <c r="F1464" s="1" t="s">
        <v>94</v>
      </c>
      <c r="G1464" s="1" t="s">
        <v>28</v>
      </c>
      <c r="H1464" s="1">
        <v>228724</v>
      </c>
      <c r="I1464" s="1">
        <v>316415</v>
      </c>
      <c r="J1464" s="7">
        <v>0.72299999999999998</v>
      </c>
      <c r="K1464" s="1" t="s">
        <v>21</v>
      </c>
      <c r="L1464" s="1" t="s">
        <v>21</v>
      </c>
      <c r="M1464" s="1" t="s">
        <v>29</v>
      </c>
      <c r="N1464" s="1" t="s">
        <v>22</v>
      </c>
    </row>
    <row r="1465" spans="1:14" x14ac:dyDescent="0.25">
      <c r="A1465" s="1">
        <v>1464</v>
      </c>
      <c r="B1465" s="2" t="str">
        <f>HYPERLINK("https://leetcode.com/problems/maximum-product-of-two-elements-in-an-array/", "Maximum Product of Two Elements in an Array")</f>
        <v>Maximum Product of Two Elements in an Array</v>
      </c>
      <c r="C1465" s="1">
        <v>2612</v>
      </c>
      <c r="D1465" s="1">
        <v>239</v>
      </c>
      <c r="E1465" s="3">
        <f>IF(INDEX(C:C, ROW())+INDEX(D:D, ROW())=0, 0, INDEX(C:C, ROW())/(INDEX(C:C, ROW())+INDEX(D:D, ROW())))</f>
        <v>0.91616976499473868</v>
      </c>
      <c r="F1465" s="1" t="s">
        <v>350</v>
      </c>
      <c r="G1465" s="1" t="s">
        <v>20</v>
      </c>
      <c r="H1465" s="1">
        <v>483348</v>
      </c>
      <c r="I1465" s="1">
        <v>578638</v>
      </c>
      <c r="J1465" s="7">
        <v>0.83499999999999996</v>
      </c>
      <c r="K1465" s="1" t="s">
        <v>21</v>
      </c>
      <c r="L1465" s="1" t="s">
        <v>21</v>
      </c>
      <c r="M1465" s="1" t="s">
        <v>29</v>
      </c>
      <c r="N1465" s="1" t="s">
        <v>22</v>
      </c>
    </row>
    <row r="1466" spans="1:14" x14ac:dyDescent="0.25">
      <c r="A1466" s="1">
        <v>1465</v>
      </c>
      <c r="B1466" s="2" t="str">
        <f>HYPERLINK("https://leetcode.com/problems/maximum-area-of-a-piece-of-cake-after-horizontal-and-vertical-cuts/", "Maximum Area of a Piece of Cake After Horizontal and Vertical Cuts")</f>
        <v>Maximum Area of a Piece of Cake After Horizontal and Vertical Cuts</v>
      </c>
      <c r="C1466" s="1">
        <v>2642</v>
      </c>
      <c r="D1466" s="1">
        <v>353</v>
      </c>
      <c r="E1466" s="3">
        <f>IF(INDEX(C:C, ROW())+INDEX(D:D, ROW())=0, 0, INDEX(C:C, ROW())/(INDEX(C:C, ROW())+INDEX(D:D, ROW())))</f>
        <v>0.88213689482470781</v>
      </c>
      <c r="F1466" s="1" t="s">
        <v>169</v>
      </c>
      <c r="G1466" s="1" t="s">
        <v>24</v>
      </c>
      <c r="H1466" s="1">
        <v>175805</v>
      </c>
      <c r="I1466" s="1">
        <v>424723</v>
      </c>
      <c r="J1466" s="7">
        <v>0.41399999999999998</v>
      </c>
      <c r="K1466" s="1" t="s">
        <v>21</v>
      </c>
      <c r="L1466" s="1" t="s">
        <v>21</v>
      </c>
      <c r="M1466" s="1" t="s">
        <v>29</v>
      </c>
      <c r="N1466" s="1" t="s">
        <v>22</v>
      </c>
    </row>
    <row r="1467" spans="1:14" x14ac:dyDescent="0.25">
      <c r="A1467" s="1">
        <v>1466</v>
      </c>
      <c r="B1467" s="2" t="str">
        <f>HYPERLINK("https://leetcode.com/problems/reorder-routes-to-make-all-paths-lead-to-the-city-zero/", "Reorder Routes to Make All Paths Lead to the City Zero")</f>
        <v>Reorder Routes to Make All Paths Lead to the City Zero</v>
      </c>
      <c r="C1467" s="1">
        <v>4623</v>
      </c>
      <c r="D1467" s="1">
        <v>149</v>
      </c>
      <c r="E1467" s="3">
        <f>IF(INDEX(C:C, ROW())+INDEX(D:D, ROW())=0, 0, INDEX(C:C, ROW())/(INDEX(C:C, ROW())+INDEX(D:D, ROW())))</f>
        <v>0.96877619446772845</v>
      </c>
      <c r="F1467" s="1" t="s">
        <v>212</v>
      </c>
      <c r="G1467" s="1" t="s">
        <v>24</v>
      </c>
      <c r="H1467" s="1">
        <v>310785</v>
      </c>
      <c r="I1467" s="1">
        <v>473687</v>
      </c>
      <c r="J1467" s="7">
        <v>0.65600000000000003</v>
      </c>
      <c r="K1467" s="1" t="s">
        <v>21</v>
      </c>
      <c r="L1467" s="1" t="s">
        <v>21</v>
      </c>
      <c r="M1467" s="1" t="s">
        <v>29</v>
      </c>
      <c r="N1467" s="1" t="s">
        <v>22</v>
      </c>
    </row>
    <row r="1468" spans="1:14" x14ac:dyDescent="0.25">
      <c r="A1468" s="1">
        <v>1467</v>
      </c>
      <c r="B1468" s="2" t="str">
        <f>HYPERLINK("https://leetcode.com/problems/probability-of-a-two-boxes-having-the-same-number-of-distinct-balls/", "Probability of a Two Boxes Having The Same Number of Distinct Balls")</f>
        <v>Probability of a Two Boxes Having The Same Number of Distinct Balls</v>
      </c>
      <c r="C1468" s="1">
        <v>297</v>
      </c>
      <c r="D1468" s="1">
        <v>178</v>
      </c>
      <c r="E1468" s="3">
        <f>IF(INDEX(C:C, ROW())+INDEX(D:D, ROW())=0, 0, INDEX(C:C, ROW())/(INDEX(C:C, ROW())+INDEX(D:D, ROW())))</f>
        <v>0.62526315789473685</v>
      </c>
      <c r="F1468" s="1" t="s">
        <v>1044</v>
      </c>
      <c r="G1468" s="1" t="s">
        <v>28</v>
      </c>
      <c r="H1468" s="1">
        <v>11446</v>
      </c>
      <c r="I1468" s="1">
        <v>18782</v>
      </c>
      <c r="J1468" s="7">
        <v>0.60899999999999999</v>
      </c>
      <c r="K1468" s="1" t="s">
        <v>21</v>
      </c>
      <c r="L1468" s="1" t="s">
        <v>29</v>
      </c>
      <c r="M1468" s="1" t="s">
        <v>29</v>
      </c>
      <c r="N1468" s="1" t="s">
        <v>22</v>
      </c>
    </row>
    <row r="1469" spans="1:14" x14ac:dyDescent="0.25">
      <c r="A1469" s="1">
        <v>1468</v>
      </c>
      <c r="B1469" s="2" t="str">
        <f>HYPERLINK("https://leetcode.com/problems/calculate-salaries/", "Calculate Salaries")</f>
        <v>Calculate Salaries</v>
      </c>
      <c r="C1469" s="1">
        <v>134</v>
      </c>
      <c r="D1469" s="1">
        <v>25</v>
      </c>
      <c r="E1469" s="3">
        <f>IF(INDEX(C:C, ROW())+INDEX(D:D, ROW())=0, 0, INDEX(C:C, ROW())/(INDEX(C:C, ROW())+INDEX(D:D, ROW())))</f>
        <v>0.84276729559748431</v>
      </c>
      <c r="F1469" s="1" t="s">
        <v>297</v>
      </c>
      <c r="G1469" s="1" t="s">
        <v>24</v>
      </c>
      <c r="H1469" s="1">
        <v>28950</v>
      </c>
      <c r="I1469" s="1">
        <v>37423</v>
      </c>
      <c r="J1469" s="7">
        <v>0.77400000000000002</v>
      </c>
      <c r="K1469" s="1" t="s">
        <v>29</v>
      </c>
      <c r="L1469" s="1" t="s">
        <v>29</v>
      </c>
      <c r="M1469" s="1" t="s">
        <v>29</v>
      </c>
      <c r="N1469" s="1" t="s">
        <v>297</v>
      </c>
    </row>
    <row r="1470" spans="1:14" x14ac:dyDescent="0.25">
      <c r="A1470" s="1">
        <v>1469</v>
      </c>
      <c r="B1470" s="2" t="str">
        <f>HYPERLINK("https://leetcode.com/problems/find-all-the-lonely-nodes/", "Find All The Lonely Nodes")</f>
        <v>Find All The Lonely Nodes</v>
      </c>
      <c r="C1470" s="1">
        <v>519</v>
      </c>
      <c r="D1470" s="1">
        <v>11</v>
      </c>
      <c r="E1470" s="3">
        <f>IF(INDEX(C:C, ROW())+INDEX(D:D, ROW())=0, 0, INDEX(C:C, ROW())/(INDEX(C:C, ROW())+INDEX(D:D, ROW())))</f>
        <v>0.97924528301886793</v>
      </c>
      <c r="F1470" s="1" t="s">
        <v>80</v>
      </c>
      <c r="G1470" s="1" t="s">
        <v>20</v>
      </c>
      <c r="H1470" s="1">
        <v>61182</v>
      </c>
      <c r="I1470" s="1">
        <v>72751</v>
      </c>
      <c r="J1470" s="7">
        <v>0.84099999999999997</v>
      </c>
      <c r="K1470" s="1" t="s">
        <v>29</v>
      </c>
      <c r="L1470" s="1" t="s">
        <v>21</v>
      </c>
      <c r="M1470" s="1" t="s">
        <v>29</v>
      </c>
      <c r="N1470" s="1" t="s">
        <v>22</v>
      </c>
    </row>
    <row r="1471" spans="1:14" x14ac:dyDescent="0.25">
      <c r="A1471" s="1">
        <v>1470</v>
      </c>
      <c r="B1471" s="2" t="str">
        <f>HYPERLINK("https://leetcode.com/problems/shuffle-the-array/", "Shuffle the Array")</f>
        <v>Shuffle the Array</v>
      </c>
      <c r="C1471" s="1">
        <v>6351</v>
      </c>
      <c r="D1471" s="1">
        <v>349</v>
      </c>
      <c r="E1471" s="3">
        <f>IF(INDEX(C:C, ROW())+INDEX(D:D, ROW())=0, 0, INDEX(C:C, ROW())/(INDEX(C:C, ROW())+INDEX(D:D, ROW())))</f>
        <v>0.94791044776119404</v>
      </c>
      <c r="F1471" s="1" t="s">
        <v>113</v>
      </c>
      <c r="G1471" s="1" t="s">
        <v>20</v>
      </c>
      <c r="H1471" s="1">
        <v>1015433</v>
      </c>
      <c r="I1471" s="1">
        <v>1141528</v>
      </c>
      <c r="J1471" s="7">
        <v>0.89</v>
      </c>
      <c r="K1471" s="1" t="s">
        <v>21</v>
      </c>
      <c r="L1471" s="1" t="s">
        <v>21</v>
      </c>
      <c r="M1471" s="1" t="s">
        <v>29</v>
      </c>
      <c r="N1471" s="1" t="s">
        <v>22</v>
      </c>
    </row>
    <row r="1472" spans="1:14" x14ac:dyDescent="0.25">
      <c r="A1472" s="1">
        <v>1471</v>
      </c>
      <c r="B1472" s="2" t="str">
        <f>HYPERLINK("https://leetcode.com/problems/the-k-strongest-values-in-an-array/", "The k Strongest Values in an Array")</f>
        <v>The k Strongest Values in an Array</v>
      </c>
      <c r="C1472" s="1">
        <v>722</v>
      </c>
      <c r="D1472" s="1">
        <v>165</v>
      </c>
      <c r="E1472" s="3">
        <f>IF(INDEX(C:C, ROW())+INDEX(D:D, ROW())=0, 0, INDEX(C:C, ROW())/(INDEX(C:C, ROW())+INDEX(D:D, ROW())))</f>
        <v>0.81397970687711385</v>
      </c>
      <c r="F1472" s="1" t="s">
        <v>31</v>
      </c>
      <c r="G1472" s="1" t="s">
        <v>24</v>
      </c>
      <c r="H1472" s="1">
        <v>46652</v>
      </c>
      <c r="I1472" s="1">
        <v>74533</v>
      </c>
      <c r="J1472" s="7">
        <v>0.626</v>
      </c>
      <c r="K1472" s="1" t="s">
        <v>21</v>
      </c>
      <c r="L1472" s="1" t="s">
        <v>29</v>
      </c>
      <c r="M1472" s="1" t="s">
        <v>29</v>
      </c>
      <c r="N1472" s="1" t="s">
        <v>22</v>
      </c>
    </row>
    <row r="1473" spans="1:14" x14ac:dyDescent="0.25">
      <c r="A1473" s="1">
        <v>1472</v>
      </c>
      <c r="B1473" s="2" t="str">
        <f>HYPERLINK("https://leetcode.com/problems/design-browser-history/", "Design Browser History")</f>
        <v>Design Browser History</v>
      </c>
      <c r="C1473" s="1">
        <v>4125</v>
      </c>
      <c r="D1473" s="1">
        <v>268</v>
      </c>
      <c r="E1473" s="3">
        <f>IF(INDEX(C:C, ROW())+INDEX(D:D, ROW())=0, 0, INDEX(C:C, ROW())/(INDEX(C:C, ROW())+INDEX(D:D, ROW())))</f>
        <v>0.93899385385841105</v>
      </c>
      <c r="F1473" s="1" t="s">
        <v>304</v>
      </c>
      <c r="G1473" s="1" t="s">
        <v>24</v>
      </c>
      <c r="H1473" s="1">
        <v>331874</v>
      </c>
      <c r="I1473" s="1">
        <v>424525</v>
      </c>
      <c r="J1473" s="7">
        <v>0.78200000000000003</v>
      </c>
      <c r="K1473" s="1" t="s">
        <v>21</v>
      </c>
      <c r="L1473" s="1" t="s">
        <v>21</v>
      </c>
      <c r="M1473" s="1" t="s">
        <v>29</v>
      </c>
      <c r="N1473" s="1" t="s">
        <v>22</v>
      </c>
    </row>
    <row r="1474" spans="1:14" x14ac:dyDescent="0.25">
      <c r="A1474" s="1">
        <v>1473</v>
      </c>
      <c r="B1474" s="2" t="str">
        <f>HYPERLINK("https://leetcode.com/problems/paint-house-iii/", "Paint House III")</f>
        <v>Paint House III</v>
      </c>
      <c r="C1474" s="1">
        <v>2130</v>
      </c>
      <c r="D1474" s="1">
        <v>156</v>
      </c>
      <c r="E1474" s="3">
        <f>IF(INDEX(C:C, ROW())+INDEX(D:D, ROW())=0, 0, INDEX(C:C, ROW())/(INDEX(C:C, ROW())+INDEX(D:D, ROW())))</f>
        <v>0.93175853018372701</v>
      </c>
      <c r="F1474" s="1" t="s">
        <v>30</v>
      </c>
      <c r="G1474" s="1" t="s">
        <v>28</v>
      </c>
      <c r="H1474" s="1">
        <v>71648</v>
      </c>
      <c r="I1474" s="1">
        <v>117127</v>
      </c>
      <c r="J1474" s="7">
        <v>0.61199999999999999</v>
      </c>
      <c r="K1474" s="1" t="s">
        <v>21</v>
      </c>
      <c r="L1474" s="1" t="s">
        <v>21</v>
      </c>
      <c r="M1474" s="1" t="s">
        <v>29</v>
      </c>
      <c r="N1474" s="1" t="s">
        <v>22</v>
      </c>
    </row>
    <row r="1475" spans="1:14" x14ac:dyDescent="0.25">
      <c r="A1475" s="1">
        <v>1474</v>
      </c>
      <c r="B1475" s="2" t="str">
        <f>HYPERLINK("https://leetcode.com/problems/delete-n-nodes-after-m-nodes-of-a-linked-list/", "Delete N Nodes After M Nodes of a Linked List")</f>
        <v>Delete N Nodes After M Nodes of a Linked List</v>
      </c>
      <c r="C1475" s="1">
        <v>434</v>
      </c>
      <c r="D1475" s="1">
        <v>17</v>
      </c>
      <c r="E1475" s="3">
        <f>IF(INDEX(C:C, ROW())+INDEX(D:D, ROW())=0, 0, INDEX(C:C, ROW())/(INDEX(C:C, ROW())+INDEX(D:D, ROW())))</f>
        <v>0.96230598669623058</v>
      </c>
      <c r="F1475" s="1" t="s">
        <v>104</v>
      </c>
      <c r="G1475" s="1" t="s">
        <v>20</v>
      </c>
      <c r="H1475" s="1">
        <v>41617</v>
      </c>
      <c r="I1475" s="1">
        <v>55920</v>
      </c>
      <c r="J1475" s="7">
        <v>0.74399999999999999</v>
      </c>
      <c r="K1475" s="1" t="s">
        <v>29</v>
      </c>
      <c r="L1475" s="1" t="s">
        <v>21</v>
      </c>
      <c r="M1475" s="1" t="s">
        <v>29</v>
      </c>
      <c r="N1475" s="1" t="s">
        <v>22</v>
      </c>
    </row>
    <row r="1476" spans="1:14" x14ac:dyDescent="0.25">
      <c r="A1476" s="1">
        <v>1475</v>
      </c>
      <c r="B1476" s="2" t="str">
        <f>HYPERLINK("https://leetcode.com/problems/final-prices-with-a-special-discount-in-a-shop/", "Final Prices With a Special Discount in a Shop")</f>
        <v>Final Prices With a Special Discount in a Shop</v>
      </c>
      <c r="C1476" s="1">
        <v>2901</v>
      </c>
      <c r="D1476" s="1">
        <v>152</v>
      </c>
      <c r="E1476" s="3">
        <f>IF(INDEX(C:C, ROW())+INDEX(D:D, ROW())=0, 0, INDEX(C:C, ROW())/(INDEX(C:C, ROW())+INDEX(D:D, ROW())))</f>
        <v>0.95021290533901082</v>
      </c>
      <c r="F1476" s="1" t="s">
        <v>61</v>
      </c>
      <c r="G1476" s="1" t="s">
        <v>20</v>
      </c>
      <c r="H1476" s="1">
        <v>388986</v>
      </c>
      <c r="I1476" s="1">
        <v>463044</v>
      </c>
      <c r="J1476" s="7">
        <v>0.84</v>
      </c>
      <c r="K1476" s="1" t="s">
        <v>21</v>
      </c>
      <c r="L1476" s="1" t="s">
        <v>21</v>
      </c>
      <c r="M1476" s="1" t="s">
        <v>29</v>
      </c>
      <c r="N1476" s="1" t="s">
        <v>22</v>
      </c>
    </row>
    <row r="1477" spans="1:14" x14ac:dyDescent="0.25">
      <c r="A1477" s="1">
        <v>1476</v>
      </c>
      <c r="B1477" s="2" t="str">
        <f>HYPERLINK("https://leetcode.com/problems/subrectangle-queries/", "Subrectangle Queries")</f>
        <v>Subrectangle Queries</v>
      </c>
      <c r="C1477" s="1">
        <v>666</v>
      </c>
      <c r="D1477" s="1">
        <v>1461</v>
      </c>
      <c r="E1477" s="3">
        <f>IF(INDEX(C:C, ROW())+INDEX(D:D, ROW())=0, 0, INDEX(C:C, ROW())/(INDEX(C:C, ROW())+INDEX(D:D, ROW())))</f>
        <v>0.31311706629055008</v>
      </c>
      <c r="F1477" s="1" t="s">
        <v>815</v>
      </c>
      <c r="G1477" s="1" t="s">
        <v>24</v>
      </c>
      <c r="H1477" s="1">
        <v>126878</v>
      </c>
      <c r="I1477" s="1">
        <v>147066</v>
      </c>
      <c r="J1477" s="7">
        <v>0.86299999999999999</v>
      </c>
      <c r="K1477" s="1" t="s">
        <v>21</v>
      </c>
      <c r="L1477" s="1" t="s">
        <v>29</v>
      </c>
      <c r="M1477" s="1" t="s">
        <v>29</v>
      </c>
      <c r="N1477" s="1" t="s">
        <v>22</v>
      </c>
    </row>
    <row r="1478" spans="1:14" x14ac:dyDescent="0.25">
      <c r="A1478" s="1">
        <v>1477</v>
      </c>
      <c r="B1478" s="2" t="str">
        <f>HYPERLINK("https://leetcode.com/problems/find-two-non-overlapping-sub-arrays-each-with-target-sum/", "Find Two Non-overlapping Sub-arrays Each With Target Sum")</f>
        <v>Find Two Non-overlapping Sub-arrays Each With Target Sum</v>
      </c>
      <c r="C1478" s="1">
        <v>1765</v>
      </c>
      <c r="D1478" s="1">
        <v>93</v>
      </c>
      <c r="E1478" s="3">
        <f>IF(INDEX(C:C, ROW())+INDEX(D:D, ROW())=0, 0, INDEX(C:C, ROW())/(INDEX(C:C, ROW())+INDEX(D:D, ROW())))</f>
        <v>0.94994617868676001</v>
      </c>
      <c r="F1478" s="1" t="s">
        <v>540</v>
      </c>
      <c r="G1478" s="1" t="s">
        <v>24</v>
      </c>
      <c r="H1478" s="1">
        <v>54725</v>
      </c>
      <c r="I1478" s="1">
        <v>148974</v>
      </c>
      <c r="J1478" s="7">
        <v>0.36699999999999999</v>
      </c>
      <c r="K1478" s="1" t="s">
        <v>21</v>
      </c>
      <c r="L1478" s="1" t="s">
        <v>29</v>
      </c>
      <c r="M1478" s="1" t="s">
        <v>29</v>
      </c>
      <c r="N1478" s="1" t="s">
        <v>22</v>
      </c>
    </row>
    <row r="1479" spans="1:14" x14ac:dyDescent="0.25">
      <c r="A1479" s="1">
        <v>1478</v>
      </c>
      <c r="B1479" s="2" t="str">
        <f>HYPERLINK("https://leetcode.com/problems/allocate-mailboxes/", "Allocate Mailboxes")</f>
        <v>Allocate Mailboxes</v>
      </c>
      <c r="C1479" s="1">
        <v>1171</v>
      </c>
      <c r="D1479" s="1">
        <v>23</v>
      </c>
      <c r="E1479" s="3">
        <f>IF(INDEX(C:C, ROW())+INDEX(D:D, ROW())=0, 0, INDEX(C:C, ROW())/(INDEX(C:C, ROW())+INDEX(D:D, ROW())))</f>
        <v>0.98073701842546068</v>
      </c>
      <c r="F1479" s="1" t="s">
        <v>206</v>
      </c>
      <c r="G1479" s="1" t="s">
        <v>28</v>
      </c>
      <c r="H1479" s="1">
        <v>33360</v>
      </c>
      <c r="I1479" s="1">
        <v>59101</v>
      </c>
      <c r="J1479" s="7">
        <v>0.56399999999999995</v>
      </c>
      <c r="K1479" s="1" t="s">
        <v>21</v>
      </c>
      <c r="L1479" s="1" t="s">
        <v>29</v>
      </c>
      <c r="M1479" s="1" t="s">
        <v>29</v>
      </c>
      <c r="N1479" s="1" t="s">
        <v>22</v>
      </c>
    </row>
    <row r="1480" spans="1:14" x14ac:dyDescent="0.25">
      <c r="A1480" s="1">
        <v>1479</v>
      </c>
      <c r="B1480" s="2" t="str">
        <f>HYPERLINK("https://leetcode.com/problems/sales-by-day-of-the-week/", "Sales by Day of the Week")</f>
        <v>Sales by Day of the Week</v>
      </c>
      <c r="C1480" s="1">
        <v>159</v>
      </c>
      <c r="D1480" s="1">
        <v>39</v>
      </c>
      <c r="E1480" s="3">
        <f>IF(INDEX(C:C, ROW())+INDEX(D:D, ROW())=0, 0, INDEX(C:C, ROW())/(INDEX(C:C, ROW())+INDEX(D:D, ROW())))</f>
        <v>0.80303030303030298</v>
      </c>
      <c r="F1480" s="1" t="s">
        <v>297</v>
      </c>
      <c r="G1480" s="1" t="s">
        <v>28</v>
      </c>
      <c r="H1480" s="1">
        <v>21188</v>
      </c>
      <c r="I1480" s="1">
        <v>27765</v>
      </c>
      <c r="J1480" s="7">
        <v>0.76300000000000001</v>
      </c>
      <c r="K1480" s="1" t="s">
        <v>29</v>
      </c>
      <c r="L1480" s="1" t="s">
        <v>21</v>
      </c>
      <c r="M1480" s="1" t="s">
        <v>29</v>
      </c>
      <c r="N1480" s="1" t="s">
        <v>297</v>
      </c>
    </row>
    <row r="1481" spans="1:14" x14ac:dyDescent="0.25">
      <c r="A1481" s="1">
        <v>1480</v>
      </c>
      <c r="B1481" s="2" t="str">
        <f>HYPERLINK("https://leetcode.com/problems/running-sum-of-1d-array/", "Running Sum of 1d Array")</f>
        <v>Running Sum of 1d Array</v>
      </c>
      <c r="C1481" s="1">
        <v>8710</v>
      </c>
      <c r="D1481" s="1">
        <v>371</v>
      </c>
      <c r="E1481" s="3">
        <f>IF(INDEX(C:C, ROW())+INDEX(D:D, ROW())=0, 0, INDEX(C:C, ROW())/(INDEX(C:C, ROW())+INDEX(D:D, ROW())))</f>
        <v>0.95914546856073124</v>
      </c>
      <c r="F1481" s="1" t="s">
        <v>37</v>
      </c>
      <c r="G1481" s="1" t="s">
        <v>20</v>
      </c>
      <c r="H1481" s="1">
        <v>2328874</v>
      </c>
      <c r="I1481" s="1">
        <v>2679701</v>
      </c>
      <c r="J1481" s="7">
        <v>0.86899999999999999</v>
      </c>
      <c r="K1481" s="1" t="s">
        <v>21</v>
      </c>
      <c r="L1481" s="1" t="s">
        <v>21</v>
      </c>
      <c r="M1481" s="1" t="s">
        <v>21</v>
      </c>
      <c r="N1481" s="1" t="s">
        <v>22</v>
      </c>
    </row>
    <row r="1482" spans="1:14" x14ac:dyDescent="0.25">
      <c r="A1482" s="1">
        <v>1481</v>
      </c>
      <c r="B1482" s="2" t="str">
        <f>HYPERLINK("https://leetcode.com/problems/least-number-of-unique-integers-after-k-removals/", "Least Number of Unique Integers after K Removals")</f>
        <v>Least Number of Unique Integers after K Removals</v>
      </c>
      <c r="C1482" s="1">
        <v>2338</v>
      </c>
      <c r="D1482" s="1">
        <v>234</v>
      </c>
      <c r="E1482" s="3">
        <f>IF(INDEX(C:C, ROW())+INDEX(D:D, ROW())=0, 0, INDEX(C:C, ROW())/(INDEX(C:C, ROW())+INDEX(D:D, ROW())))</f>
        <v>0.90902021772939345</v>
      </c>
      <c r="F1482" s="1" t="s">
        <v>450</v>
      </c>
      <c r="G1482" s="1" t="s">
        <v>24</v>
      </c>
      <c r="H1482" s="1">
        <v>279880</v>
      </c>
      <c r="I1482" s="1">
        <v>439113</v>
      </c>
      <c r="J1482" s="7">
        <v>0.63700000000000001</v>
      </c>
      <c r="K1482" s="1" t="s">
        <v>21</v>
      </c>
      <c r="L1482" s="1" t="s">
        <v>21</v>
      </c>
      <c r="M1482" s="1" t="s">
        <v>29</v>
      </c>
      <c r="N1482" s="1" t="s">
        <v>22</v>
      </c>
    </row>
    <row r="1483" spans="1:14" x14ac:dyDescent="0.25">
      <c r="A1483" s="1">
        <v>1482</v>
      </c>
      <c r="B1483" s="2" t="str">
        <f>HYPERLINK("https://leetcode.com/problems/minimum-number-of-days-to-make-m-bouquets/", "Minimum Number of Days to Make m Bouquets")</f>
        <v>Minimum Number of Days to Make m Bouquets</v>
      </c>
      <c r="C1483" s="1">
        <v>5650</v>
      </c>
      <c r="D1483" s="1">
        <v>317</v>
      </c>
      <c r="E1483" s="3">
        <f>IF(INDEX(C:C, ROW())+INDEX(D:D, ROW())=0, 0, INDEX(C:C, ROW())/(INDEX(C:C, ROW())+INDEX(D:D, ROW())))</f>
        <v>0.946874476286241</v>
      </c>
      <c r="F1483" s="1" t="s">
        <v>35</v>
      </c>
      <c r="G1483" s="1" t="s">
        <v>24</v>
      </c>
      <c r="H1483" s="1">
        <v>486272</v>
      </c>
      <c r="I1483" s="1">
        <v>864655</v>
      </c>
      <c r="J1483" s="7">
        <v>0.56200000000000006</v>
      </c>
      <c r="K1483" s="1" t="s">
        <v>21</v>
      </c>
      <c r="L1483" s="1" t="s">
        <v>21</v>
      </c>
      <c r="M1483" s="1" t="s">
        <v>29</v>
      </c>
      <c r="N1483" s="1" t="s">
        <v>22</v>
      </c>
    </row>
    <row r="1484" spans="1:14" x14ac:dyDescent="0.25">
      <c r="A1484" s="1">
        <v>1483</v>
      </c>
      <c r="B1484" s="2" t="str">
        <f>HYPERLINK("https://leetcode.com/problems/kth-ancestor-of-a-tree-node/", "Kth Ancestor of a Tree Node")</f>
        <v>Kth Ancestor of a Tree Node</v>
      </c>
      <c r="C1484" s="1">
        <v>2076</v>
      </c>
      <c r="D1484" s="1">
        <v>124</v>
      </c>
      <c r="E1484" s="3">
        <f>IF(INDEX(C:C, ROW())+INDEX(D:D, ROW())=0, 0, INDEX(C:C, ROW())/(INDEX(C:C, ROW())+INDEX(D:D, ROW())))</f>
        <v>0.94363636363636361</v>
      </c>
      <c r="F1484" s="1" t="s">
        <v>493</v>
      </c>
      <c r="G1484" s="1" t="s">
        <v>28</v>
      </c>
      <c r="H1484" s="1">
        <v>50774</v>
      </c>
      <c r="I1484" s="1">
        <v>136740</v>
      </c>
      <c r="J1484" s="7">
        <v>0.371</v>
      </c>
      <c r="K1484" s="1" t="s">
        <v>21</v>
      </c>
      <c r="L1484" s="1" t="s">
        <v>29</v>
      </c>
      <c r="M1484" s="1" t="s">
        <v>29</v>
      </c>
      <c r="N1484" s="1" t="s">
        <v>22</v>
      </c>
    </row>
    <row r="1485" spans="1:14" x14ac:dyDescent="0.25">
      <c r="A1485" s="1">
        <v>1484</v>
      </c>
      <c r="B1485" s="2" t="str">
        <f>HYPERLINK("https://leetcode.com/problems/group-sold-products-by-the-date/", "Group Sold Products By The Date")</f>
        <v>Group Sold Products By The Date</v>
      </c>
      <c r="C1485" s="1">
        <v>1701</v>
      </c>
      <c r="D1485" s="1">
        <v>123</v>
      </c>
      <c r="E1485" s="3">
        <f>IF(INDEX(C:C, ROW())+INDEX(D:D, ROW())=0, 0, INDEX(C:C, ROW())/(INDEX(C:C, ROW())+INDEX(D:D, ROW())))</f>
        <v>0.93256578947368418</v>
      </c>
      <c r="F1485" s="1" t="s">
        <v>297</v>
      </c>
      <c r="G1485" s="1" t="s">
        <v>20</v>
      </c>
      <c r="H1485" s="1">
        <v>394860</v>
      </c>
      <c r="I1485" s="1">
        <v>507175</v>
      </c>
      <c r="J1485" s="7">
        <v>0.77900000000000003</v>
      </c>
      <c r="K1485" s="1" t="s">
        <v>21</v>
      </c>
      <c r="L1485" s="1" t="s">
        <v>21</v>
      </c>
      <c r="M1485" s="1" t="s">
        <v>29</v>
      </c>
      <c r="N1485" s="1" t="s">
        <v>297</v>
      </c>
    </row>
    <row r="1486" spans="1:14" x14ac:dyDescent="0.25">
      <c r="A1486" s="1">
        <v>1485</v>
      </c>
      <c r="B1486" s="2" t="str">
        <f>HYPERLINK("https://leetcode.com/problems/clone-binary-tree-with-random-pointer/", "Clone Binary Tree With Random Pointer")</f>
        <v>Clone Binary Tree With Random Pointer</v>
      </c>
      <c r="C1486" s="1">
        <v>432</v>
      </c>
      <c r="D1486" s="1">
        <v>93</v>
      </c>
      <c r="E1486" s="3">
        <f>IF(INDEX(C:C, ROW())+INDEX(D:D, ROW())=0, 0, INDEX(C:C, ROW())/(INDEX(C:C, ROW())+INDEX(D:D, ROW())))</f>
        <v>0.82285714285714284</v>
      </c>
      <c r="F1486" s="1" t="s">
        <v>107</v>
      </c>
      <c r="G1486" s="1" t="s">
        <v>24</v>
      </c>
      <c r="H1486" s="1">
        <v>35778</v>
      </c>
      <c r="I1486" s="1">
        <v>44242</v>
      </c>
      <c r="J1486" s="7">
        <v>0.80900000000000005</v>
      </c>
      <c r="K1486" s="1" t="s">
        <v>29</v>
      </c>
      <c r="L1486" s="1" t="s">
        <v>21</v>
      </c>
      <c r="M1486" s="1" t="s">
        <v>29</v>
      </c>
      <c r="N1486" s="1" t="s">
        <v>22</v>
      </c>
    </row>
    <row r="1487" spans="1:14" x14ac:dyDescent="0.25">
      <c r="A1487" s="1">
        <v>1486</v>
      </c>
      <c r="B1487" s="2" t="str">
        <f>HYPERLINK("https://leetcode.com/problems/xor-operation-in-an-array/", "XOR Operation in an Array")</f>
        <v>XOR Operation in an Array</v>
      </c>
      <c r="C1487" s="1">
        <v>1502</v>
      </c>
      <c r="D1487" s="1">
        <v>340</v>
      </c>
      <c r="E1487" s="3">
        <f>IF(INDEX(C:C, ROW())+INDEX(D:D, ROW())=0, 0, INDEX(C:C, ROW())/(INDEX(C:C, ROW())+INDEX(D:D, ROW())))</f>
        <v>0.81541802388707929</v>
      </c>
      <c r="F1487" s="1" t="s">
        <v>227</v>
      </c>
      <c r="G1487" s="1" t="s">
        <v>20</v>
      </c>
      <c r="H1487" s="1">
        <v>261377</v>
      </c>
      <c r="I1487" s="1">
        <v>299012</v>
      </c>
      <c r="J1487" s="7">
        <v>0.874</v>
      </c>
      <c r="K1487" s="1" t="s">
        <v>21</v>
      </c>
      <c r="L1487" s="1" t="s">
        <v>29</v>
      </c>
      <c r="M1487" s="1" t="s">
        <v>29</v>
      </c>
      <c r="N1487" s="1" t="s">
        <v>22</v>
      </c>
    </row>
    <row r="1488" spans="1:14" x14ac:dyDescent="0.25">
      <c r="A1488" s="1">
        <v>1487</v>
      </c>
      <c r="B1488" s="2" t="str">
        <f>HYPERLINK("https://leetcode.com/problems/making-file-names-unique/", "Making File Names Unique")</f>
        <v>Making File Names Unique</v>
      </c>
      <c r="C1488" s="1">
        <v>464</v>
      </c>
      <c r="D1488" s="1">
        <v>741</v>
      </c>
      <c r="E1488" s="3">
        <f>IF(INDEX(C:C, ROW())+INDEX(D:D, ROW())=0, 0, INDEX(C:C, ROW())/(INDEX(C:C, ROW())+INDEX(D:D, ROW())))</f>
        <v>0.38506224066390043</v>
      </c>
      <c r="F1488" s="1" t="s">
        <v>258</v>
      </c>
      <c r="G1488" s="1" t="s">
        <v>24</v>
      </c>
      <c r="H1488" s="1">
        <v>39084</v>
      </c>
      <c r="I1488" s="1">
        <v>101749</v>
      </c>
      <c r="J1488" s="7">
        <v>0.38400000000000001</v>
      </c>
      <c r="K1488" s="1" t="s">
        <v>21</v>
      </c>
      <c r="L1488" s="1" t="s">
        <v>29</v>
      </c>
      <c r="M1488" s="1" t="s">
        <v>29</v>
      </c>
      <c r="N1488" s="1" t="s">
        <v>22</v>
      </c>
    </row>
    <row r="1489" spans="1:14" x14ac:dyDescent="0.25">
      <c r="A1489" s="1">
        <v>1488</v>
      </c>
      <c r="B1489" s="2" t="str">
        <f>HYPERLINK("https://leetcode.com/problems/avoid-flood-in-the-city/", "Avoid Flood in The City")</f>
        <v>Avoid Flood in The City</v>
      </c>
      <c r="C1489" s="1">
        <v>2144</v>
      </c>
      <c r="D1489" s="1">
        <v>614</v>
      </c>
      <c r="E1489" s="3">
        <f>IF(INDEX(C:C, ROW())+INDEX(D:D, ROW())=0, 0, INDEX(C:C, ROW())/(INDEX(C:C, ROW())+INDEX(D:D, ROW())))</f>
        <v>0.77737490935460474</v>
      </c>
      <c r="F1489" s="1" t="s">
        <v>478</v>
      </c>
      <c r="G1489" s="1" t="s">
        <v>24</v>
      </c>
      <c r="H1489" s="1">
        <v>131964</v>
      </c>
      <c r="I1489" s="1">
        <v>338671</v>
      </c>
      <c r="J1489" s="7">
        <v>0.39</v>
      </c>
      <c r="K1489" s="1" t="s">
        <v>21</v>
      </c>
      <c r="L1489" s="1" t="s">
        <v>21</v>
      </c>
      <c r="M1489" s="1" t="s">
        <v>29</v>
      </c>
      <c r="N1489" s="1" t="s">
        <v>22</v>
      </c>
    </row>
    <row r="1490" spans="1:14" x14ac:dyDescent="0.25">
      <c r="A1490" s="1">
        <v>1489</v>
      </c>
      <c r="B1490" s="2" t="str">
        <f>HYPERLINK("https://leetcode.com/problems/find-critical-and-pseudo-critical-edges-in-minimum-spanning-tree/", "Find Critical and Pseudo-Critical Edges in Minimum Spanning Tree")</f>
        <v>Find Critical and Pseudo-Critical Edges in Minimum Spanning Tree</v>
      </c>
      <c r="C1490" s="1">
        <v>1996</v>
      </c>
      <c r="D1490" s="1">
        <v>169</v>
      </c>
      <c r="E1490" s="3">
        <f>IF(INDEX(C:C, ROW())+INDEX(D:D, ROW())=0, 0, INDEX(C:C, ROW())/(INDEX(C:C, ROW())+INDEX(D:D, ROW())))</f>
        <v>0.92193995381062355</v>
      </c>
      <c r="F1490" s="1" t="s">
        <v>501</v>
      </c>
      <c r="G1490" s="1" t="s">
        <v>28</v>
      </c>
      <c r="H1490" s="1">
        <v>71130</v>
      </c>
      <c r="I1490" s="1">
        <v>107214</v>
      </c>
      <c r="J1490" s="7">
        <v>0.66300000000000003</v>
      </c>
      <c r="K1490" s="1" t="s">
        <v>21</v>
      </c>
      <c r="L1490" s="1" t="s">
        <v>21</v>
      </c>
      <c r="M1490" s="1" t="s">
        <v>29</v>
      </c>
      <c r="N1490" s="1" t="s">
        <v>22</v>
      </c>
    </row>
    <row r="1491" spans="1:14" x14ac:dyDescent="0.25">
      <c r="A1491" s="1">
        <v>1490</v>
      </c>
      <c r="B1491" s="2" t="str">
        <f>HYPERLINK("https://leetcode.com/problems/clone-n-ary-tree/", "Clone N-ary Tree")</f>
        <v>Clone N-ary Tree</v>
      </c>
      <c r="C1491" s="1">
        <v>427</v>
      </c>
      <c r="D1491" s="1">
        <v>17</v>
      </c>
      <c r="E1491" s="3">
        <f>IF(INDEX(C:C, ROW())+INDEX(D:D, ROW())=0, 0, INDEX(C:C, ROW())/(INDEX(C:C, ROW())+INDEX(D:D, ROW())))</f>
        <v>0.96171171171171166</v>
      </c>
      <c r="F1491" s="1" t="s">
        <v>320</v>
      </c>
      <c r="G1491" s="1" t="s">
        <v>24</v>
      </c>
      <c r="H1491" s="1">
        <v>34083</v>
      </c>
      <c r="I1491" s="1">
        <v>41014</v>
      </c>
      <c r="J1491" s="7">
        <v>0.83099999999999996</v>
      </c>
      <c r="K1491" s="1" t="s">
        <v>29</v>
      </c>
      <c r="L1491" s="1" t="s">
        <v>21</v>
      </c>
      <c r="M1491" s="1" t="s">
        <v>29</v>
      </c>
      <c r="N1491" s="1" t="s">
        <v>22</v>
      </c>
    </row>
    <row r="1492" spans="1:14" x14ac:dyDescent="0.25">
      <c r="A1492" s="1">
        <v>1491</v>
      </c>
      <c r="B1492" s="2" t="str">
        <f>HYPERLINK("https://leetcode.com/problems/average-salary-excluding-the-minimum-and-maximum-salary/", "Average Salary Excluding the Minimum and Maximum Salary")</f>
        <v>Average Salary Excluding the Minimum and Maximum Salary</v>
      </c>
      <c r="C1492" s="1">
        <v>2274</v>
      </c>
      <c r="D1492" s="1">
        <v>187</v>
      </c>
      <c r="E1492" s="3">
        <f>IF(INDEX(C:C, ROW())+INDEX(D:D, ROW())=0, 0, INDEX(C:C, ROW())/(INDEX(C:C, ROW())+INDEX(D:D, ROW())))</f>
        <v>0.92401462819991875</v>
      </c>
      <c r="F1492" s="1" t="s">
        <v>42</v>
      </c>
      <c r="G1492" s="1" t="s">
        <v>20</v>
      </c>
      <c r="H1492" s="1">
        <v>389353</v>
      </c>
      <c r="I1492" s="1">
        <v>612820</v>
      </c>
      <c r="J1492" s="7">
        <v>0.63500000000000001</v>
      </c>
      <c r="K1492" s="1" t="s">
        <v>21</v>
      </c>
      <c r="L1492" s="1" t="s">
        <v>21</v>
      </c>
      <c r="M1492" s="1" t="s">
        <v>29</v>
      </c>
      <c r="N1492" s="1" t="s">
        <v>22</v>
      </c>
    </row>
    <row r="1493" spans="1:14" x14ac:dyDescent="0.25">
      <c r="A1493" s="1">
        <v>1492</v>
      </c>
      <c r="B1493" s="2" t="str">
        <f>HYPERLINK("https://leetcode.com/problems/the-kth-factor-of-n/", "The kth Factor of n")</f>
        <v>The kth Factor of n</v>
      </c>
      <c r="C1493" s="1">
        <v>1924</v>
      </c>
      <c r="D1493" s="1">
        <v>312</v>
      </c>
      <c r="E1493" s="3">
        <f>IF(INDEX(C:C, ROW())+INDEX(D:D, ROW())=0, 0, INDEX(C:C, ROW())/(INDEX(C:C, ROW())+INDEX(D:D, ROW())))</f>
        <v>0.86046511627906974</v>
      </c>
      <c r="F1493" s="1" t="s">
        <v>513</v>
      </c>
      <c r="G1493" s="1" t="s">
        <v>24</v>
      </c>
      <c r="H1493" s="1">
        <v>347901</v>
      </c>
      <c r="I1493" s="1">
        <v>495823</v>
      </c>
      <c r="J1493" s="7">
        <v>0.70199999999999996</v>
      </c>
      <c r="K1493" s="1" t="s">
        <v>21</v>
      </c>
      <c r="L1493" s="1" t="s">
        <v>29</v>
      </c>
      <c r="M1493" s="1" t="s">
        <v>29</v>
      </c>
      <c r="N1493" s="1" t="s">
        <v>22</v>
      </c>
    </row>
    <row r="1494" spans="1:14" x14ac:dyDescent="0.25">
      <c r="A1494" s="1">
        <v>1493</v>
      </c>
      <c r="B1494" s="2" t="str">
        <f>HYPERLINK("https://leetcode.com/problems/longest-subarray-of-1s-after-deleting-one-element/", "Longest Subarray of 1's After Deleting One Element")</f>
        <v>Longest Subarray of 1's After Deleting One Element</v>
      </c>
      <c r="C1494" s="1">
        <v>4785</v>
      </c>
      <c r="D1494" s="1">
        <v>110</v>
      </c>
      <c r="E1494" s="3">
        <f>IF(INDEX(C:C, ROW())+INDEX(D:D, ROW())=0, 0, INDEX(C:C, ROW())/(INDEX(C:C, ROW())+INDEX(D:D, ROW())))</f>
        <v>0.97752808988764039</v>
      </c>
      <c r="F1494" s="1" t="s">
        <v>239</v>
      </c>
      <c r="G1494" s="1" t="s">
        <v>24</v>
      </c>
      <c r="H1494" s="1">
        <v>623318</v>
      </c>
      <c r="I1494" s="1">
        <v>877231</v>
      </c>
      <c r="J1494" s="7">
        <v>0.71099999999999997</v>
      </c>
      <c r="K1494" s="1" t="s">
        <v>21</v>
      </c>
      <c r="L1494" s="1" t="s">
        <v>21</v>
      </c>
      <c r="M1494" s="1" t="s">
        <v>29</v>
      </c>
      <c r="N1494" s="1" t="s">
        <v>22</v>
      </c>
    </row>
    <row r="1495" spans="1:14" x14ac:dyDescent="0.25">
      <c r="A1495" s="1">
        <v>1494</v>
      </c>
      <c r="B1495" s="2" t="str">
        <f>HYPERLINK("https://leetcode.com/problems/parallel-courses-ii/", "Parallel Courses II")</f>
        <v>Parallel Courses II</v>
      </c>
      <c r="C1495" s="1">
        <v>1134</v>
      </c>
      <c r="D1495" s="1">
        <v>77</v>
      </c>
      <c r="E1495" s="3">
        <f>IF(INDEX(C:C, ROW())+INDEX(D:D, ROW())=0, 0, INDEX(C:C, ROW())/(INDEX(C:C, ROW())+INDEX(D:D, ROW())))</f>
        <v>0.93641618497109824</v>
      </c>
      <c r="F1495" s="1" t="s">
        <v>677</v>
      </c>
      <c r="G1495" s="1" t="s">
        <v>28</v>
      </c>
      <c r="H1495" s="1">
        <v>25968</v>
      </c>
      <c r="I1495" s="1">
        <v>85077</v>
      </c>
      <c r="J1495" s="7">
        <v>0.30499999999999999</v>
      </c>
      <c r="K1495" s="1" t="s">
        <v>21</v>
      </c>
      <c r="L1495" s="1" t="s">
        <v>29</v>
      </c>
      <c r="M1495" s="1" t="s">
        <v>29</v>
      </c>
      <c r="N1495" s="1" t="s">
        <v>22</v>
      </c>
    </row>
    <row r="1496" spans="1:14" x14ac:dyDescent="0.25">
      <c r="A1496" s="1">
        <v>1495</v>
      </c>
      <c r="B1496" s="2" t="str">
        <f>HYPERLINK("https://leetcode.com/problems/friendly-movies-streamed-last-month/", "Friendly Movies Streamed Last Month")</f>
        <v>Friendly Movies Streamed Last Month</v>
      </c>
      <c r="C1496" s="1">
        <v>92</v>
      </c>
      <c r="D1496" s="1">
        <v>43</v>
      </c>
      <c r="E1496" s="3">
        <f>IF(INDEX(C:C, ROW())+INDEX(D:D, ROW())=0, 0, INDEX(C:C, ROW())/(INDEX(C:C, ROW())+INDEX(D:D, ROW())))</f>
        <v>0.68148148148148147</v>
      </c>
      <c r="F1496" s="1" t="s">
        <v>297</v>
      </c>
      <c r="G1496" s="1" t="s">
        <v>20</v>
      </c>
      <c r="H1496" s="1">
        <v>40060</v>
      </c>
      <c r="I1496" s="1">
        <v>81955</v>
      </c>
      <c r="J1496" s="7">
        <v>0.48899999999999999</v>
      </c>
      <c r="K1496" s="1" t="s">
        <v>29</v>
      </c>
      <c r="L1496" s="1" t="s">
        <v>21</v>
      </c>
      <c r="M1496" s="1" t="s">
        <v>29</v>
      </c>
      <c r="N1496" s="1" t="s">
        <v>297</v>
      </c>
    </row>
    <row r="1497" spans="1:14" x14ac:dyDescent="0.25">
      <c r="A1497" s="1">
        <v>1496</v>
      </c>
      <c r="B1497" s="2" t="str">
        <f>HYPERLINK("https://leetcode.com/problems/path-crossing/", "Path Crossing")</f>
        <v>Path Crossing</v>
      </c>
      <c r="C1497" s="1">
        <v>1551</v>
      </c>
      <c r="D1497" s="1">
        <v>50</v>
      </c>
      <c r="E1497" s="3">
        <f>IF(INDEX(C:C, ROW())+INDEX(D:D, ROW())=0, 0, INDEX(C:C, ROW())/(INDEX(C:C, ROW())+INDEX(D:D, ROW())))</f>
        <v>0.96876951905059339</v>
      </c>
      <c r="F1497" s="1" t="s">
        <v>131</v>
      </c>
      <c r="G1497" s="1" t="s">
        <v>20</v>
      </c>
      <c r="H1497" s="1">
        <v>193987</v>
      </c>
      <c r="I1497" s="1">
        <v>310131</v>
      </c>
      <c r="J1497" s="7">
        <v>0.626</v>
      </c>
      <c r="K1497" s="1" t="s">
        <v>21</v>
      </c>
      <c r="L1497" s="1" t="s">
        <v>21</v>
      </c>
      <c r="M1497" s="1" t="s">
        <v>29</v>
      </c>
      <c r="N1497" s="1" t="s">
        <v>22</v>
      </c>
    </row>
    <row r="1498" spans="1:14" x14ac:dyDescent="0.25">
      <c r="A1498" s="1">
        <v>1497</v>
      </c>
      <c r="B1498" s="2" t="str">
        <f>HYPERLINK("https://leetcode.com/problems/check-if-array-pairs-are-divisible-by-k/", "Check If Array Pairs Are Divisible by k")</f>
        <v>Check If Array Pairs Are Divisible by k</v>
      </c>
      <c r="C1498" s="1">
        <v>2617</v>
      </c>
      <c r="D1498" s="1">
        <v>156</v>
      </c>
      <c r="E1498" s="3">
        <f>IF(INDEX(C:C, ROW())+INDEX(D:D, ROW())=0, 0, INDEX(C:C, ROW())/(INDEX(C:C, ROW())+INDEX(D:D, ROW())))</f>
        <v>0.94374323836999641</v>
      </c>
      <c r="F1498" s="1" t="s">
        <v>294</v>
      </c>
      <c r="G1498" s="1" t="s">
        <v>24</v>
      </c>
      <c r="H1498" s="1">
        <v>206566</v>
      </c>
      <c r="I1498" s="1">
        <v>447359</v>
      </c>
      <c r="J1498" s="7">
        <v>0.46200000000000002</v>
      </c>
      <c r="K1498" s="1" t="s">
        <v>21</v>
      </c>
      <c r="L1498" s="1" t="s">
        <v>21</v>
      </c>
      <c r="M1498" s="1" t="s">
        <v>29</v>
      </c>
      <c r="N1498" s="1" t="s">
        <v>22</v>
      </c>
    </row>
    <row r="1499" spans="1:14" x14ac:dyDescent="0.25">
      <c r="A1499" s="1">
        <v>1498</v>
      </c>
      <c r="B1499" s="2" t="str">
        <f>HYPERLINK("https://leetcode.com/problems/number-of-subsequences-that-satisfy-the-given-sum-condition/", "Number of Subsequences That Satisfy the Given Sum Condition")</f>
        <v>Number of Subsequences That Satisfy the Given Sum Condition</v>
      </c>
      <c r="C1499" s="1">
        <v>4647</v>
      </c>
      <c r="D1499" s="1">
        <v>435</v>
      </c>
      <c r="E1499" s="3">
        <f>IF(INDEX(C:C, ROW())+INDEX(D:D, ROW())=0, 0, INDEX(C:C, ROW())/(INDEX(C:C, ROW())+INDEX(D:D, ROW())))</f>
        <v>0.91440377804014172</v>
      </c>
      <c r="F1499" s="1" t="s">
        <v>277</v>
      </c>
      <c r="G1499" s="1" t="s">
        <v>24</v>
      </c>
      <c r="H1499" s="1">
        <v>247538</v>
      </c>
      <c r="I1499" s="1">
        <v>502584</v>
      </c>
      <c r="J1499" s="7">
        <v>0.49299999999999999</v>
      </c>
      <c r="K1499" s="1" t="s">
        <v>21</v>
      </c>
      <c r="L1499" s="1" t="s">
        <v>21</v>
      </c>
      <c r="M1499" s="1" t="s">
        <v>29</v>
      </c>
      <c r="N1499" s="1" t="s">
        <v>22</v>
      </c>
    </row>
    <row r="1500" spans="1:14" x14ac:dyDescent="0.25">
      <c r="A1500" s="1">
        <v>1499</v>
      </c>
      <c r="B1500" s="2" t="str">
        <f>HYPERLINK("https://leetcode.com/problems/max-value-of-equation/", "Max Value of Equation")</f>
        <v>Max Value of Equation</v>
      </c>
      <c r="C1500" s="1">
        <v>1411</v>
      </c>
      <c r="D1500" s="1">
        <v>62</v>
      </c>
      <c r="E1500" s="3">
        <f>IF(INDEX(C:C, ROW())+INDEX(D:D, ROW())=0, 0, INDEX(C:C, ROW())/(INDEX(C:C, ROW())+INDEX(D:D, ROW())))</f>
        <v>0.95790902919212495</v>
      </c>
      <c r="F1500" s="1" t="s">
        <v>59</v>
      </c>
      <c r="G1500" s="1" t="s">
        <v>28</v>
      </c>
      <c r="H1500" s="1">
        <v>54932</v>
      </c>
      <c r="I1500" s="1">
        <v>122169</v>
      </c>
      <c r="J1500" s="7">
        <v>0.45</v>
      </c>
      <c r="K1500" s="1" t="s">
        <v>21</v>
      </c>
      <c r="L1500" s="1" t="s">
        <v>29</v>
      </c>
      <c r="M1500" s="1" t="s">
        <v>29</v>
      </c>
      <c r="N1500" s="1" t="s">
        <v>22</v>
      </c>
    </row>
    <row r="1501" spans="1:14" x14ac:dyDescent="0.25">
      <c r="A1501" s="1">
        <v>1500</v>
      </c>
      <c r="B1501" s="2" t="str">
        <f>HYPERLINK("https://leetcode.com/problems/design-a-file-sharing-system/", "Design a File Sharing System")</f>
        <v>Design a File Sharing System</v>
      </c>
      <c r="C1501" s="1">
        <v>53</v>
      </c>
      <c r="D1501" s="1">
        <v>132</v>
      </c>
      <c r="E1501" s="3">
        <f>IF(INDEX(C:C, ROW())+INDEX(D:D, ROW())=0, 0, INDEX(C:C, ROW())/(INDEX(C:C, ROW())+INDEX(D:D, ROW())))</f>
        <v>0.2864864864864865</v>
      </c>
      <c r="F1501" s="1" t="s">
        <v>1259</v>
      </c>
      <c r="G1501" s="1" t="s">
        <v>24</v>
      </c>
      <c r="H1501" s="1">
        <v>6568</v>
      </c>
      <c r="I1501" s="1">
        <v>15803</v>
      </c>
      <c r="J1501" s="7">
        <v>0.41599999999999998</v>
      </c>
      <c r="K1501" s="1" t="s">
        <v>29</v>
      </c>
      <c r="L1501" s="1" t="s">
        <v>29</v>
      </c>
      <c r="M1501" s="1" t="s">
        <v>29</v>
      </c>
      <c r="N1501" s="1" t="s">
        <v>22</v>
      </c>
    </row>
    <row r="1502" spans="1:14" x14ac:dyDescent="0.25">
      <c r="A1502" s="1">
        <v>1501</v>
      </c>
      <c r="B1502" s="2" t="str">
        <f>HYPERLINK("https://leetcode.com/problems/countries-you-can-safely-invest-in/", "Countries You Can Safely Invest In")</f>
        <v>Countries You Can Safely Invest In</v>
      </c>
      <c r="C1502" s="1">
        <v>312</v>
      </c>
      <c r="D1502" s="1">
        <v>149</v>
      </c>
      <c r="E1502" s="3">
        <f>IF(INDEX(C:C, ROW())+INDEX(D:D, ROW())=0, 0, INDEX(C:C, ROW())/(INDEX(C:C, ROW())+INDEX(D:D, ROW())))</f>
        <v>0.67678958785249455</v>
      </c>
      <c r="F1502" s="1" t="s">
        <v>297</v>
      </c>
      <c r="G1502" s="1" t="s">
        <v>24</v>
      </c>
      <c r="H1502" s="1">
        <v>49172</v>
      </c>
      <c r="I1502" s="1">
        <v>97109</v>
      </c>
      <c r="J1502" s="7">
        <v>0.50600000000000001</v>
      </c>
      <c r="K1502" s="1" t="s">
        <v>29</v>
      </c>
      <c r="L1502" s="1" t="s">
        <v>29</v>
      </c>
      <c r="M1502" s="1" t="s">
        <v>29</v>
      </c>
      <c r="N1502" s="1" t="s">
        <v>297</v>
      </c>
    </row>
    <row r="1503" spans="1:14" x14ac:dyDescent="0.25">
      <c r="A1503" s="1">
        <v>1502</v>
      </c>
      <c r="B1503" s="2" t="str">
        <f>HYPERLINK("https://leetcode.com/problems/can-make-arithmetic-progression-from-sequence/", "Can Make Arithmetic Progression From Sequence")</f>
        <v>Can Make Arithmetic Progression From Sequence</v>
      </c>
      <c r="C1503" s="1">
        <v>2309</v>
      </c>
      <c r="D1503" s="1">
        <v>120</v>
      </c>
      <c r="E1503" s="3">
        <f>IF(INDEX(C:C, ROW())+INDEX(D:D, ROW())=0, 0, INDEX(C:C, ROW())/(INDEX(C:C, ROW())+INDEX(D:D, ROW())))</f>
        <v>0.95059695347879791</v>
      </c>
      <c r="F1503" s="1" t="s">
        <v>42</v>
      </c>
      <c r="G1503" s="1" t="s">
        <v>20</v>
      </c>
      <c r="H1503" s="1">
        <v>326318</v>
      </c>
      <c r="I1503" s="1">
        <v>471697</v>
      </c>
      <c r="J1503" s="7">
        <v>0.69199999999999995</v>
      </c>
      <c r="K1503" s="1" t="s">
        <v>21</v>
      </c>
      <c r="L1503" s="1" t="s">
        <v>21</v>
      </c>
      <c r="M1503" s="1" t="s">
        <v>29</v>
      </c>
      <c r="N1503" s="1" t="s">
        <v>22</v>
      </c>
    </row>
    <row r="1504" spans="1:14" x14ac:dyDescent="0.25">
      <c r="A1504" s="1">
        <v>1503</v>
      </c>
      <c r="B1504" s="2" t="str">
        <f>HYPERLINK("https://leetcode.com/problems/last-moment-before-all-ants-fall-out-of-a-plank/", "Last Moment Before All Ants Fall Out of a Plank")</f>
        <v>Last Moment Before All Ants Fall Out of a Plank</v>
      </c>
      <c r="C1504" s="1">
        <v>1576</v>
      </c>
      <c r="D1504" s="1">
        <v>439</v>
      </c>
      <c r="E1504" s="3">
        <f>IF(INDEX(C:C, ROW())+INDEX(D:D, ROW())=0, 0, INDEX(C:C, ROW())/(INDEX(C:C, ROW())+INDEX(D:D, ROW())))</f>
        <v>0.78213399503722081</v>
      </c>
      <c r="F1504" s="1" t="s">
        <v>566</v>
      </c>
      <c r="G1504" s="1" t="s">
        <v>24</v>
      </c>
      <c r="H1504" s="1">
        <v>98657</v>
      </c>
      <c r="I1504" s="1">
        <v>144659</v>
      </c>
      <c r="J1504" s="7">
        <v>0.68200000000000005</v>
      </c>
      <c r="K1504" s="1" t="s">
        <v>21</v>
      </c>
      <c r="L1504" s="1" t="s">
        <v>21</v>
      </c>
      <c r="M1504" s="1" t="s">
        <v>29</v>
      </c>
      <c r="N1504" s="1" t="s">
        <v>22</v>
      </c>
    </row>
    <row r="1505" spans="1:14" x14ac:dyDescent="0.25">
      <c r="A1505" s="1">
        <v>1504</v>
      </c>
      <c r="B1505" s="2" t="str">
        <f>HYPERLINK("https://leetcode.com/problems/count-submatrices-with-all-ones/", "Count Submatrices With All Ones")</f>
        <v>Count Submatrices With All Ones</v>
      </c>
      <c r="C1505" s="1">
        <v>2666</v>
      </c>
      <c r="D1505" s="1">
        <v>220</v>
      </c>
      <c r="E1505" s="3">
        <f>IF(INDEX(C:C, ROW())+INDEX(D:D, ROW())=0, 0, INDEX(C:C, ROW())/(INDEX(C:C, ROW())+INDEX(D:D, ROW())))</f>
        <v>0.92376992376992373</v>
      </c>
      <c r="F1505" s="1" t="s">
        <v>108</v>
      </c>
      <c r="G1505" s="1" t="s">
        <v>24</v>
      </c>
      <c r="H1505" s="1">
        <v>147083</v>
      </c>
      <c r="I1505" s="1">
        <v>206977</v>
      </c>
      <c r="J1505" s="7">
        <v>0.71099999999999997</v>
      </c>
      <c r="K1505" s="1" t="s">
        <v>21</v>
      </c>
      <c r="L1505" s="1" t="s">
        <v>21</v>
      </c>
      <c r="M1505" s="1" t="s">
        <v>29</v>
      </c>
      <c r="N1505" s="1" t="s">
        <v>22</v>
      </c>
    </row>
    <row r="1506" spans="1:14" x14ac:dyDescent="0.25">
      <c r="A1506" s="1">
        <v>1505</v>
      </c>
      <c r="B1506" s="2" t="str">
        <f>HYPERLINK("https://leetcode.com/problems/minimum-possible-integer-after-at-most-k-adjacent-swaps-on-digits/", "Minimum Possible Integer After at Most K Adjacent Swaps On Digits")</f>
        <v>Minimum Possible Integer After at Most K Adjacent Swaps On Digits</v>
      </c>
      <c r="C1506" s="1">
        <v>499</v>
      </c>
      <c r="D1506" s="1">
        <v>28</v>
      </c>
      <c r="E1506" s="3">
        <f>IF(INDEX(C:C, ROW())+INDEX(D:D, ROW())=0, 0, INDEX(C:C, ROW())/(INDEX(C:C, ROW())+INDEX(D:D, ROW())))</f>
        <v>0.94686907020872868</v>
      </c>
      <c r="F1506" s="1" t="s">
        <v>923</v>
      </c>
      <c r="G1506" s="1" t="s">
        <v>28</v>
      </c>
      <c r="H1506" s="1">
        <v>12686</v>
      </c>
      <c r="I1506" s="1">
        <v>30898</v>
      </c>
      <c r="J1506" s="7">
        <v>0.41099999999999998</v>
      </c>
      <c r="K1506" s="1" t="s">
        <v>21</v>
      </c>
      <c r="L1506" s="1" t="s">
        <v>29</v>
      </c>
      <c r="M1506" s="1" t="s">
        <v>29</v>
      </c>
      <c r="N1506" s="1" t="s">
        <v>22</v>
      </c>
    </row>
    <row r="1507" spans="1:14" x14ac:dyDescent="0.25">
      <c r="A1507" s="1">
        <v>1506</v>
      </c>
      <c r="B1507" s="2" t="str">
        <f>HYPERLINK("https://leetcode.com/problems/find-root-of-n-ary-tree/", "Find Root of N-Ary Tree")</f>
        <v>Find Root of N-Ary Tree</v>
      </c>
      <c r="C1507" s="1">
        <v>491</v>
      </c>
      <c r="D1507" s="1">
        <v>212</v>
      </c>
      <c r="E1507" s="3">
        <f>IF(INDEX(C:C, ROW())+INDEX(D:D, ROW())=0, 0, INDEX(C:C, ROW())/(INDEX(C:C, ROW())+INDEX(D:D, ROW())))</f>
        <v>0.69843527738264577</v>
      </c>
      <c r="F1507" s="1" t="s">
        <v>927</v>
      </c>
      <c r="G1507" s="1" t="s">
        <v>24</v>
      </c>
      <c r="H1507" s="1">
        <v>41029</v>
      </c>
      <c r="I1507" s="1">
        <v>52198</v>
      </c>
      <c r="J1507" s="7">
        <v>0.78600000000000003</v>
      </c>
      <c r="K1507" s="1" t="s">
        <v>29</v>
      </c>
      <c r="L1507" s="1" t="s">
        <v>21</v>
      </c>
      <c r="M1507" s="1" t="s">
        <v>29</v>
      </c>
      <c r="N1507" s="1" t="s">
        <v>22</v>
      </c>
    </row>
    <row r="1508" spans="1:14" x14ac:dyDescent="0.25">
      <c r="A1508" s="1">
        <v>1507</v>
      </c>
      <c r="B1508" s="2" t="str">
        <f>HYPERLINK("https://leetcode.com/problems/reformat-date/", "Reformat Date")</f>
        <v>Reformat Date</v>
      </c>
      <c r="C1508" s="1">
        <v>504</v>
      </c>
      <c r="D1508" s="1">
        <v>441</v>
      </c>
      <c r="E1508" s="3">
        <f>IF(INDEX(C:C, ROW())+INDEX(D:D, ROW())=0, 0, INDEX(C:C, ROW())/(INDEX(C:C, ROW())+INDEX(D:D, ROW())))</f>
        <v>0.53333333333333333</v>
      </c>
      <c r="F1508" s="1" t="s">
        <v>146</v>
      </c>
      <c r="G1508" s="1" t="s">
        <v>20</v>
      </c>
      <c r="H1508" s="1">
        <v>95091</v>
      </c>
      <c r="I1508" s="1">
        <v>139308</v>
      </c>
      <c r="J1508" s="7">
        <v>0.68300000000000005</v>
      </c>
      <c r="K1508" s="1" t="s">
        <v>21</v>
      </c>
      <c r="L1508" s="1" t="s">
        <v>29</v>
      </c>
      <c r="M1508" s="1" t="s">
        <v>29</v>
      </c>
      <c r="N1508" s="1" t="s">
        <v>22</v>
      </c>
    </row>
    <row r="1509" spans="1:14" x14ac:dyDescent="0.25">
      <c r="A1509" s="1">
        <v>1508</v>
      </c>
      <c r="B1509" s="2" t="str">
        <f>HYPERLINK("https://leetcode.com/problems/range-sum-of-sorted-subarray-sums/", "Range Sum of Sorted Subarray Sums")</f>
        <v>Range Sum of Sorted Subarray Sums</v>
      </c>
      <c r="C1509" s="1">
        <v>1600</v>
      </c>
      <c r="D1509" s="1">
        <v>268</v>
      </c>
      <c r="E1509" s="3">
        <f>IF(INDEX(C:C, ROW())+INDEX(D:D, ROW())=0, 0, INDEX(C:C, ROW())/(INDEX(C:C, ROW())+INDEX(D:D, ROW())))</f>
        <v>0.85653104925053536</v>
      </c>
      <c r="F1509" s="1" t="s">
        <v>560</v>
      </c>
      <c r="G1509" s="1" t="s">
        <v>24</v>
      </c>
      <c r="H1509" s="1">
        <v>185496</v>
      </c>
      <c r="I1509" s="1">
        <v>294087</v>
      </c>
      <c r="J1509" s="7">
        <v>0.63100000000000001</v>
      </c>
      <c r="K1509" s="1" t="s">
        <v>21</v>
      </c>
      <c r="L1509" s="1" t="s">
        <v>21</v>
      </c>
      <c r="M1509" s="1" t="s">
        <v>29</v>
      </c>
      <c r="N1509" s="1" t="s">
        <v>22</v>
      </c>
    </row>
    <row r="1510" spans="1:14" x14ac:dyDescent="0.25">
      <c r="A1510" s="1">
        <v>1509</v>
      </c>
      <c r="B1510" s="2" t="str">
        <f>HYPERLINK("https://leetcode.com/problems/minimum-difference-between-largest-and-smallest-value-in-three-moves/", "Minimum Difference Between Largest and Smallest Value in Three Moves")</f>
        <v>Minimum Difference Between Largest and Smallest Value in Three Moves</v>
      </c>
      <c r="C1510" s="1">
        <v>2546</v>
      </c>
      <c r="D1510" s="1">
        <v>286</v>
      </c>
      <c r="E1510" s="3">
        <f>IF(INDEX(C:C, ROW())+INDEX(D:D, ROW())=0, 0, INDEX(C:C, ROW())/(INDEX(C:C, ROW())+INDEX(D:D, ROW())))</f>
        <v>0.89901129943502822</v>
      </c>
      <c r="F1510" s="1" t="s">
        <v>169</v>
      </c>
      <c r="G1510" s="1" t="s">
        <v>24</v>
      </c>
      <c r="H1510" s="1">
        <v>250310</v>
      </c>
      <c r="I1510" s="1">
        <v>422708</v>
      </c>
      <c r="J1510" s="7">
        <v>0.59199999999999997</v>
      </c>
      <c r="K1510" s="1" t="s">
        <v>21</v>
      </c>
      <c r="L1510" s="1" t="s">
        <v>21</v>
      </c>
      <c r="M1510" s="1" t="s">
        <v>29</v>
      </c>
      <c r="N1510" s="1" t="s">
        <v>22</v>
      </c>
    </row>
    <row r="1511" spans="1:14" x14ac:dyDescent="0.25">
      <c r="A1511" s="1">
        <v>1510</v>
      </c>
      <c r="B1511" s="2" t="str">
        <f>HYPERLINK("https://leetcode.com/problems/stone-game-iv/", "Stone Game IV")</f>
        <v>Stone Game IV</v>
      </c>
      <c r="C1511" s="1">
        <v>1640</v>
      </c>
      <c r="D1511" s="1">
        <v>76</v>
      </c>
      <c r="E1511" s="3">
        <f>IF(INDEX(C:C, ROW())+INDEX(D:D, ROW())=0, 0, INDEX(C:C, ROW())/(INDEX(C:C, ROW())+INDEX(D:D, ROW())))</f>
        <v>0.95571095571095566</v>
      </c>
      <c r="F1511" s="1" t="s">
        <v>453</v>
      </c>
      <c r="G1511" s="1" t="s">
        <v>28</v>
      </c>
      <c r="H1511" s="1">
        <v>82604</v>
      </c>
      <c r="I1511" s="1">
        <v>138697</v>
      </c>
      <c r="J1511" s="7">
        <v>0.59599999999999997</v>
      </c>
      <c r="K1511" s="1" t="s">
        <v>21</v>
      </c>
      <c r="L1511" s="1" t="s">
        <v>21</v>
      </c>
      <c r="M1511" s="1" t="s">
        <v>29</v>
      </c>
      <c r="N1511" s="1" t="s">
        <v>22</v>
      </c>
    </row>
    <row r="1512" spans="1:14" x14ac:dyDescent="0.25">
      <c r="A1512" s="1">
        <v>1511</v>
      </c>
      <c r="B1512" s="2" t="str">
        <f>HYPERLINK("https://leetcode.com/problems/customer-order-frequency/", "Customer Order Frequency")</f>
        <v>Customer Order Frequency</v>
      </c>
      <c r="C1512" s="1">
        <v>330</v>
      </c>
      <c r="D1512" s="1">
        <v>59</v>
      </c>
      <c r="E1512" s="3">
        <f>IF(INDEX(C:C, ROW())+INDEX(D:D, ROW())=0, 0, INDEX(C:C, ROW())/(INDEX(C:C, ROW())+INDEX(D:D, ROW())))</f>
        <v>0.84832904884318761</v>
      </c>
      <c r="F1512" s="1" t="s">
        <v>297</v>
      </c>
      <c r="G1512" s="1" t="s">
        <v>20</v>
      </c>
      <c r="H1512" s="1">
        <v>52483</v>
      </c>
      <c r="I1512" s="1">
        <v>78961</v>
      </c>
      <c r="J1512" s="7">
        <v>0.66500000000000004</v>
      </c>
      <c r="K1512" s="1" t="s">
        <v>29</v>
      </c>
      <c r="L1512" s="1" t="s">
        <v>21</v>
      </c>
      <c r="M1512" s="1" t="s">
        <v>29</v>
      </c>
      <c r="N1512" s="1" t="s">
        <v>297</v>
      </c>
    </row>
    <row r="1513" spans="1:14" x14ac:dyDescent="0.25">
      <c r="A1513" s="1">
        <v>1512</v>
      </c>
      <c r="B1513" s="2" t="str">
        <f>HYPERLINK("https://leetcode.com/problems/number-of-good-pairs/", "Number of Good Pairs")</f>
        <v>Number of Good Pairs</v>
      </c>
      <c r="C1513" s="1">
        <v>5845</v>
      </c>
      <c r="D1513" s="1">
        <v>286</v>
      </c>
      <c r="E1513" s="3">
        <f>IF(INDEX(C:C, ROW())+INDEX(D:D, ROW())=0, 0, INDEX(C:C, ROW())/(INDEX(C:C, ROW())+INDEX(D:D, ROW())))</f>
        <v>0.95335181862665141</v>
      </c>
      <c r="F1513" s="1" t="s">
        <v>233</v>
      </c>
      <c r="G1513" s="1" t="s">
        <v>20</v>
      </c>
      <c r="H1513" s="1">
        <v>1032480</v>
      </c>
      <c r="I1513" s="1">
        <v>1150035</v>
      </c>
      <c r="J1513" s="7">
        <v>0.89800000000000002</v>
      </c>
      <c r="K1513" s="1" t="s">
        <v>21</v>
      </c>
      <c r="L1513" s="1" t="s">
        <v>21</v>
      </c>
      <c r="M1513" s="1" t="s">
        <v>29</v>
      </c>
      <c r="N1513" s="1" t="s">
        <v>22</v>
      </c>
    </row>
    <row r="1514" spans="1:14" x14ac:dyDescent="0.25">
      <c r="A1514" s="1">
        <v>1513</v>
      </c>
      <c r="B1514" s="2" t="str">
        <f>HYPERLINK("https://leetcode.com/problems/number-of-substrings-with-only-1s/", "Number of Substrings With Only 1s")</f>
        <v>Number of Substrings With Only 1s</v>
      </c>
      <c r="C1514" s="1">
        <v>1230</v>
      </c>
      <c r="D1514" s="1">
        <v>42</v>
      </c>
      <c r="E1514" s="3">
        <f>IF(INDEX(C:C, ROW())+INDEX(D:D, ROW())=0, 0, INDEX(C:C, ROW())/(INDEX(C:C, ROW())+INDEX(D:D, ROW())))</f>
        <v>0.96698113207547165</v>
      </c>
      <c r="F1514" s="1" t="s">
        <v>228</v>
      </c>
      <c r="G1514" s="1" t="s">
        <v>24</v>
      </c>
      <c r="H1514" s="1">
        <v>157660</v>
      </c>
      <c r="I1514" s="1">
        <v>274649</v>
      </c>
      <c r="J1514" s="7">
        <v>0.57399999999999995</v>
      </c>
      <c r="K1514" s="1" t="s">
        <v>21</v>
      </c>
      <c r="L1514" s="1" t="s">
        <v>21</v>
      </c>
      <c r="M1514" s="1" t="s">
        <v>29</v>
      </c>
      <c r="N1514" s="1" t="s">
        <v>22</v>
      </c>
    </row>
    <row r="1515" spans="1:14" x14ac:dyDescent="0.25">
      <c r="A1515" s="1">
        <v>1514</v>
      </c>
      <c r="B1515" s="2" t="str">
        <f>HYPERLINK("https://leetcode.com/problems/path-with-maximum-probability/", "Path with Maximum Probability")</f>
        <v>Path with Maximum Probability</v>
      </c>
      <c r="C1515" s="1">
        <v>3875</v>
      </c>
      <c r="D1515" s="1">
        <v>110</v>
      </c>
      <c r="E1515" s="3">
        <f>IF(INDEX(C:C, ROW())+INDEX(D:D, ROW())=0, 0, INDEX(C:C, ROW())/(INDEX(C:C, ROW())+INDEX(D:D, ROW())))</f>
        <v>0.97239648682559598</v>
      </c>
      <c r="F1515" s="1" t="s">
        <v>318</v>
      </c>
      <c r="G1515" s="1" t="s">
        <v>24</v>
      </c>
      <c r="H1515" s="1">
        <v>366948</v>
      </c>
      <c r="I1515" s="1">
        <v>560550</v>
      </c>
      <c r="J1515" s="7">
        <v>0.65500000000000003</v>
      </c>
      <c r="K1515" s="1" t="s">
        <v>21</v>
      </c>
      <c r="L1515" s="1" t="s">
        <v>21</v>
      </c>
      <c r="M1515" s="1" t="s">
        <v>29</v>
      </c>
      <c r="N1515" s="1" t="s">
        <v>22</v>
      </c>
    </row>
    <row r="1516" spans="1:14" x14ac:dyDescent="0.25">
      <c r="A1516" s="1">
        <v>1515</v>
      </c>
      <c r="B1516" s="2" t="str">
        <f>HYPERLINK("https://leetcode.com/problems/best-position-for-a-service-centre/", "Best Position for a Service Centre")</f>
        <v>Best Position for a Service Centre</v>
      </c>
      <c r="C1516" s="1">
        <v>246</v>
      </c>
      <c r="D1516" s="1">
        <v>274</v>
      </c>
      <c r="E1516" s="3">
        <f>IF(INDEX(C:C, ROW())+INDEX(D:D, ROW())=0, 0, INDEX(C:C, ROW())/(INDEX(C:C, ROW())+INDEX(D:D, ROW())))</f>
        <v>0.47307692307692306</v>
      </c>
      <c r="F1516" s="1" t="s">
        <v>1069</v>
      </c>
      <c r="G1516" s="1" t="s">
        <v>28</v>
      </c>
      <c r="H1516" s="1">
        <v>19024</v>
      </c>
      <c r="I1516" s="1">
        <v>54117</v>
      </c>
      <c r="J1516" s="7">
        <v>0.35199999999999998</v>
      </c>
      <c r="K1516" s="1" t="s">
        <v>21</v>
      </c>
      <c r="L1516" s="1" t="s">
        <v>29</v>
      </c>
      <c r="M1516" s="1" t="s">
        <v>29</v>
      </c>
      <c r="N1516" s="1" t="s">
        <v>22</v>
      </c>
    </row>
    <row r="1517" spans="1:14" x14ac:dyDescent="0.25">
      <c r="A1517" s="1">
        <v>1516</v>
      </c>
      <c r="B1517" s="2" t="str">
        <f>HYPERLINK("https://leetcode.com/problems/move-sub-tree-of-n-ary-tree/", "Move Sub-Tree of N-Ary Tree")</f>
        <v>Move Sub-Tree of N-Ary Tree</v>
      </c>
      <c r="C1517" s="1">
        <v>34</v>
      </c>
      <c r="D1517" s="1">
        <v>67</v>
      </c>
      <c r="E1517" s="3">
        <f>IF(INDEX(C:C, ROW())+INDEX(D:D, ROW())=0, 0, INDEX(C:C, ROW())/(INDEX(C:C, ROW())+INDEX(D:D, ROW())))</f>
        <v>0.33663366336633666</v>
      </c>
      <c r="F1517" s="1" t="s">
        <v>726</v>
      </c>
      <c r="G1517" s="1" t="s">
        <v>28</v>
      </c>
      <c r="H1517" s="1">
        <v>2678</v>
      </c>
      <c r="I1517" s="1">
        <v>4480</v>
      </c>
      <c r="J1517" s="7">
        <v>0.59799999999999998</v>
      </c>
      <c r="K1517" s="1" t="s">
        <v>29</v>
      </c>
      <c r="L1517" s="1" t="s">
        <v>29</v>
      </c>
      <c r="M1517" s="1" t="s">
        <v>29</v>
      </c>
      <c r="N1517" s="1" t="s">
        <v>22</v>
      </c>
    </row>
    <row r="1518" spans="1:14" x14ac:dyDescent="0.25">
      <c r="A1518" s="1">
        <v>1517</v>
      </c>
      <c r="B1518" s="2" t="str">
        <f>HYPERLINK("https://leetcode.com/problems/find-users-with-valid-e-mails/", "Find Users With Valid E-Mails")</f>
        <v>Find Users With Valid E-Mails</v>
      </c>
      <c r="C1518" s="1">
        <v>695</v>
      </c>
      <c r="D1518" s="1">
        <v>311</v>
      </c>
      <c r="E1518" s="3">
        <f>IF(INDEX(C:C, ROW())+INDEX(D:D, ROW())=0, 0, INDEX(C:C, ROW())/(INDEX(C:C, ROW())+INDEX(D:D, ROW())))</f>
        <v>0.69085487077534791</v>
      </c>
      <c r="F1518" s="1" t="s">
        <v>297</v>
      </c>
      <c r="G1518" s="1" t="s">
        <v>20</v>
      </c>
      <c r="H1518" s="1">
        <v>277450</v>
      </c>
      <c r="I1518" s="1">
        <v>755171</v>
      </c>
      <c r="J1518" s="7">
        <v>0.36699999999999999</v>
      </c>
      <c r="K1518" s="1" t="s">
        <v>21</v>
      </c>
      <c r="L1518" s="1" t="s">
        <v>21</v>
      </c>
      <c r="M1518" s="1" t="s">
        <v>29</v>
      </c>
      <c r="N1518" s="1" t="s">
        <v>297</v>
      </c>
    </row>
    <row r="1519" spans="1:14" x14ac:dyDescent="0.25">
      <c r="A1519" s="1">
        <v>1518</v>
      </c>
      <c r="B1519" s="2" t="str">
        <f>HYPERLINK("https://leetcode.com/problems/water-bottles/", "Water Bottles")</f>
        <v>Water Bottles</v>
      </c>
      <c r="C1519" s="1">
        <v>2262</v>
      </c>
      <c r="D1519" s="1">
        <v>177</v>
      </c>
      <c r="E1519" s="3">
        <f>IF(INDEX(C:C, ROW())+INDEX(D:D, ROW())=0, 0, INDEX(C:C, ROW())/(INDEX(C:C, ROW())+INDEX(D:D, ROW())))</f>
        <v>0.92742927429274291</v>
      </c>
      <c r="F1519" s="1" t="s">
        <v>465</v>
      </c>
      <c r="G1519" s="1" t="s">
        <v>20</v>
      </c>
      <c r="H1519" s="1">
        <v>432425</v>
      </c>
      <c r="I1519" s="1">
        <v>595768</v>
      </c>
      <c r="J1519" s="7">
        <v>0.72599999999999998</v>
      </c>
      <c r="K1519" s="1" t="s">
        <v>21</v>
      </c>
      <c r="L1519" s="1" t="s">
        <v>21</v>
      </c>
      <c r="M1519" s="1" t="s">
        <v>29</v>
      </c>
      <c r="N1519" s="1" t="s">
        <v>22</v>
      </c>
    </row>
    <row r="1520" spans="1:14" x14ac:dyDescent="0.25">
      <c r="A1520" s="1">
        <v>1519</v>
      </c>
      <c r="B1520" s="2" t="str">
        <f>HYPERLINK("https://leetcode.com/problems/number-of-nodes-in-the-sub-tree-with-the-same-label/", "Number of Nodes in the Sub-Tree With the Same Label")</f>
        <v>Number of Nodes in the Sub-Tree With the Same Label</v>
      </c>
      <c r="C1520" s="1">
        <v>2370</v>
      </c>
      <c r="D1520" s="1">
        <v>813</v>
      </c>
      <c r="E1520" s="3">
        <f>IF(INDEX(C:C, ROW())+INDEX(D:D, ROW())=0, 0, INDEX(C:C, ROW())/(INDEX(C:C, ROW())+INDEX(D:D, ROW())))</f>
        <v>0.74458058435438268</v>
      </c>
      <c r="F1520" s="1" t="s">
        <v>446</v>
      </c>
      <c r="G1520" s="1" t="s">
        <v>24</v>
      </c>
      <c r="H1520" s="1">
        <v>93600</v>
      </c>
      <c r="I1520" s="1">
        <v>169123</v>
      </c>
      <c r="J1520" s="7">
        <v>0.55300000000000005</v>
      </c>
      <c r="K1520" s="1" t="s">
        <v>21</v>
      </c>
      <c r="L1520" s="1" t="s">
        <v>21</v>
      </c>
      <c r="M1520" s="1" t="s">
        <v>29</v>
      </c>
      <c r="N1520" s="1" t="s">
        <v>22</v>
      </c>
    </row>
    <row r="1521" spans="1:14" x14ac:dyDescent="0.25">
      <c r="A1521" s="1">
        <v>1520</v>
      </c>
      <c r="B1521" s="2" t="str">
        <f>HYPERLINK("https://leetcode.com/problems/maximum-number-of-non-overlapping-substrings/", "Maximum Number of Non-Overlapping Substrings")</f>
        <v>Maximum Number of Non-Overlapping Substrings</v>
      </c>
      <c r="C1521" s="1">
        <v>883</v>
      </c>
      <c r="D1521" s="1">
        <v>87</v>
      </c>
      <c r="E1521" s="3">
        <f>IF(INDEX(C:C, ROW())+INDEX(D:D, ROW())=0, 0, INDEX(C:C, ROW())/(INDEX(C:C, ROW())+INDEX(D:D, ROW())))</f>
        <v>0.91030927835051545</v>
      </c>
      <c r="F1521" s="1" t="s">
        <v>260</v>
      </c>
      <c r="G1521" s="1" t="s">
        <v>28</v>
      </c>
      <c r="H1521" s="1">
        <v>23922</v>
      </c>
      <c r="I1521" s="1">
        <v>57747</v>
      </c>
      <c r="J1521" s="7">
        <v>0.41399999999999998</v>
      </c>
      <c r="K1521" s="1" t="s">
        <v>21</v>
      </c>
      <c r="L1521" s="1" t="s">
        <v>29</v>
      </c>
      <c r="M1521" s="1" t="s">
        <v>29</v>
      </c>
      <c r="N1521" s="1" t="s">
        <v>22</v>
      </c>
    </row>
    <row r="1522" spans="1:14" x14ac:dyDescent="0.25">
      <c r="A1522" s="1">
        <v>1521</v>
      </c>
      <c r="B1522" s="2" t="str">
        <f>HYPERLINK("https://leetcode.com/problems/find-a-value-of-a-mysterious-function-closest-to-target/", "Find a Value of a Mysterious Function Closest to Target")</f>
        <v>Find a Value of a Mysterious Function Closest to Target</v>
      </c>
      <c r="C1522" s="1">
        <v>404</v>
      </c>
      <c r="D1522" s="1">
        <v>20</v>
      </c>
      <c r="E1522" s="3">
        <f>IF(INDEX(C:C, ROW())+INDEX(D:D, ROW())=0, 0, INDEX(C:C, ROW())/(INDEX(C:C, ROW())+INDEX(D:D, ROW())))</f>
        <v>0.95283018867924529</v>
      </c>
      <c r="F1522" s="1" t="s">
        <v>979</v>
      </c>
      <c r="G1522" s="1" t="s">
        <v>28</v>
      </c>
      <c r="H1522" s="1">
        <v>13757</v>
      </c>
      <c r="I1522" s="1">
        <v>29276</v>
      </c>
      <c r="J1522" s="7">
        <v>0.47</v>
      </c>
      <c r="K1522" s="1" t="s">
        <v>21</v>
      </c>
      <c r="L1522" s="1" t="s">
        <v>29</v>
      </c>
      <c r="M1522" s="1" t="s">
        <v>29</v>
      </c>
      <c r="N1522" s="1" t="s">
        <v>22</v>
      </c>
    </row>
    <row r="1523" spans="1:14" x14ac:dyDescent="0.25">
      <c r="A1523" s="1">
        <v>1522</v>
      </c>
      <c r="B1523" s="2" t="str">
        <f>HYPERLINK("https://leetcode.com/problems/diameter-of-n-ary-tree/", "Diameter of N-Ary Tree")</f>
        <v>Diameter of N-Ary Tree</v>
      </c>
      <c r="C1523" s="1">
        <v>643</v>
      </c>
      <c r="D1523" s="1">
        <v>9</v>
      </c>
      <c r="E1523" s="3">
        <f>IF(INDEX(C:C, ROW())+INDEX(D:D, ROW())=0, 0, INDEX(C:C, ROW())/(INDEX(C:C, ROW())+INDEX(D:D, ROW())))</f>
        <v>0.98619631901840488</v>
      </c>
      <c r="F1523" s="1" t="s">
        <v>726</v>
      </c>
      <c r="G1523" s="1" t="s">
        <v>24</v>
      </c>
      <c r="H1523" s="1">
        <v>61406</v>
      </c>
      <c r="I1523" s="1">
        <v>81388</v>
      </c>
      <c r="J1523" s="7">
        <v>0.754</v>
      </c>
      <c r="K1523" s="1" t="s">
        <v>29</v>
      </c>
      <c r="L1523" s="1" t="s">
        <v>21</v>
      </c>
      <c r="M1523" s="1" t="s">
        <v>29</v>
      </c>
      <c r="N1523" s="1" t="s">
        <v>22</v>
      </c>
    </row>
    <row r="1524" spans="1:14" x14ac:dyDescent="0.25">
      <c r="A1524" s="1">
        <v>1523</v>
      </c>
      <c r="B1524" s="2" t="str">
        <f>HYPERLINK("https://leetcode.com/problems/count-odd-numbers-in-an-interval-range/", "Count Odd Numbers in an Interval Range")</f>
        <v>Count Odd Numbers in an Interval Range</v>
      </c>
      <c r="C1524" s="1">
        <v>3118</v>
      </c>
      <c r="D1524" s="1">
        <v>180</v>
      </c>
      <c r="E1524" s="3">
        <f>IF(INDEX(C:C, ROW())+INDEX(D:D, ROW())=0, 0, INDEX(C:C, ROW())/(INDEX(C:C, ROW())+INDEX(D:D, ROW())))</f>
        <v>0.94542146755609457</v>
      </c>
      <c r="F1524" s="1" t="s">
        <v>84</v>
      </c>
      <c r="G1524" s="1" t="s">
        <v>20</v>
      </c>
      <c r="H1524" s="1">
        <v>539692</v>
      </c>
      <c r="I1524" s="1">
        <v>992641</v>
      </c>
      <c r="J1524" s="7">
        <v>0.54400000000000004</v>
      </c>
      <c r="K1524" s="1" t="s">
        <v>21</v>
      </c>
      <c r="L1524" s="1" t="s">
        <v>21</v>
      </c>
      <c r="M1524" s="1" t="s">
        <v>29</v>
      </c>
      <c r="N1524" s="1" t="s">
        <v>22</v>
      </c>
    </row>
    <row r="1525" spans="1:14" x14ac:dyDescent="0.25">
      <c r="A1525" s="1">
        <v>1524</v>
      </c>
      <c r="B1525" s="2" t="str">
        <f>HYPERLINK("https://leetcode.com/problems/number-of-sub-arrays-with-odd-sum/", "Number of Sub-arrays With Odd Sum")</f>
        <v>Number of Sub-arrays With Odd Sum</v>
      </c>
      <c r="C1525" s="1">
        <v>2065</v>
      </c>
      <c r="D1525" s="1">
        <v>101</v>
      </c>
      <c r="E1525" s="3">
        <f>IF(INDEX(C:C, ROW())+INDEX(D:D, ROW())=0, 0, INDEX(C:C, ROW())/(INDEX(C:C, ROW())+INDEX(D:D, ROW())))</f>
        <v>0.95337026777469991</v>
      </c>
      <c r="F1525" s="1" t="s">
        <v>495</v>
      </c>
      <c r="G1525" s="1" t="s">
        <v>24</v>
      </c>
      <c r="H1525" s="1">
        <v>174602</v>
      </c>
      <c r="I1525" s="1">
        <v>313081</v>
      </c>
      <c r="J1525" s="7">
        <v>0.55800000000000005</v>
      </c>
      <c r="K1525" s="1" t="s">
        <v>21</v>
      </c>
      <c r="L1525" s="1" t="s">
        <v>21</v>
      </c>
      <c r="M1525" s="1" t="s">
        <v>29</v>
      </c>
      <c r="N1525" s="1" t="s">
        <v>22</v>
      </c>
    </row>
    <row r="1526" spans="1:14" x14ac:dyDescent="0.25">
      <c r="A1526" s="1">
        <v>1525</v>
      </c>
      <c r="B1526" s="2" t="str">
        <f>HYPERLINK("https://leetcode.com/problems/number-of-good-ways-to-split-a-string/", "Number of Good Ways to Split a String")</f>
        <v>Number of Good Ways to Split a String</v>
      </c>
      <c r="C1526" s="1">
        <v>2117</v>
      </c>
      <c r="D1526" s="1">
        <v>54</v>
      </c>
      <c r="E1526" s="3">
        <f>IF(INDEX(C:C, ROW())+INDEX(D:D, ROW())=0, 0, INDEX(C:C, ROW())/(INDEX(C:C, ROW())+INDEX(D:D, ROW())))</f>
        <v>0.97512666973744822</v>
      </c>
      <c r="F1526" s="1" t="s">
        <v>484</v>
      </c>
      <c r="G1526" s="1" t="s">
        <v>24</v>
      </c>
      <c r="H1526" s="1">
        <v>123354</v>
      </c>
      <c r="I1526" s="1">
        <v>180240</v>
      </c>
      <c r="J1526" s="7">
        <v>0.68400000000000005</v>
      </c>
      <c r="K1526" s="1" t="s">
        <v>21</v>
      </c>
      <c r="L1526" s="1" t="s">
        <v>29</v>
      </c>
      <c r="M1526" s="1" t="s">
        <v>29</v>
      </c>
      <c r="N1526" s="1" t="s">
        <v>22</v>
      </c>
    </row>
    <row r="1527" spans="1:14" x14ac:dyDescent="0.25">
      <c r="A1527" s="1">
        <v>1526</v>
      </c>
      <c r="B1527" s="2" t="str">
        <f>HYPERLINK("https://leetcode.com/problems/minimum-number-of-increments-on-subarrays-to-form-a-target-array/", "Minimum Number of Increments on Subarrays to Form a Target Array")</f>
        <v>Minimum Number of Increments on Subarrays to Form a Target Array</v>
      </c>
      <c r="C1527" s="1">
        <v>2131</v>
      </c>
      <c r="D1527" s="1">
        <v>108</v>
      </c>
      <c r="E1527" s="3">
        <f>IF(INDEX(C:C, ROW())+INDEX(D:D, ROW())=0, 0, INDEX(C:C, ROW())/(INDEX(C:C, ROW())+INDEX(D:D, ROW())))</f>
        <v>0.9517641804376954</v>
      </c>
      <c r="F1527" s="1" t="s">
        <v>289</v>
      </c>
      <c r="G1527" s="1" t="s">
        <v>28</v>
      </c>
      <c r="H1527" s="1">
        <v>151924</v>
      </c>
      <c r="I1527" s="1">
        <v>194426</v>
      </c>
      <c r="J1527" s="7">
        <v>0.78100000000000003</v>
      </c>
      <c r="K1527" s="1" t="s">
        <v>21</v>
      </c>
      <c r="L1527" s="1" t="s">
        <v>21</v>
      </c>
      <c r="M1527" s="1" t="s">
        <v>29</v>
      </c>
      <c r="N1527" s="1" t="s">
        <v>22</v>
      </c>
    </row>
    <row r="1528" spans="1:14" x14ac:dyDescent="0.25">
      <c r="A1528" s="1">
        <v>1527</v>
      </c>
      <c r="B1528" s="2" t="str">
        <f>HYPERLINK("https://leetcode.com/problems/patients-with-a-condition/", "Patients With a Condition")</f>
        <v>Patients With a Condition</v>
      </c>
      <c r="C1528" s="1">
        <v>862</v>
      </c>
      <c r="D1528" s="1">
        <v>649</v>
      </c>
      <c r="E1528" s="3">
        <f>IF(INDEX(C:C, ROW())+INDEX(D:D, ROW())=0, 0, INDEX(C:C, ROW())/(INDEX(C:C, ROW())+INDEX(D:D, ROW())))</f>
        <v>0.57048312375909993</v>
      </c>
      <c r="F1528" s="1" t="s">
        <v>297</v>
      </c>
      <c r="G1528" s="1" t="s">
        <v>20</v>
      </c>
      <c r="H1528" s="1">
        <v>428244</v>
      </c>
      <c r="I1528" s="1">
        <v>1104444</v>
      </c>
      <c r="J1528" s="7">
        <v>0.38800000000000001</v>
      </c>
      <c r="K1528" s="1" t="s">
        <v>21</v>
      </c>
      <c r="L1528" s="1" t="s">
        <v>21</v>
      </c>
      <c r="M1528" s="1" t="s">
        <v>29</v>
      </c>
      <c r="N1528" s="1" t="s">
        <v>297</v>
      </c>
    </row>
    <row r="1529" spans="1:14" x14ac:dyDescent="0.25">
      <c r="A1529" s="1">
        <v>1528</v>
      </c>
      <c r="B1529" s="2" t="str">
        <f>HYPERLINK("https://leetcode.com/problems/shuffle-string/", "Shuffle String")</f>
        <v>Shuffle String</v>
      </c>
      <c r="C1529" s="1">
        <v>2931</v>
      </c>
      <c r="D1529" s="1">
        <v>541</v>
      </c>
      <c r="E1529" s="3">
        <f>IF(INDEX(C:C, ROW())+INDEX(D:D, ROW())=0, 0, INDEX(C:C, ROW())/(INDEX(C:C, ROW())+INDEX(D:D, ROW())))</f>
        <v>0.84418202764976957</v>
      </c>
      <c r="F1529" s="1" t="s">
        <v>369</v>
      </c>
      <c r="G1529" s="1" t="s">
        <v>20</v>
      </c>
      <c r="H1529" s="1">
        <v>487920</v>
      </c>
      <c r="I1529" s="1">
        <v>571691</v>
      </c>
      <c r="J1529" s="7">
        <v>0.85299999999999998</v>
      </c>
      <c r="K1529" s="1" t="s">
        <v>21</v>
      </c>
      <c r="L1529" s="1" t="s">
        <v>29</v>
      </c>
      <c r="M1529" s="1" t="s">
        <v>29</v>
      </c>
      <c r="N1529" s="1" t="s">
        <v>22</v>
      </c>
    </row>
    <row r="1530" spans="1:14" x14ac:dyDescent="0.25">
      <c r="A1530" s="1">
        <v>1529</v>
      </c>
      <c r="B1530" s="2" t="str">
        <f>HYPERLINK("https://leetcode.com/problems/minimum-suffix-flips/", "Minimum Suffix Flips")</f>
        <v>Minimum Suffix Flips</v>
      </c>
      <c r="C1530" s="1">
        <v>1069</v>
      </c>
      <c r="D1530" s="1">
        <v>50</v>
      </c>
      <c r="E1530" s="3">
        <f>IF(INDEX(C:C, ROW())+INDEX(D:D, ROW())=0, 0, INDEX(C:C, ROW())/(INDEX(C:C, ROW())+INDEX(D:D, ROW())))</f>
        <v>0.95531724754244862</v>
      </c>
      <c r="F1530" s="1" t="s">
        <v>424</v>
      </c>
      <c r="G1530" s="1" t="s">
        <v>24</v>
      </c>
      <c r="H1530" s="1">
        <v>65803</v>
      </c>
      <c r="I1530" s="1">
        <v>89051</v>
      </c>
      <c r="J1530" s="7">
        <v>0.73899999999999999</v>
      </c>
      <c r="K1530" s="1" t="s">
        <v>21</v>
      </c>
      <c r="L1530" s="1" t="s">
        <v>29</v>
      </c>
      <c r="M1530" s="1" t="s">
        <v>29</v>
      </c>
      <c r="N1530" s="1" t="s">
        <v>22</v>
      </c>
    </row>
    <row r="1531" spans="1:14" x14ac:dyDescent="0.25">
      <c r="A1531" s="1">
        <v>1530</v>
      </c>
      <c r="B1531" s="2" t="str">
        <f>HYPERLINK("https://leetcode.com/problems/number-of-good-leaf-nodes-pairs/", "Number of Good Leaf Nodes Pairs")</f>
        <v>Number of Good Leaf Nodes Pairs</v>
      </c>
      <c r="C1531" s="1">
        <v>2499</v>
      </c>
      <c r="D1531" s="1">
        <v>111</v>
      </c>
      <c r="E1531" s="3">
        <f>IF(INDEX(C:C, ROW())+INDEX(D:D, ROW())=0, 0, INDEX(C:C, ROW())/(INDEX(C:C, ROW())+INDEX(D:D, ROW())))</f>
        <v>0.95747126436781604</v>
      </c>
      <c r="F1531" s="1" t="s">
        <v>67</v>
      </c>
      <c r="G1531" s="1" t="s">
        <v>24</v>
      </c>
      <c r="H1531" s="1">
        <v>160719</v>
      </c>
      <c r="I1531" s="1">
        <v>223912</v>
      </c>
      <c r="J1531" s="7">
        <v>0.71799999999999997</v>
      </c>
      <c r="K1531" s="1" t="s">
        <v>21</v>
      </c>
      <c r="L1531" s="1" t="s">
        <v>21</v>
      </c>
      <c r="M1531" s="1" t="s">
        <v>29</v>
      </c>
      <c r="N1531" s="1" t="s">
        <v>22</v>
      </c>
    </row>
    <row r="1532" spans="1:14" x14ac:dyDescent="0.25">
      <c r="A1532" s="1">
        <v>1531</v>
      </c>
      <c r="B1532" s="2" t="str">
        <f>HYPERLINK("https://leetcode.com/problems/string-compression-ii/", "String Compression II")</f>
        <v>String Compression II</v>
      </c>
      <c r="C1532" s="1">
        <v>2507</v>
      </c>
      <c r="D1532" s="1">
        <v>221</v>
      </c>
      <c r="E1532" s="3">
        <f>IF(INDEX(C:C, ROW())+INDEX(D:D, ROW())=0, 0, INDEX(C:C, ROW())/(INDEX(C:C, ROW())+INDEX(D:D, ROW())))</f>
        <v>0.91898826979472137</v>
      </c>
      <c r="F1532" s="1" t="s">
        <v>82</v>
      </c>
      <c r="G1532" s="1" t="s">
        <v>28</v>
      </c>
      <c r="H1532" s="1">
        <v>105401</v>
      </c>
      <c r="I1532" s="1">
        <v>201979</v>
      </c>
      <c r="J1532" s="7">
        <v>0.52200000000000002</v>
      </c>
      <c r="K1532" s="1" t="s">
        <v>21</v>
      </c>
      <c r="L1532" s="1" t="s">
        <v>21</v>
      </c>
      <c r="M1532" s="1" t="s">
        <v>29</v>
      </c>
      <c r="N1532" s="1" t="s">
        <v>22</v>
      </c>
    </row>
    <row r="1533" spans="1:14" x14ac:dyDescent="0.25">
      <c r="A1533" s="1">
        <v>1532</v>
      </c>
      <c r="B1533" s="2" t="str">
        <f>HYPERLINK("https://leetcode.com/problems/the-most-recent-three-orders/", "The Most Recent Three Orders")</f>
        <v>The Most Recent Three Orders</v>
      </c>
      <c r="C1533" s="1">
        <v>161</v>
      </c>
      <c r="D1533" s="1">
        <v>11</v>
      </c>
      <c r="E1533" s="3">
        <f>IF(INDEX(C:C, ROW())+INDEX(D:D, ROW())=0, 0, INDEX(C:C, ROW())/(INDEX(C:C, ROW())+INDEX(D:D, ROW())))</f>
        <v>0.93604651162790697</v>
      </c>
      <c r="F1533" s="1" t="s">
        <v>297</v>
      </c>
      <c r="G1533" s="1" t="s">
        <v>24</v>
      </c>
      <c r="H1533" s="1">
        <v>38591</v>
      </c>
      <c r="I1533" s="1">
        <v>55848</v>
      </c>
      <c r="J1533" s="7">
        <v>0.69099999999999995</v>
      </c>
      <c r="K1533" s="1" t="s">
        <v>29</v>
      </c>
      <c r="L1533" s="1" t="s">
        <v>29</v>
      </c>
      <c r="M1533" s="1" t="s">
        <v>29</v>
      </c>
      <c r="N1533" s="1" t="s">
        <v>297</v>
      </c>
    </row>
    <row r="1534" spans="1:14" x14ac:dyDescent="0.25">
      <c r="A1534" s="1">
        <v>1533</v>
      </c>
      <c r="B1534" s="2" t="str">
        <f>HYPERLINK("https://leetcode.com/problems/find-the-index-of-the-large-integer/", "Find the Index of the Large Integer")</f>
        <v>Find the Index of the Large Integer</v>
      </c>
      <c r="C1534" s="1">
        <v>263</v>
      </c>
      <c r="D1534" s="1">
        <v>36</v>
      </c>
      <c r="E1534" s="3">
        <f>IF(INDEX(C:C, ROW())+INDEX(D:D, ROW())=0, 0, INDEX(C:C, ROW())/(INDEX(C:C, ROW())+INDEX(D:D, ROW())))</f>
        <v>0.87959866220735783</v>
      </c>
      <c r="F1534" s="1" t="s">
        <v>341</v>
      </c>
      <c r="G1534" s="1" t="s">
        <v>24</v>
      </c>
      <c r="H1534" s="1">
        <v>17943</v>
      </c>
      <c r="I1534" s="1">
        <v>31735</v>
      </c>
      <c r="J1534" s="7">
        <v>0.56499999999999995</v>
      </c>
      <c r="K1534" s="1" t="s">
        <v>29</v>
      </c>
      <c r="L1534" s="1" t="s">
        <v>21</v>
      </c>
      <c r="M1534" s="1" t="s">
        <v>29</v>
      </c>
      <c r="N1534" s="1" t="s">
        <v>22</v>
      </c>
    </row>
    <row r="1535" spans="1:14" x14ac:dyDescent="0.25">
      <c r="A1535" s="1">
        <v>1534</v>
      </c>
      <c r="B1535" s="2" t="str">
        <f>HYPERLINK("https://leetcode.com/problems/count-good-triplets/", "Count Good Triplets")</f>
        <v>Count Good Triplets</v>
      </c>
      <c r="C1535" s="1">
        <v>1202</v>
      </c>
      <c r="D1535" s="1">
        <v>1249</v>
      </c>
      <c r="E1535" s="3">
        <f>IF(INDEX(C:C, ROW())+INDEX(D:D, ROW())=0, 0, INDEX(C:C, ROW())/(INDEX(C:C, ROW())+INDEX(D:D, ROW())))</f>
        <v>0.49041207670338638</v>
      </c>
      <c r="F1535" s="1" t="s">
        <v>654</v>
      </c>
      <c r="G1535" s="1" t="s">
        <v>20</v>
      </c>
      <c r="H1535" s="1">
        <v>284609</v>
      </c>
      <c r="I1535" s="1">
        <v>332816</v>
      </c>
      <c r="J1535" s="7">
        <v>0.85499999999999998</v>
      </c>
      <c r="K1535" s="1" t="s">
        <v>21</v>
      </c>
      <c r="L1535" s="1" t="s">
        <v>21</v>
      </c>
      <c r="M1535" s="1" t="s">
        <v>29</v>
      </c>
      <c r="N1535" s="1" t="s">
        <v>22</v>
      </c>
    </row>
    <row r="1536" spans="1:14" x14ac:dyDescent="0.25">
      <c r="A1536" s="1">
        <v>1535</v>
      </c>
      <c r="B1536" s="2" t="str">
        <f>HYPERLINK("https://leetcode.com/problems/find-the-winner-of-an-array-game/", "Find the Winner of an Array Game")</f>
        <v>Find the Winner of an Array Game</v>
      </c>
      <c r="C1536" s="1">
        <v>1621</v>
      </c>
      <c r="D1536" s="1">
        <v>88</v>
      </c>
      <c r="E1536" s="3">
        <f>IF(INDEX(C:C, ROW())+INDEX(D:D, ROW())=0, 0, INDEX(C:C, ROW())/(INDEX(C:C, ROW())+INDEX(D:D, ROW())))</f>
        <v>0.94850789935634872</v>
      </c>
      <c r="F1536" s="1" t="s">
        <v>306</v>
      </c>
      <c r="G1536" s="1" t="s">
        <v>24</v>
      </c>
      <c r="H1536" s="1">
        <v>125467</v>
      </c>
      <c r="I1536" s="1">
        <v>220814</v>
      </c>
      <c r="J1536" s="7">
        <v>0.56799999999999995</v>
      </c>
      <c r="K1536" s="1" t="s">
        <v>21</v>
      </c>
      <c r="L1536" s="1" t="s">
        <v>21</v>
      </c>
      <c r="M1536" s="1" t="s">
        <v>29</v>
      </c>
      <c r="N1536" s="1" t="s">
        <v>22</v>
      </c>
    </row>
    <row r="1537" spans="1:14" x14ac:dyDescent="0.25">
      <c r="A1537" s="1">
        <v>1536</v>
      </c>
      <c r="B1537" s="2" t="str">
        <f>HYPERLINK("https://leetcode.com/problems/minimum-swaps-to-arrange-a-binary-grid/", "Minimum Swaps to Arrange a Binary Grid")</f>
        <v>Minimum Swaps to Arrange a Binary Grid</v>
      </c>
      <c r="C1537" s="1">
        <v>584</v>
      </c>
      <c r="D1537" s="1">
        <v>72</v>
      </c>
      <c r="E1537" s="3">
        <f>IF(INDEX(C:C, ROW())+INDEX(D:D, ROW())=0, 0, INDEX(C:C, ROW())/(INDEX(C:C, ROW())+INDEX(D:D, ROW())))</f>
        <v>0.8902439024390244</v>
      </c>
      <c r="F1537" s="1" t="s">
        <v>405</v>
      </c>
      <c r="G1537" s="1" t="s">
        <v>24</v>
      </c>
      <c r="H1537" s="1">
        <v>18554</v>
      </c>
      <c r="I1537" s="1">
        <v>37721</v>
      </c>
      <c r="J1537" s="7">
        <v>0.49199999999999999</v>
      </c>
      <c r="K1537" s="1" t="s">
        <v>21</v>
      </c>
      <c r="L1537" s="1" t="s">
        <v>29</v>
      </c>
      <c r="M1537" s="1" t="s">
        <v>29</v>
      </c>
      <c r="N1537" s="1" t="s">
        <v>22</v>
      </c>
    </row>
    <row r="1538" spans="1:14" x14ac:dyDescent="0.25">
      <c r="A1538" s="1">
        <v>1537</v>
      </c>
      <c r="B1538" s="2" t="str">
        <f>HYPERLINK("https://leetcode.com/problems/get-the-maximum-score/", "Get the Maximum Score")</f>
        <v>Get the Maximum Score</v>
      </c>
      <c r="C1538" s="1">
        <v>1068</v>
      </c>
      <c r="D1538" s="1">
        <v>54</v>
      </c>
      <c r="E1538" s="3">
        <f>IF(INDEX(C:C, ROW())+INDEX(D:D, ROW())=0, 0, INDEX(C:C, ROW())/(INDEX(C:C, ROW())+INDEX(D:D, ROW())))</f>
        <v>0.95187165775401072</v>
      </c>
      <c r="F1538" s="1" t="s">
        <v>698</v>
      </c>
      <c r="G1538" s="1" t="s">
        <v>28</v>
      </c>
      <c r="H1538" s="1">
        <v>35471</v>
      </c>
      <c r="I1538" s="1">
        <v>86908</v>
      </c>
      <c r="J1538" s="7">
        <v>0.40799999999999997</v>
      </c>
      <c r="K1538" s="1" t="s">
        <v>21</v>
      </c>
      <c r="L1538" s="1" t="s">
        <v>29</v>
      </c>
      <c r="M1538" s="1" t="s">
        <v>29</v>
      </c>
      <c r="N1538" s="1" t="s">
        <v>22</v>
      </c>
    </row>
    <row r="1539" spans="1:14" x14ac:dyDescent="0.25">
      <c r="A1539" s="1">
        <v>1538</v>
      </c>
      <c r="B1539" s="2" t="str">
        <f>HYPERLINK("https://leetcode.com/problems/guess-the-majority-in-a-hidden-array/", "Guess the Majority in a Hidden Array")</f>
        <v>Guess the Majority in a Hidden Array</v>
      </c>
      <c r="C1539" s="1">
        <v>147</v>
      </c>
      <c r="D1539" s="1">
        <v>122</v>
      </c>
      <c r="E1539" s="3">
        <f>IF(INDEX(C:C, ROW())+INDEX(D:D, ROW())=0, 0, INDEX(C:C, ROW())/(INDEX(C:C, ROW())+INDEX(D:D, ROW())))</f>
        <v>0.54646840148698883</v>
      </c>
      <c r="F1539" s="1" t="s">
        <v>1137</v>
      </c>
      <c r="G1539" s="1" t="s">
        <v>24</v>
      </c>
      <c r="H1539" s="1">
        <v>5136</v>
      </c>
      <c r="I1539" s="1">
        <v>7413</v>
      </c>
      <c r="J1539" s="7">
        <v>0.69299999999999995</v>
      </c>
      <c r="K1539" s="1" t="s">
        <v>29</v>
      </c>
      <c r="L1539" s="1" t="s">
        <v>21</v>
      </c>
      <c r="M1539" s="1" t="s">
        <v>29</v>
      </c>
      <c r="N1539" s="1" t="s">
        <v>22</v>
      </c>
    </row>
    <row r="1540" spans="1:14" x14ac:dyDescent="0.25">
      <c r="A1540" s="1">
        <v>1539</v>
      </c>
      <c r="B1540" s="2" t="str">
        <f>HYPERLINK("https://leetcode.com/problems/kth-missing-positive-number/", "Kth Missing Positive Number")</f>
        <v>Kth Missing Positive Number</v>
      </c>
      <c r="C1540" s="1">
        <v>7913</v>
      </c>
      <c r="D1540" s="1">
        <v>574</v>
      </c>
      <c r="E1540" s="3">
        <f>IF(INDEX(C:C, ROW())+INDEX(D:D, ROW())=0, 0, INDEX(C:C, ROW())/(INDEX(C:C, ROW())+INDEX(D:D, ROW())))</f>
        <v>0.93236714975845414</v>
      </c>
      <c r="F1540" s="1" t="s">
        <v>35</v>
      </c>
      <c r="G1540" s="1" t="s">
        <v>20</v>
      </c>
      <c r="H1540" s="1">
        <v>807850</v>
      </c>
      <c r="I1540" s="1">
        <v>1277804</v>
      </c>
      <c r="J1540" s="7">
        <v>0.63200000000000001</v>
      </c>
      <c r="K1540" s="1" t="s">
        <v>21</v>
      </c>
      <c r="L1540" s="1" t="s">
        <v>21</v>
      </c>
      <c r="M1540" s="1" t="s">
        <v>29</v>
      </c>
      <c r="N1540" s="1" t="s">
        <v>22</v>
      </c>
    </row>
    <row r="1541" spans="1:14" x14ac:dyDescent="0.25">
      <c r="A1541" s="1">
        <v>1540</v>
      </c>
      <c r="B1541" s="2" t="str">
        <f>HYPERLINK("https://leetcode.com/problems/can-convert-string-in-k-moves/", "Can Convert String in K Moves")</f>
        <v>Can Convert String in K Moves</v>
      </c>
      <c r="C1541" s="1">
        <v>427</v>
      </c>
      <c r="D1541" s="1">
        <v>334</v>
      </c>
      <c r="E1541" s="3">
        <f>IF(INDEX(C:C, ROW())+INDEX(D:D, ROW())=0, 0, INDEX(C:C, ROW())/(INDEX(C:C, ROW())+INDEX(D:D, ROW())))</f>
        <v>0.5611038107752957</v>
      </c>
      <c r="F1541" s="1" t="s">
        <v>131</v>
      </c>
      <c r="G1541" s="1" t="s">
        <v>24</v>
      </c>
      <c r="H1541" s="1">
        <v>25441</v>
      </c>
      <c r="I1541" s="1">
        <v>68728</v>
      </c>
      <c r="J1541" s="7">
        <v>0.37</v>
      </c>
      <c r="K1541" s="1" t="s">
        <v>21</v>
      </c>
      <c r="L1541" s="1" t="s">
        <v>29</v>
      </c>
      <c r="M1541" s="1" t="s">
        <v>29</v>
      </c>
      <c r="N1541" s="1" t="s">
        <v>22</v>
      </c>
    </row>
    <row r="1542" spans="1:14" x14ac:dyDescent="0.25">
      <c r="A1542" s="1">
        <v>1541</v>
      </c>
      <c r="B1542" s="2" t="str">
        <f>HYPERLINK("https://leetcode.com/problems/minimum-insertions-to-balance-a-parentheses-string/", "Minimum Insertions to Balance a Parentheses String")</f>
        <v>Minimum Insertions to Balance a Parentheses String</v>
      </c>
      <c r="C1542" s="1">
        <v>1260</v>
      </c>
      <c r="D1542" s="1">
        <v>294</v>
      </c>
      <c r="E1542" s="3">
        <f>IF(INDEX(C:C, ROW())+INDEX(D:D, ROW())=0, 0, INDEX(C:C, ROW())/(INDEX(C:C, ROW())+INDEX(D:D, ROW())))</f>
        <v>0.81081081081081086</v>
      </c>
      <c r="F1542" s="1" t="s">
        <v>263</v>
      </c>
      <c r="G1542" s="1" t="s">
        <v>24</v>
      </c>
      <c r="H1542" s="1">
        <v>81868</v>
      </c>
      <c r="I1542" s="1">
        <v>153079</v>
      </c>
      <c r="J1542" s="7">
        <v>0.53500000000000003</v>
      </c>
      <c r="K1542" s="1" t="s">
        <v>21</v>
      </c>
      <c r="L1542" s="1" t="s">
        <v>29</v>
      </c>
      <c r="M1542" s="1" t="s">
        <v>29</v>
      </c>
      <c r="N1542" s="1" t="s">
        <v>22</v>
      </c>
    </row>
    <row r="1543" spans="1:14" x14ac:dyDescent="0.25">
      <c r="A1543" s="1">
        <v>1542</v>
      </c>
      <c r="B1543" s="2" t="str">
        <f>HYPERLINK("https://leetcode.com/problems/find-longest-awesome-substring/", "Find Longest Awesome Substring")</f>
        <v>Find Longest Awesome Substring</v>
      </c>
      <c r="C1543" s="1">
        <v>889</v>
      </c>
      <c r="D1543" s="1">
        <v>16</v>
      </c>
      <c r="E1543" s="3">
        <f>IF(INDEX(C:C, ROW())+INDEX(D:D, ROW())=0, 0, INDEX(C:C, ROW())/(INDEX(C:C, ROW())+INDEX(D:D, ROW())))</f>
        <v>0.9823204419889503</v>
      </c>
      <c r="F1543" s="1" t="s">
        <v>686</v>
      </c>
      <c r="G1543" s="1" t="s">
        <v>28</v>
      </c>
      <c r="H1543" s="1">
        <v>19903</v>
      </c>
      <c r="I1543" s="1">
        <v>42761</v>
      </c>
      <c r="J1543" s="7">
        <v>0.46500000000000002</v>
      </c>
      <c r="K1543" s="1" t="s">
        <v>21</v>
      </c>
      <c r="L1543" s="1" t="s">
        <v>29</v>
      </c>
      <c r="M1543" s="1" t="s">
        <v>29</v>
      </c>
      <c r="N1543" s="1" t="s">
        <v>22</v>
      </c>
    </row>
    <row r="1544" spans="1:14" x14ac:dyDescent="0.25">
      <c r="A1544" s="1">
        <v>1543</v>
      </c>
      <c r="B1544" s="2" t="str">
        <f>HYPERLINK("https://leetcode.com/problems/fix-product-name-format/", "Fix Product Name Format")</f>
        <v>Fix Product Name Format</v>
      </c>
      <c r="C1544" s="1">
        <v>93</v>
      </c>
      <c r="D1544" s="1">
        <v>45</v>
      </c>
      <c r="E1544" s="3">
        <f>IF(INDEX(C:C, ROW())+INDEX(D:D, ROW())=0, 0, INDEX(C:C, ROW())/(INDEX(C:C, ROW())+INDEX(D:D, ROW())))</f>
        <v>0.67391304347826086</v>
      </c>
      <c r="F1544" s="1" t="s">
        <v>297</v>
      </c>
      <c r="G1544" s="1" t="s">
        <v>20</v>
      </c>
      <c r="H1544" s="1">
        <v>23791</v>
      </c>
      <c r="I1544" s="1">
        <v>40462</v>
      </c>
      <c r="J1544" s="7">
        <v>0.58799999999999997</v>
      </c>
      <c r="K1544" s="1" t="s">
        <v>29</v>
      </c>
      <c r="L1544" s="1" t="s">
        <v>29</v>
      </c>
      <c r="M1544" s="1" t="s">
        <v>29</v>
      </c>
      <c r="N1544" s="1" t="s">
        <v>297</v>
      </c>
    </row>
    <row r="1545" spans="1:14" x14ac:dyDescent="0.25">
      <c r="A1545" s="1">
        <v>1544</v>
      </c>
      <c r="B1545" s="2" t="str">
        <f>HYPERLINK("https://leetcode.com/problems/make-the-string-great/", "Make The String Great")</f>
        <v>Make The String Great</v>
      </c>
      <c r="C1545" s="1">
        <v>3217</v>
      </c>
      <c r="D1545" s="1">
        <v>186</v>
      </c>
      <c r="E1545" s="3">
        <f>IF(INDEX(C:C, ROW())+INDEX(D:D, ROW())=0, 0, INDEX(C:C, ROW())/(INDEX(C:C, ROW())+INDEX(D:D, ROW())))</f>
        <v>0.94534234498971492</v>
      </c>
      <c r="F1545" s="1" t="s">
        <v>36</v>
      </c>
      <c r="G1545" s="1" t="s">
        <v>20</v>
      </c>
      <c r="H1545" s="1">
        <v>399515</v>
      </c>
      <c r="I1545" s="1">
        <v>584055</v>
      </c>
      <c r="J1545" s="7">
        <v>0.68400000000000005</v>
      </c>
      <c r="K1545" s="1" t="s">
        <v>21</v>
      </c>
      <c r="L1545" s="1" t="s">
        <v>21</v>
      </c>
      <c r="M1545" s="1" t="s">
        <v>29</v>
      </c>
      <c r="N1545" s="1" t="s">
        <v>22</v>
      </c>
    </row>
    <row r="1546" spans="1:14" x14ac:dyDescent="0.25">
      <c r="A1546" s="1">
        <v>1545</v>
      </c>
      <c r="B1546" s="2" t="str">
        <f>HYPERLINK("https://leetcode.com/problems/find-kth-bit-in-nth-binary-string/", "Find Kth Bit in Nth Binary String")</f>
        <v>Find Kth Bit in Nth Binary String</v>
      </c>
      <c r="C1546" s="1">
        <v>1520</v>
      </c>
      <c r="D1546" s="1">
        <v>97</v>
      </c>
      <c r="E1546" s="3">
        <f>IF(INDEX(C:C, ROW())+INDEX(D:D, ROW())=0, 0, INDEX(C:C, ROW())/(INDEX(C:C, ROW())+INDEX(D:D, ROW())))</f>
        <v>0.94001236858379711</v>
      </c>
      <c r="F1546" s="1" t="s">
        <v>583</v>
      </c>
      <c r="G1546" s="1" t="s">
        <v>24</v>
      </c>
      <c r="H1546" s="1">
        <v>170693</v>
      </c>
      <c r="I1546" s="1">
        <v>243143</v>
      </c>
      <c r="J1546" s="7">
        <v>0.70199999999999996</v>
      </c>
      <c r="K1546" s="1" t="s">
        <v>21</v>
      </c>
      <c r="L1546" s="1" t="s">
        <v>21</v>
      </c>
      <c r="M1546" s="1" t="s">
        <v>29</v>
      </c>
      <c r="N1546" s="1" t="s">
        <v>22</v>
      </c>
    </row>
    <row r="1547" spans="1:14" x14ac:dyDescent="0.25">
      <c r="A1547" s="1">
        <v>1546</v>
      </c>
      <c r="B1547" s="2" t="str">
        <f>HYPERLINK("https://leetcode.com/problems/maximum-number-of-non-overlapping-subarrays-with-sum-equals-target/", "Maximum Number of Non-Overlapping Subarrays With Sum Equals Target")</f>
        <v>Maximum Number of Non-Overlapping Subarrays With Sum Equals Target</v>
      </c>
      <c r="C1547" s="1">
        <v>1113</v>
      </c>
      <c r="D1547" s="1">
        <v>28</v>
      </c>
      <c r="E1547" s="3">
        <f>IF(INDEX(C:C, ROW())+INDEX(D:D, ROW())=0, 0, INDEX(C:C, ROW())/(INDEX(C:C, ROW())+INDEX(D:D, ROW())))</f>
        <v>0.97546012269938653</v>
      </c>
      <c r="F1547" s="1" t="s">
        <v>683</v>
      </c>
      <c r="G1547" s="1" t="s">
        <v>24</v>
      </c>
      <c r="H1547" s="1">
        <v>34999</v>
      </c>
      <c r="I1547" s="1">
        <v>71763</v>
      </c>
      <c r="J1547" s="7">
        <v>0.48799999999999999</v>
      </c>
      <c r="K1547" s="1" t="s">
        <v>21</v>
      </c>
      <c r="L1547" s="1" t="s">
        <v>29</v>
      </c>
      <c r="M1547" s="1" t="s">
        <v>29</v>
      </c>
      <c r="N1547" s="1" t="s">
        <v>22</v>
      </c>
    </row>
    <row r="1548" spans="1:14" x14ac:dyDescent="0.25">
      <c r="A1548" s="1">
        <v>1547</v>
      </c>
      <c r="B1548" s="2" t="str">
        <f>HYPERLINK("https://leetcode.com/problems/minimum-cost-to-cut-a-stick/", "Minimum Cost to Cut a Stick")</f>
        <v>Minimum Cost to Cut a Stick</v>
      </c>
      <c r="C1548" s="1">
        <v>4809</v>
      </c>
      <c r="D1548" s="1">
        <v>159</v>
      </c>
      <c r="E1548" s="3">
        <f>IF(INDEX(C:C, ROW())+INDEX(D:D, ROW())=0, 0, INDEX(C:C, ROW())/(INDEX(C:C, ROW())+INDEX(D:D, ROW())))</f>
        <v>0.96799516908212557</v>
      </c>
      <c r="F1548" s="1" t="s">
        <v>270</v>
      </c>
      <c r="G1548" s="1" t="s">
        <v>28</v>
      </c>
      <c r="H1548" s="1">
        <v>219149</v>
      </c>
      <c r="I1548" s="1">
        <v>348982</v>
      </c>
      <c r="J1548" s="7">
        <v>0.628</v>
      </c>
      <c r="K1548" s="1" t="s">
        <v>21</v>
      </c>
      <c r="L1548" s="1" t="s">
        <v>21</v>
      </c>
      <c r="M1548" s="1" t="s">
        <v>29</v>
      </c>
      <c r="N1548" s="1" t="s">
        <v>22</v>
      </c>
    </row>
    <row r="1549" spans="1:14" x14ac:dyDescent="0.25">
      <c r="A1549" s="1">
        <v>1548</v>
      </c>
      <c r="B1549" s="2" t="str">
        <f>HYPERLINK("https://leetcode.com/problems/the-most-similar-path-in-a-graph/", "The Most Similar Path in a Graph")</f>
        <v>The Most Similar Path in a Graph</v>
      </c>
      <c r="C1549" s="1">
        <v>380</v>
      </c>
      <c r="D1549" s="1">
        <v>187</v>
      </c>
      <c r="E1549" s="3">
        <f>IF(INDEX(C:C, ROW())+INDEX(D:D, ROW())=0, 0, INDEX(C:C, ROW())/(INDEX(C:C, ROW())+INDEX(D:D, ROW())))</f>
        <v>0.67019400352733682</v>
      </c>
      <c r="F1549" s="1" t="s">
        <v>999</v>
      </c>
      <c r="G1549" s="1" t="s">
        <v>28</v>
      </c>
      <c r="H1549" s="1">
        <v>17861</v>
      </c>
      <c r="I1549" s="1">
        <v>30070</v>
      </c>
      <c r="J1549" s="7">
        <v>0.59399999999999997</v>
      </c>
      <c r="K1549" s="1" t="s">
        <v>29</v>
      </c>
      <c r="L1549" s="1" t="s">
        <v>21</v>
      </c>
      <c r="M1549" s="1" t="s">
        <v>29</v>
      </c>
      <c r="N1549" s="1" t="s">
        <v>22</v>
      </c>
    </row>
    <row r="1550" spans="1:14" x14ac:dyDescent="0.25">
      <c r="A1550" s="1">
        <v>1549</v>
      </c>
      <c r="B1550" s="2" t="str">
        <f>HYPERLINK("https://leetcode.com/problems/the-most-recent-orders-for-each-product/", "The Most Recent Orders for Each Product")</f>
        <v>The Most Recent Orders for Each Product</v>
      </c>
      <c r="C1550" s="1">
        <v>141</v>
      </c>
      <c r="D1550" s="1">
        <v>12</v>
      </c>
      <c r="E1550" s="3">
        <f>IF(INDEX(C:C, ROW())+INDEX(D:D, ROW())=0, 0, INDEX(C:C, ROW())/(INDEX(C:C, ROW())+INDEX(D:D, ROW())))</f>
        <v>0.92156862745098034</v>
      </c>
      <c r="F1550" s="1" t="s">
        <v>297</v>
      </c>
      <c r="G1550" s="1" t="s">
        <v>24</v>
      </c>
      <c r="H1550" s="1">
        <v>38524</v>
      </c>
      <c r="I1550" s="1">
        <v>59260</v>
      </c>
      <c r="J1550" s="7">
        <v>0.65</v>
      </c>
      <c r="K1550" s="1" t="s">
        <v>29</v>
      </c>
      <c r="L1550" s="1" t="s">
        <v>21</v>
      </c>
      <c r="M1550" s="1" t="s">
        <v>29</v>
      </c>
      <c r="N1550" s="1" t="s">
        <v>297</v>
      </c>
    </row>
    <row r="1551" spans="1:14" x14ac:dyDescent="0.25">
      <c r="A1551" s="1">
        <v>1550</v>
      </c>
      <c r="B1551" s="2" t="str">
        <f>HYPERLINK("https://leetcode.com/problems/three-consecutive-odds/", "Three Consecutive Odds")</f>
        <v>Three Consecutive Odds</v>
      </c>
      <c r="C1551" s="1">
        <v>1405</v>
      </c>
      <c r="D1551" s="1">
        <v>106</v>
      </c>
      <c r="E1551" s="3">
        <f>IF(INDEX(C:C, ROW())+INDEX(D:D, ROW())=0, 0, INDEX(C:C, ROW())/(INDEX(C:C, ROW())+INDEX(D:D, ROW())))</f>
        <v>0.92984778292521508</v>
      </c>
      <c r="F1551" s="1" t="s">
        <v>113</v>
      </c>
      <c r="G1551" s="1" t="s">
        <v>20</v>
      </c>
      <c r="H1551" s="1">
        <v>437857</v>
      </c>
      <c r="I1551" s="1">
        <v>631415</v>
      </c>
      <c r="J1551" s="7">
        <v>0.69299999999999995</v>
      </c>
      <c r="K1551" s="1" t="s">
        <v>21</v>
      </c>
      <c r="L1551" s="1" t="s">
        <v>21</v>
      </c>
      <c r="M1551" s="1" t="s">
        <v>29</v>
      </c>
      <c r="N1551" s="1" t="s">
        <v>22</v>
      </c>
    </row>
    <row r="1552" spans="1:14" x14ac:dyDescent="0.25">
      <c r="A1552" s="1">
        <v>1551</v>
      </c>
      <c r="B1552" s="2" t="str">
        <f>HYPERLINK("https://leetcode.com/problems/minimum-operations-to-make-array-equal/", "Minimum Operations to Make Array Equal")</f>
        <v>Minimum Operations to Make Array Equal</v>
      </c>
      <c r="C1552" s="1">
        <v>1499</v>
      </c>
      <c r="D1552" s="1">
        <v>187</v>
      </c>
      <c r="E1552" s="3">
        <f>IF(INDEX(C:C, ROW())+INDEX(D:D, ROW())=0, 0, INDEX(C:C, ROW())/(INDEX(C:C, ROW())+INDEX(D:D, ROW())))</f>
        <v>0.88908659549228941</v>
      </c>
      <c r="F1552" s="1" t="s">
        <v>84</v>
      </c>
      <c r="G1552" s="1" t="s">
        <v>24</v>
      </c>
      <c r="H1552" s="1">
        <v>116297</v>
      </c>
      <c r="I1552" s="1">
        <v>140637</v>
      </c>
      <c r="J1552" s="7">
        <v>0.82699999999999996</v>
      </c>
      <c r="K1552" s="1" t="s">
        <v>21</v>
      </c>
      <c r="L1552" s="1" t="s">
        <v>21</v>
      </c>
      <c r="M1552" s="1" t="s">
        <v>29</v>
      </c>
      <c r="N1552" s="1" t="s">
        <v>22</v>
      </c>
    </row>
    <row r="1553" spans="1:14" x14ac:dyDescent="0.25">
      <c r="A1553" s="1">
        <v>1552</v>
      </c>
      <c r="B1553" s="2" t="str">
        <f>HYPERLINK("https://leetcode.com/problems/magnetic-force-between-two-balls/", "Magnetic Force Between Two Balls")</f>
        <v>Magnetic Force Between Two Balls</v>
      </c>
      <c r="C1553" s="1">
        <v>3175</v>
      </c>
      <c r="D1553" s="1">
        <v>272</v>
      </c>
      <c r="E1553" s="3">
        <f>IF(INDEX(C:C, ROW())+INDEX(D:D, ROW())=0, 0, INDEX(C:C, ROW())/(INDEX(C:C, ROW())+INDEX(D:D, ROW())))</f>
        <v>0.92109080359733098</v>
      </c>
      <c r="F1553" s="1" t="s">
        <v>367</v>
      </c>
      <c r="G1553" s="1" t="s">
        <v>24</v>
      </c>
      <c r="H1553" s="1">
        <v>215652</v>
      </c>
      <c r="I1553" s="1">
        <v>299945</v>
      </c>
      <c r="J1553" s="7">
        <v>0.71899999999999997</v>
      </c>
      <c r="K1553" s="1" t="s">
        <v>21</v>
      </c>
      <c r="L1553" s="1" t="s">
        <v>21</v>
      </c>
      <c r="M1553" s="1" t="s">
        <v>29</v>
      </c>
      <c r="N1553" s="1" t="s">
        <v>22</v>
      </c>
    </row>
    <row r="1554" spans="1:14" x14ac:dyDescent="0.25">
      <c r="A1554" s="1">
        <v>1553</v>
      </c>
      <c r="B1554" s="2" t="str">
        <f>HYPERLINK("https://leetcode.com/problems/minimum-number-of-days-to-eat-n-oranges/", "Minimum Number of Days to Eat N Oranges")</f>
        <v>Minimum Number of Days to Eat N Oranges</v>
      </c>
      <c r="C1554" s="1">
        <v>1031</v>
      </c>
      <c r="D1554" s="1">
        <v>64</v>
      </c>
      <c r="E1554" s="3">
        <f>IF(INDEX(C:C, ROW())+INDEX(D:D, ROW())=0, 0, INDEX(C:C, ROW())/(INDEX(C:C, ROW())+INDEX(D:D, ROW())))</f>
        <v>0.9415525114155251</v>
      </c>
      <c r="F1554" s="1" t="s">
        <v>709</v>
      </c>
      <c r="G1554" s="1" t="s">
        <v>28</v>
      </c>
      <c r="H1554" s="1">
        <v>43607</v>
      </c>
      <c r="I1554" s="1">
        <v>120823</v>
      </c>
      <c r="J1554" s="7">
        <v>0.36099999999999999</v>
      </c>
      <c r="K1554" s="1" t="s">
        <v>21</v>
      </c>
      <c r="L1554" s="1" t="s">
        <v>29</v>
      </c>
      <c r="M1554" s="1" t="s">
        <v>29</v>
      </c>
      <c r="N1554" s="1" t="s">
        <v>22</v>
      </c>
    </row>
    <row r="1555" spans="1:14" x14ac:dyDescent="0.25">
      <c r="A1555" s="1">
        <v>1554</v>
      </c>
      <c r="B1555" s="2" t="str">
        <f>HYPERLINK("https://leetcode.com/problems/strings-differ-by-one-character/", "Strings Differ by One Character")</f>
        <v>Strings Differ by One Character</v>
      </c>
      <c r="C1555" s="1">
        <v>386</v>
      </c>
      <c r="D1555" s="1">
        <v>106</v>
      </c>
      <c r="E1555" s="3">
        <f>IF(INDEX(C:C, ROW())+INDEX(D:D, ROW())=0, 0, INDEX(C:C, ROW())/(INDEX(C:C, ROW())+INDEX(D:D, ROW())))</f>
        <v>0.78455284552845528</v>
      </c>
      <c r="F1555" s="1" t="s">
        <v>994</v>
      </c>
      <c r="G1555" s="1" t="s">
        <v>24</v>
      </c>
      <c r="H1555" s="1">
        <v>27469</v>
      </c>
      <c r="I1555" s="1">
        <v>68439</v>
      </c>
      <c r="J1555" s="7">
        <v>0.40100000000000002</v>
      </c>
      <c r="K1555" s="1" t="s">
        <v>29</v>
      </c>
      <c r="L1555" s="1" t="s">
        <v>29</v>
      </c>
      <c r="M1555" s="1" t="s">
        <v>29</v>
      </c>
      <c r="N1555" s="1" t="s">
        <v>22</v>
      </c>
    </row>
    <row r="1556" spans="1:14" x14ac:dyDescent="0.25">
      <c r="A1556" s="1">
        <v>1555</v>
      </c>
      <c r="B1556" s="2" t="str">
        <f>HYPERLINK("https://leetcode.com/problems/bank-account-summary/", "Bank Account Summary")</f>
        <v>Bank Account Summary</v>
      </c>
      <c r="C1556" s="1">
        <v>146</v>
      </c>
      <c r="D1556" s="1">
        <v>27</v>
      </c>
      <c r="E1556" s="3">
        <f>IF(INDEX(C:C, ROW())+INDEX(D:D, ROW())=0, 0, INDEX(C:C, ROW())/(INDEX(C:C, ROW())+INDEX(D:D, ROW())))</f>
        <v>0.84393063583815031</v>
      </c>
      <c r="F1556" s="1" t="s">
        <v>297</v>
      </c>
      <c r="G1556" s="1" t="s">
        <v>24</v>
      </c>
      <c r="H1556" s="1">
        <v>22583</v>
      </c>
      <c r="I1556" s="1">
        <v>43331</v>
      </c>
      <c r="J1556" s="7">
        <v>0.52100000000000002</v>
      </c>
      <c r="K1556" s="1" t="s">
        <v>29</v>
      </c>
      <c r="L1556" s="1" t="s">
        <v>29</v>
      </c>
      <c r="M1556" s="1" t="s">
        <v>29</v>
      </c>
      <c r="N1556" s="1" t="s">
        <v>297</v>
      </c>
    </row>
    <row r="1557" spans="1:14" x14ac:dyDescent="0.25">
      <c r="A1557" s="1">
        <v>1556</v>
      </c>
      <c r="B1557" s="2" t="str">
        <f>HYPERLINK("https://leetcode.com/problems/thousand-separator/", "Thousand Separator")</f>
        <v>Thousand Separator</v>
      </c>
      <c r="C1557" s="1">
        <v>519</v>
      </c>
      <c r="D1557" s="1">
        <v>46</v>
      </c>
      <c r="E1557" s="3">
        <f>IF(INDEX(C:C, ROW())+INDEX(D:D, ROW())=0, 0, INDEX(C:C, ROW())/(INDEX(C:C, ROW())+INDEX(D:D, ROW())))</f>
        <v>0.91858407079646021</v>
      </c>
      <c r="F1557" s="1" t="s">
        <v>146</v>
      </c>
      <c r="G1557" s="1" t="s">
        <v>20</v>
      </c>
      <c r="H1557" s="1">
        <v>66435</v>
      </c>
      <c r="I1557" s="1">
        <v>123843</v>
      </c>
      <c r="J1557" s="7">
        <v>0.53600000000000003</v>
      </c>
      <c r="K1557" s="1" t="s">
        <v>21</v>
      </c>
      <c r="L1557" s="1" t="s">
        <v>29</v>
      </c>
      <c r="M1557" s="1" t="s">
        <v>29</v>
      </c>
      <c r="N1557" s="1" t="s">
        <v>22</v>
      </c>
    </row>
    <row r="1558" spans="1:14" x14ac:dyDescent="0.25">
      <c r="A1558" s="1">
        <v>1557</v>
      </c>
      <c r="B1558" s="2" t="str">
        <f>HYPERLINK("https://leetcode.com/problems/minimum-number-of-vertices-to-reach-all-nodes/", "Minimum Number of Vertices to Reach All Nodes")</f>
        <v>Minimum Number of Vertices to Reach All Nodes</v>
      </c>
      <c r="C1558" s="1">
        <v>3860</v>
      </c>
      <c r="D1558" s="1">
        <v>135</v>
      </c>
      <c r="E1558" s="3">
        <f>IF(INDEX(C:C, ROW())+INDEX(D:D, ROW())=0, 0, INDEX(C:C, ROW())/(INDEX(C:C, ROW())+INDEX(D:D, ROW())))</f>
        <v>0.96620775969962458</v>
      </c>
      <c r="F1558" s="1" t="s">
        <v>319</v>
      </c>
      <c r="G1558" s="1" t="s">
        <v>24</v>
      </c>
      <c r="H1558" s="1">
        <v>229169</v>
      </c>
      <c r="I1558" s="1">
        <v>281198</v>
      </c>
      <c r="J1558" s="7">
        <v>0.81499999999999995</v>
      </c>
      <c r="K1558" s="1" t="s">
        <v>21</v>
      </c>
      <c r="L1558" s="1" t="s">
        <v>21</v>
      </c>
      <c r="M1558" s="1" t="s">
        <v>29</v>
      </c>
      <c r="N1558" s="1" t="s">
        <v>22</v>
      </c>
    </row>
    <row r="1559" spans="1:14" x14ac:dyDescent="0.25">
      <c r="A1559" s="1">
        <v>1558</v>
      </c>
      <c r="B1559" s="2" t="str">
        <f>HYPERLINK("https://leetcode.com/problems/minimum-numbers-of-function-calls-to-make-target-array/", "Minimum Numbers of Function Calls to Make Target Array")</f>
        <v>Minimum Numbers of Function Calls to Make Target Array</v>
      </c>
      <c r="C1559" s="1">
        <v>645</v>
      </c>
      <c r="D1559" s="1">
        <v>38</v>
      </c>
      <c r="E1559" s="3">
        <f>IF(INDEX(C:C, ROW())+INDEX(D:D, ROW())=0, 0, INDEX(C:C, ROW())/(INDEX(C:C, ROW())+INDEX(D:D, ROW())))</f>
        <v>0.94436310395314793</v>
      </c>
      <c r="F1559" s="1" t="s">
        <v>824</v>
      </c>
      <c r="G1559" s="1" t="s">
        <v>24</v>
      </c>
      <c r="H1559" s="1">
        <v>25724</v>
      </c>
      <c r="I1559" s="1">
        <v>40953</v>
      </c>
      <c r="J1559" s="7">
        <v>0.628</v>
      </c>
      <c r="K1559" s="1" t="s">
        <v>21</v>
      </c>
      <c r="L1559" s="1" t="s">
        <v>29</v>
      </c>
      <c r="M1559" s="1" t="s">
        <v>29</v>
      </c>
      <c r="N1559" s="1" t="s">
        <v>22</v>
      </c>
    </row>
    <row r="1560" spans="1:14" x14ac:dyDescent="0.25">
      <c r="A1560" s="1">
        <v>1559</v>
      </c>
      <c r="B1560" s="2" t="str">
        <f>HYPERLINK("https://leetcode.com/problems/detect-cycles-in-2d-grid/", "Detect Cycles in 2D Grid")</f>
        <v>Detect Cycles in 2D Grid</v>
      </c>
      <c r="C1560" s="1">
        <v>1322</v>
      </c>
      <c r="D1560" s="1">
        <v>31</v>
      </c>
      <c r="E1560" s="3">
        <f>IF(INDEX(C:C, ROW())+INDEX(D:D, ROW())=0, 0, INDEX(C:C, ROW())/(INDEX(C:C, ROW())+INDEX(D:D, ROW())))</f>
        <v>0.97708795269770876</v>
      </c>
      <c r="F1560" s="1" t="s">
        <v>40</v>
      </c>
      <c r="G1560" s="1" t="s">
        <v>24</v>
      </c>
      <c r="H1560" s="1">
        <v>65662</v>
      </c>
      <c r="I1560" s="1">
        <v>125235</v>
      </c>
      <c r="J1560" s="7">
        <v>0.52400000000000002</v>
      </c>
      <c r="K1560" s="1" t="s">
        <v>21</v>
      </c>
      <c r="L1560" s="1" t="s">
        <v>29</v>
      </c>
      <c r="M1560" s="1" t="s">
        <v>29</v>
      </c>
      <c r="N1560" s="1" t="s">
        <v>22</v>
      </c>
    </row>
    <row r="1561" spans="1:14" x14ac:dyDescent="0.25">
      <c r="A1561" s="1">
        <v>1560</v>
      </c>
      <c r="B1561" s="2" t="str">
        <f>HYPERLINK("https://leetcode.com/problems/most-visited-sector-in-a-circular-track/", "Most Visited Sector in  a Circular Track")</f>
        <v>Most Visited Sector in  a Circular Track</v>
      </c>
      <c r="C1561" s="1">
        <v>338</v>
      </c>
      <c r="D1561" s="1">
        <v>671</v>
      </c>
      <c r="E1561" s="3">
        <f>IF(INDEX(C:C, ROW())+INDEX(D:D, ROW())=0, 0, INDEX(C:C, ROW())/(INDEX(C:C, ROW())+INDEX(D:D, ROW())))</f>
        <v>0.33498513379583744</v>
      </c>
      <c r="F1561" s="1" t="s">
        <v>306</v>
      </c>
      <c r="G1561" s="1" t="s">
        <v>20</v>
      </c>
      <c r="H1561" s="1">
        <v>39280</v>
      </c>
      <c r="I1561" s="1">
        <v>65663</v>
      </c>
      <c r="J1561" s="7">
        <v>0.59799999999999998</v>
      </c>
      <c r="K1561" s="1" t="s">
        <v>21</v>
      </c>
      <c r="L1561" s="1" t="s">
        <v>29</v>
      </c>
      <c r="M1561" s="1" t="s">
        <v>29</v>
      </c>
      <c r="N1561" s="1" t="s">
        <v>22</v>
      </c>
    </row>
    <row r="1562" spans="1:14" x14ac:dyDescent="0.25">
      <c r="A1562" s="1">
        <v>1561</v>
      </c>
      <c r="B1562" s="2" t="str">
        <f>HYPERLINK("https://leetcode.com/problems/maximum-number-of-coins-you-can-get/", "Maximum Number of Coins You Can Get")</f>
        <v>Maximum Number of Coins You Can Get</v>
      </c>
      <c r="C1562" s="1">
        <v>1972</v>
      </c>
      <c r="D1562" s="1">
        <v>224</v>
      </c>
      <c r="E1562" s="3">
        <f>IF(INDEX(C:C, ROW())+INDEX(D:D, ROW())=0, 0, INDEX(C:C, ROW())/(INDEX(C:C, ROW())+INDEX(D:D, ROW())))</f>
        <v>0.89799635701275049</v>
      </c>
      <c r="F1562" s="1" t="s">
        <v>505</v>
      </c>
      <c r="G1562" s="1" t="s">
        <v>24</v>
      </c>
      <c r="H1562" s="1">
        <v>196674</v>
      </c>
      <c r="I1562" s="1">
        <v>232026</v>
      </c>
      <c r="J1562" s="7">
        <v>0.84799999999999998</v>
      </c>
      <c r="K1562" s="1" t="s">
        <v>21</v>
      </c>
      <c r="L1562" s="1" t="s">
        <v>21</v>
      </c>
      <c r="M1562" s="1" t="s">
        <v>29</v>
      </c>
      <c r="N1562" s="1" t="s">
        <v>22</v>
      </c>
    </row>
    <row r="1563" spans="1:14" x14ac:dyDescent="0.25">
      <c r="A1563" s="1">
        <v>1562</v>
      </c>
      <c r="B1563" s="2" t="str">
        <f>HYPERLINK("https://leetcode.com/problems/find-latest-group-of-size-m/", "Find Latest Group of Size M")</f>
        <v>Find Latest Group of Size M</v>
      </c>
      <c r="C1563" s="1">
        <v>679</v>
      </c>
      <c r="D1563" s="1">
        <v>144</v>
      </c>
      <c r="E1563" s="3">
        <f>IF(INDEX(C:C, ROW())+INDEX(D:D, ROW())=0, 0, INDEX(C:C, ROW())/(INDEX(C:C, ROW())+INDEX(D:D, ROW())))</f>
        <v>0.82503037667071688</v>
      </c>
      <c r="F1563" s="1" t="s">
        <v>809</v>
      </c>
      <c r="G1563" s="1" t="s">
        <v>24</v>
      </c>
      <c r="H1563" s="1">
        <v>21945</v>
      </c>
      <c r="I1563" s="1">
        <v>50143</v>
      </c>
      <c r="J1563" s="7">
        <v>0.438</v>
      </c>
      <c r="K1563" s="1" t="s">
        <v>21</v>
      </c>
      <c r="L1563" s="1" t="s">
        <v>29</v>
      </c>
      <c r="M1563" s="1" t="s">
        <v>29</v>
      </c>
      <c r="N1563" s="1" t="s">
        <v>22</v>
      </c>
    </row>
    <row r="1564" spans="1:14" x14ac:dyDescent="0.25">
      <c r="A1564" s="1">
        <v>1563</v>
      </c>
      <c r="B1564" s="2" t="str">
        <f>HYPERLINK("https://leetcode.com/problems/stone-game-v/", "Stone Game V")</f>
        <v>Stone Game V</v>
      </c>
      <c r="C1564" s="1">
        <v>695</v>
      </c>
      <c r="D1564" s="1">
        <v>90</v>
      </c>
      <c r="E1564" s="3">
        <f>IF(INDEX(C:C, ROW())+INDEX(D:D, ROW())=0, 0, INDEX(C:C, ROW())/(INDEX(C:C, ROW())+INDEX(D:D, ROW())))</f>
        <v>0.88535031847133761</v>
      </c>
      <c r="F1564" s="1" t="s">
        <v>349</v>
      </c>
      <c r="G1564" s="1" t="s">
        <v>28</v>
      </c>
      <c r="H1564" s="1">
        <v>25812</v>
      </c>
      <c r="I1564" s="1">
        <v>62013</v>
      </c>
      <c r="J1564" s="7">
        <v>0.41599999999999998</v>
      </c>
      <c r="K1564" s="1" t="s">
        <v>21</v>
      </c>
      <c r="L1564" s="1" t="s">
        <v>29</v>
      </c>
      <c r="M1564" s="1" t="s">
        <v>29</v>
      </c>
      <c r="N1564" s="1" t="s">
        <v>22</v>
      </c>
    </row>
    <row r="1565" spans="1:14" x14ac:dyDescent="0.25">
      <c r="A1565" s="1">
        <v>1564</v>
      </c>
      <c r="B1565" s="2" t="str">
        <f>HYPERLINK("https://leetcode.com/problems/put-boxes-into-the-warehouse-i/", "Put Boxes Into the Warehouse I")</f>
        <v>Put Boxes Into the Warehouse I</v>
      </c>
      <c r="C1565" s="1">
        <v>344</v>
      </c>
      <c r="D1565" s="1">
        <v>30</v>
      </c>
      <c r="E1565" s="3">
        <f>IF(INDEX(C:C, ROW())+INDEX(D:D, ROW())=0, 0, INDEX(C:C, ROW())/(INDEX(C:C, ROW())+INDEX(D:D, ROW())))</f>
        <v>0.9197860962566845</v>
      </c>
      <c r="F1565" s="1" t="s">
        <v>169</v>
      </c>
      <c r="G1565" s="1" t="s">
        <v>24</v>
      </c>
      <c r="H1565" s="1">
        <v>19199</v>
      </c>
      <c r="I1565" s="1">
        <v>28483</v>
      </c>
      <c r="J1565" s="7">
        <v>0.67400000000000004</v>
      </c>
      <c r="K1565" s="1" t="s">
        <v>29</v>
      </c>
      <c r="L1565" s="1" t="s">
        <v>21</v>
      </c>
      <c r="M1565" s="1" t="s">
        <v>29</v>
      </c>
      <c r="N1565" s="1" t="s">
        <v>22</v>
      </c>
    </row>
    <row r="1566" spans="1:14" x14ac:dyDescent="0.25">
      <c r="A1566" s="1">
        <v>1565</v>
      </c>
      <c r="B1566" s="2" t="str">
        <f>HYPERLINK("https://leetcode.com/problems/unique-orders-and-customers-per-month/", "Unique Orders and Customers Per Month")</f>
        <v>Unique Orders and Customers Per Month</v>
      </c>
      <c r="C1566" s="1">
        <v>82</v>
      </c>
      <c r="D1566" s="1">
        <v>47</v>
      </c>
      <c r="E1566" s="3">
        <f>IF(INDEX(C:C, ROW())+INDEX(D:D, ROW())=0, 0, INDEX(C:C, ROW())/(INDEX(C:C, ROW())+INDEX(D:D, ROW())))</f>
        <v>0.63565891472868219</v>
      </c>
      <c r="F1566" s="1" t="s">
        <v>297</v>
      </c>
      <c r="G1566" s="1" t="s">
        <v>20</v>
      </c>
      <c r="H1566" s="1">
        <v>25821</v>
      </c>
      <c r="I1566" s="1">
        <v>31505</v>
      </c>
      <c r="J1566" s="7">
        <v>0.82</v>
      </c>
      <c r="K1566" s="1" t="s">
        <v>29</v>
      </c>
      <c r="L1566" s="1" t="s">
        <v>29</v>
      </c>
      <c r="M1566" s="1" t="s">
        <v>29</v>
      </c>
      <c r="N1566" s="1" t="s">
        <v>297</v>
      </c>
    </row>
    <row r="1567" spans="1:14" x14ac:dyDescent="0.25">
      <c r="A1567" s="1">
        <v>1566</v>
      </c>
      <c r="B1567" s="2" t="str">
        <f>HYPERLINK("https://leetcode.com/problems/detect-pattern-of-length-m-repeated-k-or-more-times/", "Detect Pattern of Length M Repeated K or More Times")</f>
        <v>Detect Pattern of Length M Repeated K or More Times</v>
      </c>
      <c r="C1567" s="1">
        <v>689</v>
      </c>
      <c r="D1567" s="1">
        <v>147</v>
      </c>
      <c r="E1567" s="3">
        <f>IF(INDEX(C:C, ROW())+INDEX(D:D, ROW())=0, 0, INDEX(C:C, ROW())/(INDEX(C:C, ROW())+INDEX(D:D, ROW())))</f>
        <v>0.82416267942583732</v>
      </c>
      <c r="F1567" s="1" t="s">
        <v>654</v>
      </c>
      <c r="G1567" s="1" t="s">
        <v>20</v>
      </c>
      <c r="H1567" s="1">
        <v>45350</v>
      </c>
      <c r="I1567" s="1">
        <v>103691</v>
      </c>
      <c r="J1567" s="7">
        <v>0.437</v>
      </c>
      <c r="K1567" s="1" t="s">
        <v>21</v>
      </c>
      <c r="L1567" s="1" t="s">
        <v>29</v>
      </c>
      <c r="M1567" s="1" t="s">
        <v>29</v>
      </c>
      <c r="N1567" s="1" t="s">
        <v>22</v>
      </c>
    </row>
    <row r="1568" spans="1:14" x14ac:dyDescent="0.25">
      <c r="A1568" s="1">
        <v>1567</v>
      </c>
      <c r="B1568" s="2" t="str">
        <f>HYPERLINK("https://leetcode.com/problems/maximum-length-of-subarray-with-positive-product/", "Maximum Length of Subarray With Positive Product")</f>
        <v>Maximum Length of Subarray With Positive Product</v>
      </c>
      <c r="C1568" s="1">
        <v>2491</v>
      </c>
      <c r="D1568" s="1">
        <v>80</v>
      </c>
      <c r="E1568" s="3">
        <f>IF(INDEX(C:C, ROW())+INDEX(D:D, ROW())=0, 0, INDEX(C:C, ROW())/(INDEX(C:C, ROW())+INDEX(D:D, ROW())))</f>
        <v>0.96888370283936209</v>
      </c>
      <c r="F1568" s="1" t="s">
        <v>50</v>
      </c>
      <c r="G1568" s="1" t="s">
        <v>24</v>
      </c>
      <c r="H1568" s="1">
        <v>110130</v>
      </c>
      <c r="I1568" s="1">
        <v>246746</v>
      </c>
      <c r="J1568" s="7">
        <v>0.44600000000000001</v>
      </c>
      <c r="K1568" s="1" t="s">
        <v>21</v>
      </c>
      <c r="L1568" s="1" t="s">
        <v>29</v>
      </c>
      <c r="M1568" s="1" t="s">
        <v>29</v>
      </c>
      <c r="N1568" s="1" t="s">
        <v>22</v>
      </c>
    </row>
    <row r="1569" spans="1:14" x14ac:dyDescent="0.25">
      <c r="A1569" s="1">
        <v>1568</v>
      </c>
      <c r="B1569" s="2" t="str">
        <f>HYPERLINK("https://leetcode.com/problems/minimum-number-of-days-to-disconnect-island/", "Minimum Number of Days to Disconnect Island")</f>
        <v>Minimum Number of Days to Disconnect Island</v>
      </c>
      <c r="C1569" s="1">
        <v>1299</v>
      </c>
      <c r="D1569" s="1">
        <v>224</v>
      </c>
      <c r="E1569" s="3">
        <f>IF(INDEX(C:C, ROW())+INDEX(D:D, ROW())=0, 0, INDEX(C:C, ROW())/(INDEX(C:C, ROW())+INDEX(D:D, ROW())))</f>
        <v>0.85292186474064347</v>
      </c>
      <c r="F1569" s="1" t="s">
        <v>639</v>
      </c>
      <c r="G1569" s="1" t="s">
        <v>28</v>
      </c>
      <c r="H1569" s="1">
        <v>98337</v>
      </c>
      <c r="I1569" s="1">
        <v>167309</v>
      </c>
      <c r="J1569" s="7">
        <v>0.58799999999999997</v>
      </c>
      <c r="K1569" s="1" t="s">
        <v>21</v>
      </c>
      <c r="L1569" s="1" t="s">
        <v>21</v>
      </c>
      <c r="M1569" s="1" t="s">
        <v>29</v>
      </c>
      <c r="N1569" s="1" t="s">
        <v>22</v>
      </c>
    </row>
    <row r="1570" spans="1:14" x14ac:dyDescent="0.25">
      <c r="A1570" s="1">
        <v>1569</v>
      </c>
      <c r="B1570" s="2" t="str">
        <f>HYPERLINK("https://leetcode.com/problems/number-of-ways-to-reorder-array-to-get-same-bst/", "Number of Ways to Reorder Array to Get Same BST")</f>
        <v>Number of Ways to Reorder Array to Get Same BST</v>
      </c>
      <c r="C1570" s="1">
        <v>1850</v>
      </c>
      <c r="D1570" s="1">
        <v>210</v>
      </c>
      <c r="E1570" s="3">
        <f>IF(INDEX(C:C, ROW())+INDEX(D:D, ROW())=0, 0, INDEX(C:C, ROW())/(INDEX(C:C, ROW())+INDEX(D:D, ROW())))</f>
        <v>0.89805825242718451</v>
      </c>
      <c r="F1570" s="1" t="s">
        <v>527</v>
      </c>
      <c r="G1570" s="1" t="s">
        <v>28</v>
      </c>
      <c r="H1570" s="1">
        <v>62575</v>
      </c>
      <c r="I1570" s="1">
        <v>115944</v>
      </c>
      <c r="J1570" s="7">
        <v>0.54</v>
      </c>
      <c r="K1570" s="1" t="s">
        <v>21</v>
      </c>
      <c r="L1570" s="1" t="s">
        <v>21</v>
      </c>
      <c r="M1570" s="1" t="s">
        <v>29</v>
      </c>
      <c r="N1570" s="1" t="s">
        <v>22</v>
      </c>
    </row>
    <row r="1571" spans="1:14" x14ac:dyDescent="0.25">
      <c r="A1571" s="1">
        <v>1570</v>
      </c>
      <c r="B1571" s="2" t="str">
        <f>HYPERLINK("https://leetcode.com/problems/dot-product-of-two-sparse-vectors/", "Dot Product of Two Sparse Vectors")</f>
        <v>Dot Product of Two Sparse Vectors</v>
      </c>
      <c r="C1571" s="1">
        <v>1310</v>
      </c>
      <c r="D1571" s="1">
        <v>170</v>
      </c>
      <c r="E1571" s="3">
        <f>IF(INDEX(C:C, ROW())+INDEX(D:D, ROW())=0, 0, INDEX(C:C, ROW())/(INDEX(C:C, ROW())+INDEX(D:D, ROW())))</f>
        <v>0.88513513513513509</v>
      </c>
      <c r="F1571" s="1" t="s">
        <v>636</v>
      </c>
      <c r="G1571" s="1" t="s">
        <v>24</v>
      </c>
      <c r="H1571" s="1">
        <v>403429</v>
      </c>
      <c r="I1571" s="1">
        <v>448715</v>
      </c>
      <c r="J1571" s="7">
        <v>0.89900000000000002</v>
      </c>
      <c r="K1571" s="1" t="s">
        <v>29</v>
      </c>
      <c r="L1571" s="1" t="s">
        <v>21</v>
      </c>
      <c r="M1571" s="1" t="s">
        <v>29</v>
      </c>
      <c r="N1571" s="1" t="s">
        <v>22</v>
      </c>
    </row>
    <row r="1572" spans="1:14" x14ac:dyDescent="0.25">
      <c r="A1572" s="1">
        <v>1571</v>
      </c>
      <c r="B1572" s="2" t="str">
        <f>HYPERLINK("https://leetcode.com/problems/warehouse-manager/", "Warehouse Manager")</f>
        <v>Warehouse Manager</v>
      </c>
      <c r="C1572" s="1">
        <v>164</v>
      </c>
      <c r="D1572" s="1">
        <v>12</v>
      </c>
      <c r="E1572" s="3">
        <f>IF(INDEX(C:C, ROW())+INDEX(D:D, ROW())=0, 0, INDEX(C:C, ROW())/(INDEX(C:C, ROW())+INDEX(D:D, ROW())))</f>
        <v>0.93181818181818177</v>
      </c>
      <c r="F1572" s="1" t="s">
        <v>297</v>
      </c>
      <c r="G1572" s="1" t="s">
        <v>20</v>
      </c>
      <c r="H1572" s="1">
        <v>51464</v>
      </c>
      <c r="I1572" s="1">
        <v>58972</v>
      </c>
      <c r="J1572" s="7">
        <v>0.873</v>
      </c>
      <c r="K1572" s="1" t="s">
        <v>29</v>
      </c>
      <c r="L1572" s="1" t="s">
        <v>21</v>
      </c>
      <c r="M1572" s="1" t="s">
        <v>29</v>
      </c>
      <c r="N1572" s="1" t="s">
        <v>297</v>
      </c>
    </row>
    <row r="1573" spans="1:14" x14ac:dyDescent="0.25">
      <c r="A1573" s="1">
        <v>1572</v>
      </c>
      <c r="B1573" s="2" t="str">
        <f>HYPERLINK("https://leetcode.com/problems/matrix-diagonal-sum/", "Matrix Diagonal Sum")</f>
        <v>Matrix Diagonal Sum</v>
      </c>
      <c r="C1573" s="1">
        <v>3788</v>
      </c>
      <c r="D1573" s="1">
        <v>67</v>
      </c>
      <c r="E1573" s="3">
        <f>IF(INDEX(C:C, ROW())+INDEX(D:D, ROW())=0, 0, INDEX(C:C, ROW())/(INDEX(C:C, ROW())+INDEX(D:D, ROW())))</f>
        <v>0.98261997405966273</v>
      </c>
      <c r="F1573" s="1" t="s">
        <v>266</v>
      </c>
      <c r="G1573" s="1" t="s">
        <v>20</v>
      </c>
      <c r="H1573" s="1">
        <v>506188</v>
      </c>
      <c r="I1573" s="1">
        <v>601549</v>
      </c>
      <c r="J1573" s="7">
        <v>0.84099999999999997</v>
      </c>
      <c r="K1573" s="1" t="s">
        <v>21</v>
      </c>
      <c r="L1573" s="1" t="s">
        <v>21</v>
      </c>
      <c r="M1573" s="1" t="s">
        <v>29</v>
      </c>
      <c r="N1573" s="1" t="s">
        <v>22</v>
      </c>
    </row>
    <row r="1574" spans="1:14" x14ac:dyDescent="0.25">
      <c r="A1574" s="1">
        <v>1573</v>
      </c>
      <c r="B1574" s="2" t="str">
        <f>HYPERLINK("https://leetcode.com/problems/number-of-ways-to-split-a-string/", "Number of Ways to Split a String")</f>
        <v>Number of Ways to Split a String</v>
      </c>
      <c r="C1574" s="1">
        <v>767</v>
      </c>
      <c r="D1574" s="1">
        <v>88</v>
      </c>
      <c r="E1574" s="3">
        <f>IF(INDEX(C:C, ROW())+INDEX(D:D, ROW())=0, 0, INDEX(C:C, ROW())/(INDEX(C:C, ROW())+INDEX(D:D, ROW())))</f>
        <v>0.89707602339181292</v>
      </c>
      <c r="F1574" s="1" t="s">
        <v>228</v>
      </c>
      <c r="G1574" s="1" t="s">
        <v>24</v>
      </c>
      <c r="H1574" s="1">
        <v>35589</v>
      </c>
      <c r="I1574" s="1">
        <v>103185</v>
      </c>
      <c r="J1574" s="7">
        <v>0.34499999999999997</v>
      </c>
      <c r="K1574" s="1" t="s">
        <v>21</v>
      </c>
      <c r="L1574" s="1" t="s">
        <v>29</v>
      </c>
      <c r="M1574" s="1" t="s">
        <v>29</v>
      </c>
      <c r="N1574" s="1" t="s">
        <v>22</v>
      </c>
    </row>
    <row r="1575" spans="1:14" x14ac:dyDescent="0.25">
      <c r="A1575" s="1">
        <v>1574</v>
      </c>
      <c r="B1575" s="2" t="str">
        <f>HYPERLINK("https://leetcode.com/problems/shortest-subarray-to-be-removed-to-make-array-sorted/", "Shortest Subarray to be Removed to Make Array Sorted")</f>
        <v>Shortest Subarray to be Removed to Make Array Sorted</v>
      </c>
      <c r="C1575" s="1">
        <v>2452</v>
      </c>
      <c r="D1575" s="1">
        <v>163</v>
      </c>
      <c r="E1575" s="3">
        <f>IF(INDEX(C:C, ROW())+INDEX(D:D, ROW())=0, 0, INDEX(C:C, ROW())/(INDEX(C:C, ROW())+INDEX(D:D, ROW())))</f>
        <v>0.93766730401529641</v>
      </c>
      <c r="F1575" s="1" t="s">
        <v>437</v>
      </c>
      <c r="G1575" s="1" t="s">
        <v>24</v>
      </c>
      <c r="H1575" s="1">
        <v>126858</v>
      </c>
      <c r="I1575" s="1">
        <v>247323</v>
      </c>
      <c r="J1575" s="7">
        <v>0.51300000000000001</v>
      </c>
      <c r="K1575" s="1" t="s">
        <v>21</v>
      </c>
      <c r="L1575" s="1" t="s">
        <v>21</v>
      </c>
      <c r="M1575" s="1" t="s">
        <v>29</v>
      </c>
      <c r="N1575" s="1" t="s">
        <v>22</v>
      </c>
    </row>
    <row r="1576" spans="1:14" x14ac:dyDescent="0.25">
      <c r="A1576" s="1">
        <v>1575</v>
      </c>
      <c r="B1576" s="2" t="str">
        <f>HYPERLINK("https://leetcode.com/problems/count-all-possible-routes/", "Count All Possible Routes")</f>
        <v>Count All Possible Routes</v>
      </c>
      <c r="C1576" s="1">
        <v>1672</v>
      </c>
      <c r="D1576" s="1">
        <v>60</v>
      </c>
      <c r="E1576" s="3">
        <f>IF(INDEX(C:C, ROW())+INDEX(D:D, ROW())=0, 0, INDEX(C:C, ROW())/(INDEX(C:C, ROW())+INDEX(D:D, ROW())))</f>
        <v>0.96535796766743653</v>
      </c>
      <c r="F1576" s="1" t="s">
        <v>434</v>
      </c>
      <c r="G1576" s="1" t="s">
        <v>28</v>
      </c>
      <c r="H1576" s="1">
        <v>65391</v>
      </c>
      <c r="I1576" s="1">
        <v>100787</v>
      </c>
      <c r="J1576" s="7">
        <v>0.64900000000000002</v>
      </c>
      <c r="K1576" s="1" t="s">
        <v>21</v>
      </c>
      <c r="L1576" s="1" t="s">
        <v>21</v>
      </c>
      <c r="M1576" s="1" t="s">
        <v>29</v>
      </c>
      <c r="N1576" s="1" t="s">
        <v>22</v>
      </c>
    </row>
    <row r="1577" spans="1:14" x14ac:dyDescent="0.25">
      <c r="A1577" s="1">
        <v>1576</v>
      </c>
      <c r="B1577" s="2" t="str">
        <f>HYPERLINK("https://leetcode.com/problems/replace-all-s-to-avoid-consecutive-repeating-characters/", "Replace All ?'s to Avoid Consecutive Repeating Characters")</f>
        <v>Replace All ?'s to Avoid Consecutive Repeating Characters</v>
      </c>
      <c r="C1577" s="1">
        <v>603</v>
      </c>
      <c r="D1577" s="1">
        <v>181</v>
      </c>
      <c r="E1577" s="3">
        <f>IF(INDEX(C:C, ROW())+INDEX(D:D, ROW())=0, 0, INDEX(C:C, ROW())/(INDEX(C:C, ROW())+INDEX(D:D, ROW())))</f>
        <v>0.76913265306122447</v>
      </c>
      <c r="F1577" s="1" t="s">
        <v>146</v>
      </c>
      <c r="G1577" s="1" t="s">
        <v>20</v>
      </c>
      <c r="H1577" s="1">
        <v>73099</v>
      </c>
      <c r="I1577" s="1">
        <v>161601</v>
      </c>
      <c r="J1577" s="7">
        <v>0.45200000000000001</v>
      </c>
      <c r="K1577" s="1" t="s">
        <v>21</v>
      </c>
      <c r="L1577" s="1" t="s">
        <v>29</v>
      </c>
      <c r="M1577" s="1" t="s">
        <v>29</v>
      </c>
      <c r="N1577" s="1" t="s">
        <v>22</v>
      </c>
    </row>
    <row r="1578" spans="1:14" x14ac:dyDescent="0.25">
      <c r="A1578" s="1">
        <v>1577</v>
      </c>
      <c r="B1578" s="2" t="str">
        <f>HYPERLINK("https://leetcode.com/problems/number-of-ways-where-square-of-number-is-equal-to-product-of-two-numbers/", "Number of Ways Where Square of Number Is Equal to Product of Two Numbers")</f>
        <v>Number of Ways Where Square of Number Is Equal to Product of Two Numbers</v>
      </c>
      <c r="C1578" s="1">
        <v>397</v>
      </c>
      <c r="D1578" s="1">
        <v>57</v>
      </c>
      <c r="E1578" s="3">
        <f>IF(INDEX(C:C, ROW())+INDEX(D:D, ROW())=0, 0, INDEX(C:C, ROW())/(INDEX(C:C, ROW())+INDEX(D:D, ROW())))</f>
        <v>0.87444933920704848</v>
      </c>
      <c r="F1578" s="1" t="s">
        <v>985</v>
      </c>
      <c r="G1578" s="1" t="s">
        <v>24</v>
      </c>
      <c r="H1578" s="1">
        <v>26378</v>
      </c>
      <c r="I1578" s="1">
        <v>61082</v>
      </c>
      <c r="J1578" s="7">
        <v>0.432</v>
      </c>
      <c r="K1578" s="1" t="s">
        <v>21</v>
      </c>
      <c r="L1578" s="1" t="s">
        <v>29</v>
      </c>
      <c r="M1578" s="1" t="s">
        <v>29</v>
      </c>
      <c r="N1578" s="1" t="s">
        <v>22</v>
      </c>
    </row>
    <row r="1579" spans="1:14" x14ac:dyDescent="0.25">
      <c r="A1579" s="1">
        <v>1578</v>
      </c>
      <c r="B1579" s="2" t="str">
        <f>HYPERLINK("https://leetcode.com/problems/minimum-time-to-make-rope-colorful/", "Minimum Time to Make Rope Colorful")</f>
        <v>Minimum Time to Make Rope Colorful</v>
      </c>
      <c r="C1579" s="1">
        <v>4332</v>
      </c>
      <c r="D1579" s="1">
        <v>156</v>
      </c>
      <c r="E1579" s="3">
        <f>IF(INDEX(C:C, ROW())+INDEX(D:D, ROW())=0, 0, INDEX(C:C, ROW())/(INDEX(C:C, ROW())+INDEX(D:D, ROW())))</f>
        <v>0.96524064171122992</v>
      </c>
      <c r="F1579" s="1" t="s">
        <v>292</v>
      </c>
      <c r="G1579" s="1" t="s">
        <v>24</v>
      </c>
      <c r="H1579" s="1">
        <v>405762</v>
      </c>
      <c r="I1579" s="1">
        <v>622157</v>
      </c>
      <c r="J1579" s="7">
        <v>0.65200000000000002</v>
      </c>
      <c r="K1579" s="1" t="s">
        <v>21</v>
      </c>
      <c r="L1579" s="1" t="s">
        <v>21</v>
      </c>
      <c r="M1579" s="1" t="s">
        <v>29</v>
      </c>
      <c r="N1579" s="1" t="s">
        <v>22</v>
      </c>
    </row>
    <row r="1580" spans="1:14" x14ac:dyDescent="0.25">
      <c r="A1580" s="1">
        <v>1579</v>
      </c>
      <c r="B1580" s="2" t="str">
        <f>HYPERLINK("https://leetcode.com/problems/remove-max-number-of-edges-to-keep-graph-fully-traversable/", "Remove Max Number of Edges to Keep Graph Fully Traversable")</f>
        <v>Remove Max Number of Edges to Keep Graph Fully Traversable</v>
      </c>
      <c r="C1580" s="1">
        <v>2676</v>
      </c>
      <c r="D1580" s="1">
        <v>46</v>
      </c>
      <c r="E1580" s="3">
        <f>IF(INDEX(C:C, ROW())+INDEX(D:D, ROW())=0, 0, INDEX(C:C, ROW())/(INDEX(C:C, ROW())+INDEX(D:D, ROW())))</f>
        <v>0.98310066127847173</v>
      </c>
      <c r="F1580" s="1" t="s">
        <v>404</v>
      </c>
      <c r="G1580" s="1" t="s">
        <v>28</v>
      </c>
      <c r="H1580" s="1">
        <v>143235</v>
      </c>
      <c r="I1580" s="1">
        <v>203946</v>
      </c>
      <c r="J1580" s="7">
        <v>0.70199999999999996</v>
      </c>
      <c r="K1580" s="1" t="s">
        <v>21</v>
      </c>
      <c r="L1580" s="1" t="s">
        <v>21</v>
      </c>
      <c r="M1580" s="1" t="s">
        <v>29</v>
      </c>
      <c r="N1580" s="1" t="s">
        <v>22</v>
      </c>
    </row>
    <row r="1581" spans="1:14" x14ac:dyDescent="0.25">
      <c r="A1581" s="1">
        <v>1580</v>
      </c>
      <c r="B1581" s="2" t="str">
        <f>HYPERLINK("https://leetcode.com/problems/put-boxes-into-the-warehouse-ii/", "Put Boxes Into the Warehouse II")</f>
        <v>Put Boxes Into the Warehouse II</v>
      </c>
      <c r="C1581" s="1">
        <v>227</v>
      </c>
      <c r="D1581" s="1">
        <v>12</v>
      </c>
      <c r="E1581" s="3">
        <f>IF(INDEX(C:C, ROW())+INDEX(D:D, ROW())=0, 0, INDEX(C:C, ROW())/(INDEX(C:C, ROW())+INDEX(D:D, ROW())))</f>
        <v>0.94979079497907948</v>
      </c>
      <c r="F1581" s="1" t="s">
        <v>169</v>
      </c>
      <c r="G1581" s="1" t="s">
        <v>24</v>
      </c>
      <c r="H1581" s="1">
        <v>10631</v>
      </c>
      <c r="I1581" s="1">
        <v>16158</v>
      </c>
      <c r="J1581" s="7">
        <v>0.65800000000000003</v>
      </c>
      <c r="K1581" s="1" t="s">
        <v>29</v>
      </c>
      <c r="L1581" s="1" t="s">
        <v>21</v>
      </c>
      <c r="M1581" s="1" t="s">
        <v>29</v>
      </c>
      <c r="N1581" s="1" t="s">
        <v>22</v>
      </c>
    </row>
    <row r="1582" spans="1:14" x14ac:dyDescent="0.25">
      <c r="A1582" s="1">
        <v>1581</v>
      </c>
      <c r="B1582" s="2" t="str">
        <f>HYPERLINK("https://leetcode.com/problems/customer-who-visited-but-did-not-make-any-transactions/", "Customer Who Visited but Did Not Make Any Transactions")</f>
        <v>Customer Who Visited but Did Not Make Any Transactions</v>
      </c>
      <c r="C1582" s="1">
        <v>3418</v>
      </c>
      <c r="D1582" s="1">
        <v>449</v>
      </c>
      <c r="E1582" s="3">
        <f>IF(INDEX(C:C, ROW())+INDEX(D:D, ROW())=0, 0, INDEX(C:C, ROW())/(INDEX(C:C, ROW())+INDEX(D:D, ROW())))</f>
        <v>0.88388931988621666</v>
      </c>
      <c r="F1582" s="1" t="s">
        <v>297</v>
      </c>
      <c r="G1582" s="1" t="s">
        <v>20</v>
      </c>
      <c r="H1582" s="1">
        <v>1103690</v>
      </c>
      <c r="I1582" s="1">
        <v>1632744</v>
      </c>
      <c r="J1582" s="7">
        <v>0.67600000000000005</v>
      </c>
      <c r="K1582" s="1" t="s">
        <v>21</v>
      </c>
      <c r="L1582" s="1" t="s">
        <v>21</v>
      </c>
      <c r="M1582" s="1" t="s">
        <v>29</v>
      </c>
      <c r="N1582" s="1" t="s">
        <v>297</v>
      </c>
    </row>
    <row r="1583" spans="1:14" x14ac:dyDescent="0.25">
      <c r="A1583" s="1">
        <v>1582</v>
      </c>
      <c r="B1583" s="2" t="str">
        <f>HYPERLINK("https://leetcode.com/problems/special-positions-in-a-binary-matrix/", "Special Positions in a Binary Matrix")</f>
        <v>Special Positions in a Binary Matrix</v>
      </c>
      <c r="C1583" s="1">
        <v>1513</v>
      </c>
      <c r="D1583" s="1">
        <v>76</v>
      </c>
      <c r="E1583" s="3">
        <f>IF(INDEX(C:C, ROW())+INDEX(D:D, ROW())=0, 0, INDEX(C:C, ROW())/(INDEX(C:C, ROW())+INDEX(D:D, ROW())))</f>
        <v>0.95217117684078034</v>
      </c>
      <c r="F1583" s="1" t="s">
        <v>266</v>
      </c>
      <c r="G1583" s="1" t="s">
        <v>20</v>
      </c>
      <c r="H1583" s="1">
        <v>164830</v>
      </c>
      <c r="I1583" s="1">
        <v>239529</v>
      </c>
      <c r="J1583" s="7">
        <v>0.68799999999999994</v>
      </c>
      <c r="K1583" s="1" t="s">
        <v>21</v>
      </c>
      <c r="L1583" s="1" t="s">
        <v>21</v>
      </c>
      <c r="M1583" s="1" t="s">
        <v>29</v>
      </c>
      <c r="N1583" s="1" t="s">
        <v>22</v>
      </c>
    </row>
    <row r="1584" spans="1:14" x14ac:dyDescent="0.25">
      <c r="A1584" s="1">
        <v>1583</v>
      </c>
      <c r="B1584" s="2" t="str">
        <f>HYPERLINK("https://leetcode.com/problems/count-unhappy-friends/", "Count Unhappy Friends")</f>
        <v>Count Unhappy Friends</v>
      </c>
      <c r="C1584" s="1">
        <v>304</v>
      </c>
      <c r="D1584" s="1">
        <v>887</v>
      </c>
      <c r="E1584" s="3">
        <f>IF(INDEX(C:C, ROW())+INDEX(D:D, ROW())=0, 0, INDEX(C:C, ROW())/(INDEX(C:C, ROW())+INDEX(D:D, ROW())))</f>
        <v>0.25524769101595296</v>
      </c>
      <c r="F1584" s="1" t="s">
        <v>306</v>
      </c>
      <c r="G1584" s="1" t="s">
        <v>24</v>
      </c>
      <c r="H1584" s="1">
        <v>33917</v>
      </c>
      <c r="I1584" s="1">
        <v>54265</v>
      </c>
      <c r="J1584" s="7">
        <v>0.625</v>
      </c>
      <c r="K1584" s="1" t="s">
        <v>21</v>
      </c>
      <c r="L1584" s="1" t="s">
        <v>29</v>
      </c>
      <c r="M1584" s="1" t="s">
        <v>29</v>
      </c>
      <c r="N1584" s="1" t="s">
        <v>22</v>
      </c>
    </row>
    <row r="1585" spans="1:14" x14ac:dyDescent="0.25">
      <c r="A1585" s="1">
        <v>1584</v>
      </c>
      <c r="B1585" s="2" t="str">
        <f>HYPERLINK("https://leetcode.com/problems/min-cost-to-connect-all-points/", "Min Cost to Connect All Points")</f>
        <v>Min Cost to Connect All Points</v>
      </c>
      <c r="C1585" s="1">
        <v>5583</v>
      </c>
      <c r="D1585" s="1">
        <v>144</v>
      </c>
      <c r="E1585" s="3">
        <f>IF(INDEX(C:C, ROW())+INDEX(D:D, ROW())=0, 0, INDEX(C:C, ROW())/(INDEX(C:C, ROW())+INDEX(D:D, ROW())))</f>
        <v>0.97485594552121535</v>
      </c>
      <c r="F1585" s="1" t="s">
        <v>240</v>
      </c>
      <c r="G1585" s="1" t="s">
        <v>24</v>
      </c>
      <c r="H1585" s="1">
        <v>449717</v>
      </c>
      <c r="I1585" s="1">
        <v>639202</v>
      </c>
      <c r="J1585" s="7">
        <v>0.70399999999999996</v>
      </c>
      <c r="K1585" s="1" t="s">
        <v>21</v>
      </c>
      <c r="L1585" s="1" t="s">
        <v>21</v>
      </c>
      <c r="M1585" s="1" t="s">
        <v>29</v>
      </c>
      <c r="N1585" s="1" t="s">
        <v>22</v>
      </c>
    </row>
    <row r="1586" spans="1:14" x14ac:dyDescent="0.25">
      <c r="A1586" s="1">
        <v>1585</v>
      </c>
      <c r="B1586" s="2" t="str">
        <f>HYPERLINK("https://leetcode.com/problems/check-if-string-is-transformable-with-substring-sort-operations/", "Check If String Is Transformable With Substring Sort Operations")</f>
        <v>Check If String Is Transformable With Substring Sort Operations</v>
      </c>
      <c r="C1586" s="1">
        <v>456</v>
      </c>
      <c r="D1586" s="1">
        <v>11</v>
      </c>
      <c r="E1586" s="3">
        <f>IF(INDEX(C:C, ROW())+INDEX(D:D, ROW())=0, 0, INDEX(C:C, ROW())/(INDEX(C:C, ROW())+INDEX(D:D, ROW())))</f>
        <v>0.97644539614561032</v>
      </c>
      <c r="F1586" s="1" t="s">
        <v>771</v>
      </c>
      <c r="G1586" s="1" t="s">
        <v>28</v>
      </c>
      <c r="H1586" s="1">
        <v>12174</v>
      </c>
      <c r="I1586" s="1">
        <v>23816</v>
      </c>
      <c r="J1586" s="7">
        <v>0.51100000000000001</v>
      </c>
      <c r="K1586" s="1" t="s">
        <v>21</v>
      </c>
      <c r="L1586" s="1" t="s">
        <v>29</v>
      </c>
      <c r="M1586" s="1" t="s">
        <v>29</v>
      </c>
      <c r="N1586" s="1" t="s">
        <v>22</v>
      </c>
    </row>
    <row r="1587" spans="1:14" x14ac:dyDescent="0.25">
      <c r="A1587" s="1">
        <v>1586</v>
      </c>
      <c r="B1587" s="2" t="str">
        <f>HYPERLINK("https://leetcode.com/problems/binary-search-tree-iterator-ii/", "Binary Search Tree Iterator II")</f>
        <v>Binary Search Tree Iterator II</v>
      </c>
      <c r="C1587" s="1">
        <v>273</v>
      </c>
      <c r="D1587" s="1">
        <v>52</v>
      </c>
      <c r="E1587" s="3">
        <f>IF(INDEX(C:C, ROW())+INDEX(D:D, ROW())=0, 0, INDEX(C:C, ROW())/(INDEX(C:C, ROW())+INDEX(D:D, ROW())))</f>
        <v>0.84</v>
      </c>
      <c r="F1587" s="1" t="s">
        <v>149</v>
      </c>
      <c r="G1587" s="1" t="s">
        <v>24</v>
      </c>
      <c r="H1587" s="1">
        <v>17151</v>
      </c>
      <c r="I1587" s="1">
        <v>27076</v>
      </c>
      <c r="J1587" s="7">
        <v>0.63300000000000001</v>
      </c>
      <c r="K1587" s="1" t="s">
        <v>29</v>
      </c>
      <c r="L1587" s="1" t="s">
        <v>21</v>
      </c>
      <c r="M1587" s="1" t="s">
        <v>29</v>
      </c>
      <c r="N1587" s="1" t="s">
        <v>22</v>
      </c>
    </row>
    <row r="1588" spans="1:14" x14ac:dyDescent="0.25">
      <c r="A1588" s="1">
        <v>1587</v>
      </c>
      <c r="B1588" s="2" t="str">
        <f>HYPERLINK("https://leetcode.com/problems/bank-account-summary-ii/", "Bank Account Summary II")</f>
        <v>Bank Account Summary II</v>
      </c>
      <c r="C1588" s="1">
        <v>546</v>
      </c>
      <c r="D1588" s="1">
        <v>6</v>
      </c>
      <c r="E1588" s="3">
        <f>IF(INDEX(C:C, ROW())+INDEX(D:D, ROW())=0, 0, INDEX(C:C, ROW())/(INDEX(C:C, ROW())+INDEX(D:D, ROW())))</f>
        <v>0.98913043478260865</v>
      </c>
      <c r="F1588" s="1" t="s">
        <v>297</v>
      </c>
      <c r="G1588" s="1" t="s">
        <v>20</v>
      </c>
      <c r="H1588" s="1">
        <v>163349</v>
      </c>
      <c r="I1588" s="1">
        <v>196831</v>
      </c>
      <c r="J1588" s="7">
        <v>0.83</v>
      </c>
      <c r="K1588" s="1" t="s">
        <v>21</v>
      </c>
      <c r="L1588" s="1" t="s">
        <v>21</v>
      </c>
      <c r="M1588" s="1" t="s">
        <v>29</v>
      </c>
      <c r="N1588" s="1" t="s">
        <v>297</v>
      </c>
    </row>
    <row r="1589" spans="1:14" x14ac:dyDescent="0.25">
      <c r="A1589" s="1">
        <v>1588</v>
      </c>
      <c r="B1589" s="2" t="str">
        <f>HYPERLINK("https://leetcode.com/problems/sum-of-all-odd-length-subarrays/", "Sum of All Odd Length Subarrays")</f>
        <v>Sum of All Odd Length Subarrays</v>
      </c>
      <c r="C1589" s="1">
        <v>3876</v>
      </c>
      <c r="D1589" s="1">
        <v>326</v>
      </c>
      <c r="E1589" s="3">
        <f>IF(INDEX(C:C, ROW())+INDEX(D:D, ROW())=0, 0, INDEX(C:C, ROW())/(INDEX(C:C, ROW())+INDEX(D:D, ROW())))</f>
        <v>0.92241789623988579</v>
      </c>
      <c r="F1589" s="1" t="s">
        <v>317</v>
      </c>
      <c r="G1589" s="1" t="s">
        <v>20</v>
      </c>
      <c r="H1589" s="1">
        <v>251521</v>
      </c>
      <c r="I1589" s="1">
        <v>299730</v>
      </c>
      <c r="J1589" s="7">
        <v>0.83899999999999997</v>
      </c>
      <c r="K1589" s="1" t="s">
        <v>21</v>
      </c>
      <c r="L1589" s="1" t="s">
        <v>21</v>
      </c>
      <c r="M1589" s="1" t="s">
        <v>29</v>
      </c>
      <c r="N1589" s="1" t="s">
        <v>22</v>
      </c>
    </row>
    <row r="1590" spans="1:14" x14ac:dyDescent="0.25">
      <c r="A1590" s="1">
        <v>1589</v>
      </c>
      <c r="B1590" s="2" t="str">
        <f>HYPERLINK("https://leetcode.com/problems/maximum-sum-obtained-of-any-permutation/", "Maximum Sum Obtained of Any Permutation")</f>
        <v>Maximum Sum Obtained of Any Permutation</v>
      </c>
      <c r="C1590" s="1">
        <v>824</v>
      </c>
      <c r="D1590" s="1">
        <v>40</v>
      </c>
      <c r="E1590" s="3">
        <f>IF(INDEX(C:C, ROW())+INDEX(D:D, ROW())=0, 0, INDEX(C:C, ROW())/(INDEX(C:C, ROW())+INDEX(D:D, ROW())))</f>
        <v>0.95370370370370372</v>
      </c>
      <c r="F1590" s="1" t="s">
        <v>755</v>
      </c>
      <c r="G1590" s="1" t="s">
        <v>24</v>
      </c>
      <c r="H1590" s="1">
        <v>28075</v>
      </c>
      <c r="I1590" s="1">
        <v>69562</v>
      </c>
      <c r="J1590" s="7">
        <v>0.40400000000000003</v>
      </c>
      <c r="K1590" s="1" t="s">
        <v>21</v>
      </c>
      <c r="L1590" s="1" t="s">
        <v>29</v>
      </c>
      <c r="M1590" s="1" t="s">
        <v>29</v>
      </c>
      <c r="N1590" s="1" t="s">
        <v>22</v>
      </c>
    </row>
    <row r="1591" spans="1:14" x14ac:dyDescent="0.25">
      <c r="A1591" s="1">
        <v>1590</v>
      </c>
      <c r="B1591" s="2" t="str">
        <f>HYPERLINK("https://leetcode.com/problems/make-sum-divisible-by-p/", "Make Sum Divisible by P")</f>
        <v>Make Sum Divisible by P</v>
      </c>
      <c r="C1591" s="1">
        <v>2856</v>
      </c>
      <c r="D1591" s="1">
        <v>195</v>
      </c>
      <c r="E1591" s="3">
        <f>IF(INDEX(C:C, ROW())+INDEX(D:D, ROW())=0, 0, INDEX(C:C, ROW())/(INDEX(C:C, ROW())+INDEX(D:D, ROW())))</f>
        <v>0.93608652900688294</v>
      </c>
      <c r="F1591" s="1" t="s">
        <v>39</v>
      </c>
      <c r="G1591" s="1" t="s">
        <v>24</v>
      </c>
      <c r="H1591" s="1">
        <v>222107</v>
      </c>
      <c r="I1591" s="1">
        <v>521158</v>
      </c>
      <c r="J1591" s="7">
        <v>0.42599999999999999</v>
      </c>
      <c r="K1591" s="1" t="s">
        <v>21</v>
      </c>
      <c r="L1591" s="1" t="s">
        <v>21</v>
      </c>
      <c r="M1591" s="1" t="s">
        <v>29</v>
      </c>
      <c r="N1591" s="1" t="s">
        <v>22</v>
      </c>
    </row>
    <row r="1592" spans="1:14" x14ac:dyDescent="0.25">
      <c r="A1592" s="1">
        <v>1591</v>
      </c>
      <c r="B1592" s="2" t="str">
        <f>HYPERLINK("https://leetcode.com/problems/strange-printer-ii/", "Strange Printer II")</f>
        <v>Strange Printer II</v>
      </c>
      <c r="C1592" s="1">
        <v>691</v>
      </c>
      <c r="D1592" s="1">
        <v>23</v>
      </c>
      <c r="E1592" s="3">
        <f>IF(INDEX(C:C, ROW())+INDEX(D:D, ROW())=0, 0, INDEX(C:C, ROW())/(INDEX(C:C, ROW())+INDEX(D:D, ROW())))</f>
        <v>0.96778711484593838</v>
      </c>
      <c r="F1592" s="1" t="s">
        <v>588</v>
      </c>
      <c r="G1592" s="1" t="s">
        <v>28</v>
      </c>
      <c r="H1592" s="1">
        <v>16055</v>
      </c>
      <c r="I1592" s="1">
        <v>26474</v>
      </c>
      <c r="J1592" s="7">
        <v>0.60599999999999998</v>
      </c>
      <c r="K1592" s="1" t="s">
        <v>21</v>
      </c>
      <c r="L1592" s="1" t="s">
        <v>29</v>
      </c>
      <c r="M1592" s="1" t="s">
        <v>29</v>
      </c>
      <c r="N1592" s="1" t="s">
        <v>22</v>
      </c>
    </row>
    <row r="1593" spans="1:14" x14ac:dyDescent="0.25">
      <c r="A1593" s="1">
        <v>1592</v>
      </c>
      <c r="B1593" s="2" t="str">
        <f>HYPERLINK("https://leetcode.com/problems/rearrange-spaces-between-words/", "Rearrange Spaces Between Words")</f>
        <v>Rearrange Spaces Between Words</v>
      </c>
      <c r="C1593" s="1">
        <v>491</v>
      </c>
      <c r="D1593" s="1">
        <v>354</v>
      </c>
      <c r="E1593" s="3">
        <f>IF(INDEX(C:C, ROW())+INDEX(D:D, ROW())=0, 0, INDEX(C:C, ROW())/(INDEX(C:C, ROW())+INDEX(D:D, ROW())))</f>
        <v>0.58106508875739649</v>
      </c>
      <c r="F1593" s="1" t="s">
        <v>146</v>
      </c>
      <c r="G1593" s="1" t="s">
        <v>20</v>
      </c>
      <c r="H1593" s="1">
        <v>71816</v>
      </c>
      <c r="I1593" s="1">
        <v>162689</v>
      </c>
      <c r="J1593" s="7">
        <v>0.441</v>
      </c>
      <c r="K1593" s="1" t="s">
        <v>21</v>
      </c>
      <c r="L1593" s="1" t="s">
        <v>29</v>
      </c>
      <c r="M1593" s="1" t="s">
        <v>29</v>
      </c>
      <c r="N1593" s="1" t="s">
        <v>22</v>
      </c>
    </row>
    <row r="1594" spans="1:14" x14ac:dyDescent="0.25">
      <c r="A1594" s="1">
        <v>1593</v>
      </c>
      <c r="B1594" s="2" t="str">
        <f>HYPERLINK("https://leetcode.com/problems/split-a-string-into-the-max-number-of-unique-substrings/", "Split a String Into the Max Number of Unique Substrings")</f>
        <v>Split a String Into the Max Number of Unique Substrings</v>
      </c>
      <c r="C1594" s="1">
        <v>1512</v>
      </c>
      <c r="D1594" s="1">
        <v>73</v>
      </c>
      <c r="E1594" s="3">
        <f>IF(INDEX(C:C, ROW())+INDEX(D:D, ROW())=0, 0, INDEX(C:C, ROW())/(INDEX(C:C, ROW())+INDEX(D:D, ROW())))</f>
        <v>0.95394321766561518</v>
      </c>
      <c r="F1594" s="1" t="s">
        <v>58</v>
      </c>
      <c r="G1594" s="1" t="s">
        <v>24</v>
      </c>
      <c r="H1594" s="1">
        <v>148688</v>
      </c>
      <c r="I1594" s="1">
        <v>216763</v>
      </c>
      <c r="J1594" s="7">
        <v>0.68600000000000005</v>
      </c>
      <c r="K1594" s="1" t="s">
        <v>21</v>
      </c>
      <c r="L1594" s="1" t="s">
        <v>21</v>
      </c>
      <c r="M1594" s="1" t="s">
        <v>29</v>
      </c>
      <c r="N1594" s="1" t="s">
        <v>22</v>
      </c>
    </row>
    <row r="1595" spans="1:14" x14ac:dyDescent="0.25">
      <c r="A1595" s="1">
        <v>1594</v>
      </c>
      <c r="B1595" s="2" t="str">
        <f>HYPERLINK("https://leetcode.com/problems/maximum-non-negative-product-in-a-matrix/", "Maximum Non Negative Product in a Matrix")</f>
        <v>Maximum Non Negative Product in a Matrix</v>
      </c>
      <c r="C1595" s="1">
        <v>937</v>
      </c>
      <c r="D1595" s="1">
        <v>54</v>
      </c>
      <c r="E1595" s="3">
        <f>IF(INDEX(C:C, ROW())+INDEX(D:D, ROW())=0, 0, INDEX(C:C, ROW())/(INDEX(C:C, ROW())+INDEX(D:D, ROW())))</f>
        <v>0.9455095862764884</v>
      </c>
      <c r="F1595" s="1" t="s">
        <v>94</v>
      </c>
      <c r="G1595" s="1" t="s">
        <v>24</v>
      </c>
      <c r="H1595" s="1">
        <v>31983</v>
      </c>
      <c r="I1595" s="1">
        <v>89506</v>
      </c>
      <c r="J1595" s="7">
        <v>0.35699999999999998</v>
      </c>
      <c r="K1595" s="1" t="s">
        <v>21</v>
      </c>
      <c r="L1595" s="1" t="s">
        <v>29</v>
      </c>
      <c r="M1595" s="1" t="s">
        <v>29</v>
      </c>
      <c r="N1595" s="1" t="s">
        <v>22</v>
      </c>
    </row>
    <row r="1596" spans="1:14" x14ac:dyDescent="0.25">
      <c r="A1596" s="1">
        <v>1595</v>
      </c>
      <c r="B1596" s="2" t="str">
        <f>HYPERLINK("https://leetcode.com/problems/minimum-cost-to-connect-two-groups-of-points/", "Minimum Cost to Connect Two Groups of Points")</f>
        <v>Minimum Cost to Connect Two Groups of Points</v>
      </c>
      <c r="C1596" s="1">
        <v>493</v>
      </c>
      <c r="D1596" s="1">
        <v>16</v>
      </c>
      <c r="E1596" s="3">
        <f>IF(INDEX(C:C, ROW())+INDEX(D:D, ROW())=0, 0, INDEX(C:C, ROW())/(INDEX(C:C, ROW())+INDEX(D:D, ROW())))</f>
        <v>0.96856581532416508</v>
      </c>
      <c r="F1596" s="1" t="s">
        <v>740</v>
      </c>
      <c r="G1596" s="1" t="s">
        <v>28</v>
      </c>
      <c r="H1596" s="1">
        <v>11892</v>
      </c>
      <c r="I1596" s="1">
        <v>23998</v>
      </c>
      <c r="J1596" s="7">
        <v>0.496</v>
      </c>
      <c r="K1596" s="1" t="s">
        <v>21</v>
      </c>
      <c r="L1596" s="1" t="s">
        <v>29</v>
      </c>
      <c r="M1596" s="1" t="s">
        <v>29</v>
      </c>
      <c r="N1596" s="1" t="s">
        <v>22</v>
      </c>
    </row>
    <row r="1597" spans="1:14" x14ac:dyDescent="0.25">
      <c r="A1597" s="1">
        <v>1596</v>
      </c>
      <c r="B1597" s="2" t="str">
        <f>HYPERLINK("https://leetcode.com/problems/the-most-frequently-ordered-products-for-each-customer/", "The Most Frequently Ordered Products for Each Customer")</f>
        <v>The Most Frequently Ordered Products for Each Customer</v>
      </c>
      <c r="C1597" s="1">
        <v>262</v>
      </c>
      <c r="D1597" s="1">
        <v>17</v>
      </c>
      <c r="E1597" s="3">
        <f>IF(INDEX(C:C, ROW())+INDEX(D:D, ROW())=0, 0, INDEX(C:C, ROW())/(INDEX(C:C, ROW())+INDEX(D:D, ROW())))</f>
        <v>0.93906810035842292</v>
      </c>
      <c r="F1597" s="1" t="s">
        <v>297</v>
      </c>
      <c r="G1597" s="1" t="s">
        <v>24</v>
      </c>
      <c r="H1597" s="1">
        <v>45256</v>
      </c>
      <c r="I1597" s="1">
        <v>58246</v>
      </c>
      <c r="J1597" s="7">
        <v>0.77700000000000002</v>
      </c>
      <c r="K1597" s="1" t="s">
        <v>29</v>
      </c>
      <c r="L1597" s="1" t="s">
        <v>29</v>
      </c>
      <c r="M1597" s="1" t="s">
        <v>29</v>
      </c>
      <c r="N1597" s="1" t="s">
        <v>297</v>
      </c>
    </row>
    <row r="1598" spans="1:14" x14ac:dyDescent="0.25">
      <c r="A1598" s="1">
        <v>1597</v>
      </c>
      <c r="B1598" s="2" t="str">
        <f>HYPERLINK("https://leetcode.com/problems/build-binary-expression-tree-from-infix-expression/", "Build Binary Expression Tree From Infix Expression")</f>
        <v>Build Binary Expression Tree From Infix Expression</v>
      </c>
      <c r="C1598" s="1">
        <v>271</v>
      </c>
      <c r="D1598" s="1">
        <v>49</v>
      </c>
      <c r="E1598" s="3">
        <f>IF(INDEX(C:C, ROW())+INDEX(D:D, ROW())=0, 0, INDEX(C:C, ROW())/(INDEX(C:C, ROW())+INDEX(D:D, ROW())))</f>
        <v>0.84687500000000004</v>
      </c>
      <c r="F1598" s="1" t="s">
        <v>436</v>
      </c>
      <c r="G1598" s="1" t="s">
        <v>28</v>
      </c>
      <c r="H1598" s="1">
        <v>14729</v>
      </c>
      <c r="I1598" s="1">
        <v>23460</v>
      </c>
      <c r="J1598" s="7">
        <v>0.628</v>
      </c>
      <c r="K1598" s="1" t="s">
        <v>29</v>
      </c>
      <c r="L1598" s="1" t="s">
        <v>29</v>
      </c>
      <c r="M1598" s="1" t="s">
        <v>29</v>
      </c>
      <c r="N1598" s="1" t="s">
        <v>22</v>
      </c>
    </row>
    <row r="1599" spans="1:14" x14ac:dyDescent="0.25">
      <c r="A1599" s="1">
        <v>1598</v>
      </c>
      <c r="B1599" s="2" t="str">
        <f>HYPERLINK("https://leetcode.com/problems/crawler-log-folder/", "Crawler Log Folder")</f>
        <v>Crawler Log Folder</v>
      </c>
      <c r="C1599" s="1">
        <v>1542</v>
      </c>
      <c r="D1599" s="1">
        <v>99</v>
      </c>
      <c r="E1599" s="3">
        <f>IF(INDEX(C:C, ROW())+INDEX(D:D, ROW())=0, 0, INDEX(C:C, ROW())/(INDEX(C:C, ROW())+INDEX(D:D, ROW())))</f>
        <v>0.93967093235831811</v>
      </c>
      <c r="F1599" s="1" t="s">
        <v>577</v>
      </c>
      <c r="G1599" s="1" t="s">
        <v>20</v>
      </c>
      <c r="H1599" s="1">
        <v>287462</v>
      </c>
      <c r="I1599" s="1">
        <v>401345</v>
      </c>
      <c r="J1599" s="7">
        <v>0.71599999999999997</v>
      </c>
      <c r="K1599" s="1" t="s">
        <v>21</v>
      </c>
      <c r="L1599" s="1" t="s">
        <v>21</v>
      </c>
      <c r="M1599" s="1" t="s">
        <v>29</v>
      </c>
      <c r="N1599" s="1" t="s">
        <v>22</v>
      </c>
    </row>
    <row r="1600" spans="1:14" x14ac:dyDescent="0.25">
      <c r="A1600" s="1">
        <v>1599</v>
      </c>
      <c r="B1600" s="2" t="str">
        <f>HYPERLINK("https://leetcode.com/problems/maximum-profit-of-operating-a-centennial-wheel/", "Maximum Profit of Operating a Centennial Wheel")</f>
        <v>Maximum Profit of Operating a Centennial Wheel</v>
      </c>
      <c r="C1600" s="1">
        <v>111</v>
      </c>
      <c r="D1600" s="1">
        <v>254</v>
      </c>
      <c r="E1600" s="3">
        <f>IF(INDEX(C:C, ROW())+INDEX(D:D, ROW())=0, 0, INDEX(C:C, ROW())/(INDEX(C:C, ROW())+INDEX(D:D, ROW())))</f>
        <v>0.30410958904109592</v>
      </c>
      <c r="F1600" s="1" t="s">
        <v>306</v>
      </c>
      <c r="G1600" s="1" t="s">
        <v>24</v>
      </c>
      <c r="H1600" s="1">
        <v>15071</v>
      </c>
      <c r="I1600" s="1">
        <v>33844</v>
      </c>
      <c r="J1600" s="7">
        <v>0.44500000000000001</v>
      </c>
      <c r="K1600" s="1" t="s">
        <v>21</v>
      </c>
      <c r="L1600" s="1" t="s">
        <v>29</v>
      </c>
      <c r="M1600" s="1" t="s">
        <v>29</v>
      </c>
      <c r="N1600" s="1" t="s">
        <v>22</v>
      </c>
    </row>
    <row r="1601" spans="1:14" x14ac:dyDescent="0.25">
      <c r="A1601" s="1">
        <v>1600</v>
      </c>
      <c r="B1601" s="2" t="str">
        <f>HYPERLINK("https://leetcode.com/problems/throne-inheritance/", "Throne Inheritance")</f>
        <v>Throne Inheritance</v>
      </c>
      <c r="C1601" s="1">
        <v>319</v>
      </c>
      <c r="D1601" s="1">
        <v>339</v>
      </c>
      <c r="E1601" s="3">
        <f>IF(INDEX(C:C, ROW())+INDEX(D:D, ROW())=0, 0, INDEX(C:C, ROW())/(INDEX(C:C, ROW())+INDEX(D:D, ROW())))</f>
        <v>0.48480243161094227</v>
      </c>
      <c r="F1601" s="1" t="s">
        <v>1036</v>
      </c>
      <c r="G1601" s="1" t="s">
        <v>24</v>
      </c>
      <c r="H1601" s="1">
        <v>27286</v>
      </c>
      <c r="I1601" s="1">
        <v>40827</v>
      </c>
      <c r="J1601" s="7">
        <v>0.66800000000000004</v>
      </c>
      <c r="K1601" s="1" t="s">
        <v>21</v>
      </c>
      <c r="L1601" s="1" t="s">
        <v>29</v>
      </c>
      <c r="M1601" s="1" t="s">
        <v>29</v>
      </c>
      <c r="N1601" s="1" t="s">
        <v>22</v>
      </c>
    </row>
    <row r="1602" spans="1:14" x14ac:dyDescent="0.25">
      <c r="A1602" s="1">
        <v>1601</v>
      </c>
      <c r="B1602" s="2" t="str">
        <f>HYPERLINK("https://leetcode.com/problems/maximum-number-of-achievable-transfer-requests/", "Maximum Number of Achievable Transfer Requests")</f>
        <v>Maximum Number of Achievable Transfer Requests</v>
      </c>
      <c r="C1602" s="1">
        <v>1486</v>
      </c>
      <c r="D1602" s="1">
        <v>74</v>
      </c>
      <c r="E1602" s="3">
        <f>IF(INDEX(C:C, ROW())+INDEX(D:D, ROW())=0, 0, INDEX(C:C, ROW())/(INDEX(C:C, ROW())+INDEX(D:D, ROW())))</f>
        <v>0.95256410256410251</v>
      </c>
      <c r="F1602" s="1" t="s">
        <v>594</v>
      </c>
      <c r="G1602" s="1" t="s">
        <v>28</v>
      </c>
      <c r="H1602" s="1">
        <v>63536</v>
      </c>
      <c r="I1602" s="1">
        <v>98331</v>
      </c>
      <c r="J1602" s="7">
        <v>0.64600000000000002</v>
      </c>
      <c r="K1602" s="1" t="s">
        <v>21</v>
      </c>
      <c r="L1602" s="1" t="s">
        <v>21</v>
      </c>
      <c r="M1602" s="1" t="s">
        <v>29</v>
      </c>
      <c r="N1602" s="1" t="s">
        <v>22</v>
      </c>
    </row>
    <row r="1603" spans="1:14" x14ac:dyDescent="0.25">
      <c r="A1603" s="1">
        <v>1602</v>
      </c>
      <c r="B1603" s="2" t="str">
        <f>HYPERLINK("https://leetcode.com/problems/find-nearest-right-node-in-binary-tree/", "Find Nearest Right Node in Binary Tree")</f>
        <v>Find Nearest Right Node in Binary Tree</v>
      </c>
      <c r="C1603" s="1">
        <v>333</v>
      </c>
      <c r="D1603" s="1">
        <v>10</v>
      </c>
      <c r="E1603" s="3">
        <f>IF(INDEX(C:C, ROW())+INDEX(D:D, ROW())=0, 0, INDEX(C:C, ROW())/(INDEX(C:C, ROW())+INDEX(D:D, ROW())))</f>
        <v>0.9708454810495627</v>
      </c>
      <c r="F1603" s="1" t="s">
        <v>79</v>
      </c>
      <c r="G1603" s="1" t="s">
        <v>24</v>
      </c>
      <c r="H1603" s="1">
        <v>24965</v>
      </c>
      <c r="I1603" s="1">
        <v>33252</v>
      </c>
      <c r="J1603" s="7">
        <v>0.751</v>
      </c>
      <c r="K1603" s="1" t="s">
        <v>29</v>
      </c>
      <c r="L1603" s="1" t="s">
        <v>21</v>
      </c>
      <c r="M1603" s="1" t="s">
        <v>21</v>
      </c>
      <c r="N1603" s="1" t="s">
        <v>22</v>
      </c>
    </row>
    <row r="1604" spans="1:14" x14ac:dyDescent="0.25">
      <c r="A1604" s="1">
        <v>1603</v>
      </c>
      <c r="B1604" s="2" t="str">
        <f>HYPERLINK("https://leetcode.com/problems/design-parking-system/", "Design Parking System")</f>
        <v>Design Parking System</v>
      </c>
      <c r="C1604" s="1">
        <v>2055</v>
      </c>
      <c r="D1604" s="1">
        <v>457</v>
      </c>
      <c r="E1604" s="3">
        <f>IF(INDEX(C:C, ROW())+INDEX(D:D, ROW())=0, 0, INDEX(C:C, ROW())/(INDEX(C:C, ROW())+INDEX(D:D, ROW())))</f>
        <v>0.81807324840764328</v>
      </c>
      <c r="F1604" s="1" t="s">
        <v>496</v>
      </c>
      <c r="G1604" s="1" t="s">
        <v>20</v>
      </c>
      <c r="H1604" s="1">
        <v>350555</v>
      </c>
      <c r="I1604" s="1">
        <v>402255</v>
      </c>
      <c r="J1604" s="7">
        <v>0.871</v>
      </c>
      <c r="K1604" s="1" t="s">
        <v>21</v>
      </c>
      <c r="L1604" s="1" t="s">
        <v>21</v>
      </c>
      <c r="M1604" s="1" t="s">
        <v>29</v>
      </c>
      <c r="N1604" s="1" t="s">
        <v>22</v>
      </c>
    </row>
    <row r="1605" spans="1:14" x14ac:dyDescent="0.25">
      <c r="A1605" s="1">
        <v>1604</v>
      </c>
      <c r="B1605" s="2" t="str">
        <f>HYPERLINK("https://leetcode.com/problems/alert-using-same-key-card-three-or-more-times-in-a-one-hour-period/", "Alert Using Same Key-Card Three or More Times in a One Hour Period")</f>
        <v>Alert Using Same Key-Card Three or More Times in a One Hour Period</v>
      </c>
      <c r="C1605" s="1">
        <v>338</v>
      </c>
      <c r="D1605" s="1">
        <v>440</v>
      </c>
      <c r="E1605" s="3">
        <f>IF(INDEX(C:C, ROW())+INDEX(D:D, ROW())=0, 0, INDEX(C:C, ROW())/(INDEX(C:C, ROW())+INDEX(D:D, ROW())))</f>
        <v>0.43444730077120824</v>
      </c>
      <c r="F1605" s="1" t="s">
        <v>49</v>
      </c>
      <c r="G1605" s="1" t="s">
        <v>24</v>
      </c>
      <c r="H1605" s="1">
        <v>48341</v>
      </c>
      <c r="I1605" s="1">
        <v>104773</v>
      </c>
      <c r="J1605" s="7">
        <v>0.46100000000000002</v>
      </c>
      <c r="K1605" s="1" t="s">
        <v>21</v>
      </c>
      <c r="L1605" s="1" t="s">
        <v>29</v>
      </c>
      <c r="M1605" s="1" t="s">
        <v>29</v>
      </c>
      <c r="N1605" s="1" t="s">
        <v>22</v>
      </c>
    </row>
    <row r="1606" spans="1:14" x14ac:dyDescent="0.25">
      <c r="A1606" s="1">
        <v>1605</v>
      </c>
      <c r="B1606" s="2" t="str">
        <f>HYPERLINK("https://leetcode.com/problems/find-valid-matrix-given-row-and-column-sums/", "Find Valid Matrix Given Row and Column Sums")</f>
        <v>Find Valid Matrix Given Row and Column Sums</v>
      </c>
      <c r="C1606" s="1">
        <v>2196</v>
      </c>
      <c r="D1606" s="1">
        <v>98</v>
      </c>
      <c r="E1606" s="3">
        <f>IF(INDEX(C:C, ROW())+INDEX(D:D, ROW())=0, 0, INDEX(C:C, ROW())/(INDEX(C:C, ROW())+INDEX(D:D, ROW())))</f>
        <v>0.95727986050566694</v>
      </c>
      <c r="F1606" s="1" t="s">
        <v>405</v>
      </c>
      <c r="G1606" s="1" t="s">
        <v>24</v>
      </c>
      <c r="H1606" s="1">
        <v>160559</v>
      </c>
      <c r="I1606" s="1">
        <v>194168</v>
      </c>
      <c r="J1606" s="7">
        <v>0.82699999999999996</v>
      </c>
      <c r="K1606" s="1" t="s">
        <v>21</v>
      </c>
      <c r="L1606" s="1" t="s">
        <v>21</v>
      </c>
      <c r="M1606" s="1" t="s">
        <v>29</v>
      </c>
      <c r="N1606" s="1" t="s">
        <v>22</v>
      </c>
    </row>
    <row r="1607" spans="1:14" x14ac:dyDescent="0.25">
      <c r="A1607" s="1">
        <v>1606</v>
      </c>
      <c r="B1607" s="2" t="str">
        <f>HYPERLINK("https://leetcode.com/problems/find-servers-that-handled-most-number-of-requests/", "Find Servers That Handled Most Number of Requests")</f>
        <v>Find Servers That Handled Most Number of Requests</v>
      </c>
      <c r="C1607" s="1">
        <v>671</v>
      </c>
      <c r="D1607" s="1">
        <v>30</v>
      </c>
      <c r="E1607" s="3">
        <f>IF(INDEX(C:C, ROW())+INDEX(D:D, ROW())=0, 0, INDEX(C:C, ROW())/(INDEX(C:C, ROW())+INDEX(D:D, ROW())))</f>
        <v>0.95720399429386593</v>
      </c>
      <c r="F1607" s="1" t="s">
        <v>813</v>
      </c>
      <c r="G1607" s="1" t="s">
        <v>28</v>
      </c>
      <c r="H1607" s="1">
        <v>28162</v>
      </c>
      <c r="I1607" s="1">
        <v>62291</v>
      </c>
      <c r="J1607" s="7">
        <v>0.45200000000000001</v>
      </c>
      <c r="K1607" s="1" t="s">
        <v>21</v>
      </c>
      <c r="L1607" s="1" t="s">
        <v>21</v>
      </c>
      <c r="M1607" s="1" t="s">
        <v>29</v>
      </c>
      <c r="N1607" s="1" t="s">
        <v>22</v>
      </c>
    </row>
    <row r="1608" spans="1:14" x14ac:dyDescent="0.25">
      <c r="A1608" s="1">
        <v>1607</v>
      </c>
      <c r="B1608" s="2" t="str">
        <f>HYPERLINK("https://leetcode.com/problems/sellers-with-no-sales/", "Sellers With No Sales")</f>
        <v>Sellers With No Sales</v>
      </c>
      <c r="C1608" s="1">
        <v>147</v>
      </c>
      <c r="D1608" s="1">
        <v>14</v>
      </c>
      <c r="E1608" s="3">
        <f>IF(INDEX(C:C, ROW())+INDEX(D:D, ROW())=0, 0, INDEX(C:C, ROW())/(INDEX(C:C, ROW())+INDEX(D:D, ROW())))</f>
        <v>0.91304347826086951</v>
      </c>
      <c r="F1608" s="1" t="s">
        <v>297</v>
      </c>
      <c r="G1608" s="1" t="s">
        <v>20</v>
      </c>
      <c r="H1608" s="1">
        <v>45094</v>
      </c>
      <c r="I1608" s="1">
        <v>83063</v>
      </c>
      <c r="J1608" s="7">
        <v>0.54300000000000004</v>
      </c>
      <c r="K1608" s="1" t="s">
        <v>29</v>
      </c>
      <c r="L1608" s="1" t="s">
        <v>21</v>
      </c>
      <c r="M1608" s="1" t="s">
        <v>29</v>
      </c>
      <c r="N1608" s="1" t="s">
        <v>297</v>
      </c>
    </row>
    <row r="1609" spans="1:14" x14ac:dyDescent="0.25">
      <c r="A1609" s="1">
        <v>1608</v>
      </c>
      <c r="B1609" s="2" t="str">
        <f>HYPERLINK("https://leetcode.com/problems/special-array-with-x-elements-greater-than-or-equal-x/", "Special Array With X Elements Greater Than or Equal X")</f>
        <v>Special Array With X Elements Greater Than or Equal X</v>
      </c>
      <c r="C1609" s="1">
        <v>2336</v>
      </c>
      <c r="D1609" s="1">
        <v>467</v>
      </c>
      <c r="E1609" s="3">
        <f>IF(INDEX(C:C, ROW())+INDEX(D:D, ROW())=0, 0, INDEX(C:C, ROW())/(INDEX(C:C, ROW())+INDEX(D:D, ROW())))</f>
        <v>0.83339279343560468</v>
      </c>
      <c r="F1609" s="1" t="s">
        <v>367</v>
      </c>
      <c r="G1609" s="1" t="s">
        <v>20</v>
      </c>
      <c r="H1609" s="1">
        <v>231622</v>
      </c>
      <c r="I1609" s="1">
        <v>346866</v>
      </c>
      <c r="J1609" s="7">
        <v>0.66800000000000004</v>
      </c>
      <c r="K1609" s="1" t="s">
        <v>21</v>
      </c>
      <c r="L1609" s="1" t="s">
        <v>21</v>
      </c>
      <c r="M1609" s="1" t="s">
        <v>29</v>
      </c>
      <c r="N1609" s="1" t="s">
        <v>22</v>
      </c>
    </row>
    <row r="1610" spans="1:14" x14ac:dyDescent="0.25">
      <c r="A1610" s="1">
        <v>1609</v>
      </c>
      <c r="B1610" s="2" t="str">
        <f>HYPERLINK("https://leetcode.com/problems/even-odd-tree/", "Even Odd Tree")</f>
        <v>Even Odd Tree</v>
      </c>
      <c r="C1610" s="1">
        <v>1879</v>
      </c>
      <c r="D1610" s="1">
        <v>102</v>
      </c>
      <c r="E1610" s="3">
        <f>IF(INDEX(C:C, ROW())+INDEX(D:D, ROW())=0, 0, INDEX(C:C, ROW())/(INDEX(C:C, ROW())+INDEX(D:D, ROW())))</f>
        <v>0.94851085310449268</v>
      </c>
      <c r="F1610" s="1" t="s">
        <v>79</v>
      </c>
      <c r="G1610" s="1" t="s">
        <v>24</v>
      </c>
      <c r="H1610" s="1">
        <v>192621</v>
      </c>
      <c r="I1610" s="1">
        <v>287376</v>
      </c>
      <c r="J1610" s="7">
        <v>0.67</v>
      </c>
      <c r="K1610" s="1" t="s">
        <v>21</v>
      </c>
      <c r="L1610" s="1" t="s">
        <v>21</v>
      </c>
      <c r="M1610" s="1" t="s">
        <v>29</v>
      </c>
      <c r="N1610" s="1" t="s">
        <v>22</v>
      </c>
    </row>
    <row r="1611" spans="1:14" x14ac:dyDescent="0.25">
      <c r="A1611" s="1">
        <v>1610</v>
      </c>
      <c r="B1611" s="2" t="str">
        <f>HYPERLINK("https://leetcode.com/problems/maximum-number-of-visible-points/", "Maximum Number of Visible Points")</f>
        <v>Maximum Number of Visible Points</v>
      </c>
      <c r="C1611" s="1">
        <v>625</v>
      </c>
      <c r="D1611" s="1">
        <v>767</v>
      </c>
      <c r="E1611" s="3">
        <f>IF(INDEX(C:C, ROW())+INDEX(D:D, ROW())=0, 0, INDEX(C:C, ROW())/(INDEX(C:C, ROW())+INDEX(D:D, ROW())))</f>
        <v>0.4489942528735632</v>
      </c>
      <c r="F1611" s="1" t="s">
        <v>837</v>
      </c>
      <c r="G1611" s="1" t="s">
        <v>28</v>
      </c>
      <c r="H1611" s="1">
        <v>52214</v>
      </c>
      <c r="I1611" s="1">
        <v>137493</v>
      </c>
      <c r="J1611" s="7">
        <v>0.38</v>
      </c>
      <c r="K1611" s="1" t="s">
        <v>21</v>
      </c>
      <c r="L1611" s="1" t="s">
        <v>29</v>
      </c>
      <c r="M1611" s="1" t="s">
        <v>29</v>
      </c>
      <c r="N1611" s="1" t="s">
        <v>22</v>
      </c>
    </row>
    <row r="1612" spans="1:14" x14ac:dyDescent="0.25">
      <c r="A1612" s="1">
        <v>1611</v>
      </c>
      <c r="B1612" s="2" t="str">
        <f>HYPERLINK("https://leetcode.com/problems/minimum-one-bit-operations-to-make-integers-zero/", "Minimum One Bit Operations to Make Integers Zero")</f>
        <v>Minimum One Bit Operations to Make Integers Zero</v>
      </c>
      <c r="C1612" s="1">
        <v>1206</v>
      </c>
      <c r="D1612" s="1">
        <v>1202</v>
      </c>
      <c r="E1612" s="3">
        <f>IF(INDEX(C:C, ROW())+INDEX(D:D, ROW())=0, 0, INDEX(C:C, ROW())/(INDEX(C:C, ROW())+INDEX(D:D, ROW())))</f>
        <v>0.50083056478405319</v>
      </c>
      <c r="F1612" s="1" t="s">
        <v>653</v>
      </c>
      <c r="G1612" s="1" t="s">
        <v>28</v>
      </c>
      <c r="H1612" s="1">
        <v>120016</v>
      </c>
      <c r="I1612" s="1">
        <v>152982</v>
      </c>
      <c r="J1612" s="7">
        <v>0.78500000000000003</v>
      </c>
      <c r="K1612" s="1" t="s">
        <v>21</v>
      </c>
      <c r="L1612" s="1" t="s">
        <v>21</v>
      </c>
      <c r="M1612" s="1" t="s">
        <v>29</v>
      </c>
      <c r="N1612" s="1" t="s">
        <v>22</v>
      </c>
    </row>
    <row r="1613" spans="1:14" x14ac:dyDescent="0.25">
      <c r="A1613" s="1">
        <v>1612</v>
      </c>
      <c r="B1613" s="2" t="str">
        <f>HYPERLINK("https://leetcode.com/problems/check-if-two-expression-trees-are-equivalent/", "Check If Two Expression Trees are Equivalent")</f>
        <v>Check If Two Expression Trees are Equivalent</v>
      </c>
      <c r="C1613" s="1">
        <v>146</v>
      </c>
      <c r="D1613" s="1">
        <v>24</v>
      </c>
      <c r="E1613" s="3">
        <f>IF(INDEX(C:C, ROW())+INDEX(D:D, ROW())=0, 0, INDEX(C:C, ROW())/(INDEX(C:C, ROW())+INDEX(D:D, ROW())))</f>
        <v>0.85882352941176465</v>
      </c>
      <c r="F1613" s="1" t="s">
        <v>1142</v>
      </c>
      <c r="G1613" s="1" t="s">
        <v>24</v>
      </c>
      <c r="H1613" s="1">
        <v>8607</v>
      </c>
      <c r="I1613" s="1">
        <v>11997</v>
      </c>
      <c r="J1613" s="7">
        <v>0.71699999999999997</v>
      </c>
      <c r="K1613" s="1" t="s">
        <v>29</v>
      </c>
      <c r="L1613" s="1" t="s">
        <v>29</v>
      </c>
      <c r="M1613" s="1" t="s">
        <v>29</v>
      </c>
      <c r="N1613" s="1" t="s">
        <v>22</v>
      </c>
    </row>
    <row r="1614" spans="1:14" x14ac:dyDescent="0.25">
      <c r="A1614" s="1">
        <v>1613</v>
      </c>
      <c r="B1614" s="2" t="str">
        <f>HYPERLINK("https://leetcode.com/problems/find-the-missing-ids/", "Find the Missing IDs")</f>
        <v>Find the Missing IDs</v>
      </c>
      <c r="C1614" s="1">
        <v>238</v>
      </c>
      <c r="D1614" s="1">
        <v>31</v>
      </c>
      <c r="E1614" s="3">
        <f>IF(INDEX(C:C, ROW())+INDEX(D:D, ROW())=0, 0, INDEX(C:C, ROW())/(INDEX(C:C, ROW())+INDEX(D:D, ROW())))</f>
        <v>0.88475836431226762</v>
      </c>
      <c r="F1614" s="1" t="s">
        <v>297</v>
      </c>
      <c r="G1614" s="1" t="s">
        <v>24</v>
      </c>
      <c r="H1614" s="1">
        <v>23081</v>
      </c>
      <c r="I1614" s="1">
        <v>31653</v>
      </c>
      <c r="J1614" s="7">
        <v>0.72899999999999998</v>
      </c>
      <c r="K1614" s="1" t="s">
        <v>29</v>
      </c>
      <c r="L1614" s="1" t="s">
        <v>29</v>
      </c>
      <c r="M1614" s="1" t="s">
        <v>29</v>
      </c>
      <c r="N1614" s="1" t="s">
        <v>297</v>
      </c>
    </row>
    <row r="1615" spans="1:14" x14ac:dyDescent="0.25">
      <c r="A1615" s="1">
        <v>1614</v>
      </c>
      <c r="B1615" s="2" t="str">
        <f>HYPERLINK("https://leetcode.com/problems/maximum-nesting-depth-of-the-parentheses/", "Maximum Nesting Depth of the Parentheses")</f>
        <v>Maximum Nesting Depth of the Parentheses</v>
      </c>
      <c r="C1615" s="1">
        <v>2809</v>
      </c>
      <c r="D1615" s="1">
        <v>523</v>
      </c>
      <c r="E1615" s="3">
        <f>IF(INDEX(C:C, ROW())+INDEX(D:D, ROW())=0, 0, INDEX(C:C, ROW())/(INDEX(C:C, ROW())+INDEX(D:D, ROW())))</f>
        <v>0.8430372148859544</v>
      </c>
      <c r="F1615" s="1" t="s">
        <v>36</v>
      </c>
      <c r="G1615" s="1" t="s">
        <v>20</v>
      </c>
      <c r="H1615" s="1">
        <v>535414</v>
      </c>
      <c r="I1615" s="1">
        <v>631577</v>
      </c>
      <c r="J1615" s="7">
        <v>0.84799999999999998</v>
      </c>
      <c r="K1615" s="1" t="s">
        <v>21</v>
      </c>
      <c r="L1615" s="1" t="s">
        <v>21</v>
      </c>
      <c r="M1615" s="1" t="s">
        <v>29</v>
      </c>
      <c r="N1615" s="1" t="s">
        <v>22</v>
      </c>
    </row>
    <row r="1616" spans="1:14" x14ac:dyDescent="0.25">
      <c r="A1616" s="1">
        <v>1615</v>
      </c>
      <c r="B1616" s="2" t="str">
        <f>HYPERLINK("https://leetcode.com/problems/maximal-network-rank/", "Maximal Network Rank")</f>
        <v>Maximal Network Rank</v>
      </c>
      <c r="C1616" s="1">
        <v>2445</v>
      </c>
      <c r="D1616" s="1">
        <v>393</v>
      </c>
      <c r="E1616" s="3">
        <f>IF(INDEX(C:C, ROW())+INDEX(D:D, ROW())=0, 0, INDEX(C:C, ROW())/(INDEX(C:C, ROW())+INDEX(D:D, ROW())))</f>
        <v>0.86152219873150104</v>
      </c>
      <c r="F1616" s="1" t="s">
        <v>319</v>
      </c>
      <c r="G1616" s="1" t="s">
        <v>24</v>
      </c>
      <c r="H1616" s="1">
        <v>167948</v>
      </c>
      <c r="I1616" s="1">
        <v>254963</v>
      </c>
      <c r="J1616" s="7">
        <v>0.65900000000000003</v>
      </c>
      <c r="K1616" s="1" t="s">
        <v>21</v>
      </c>
      <c r="L1616" s="1" t="s">
        <v>21</v>
      </c>
      <c r="M1616" s="1" t="s">
        <v>29</v>
      </c>
      <c r="N1616" s="1" t="s">
        <v>22</v>
      </c>
    </row>
    <row r="1617" spans="1:14" x14ac:dyDescent="0.25">
      <c r="A1617" s="1">
        <v>1616</v>
      </c>
      <c r="B1617" s="2" t="str">
        <f>HYPERLINK("https://leetcode.com/problems/split-two-strings-to-make-palindrome/", "Split Two Strings to Make Palindrome")</f>
        <v>Split Two Strings to Make Palindrome</v>
      </c>
      <c r="C1617" s="1">
        <v>776</v>
      </c>
      <c r="D1617" s="1">
        <v>260</v>
      </c>
      <c r="E1617" s="3">
        <f>IF(INDEX(C:C, ROW())+INDEX(D:D, ROW())=0, 0, INDEX(C:C, ROW())/(INDEX(C:C, ROW())+INDEX(D:D, ROW())))</f>
        <v>0.74903474903474898</v>
      </c>
      <c r="F1617" s="1" t="s">
        <v>117</v>
      </c>
      <c r="G1617" s="1" t="s">
        <v>24</v>
      </c>
      <c r="H1617" s="1">
        <v>32025</v>
      </c>
      <c r="I1617" s="1">
        <v>99742</v>
      </c>
      <c r="J1617" s="7">
        <v>0.32100000000000001</v>
      </c>
      <c r="K1617" s="1" t="s">
        <v>21</v>
      </c>
      <c r="L1617" s="1" t="s">
        <v>29</v>
      </c>
      <c r="M1617" s="1" t="s">
        <v>29</v>
      </c>
      <c r="N1617" s="1" t="s">
        <v>22</v>
      </c>
    </row>
    <row r="1618" spans="1:14" x14ac:dyDescent="0.25">
      <c r="A1618" s="1">
        <v>1617</v>
      </c>
      <c r="B1618" s="2" t="str">
        <f>HYPERLINK("https://leetcode.com/problems/count-subtrees-with-max-distance-between-cities/", "Count Subtrees With Max Distance Between Cities")</f>
        <v>Count Subtrees With Max Distance Between Cities</v>
      </c>
      <c r="C1618" s="1">
        <v>571</v>
      </c>
      <c r="D1618" s="1">
        <v>44</v>
      </c>
      <c r="E1618" s="3">
        <f>IF(INDEX(C:C, ROW())+INDEX(D:D, ROW())=0, 0, INDEX(C:C, ROW())/(INDEX(C:C, ROW())+INDEX(D:D, ROW())))</f>
        <v>0.92845528455284554</v>
      </c>
      <c r="F1618" s="1" t="s">
        <v>865</v>
      </c>
      <c r="G1618" s="1" t="s">
        <v>28</v>
      </c>
      <c r="H1618" s="1">
        <v>14657</v>
      </c>
      <c r="I1618" s="1">
        <v>21770</v>
      </c>
      <c r="J1618" s="7">
        <v>0.67300000000000004</v>
      </c>
      <c r="K1618" s="1" t="s">
        <v>21</v>
      </c>
      <c r="L1618" s="1" t="s">
        <v>29</v>
      </c>
      <c r="M1618" s="1" t="s">
        <v>29</v>
      </c>
      <c r="N1618" s="1" t="s">
        <v>22</v>
      </c>
    </row>
    <row r="1619" spans="1:14" x14ac:dyDescent="0.25">
      <c r="A1619" s="1">
        <v>1618</v>
      </c>
      <c r="B1619" s="2" t="str">
        <f>HYPERLINK("https://leetcode.com/problems/maximum-font-to-fit-a-sentence-in-a-screen/", "Maximum Font to Fit a Sentence in a Screen")</f>
        <v>Maximum Font to Fit a Sentence in a Screen</v>
      </c>
      <c r="C1619" s="1">
        <v>114</v>
      </c>
      <c r="D1619" s="1">
        <v>22</v>
      </c>
      <c r="E1619" s="3">
        <f>IF(INDEX(C:C, ROW())+INDEX(D:D, ROW())=0, 0, INDEX(C:C, ROW())/(INDEX(C:C, ROW())+INDEX(D:D, ROW())))</f>
        <v>0.83823529411764708</v>
      </c>
      <c r="F1619" s="1" t="s">
        <v>1168</v>
      </c>
      <c r="G1619" s="1" t="s">
        <v>24</v>
      </c>
      <c r="H1619" s="1">
        <v>7496</v>
      </c>
      <c r="I1619" s="1">
        <v>12099</v>
      </c>
      <c r="J1619" s="7">
        <v>0.62</v>
      </c>
      <c r="K1619" s="1" t="s">
        <v>29</v>
      </c>
      <c r="L1619" s="1" t="s">
        <v>29</v>
      </c>
      <c r="M1619" s="1" t="s">
        <v>29</v>
      </c>
      <c r="N1619" s="1" t="s">
        <v>22</v>
      </c>
    </row>
    <row r="1620" spans="1:14" x14ac:dyDescent="0.25">
      <c r="A1620" s="1">
        <v>1619</v>
      </c>
      <c r="B1620" s="2" t="str">
        <f>HYPERLINK("https://leetcode.com/problems/mean-of-array-after-removing-some-elements/", "Mean of Array After Removing Some Elements")</f>
        <v>Mean of Array After Removing Some Elements</v>
      </c>
      <c r="C1620" s="1">
        <v>527</v>
      </c>
      <c r="D1620" s="1">
        <v>134</v>
      </c>
      <c r="E1620" s="3">
        <f>IF(INDEX(C:C, ROW())+INDEX(D:D, ROW())=0, 0, INDEX(C:C, ROW())/(INDEX(C:C, ROW())+INDEX(D:D, ROW())))</f>
        <v>0.79727685325264752</v>
      </c>
      <c r="F1620" s="1" t="s">
        <v>42</v>
      </c>
      <c r="G1620" s="1" t="s">
        <v>20</v>
      </c>
      <c r="H1620" s="1">
        <v>83173</v>
      </c>
      <c r="I1620" s="1">
        <v>116312</v>
      </c>
      <c r="J1620" s="7">
        <v>0.71499999999999997</v>
      </c>
      <c r="K1620" s="1" t="s">
        <v>21</v>
      </c>
      <c r="L1620" s="1" t="s">
        <v>29</v>
      </c>
      <c r="M1620" s="1" t="s">
        <v>29</v>
      </c>
      <c r="N1620" s="1" t="s">
        <v>22</v>
      </c>
    </row>
    <row r="1621" spans="1:14" x14ac:dyDescent="0.25">
      <c r="A1621" s="1">
        <v>1620</v>
      </c>
      <c r="B1621" s="2" t="str">
        <f>HYPERLINK("https://leetcode.com/problems/coordinate-with-maximum-network-quality/", "Coordinate With Maximum Network Quality")</f>
        <v>Coordinate With Maximum Network Quality</v>
      </c>
      <c r="C1621" s="1">
        <v>92</v>
      </c>
      <c r="D1621" s="1">
        <v>274</v>
      </c>
      <c r="E1621" s="3">
        <f>IF(INDEX(C:C, ROW())+INDEX(D:D, ROW())=0, 0, INDEX(C:C, ROW())/(INDEX(C:C, ROW())+INDEX(D:D, ROW())))</f>
        <v>0.25136612021857924</v>
      </c>
      <c r="F1621" s="1" t="s">
        <v>654</v>
      </c>
      <c r="G1621" s="1" t="s">
        <v>24</v>
      </c>
      <c r="H1621" s="1">
        <v>11361</v>
      </c>
      <c r="I1621" s="1">
        <v>28927</v>
      </c>
      <c r="J1621" s="7">
        <v>0.39300000000000002</v>
      </c>
      <c r="K1621" s="1" t="s">
        <v>21</v>
      </c>
      <c r="L1621" s="1" t="s">
        <v>29</v>
      </c>
      <c r="M1621" s="1" t="s">
        <v>29</v>
      </c>
      <c r="N1621" s="1" t="s">
        <v>22</v>
      </c>
    </row>
    <row r="1622" spans="1:14" x14ac:dyDescent="0.25">
      <c r="A1622" s="1">
        <v>1621</v>
      </c>
      <c r="B1622" s="2" t="str">
        <f>HYPERLINK("https://leetcode.com/problems/number-of-sets-of-k-non-overlapping-line-segments/", "Number of Sets of K Non-Overlapping Line Segments")</f>
        <v>Number of Sets of K Non-Overlapping Line Segments</v>
      </c>
      <c r="C1622" s="1">
        <v>487</v>
      </c>
      <c r="D1622" s="1">
        <v>50</v>
      </c>
      <c r="E1622" s="3">
        <f>IF(INDEX(C:C, ROW())+INDEX(D:D, ROW())=0, 0, INDEX(C:C, ROW())/(INDEX(C:C, ROW())+INDEX(D:D, ROW())))</f>
        <v>0.90689013035381749</v>
      </c>
      <c r="F1622" s="1" t="s">
        <v>929</v>
      </c>
      <c r="G1622" s="1" t="s">
        <v>24</v>
      </c>
      <c r="H1622" s="1">
        <v>12955</v>
      </c>
      <c r="I1622" s="1">
        <v>28418</v>
      </c>
      <c r="J1622" s="7">
        <v>0.45600000000000002</v>
      </c>
      <c r="K1622" s="1" t="s">
        <v>21</v>
      </c>
      <c r="L1622" s="1" t="s">
        <v>29</v>
      </c>
      <c r="M1622" s="1" t="s">
        <v>29</v>
      </c>
      <c r="N1622" s="1" t="s">
        <v>22</v>
      </c>
    </row>
    <row r="1623" spans="1:14" x14ac:dyDescent="0.25">
      <c r="A1623" s="1">
        <v>1622</v>
      </c>
      <c r="B1623" s="2" t="str">
        <f>HYPERLINK("https://leetcode.com/problems/fancy-sequence/", "Fancy Sequence")</f>
        <v>Fancy Sequence</v>
      </c>
      <c r="C1623" s="1">
        <v>388</v>
      </c>
      <c r="D1623" s="1">
        <v>143</v>
      </c>
      <c r="E1623" s="3">
        <f>IF(INDEX(C:C, ROW())+INDEX(D:D, ROW())=0, 0, INDEX(C:C, ROW())/(INDEX(C:C, ROW())+INDEX(D:D, ROW())))</f>
        <v>0.73069679849340863</v>
      </c>
      <c r="F1623" s="1" t="s">
        <v>992</v>
      </c>
      <c r="G1623" s="1" t="s">
        <v>28</v>
      </c>
      <c r="H1623" s="1">
        <v>15253</v>
      </c>
      <c r="I1623" s="1">
        <v>82025</v>
      </c>
      <c r="J1623" s="7">
        <v>0.186</v>
      </c>
      <c r="K1623" s="1" t="s">
        <v>21</v>
      </c>
      <c r="L1623" s="1" t="s">
        <v>29</v>
      </c>
      <c r="M1623" s="1" t="s">
        <v>29</v>
      </c>
      <c r="N1623" s="1" t="s">
        <v>22</v>
      </c>
    </row>
    <row r="1624" spans="1:14" x14ac:dyDescent="0.25">
      <c r="A1624" s="1">
        <v>1623</v>
      </c>
      <c r="B1624" s="2" t="str">
        <f>HYPERLINK("https://leetcode.com/problems/all-valid-triplets-that-can-represent-a-country/", "All Valid Triplets That Can Represent a Country")</f>
        <v>All Valid Triplets That Can Represent a Country</v>
      </c>
      <c r="C1624" s="1">
        <v>76</v>
      </c>
      <c r="D1624" s="1">
        <v>144</v>
      </c>
      <c r="E1624" s="3">
        <f>IF(INDEX(C:C, ROW())+INDEX(D:D, ROW())=0, 0, INDEX(C:C, ROW())/(INDEX(C:C, ROW())+INDEX(D:D, ROW())))</f>
        <v>0.34545454545454546</v>
      </c>
      <c r="F1624" s="1" t="s">
        <v>297</v>
      </c>
      <c r="G1624" s="1" t="s">
        <v>20</v>
      </c>
      <c r="H1624" s="1">
        <v>23168</v>
      </c>
      <c r="I1624" s="1">
        <v>28635</v>
      </c>
      <c r="J1624" s="7">
        <v>0.80900000000000005</v>
      </c>
      <c r="K1624" s="1" t="s">
        <v>29</v>
      </c>
      <c r="L1624" s="1" t="s">
        <v>29</v>
      </c>
      <c r="M1624" s="1" t="s">
        <v>29</v>
      </c>
      <c r="N1624" s="1" t="s">
        <v>297</v>
      </c>
    </row>
    <row r="1625" spans="1:14" x14ac:dyDescent="0.25">
      <c r="A1625" s="1">
        <v>1624</v>
      </c>
      <c r="B1625" s="2" t="str">
        <f>HYPERLINK("https://leetcode.com/problems/largest-substring-between-two-equal-characters/", "Largest Substring Between Two Equal Characters")</f>
        <v>Largest Substring Between Two Equal Characters</v>
      </c>
      <c r="C1625" s="1">
        <v>1406</v>
      </c>
      <c r="D1625" s="1">
        <v>68</v>
      </c>
      <c r="E1625" s="3">
        <f>IF(INDEX(C:C, ROW())+INDEX(D:D, ROW())=0, 0, INDEX(C:C, ROW())/(INDEX(C:C, ROW())+INDEX(D:D, ROW())))</f>
        <v>0.95386702849389415</v>
      </c>
      <c r="F1625" s="1" t="s">
        <v>131</v>
      </c>
      <c r="G1625" s="1" t="s">
        <v>20</v>
      </c>
      <c r="H1625" s="1">
        <v>179238</v>
      </c>
      <c r="I1625" s="1">
        <v>262462</v>
      </c>
      <c r="J1625" s="7">
        <v>0.68300000000000005</v>
      </c>
      <c r="K1625" s="1" t="s">
        <v>21</v>
      </c>
      <c r="L1625" s="1" t="s">
        <v>21</v>
      </c>
      <c r="M1625" s="1" t="s">
        <v>29</v>
      </c>
      <c r="N1625" s="1" t="s">
        <v>22</v>
      </c>
    </row>
    <row r="1626" spans="1:14" x14ac:dyDescent="0.25">
      <c r="A1626" s="1">
        <v>1625</v>
      </c>
      <c r="B1626" s="2" t="str">
        <f>HYPERLINK("https://leetcode.com/problems/lexicographically-smallest-string-after-applying-operations/", "Lexicographically Smallest String After Applying Operations")</f>
        <v>Lexicographically Smallest String After Applying Operations</v>
      </c>
      <c r="C1626" s="1">
        <v>689</v>
      </c>
      <c r="D1626" s="1">
        <v>320</v>
      </c>
      <c r="E1626" s="3">
        <f>IF(INDEX(C:C, ROW())+INDEX(D:D, ROW())=0, 0, INDEX(C:C, ROW())/(INDEX(C:C, ROW())+INDEX(D:D, ROW())))</f>
        <v>0.68285431119920714</v>
      </c>
      <c r="F1626" s="1" t="s">
        <v>807</v>
      </c>
      <c r="G1626" s="1" t="s">
        <v>24</v>
      </c>
      <c r="H1626" s="1">
        <v>85116</v>
      </c>
      <c r="I1626" s="1">
        <v>107204</v>
      </c>
      <c r="J1626" s="7">
        <v>0.79400000000000004</v>
      </c>
      <c r="K1626" s="1" t="s">
        <v>21</v>
      </c>
      <c r="L1626" s="1" t="s">
        <v>21</v>
      </c>
      <c r="M1626" s="1" t="s">
        <v>29</v>
      </c>
      <c r="N1626" s="1" t="s">
        <v>22</v>
      </c>
    </row>
    <row r="1627" spans="1:14" x14ac:dyDescent="0.25">
      <c r="A1627" s="1">
        <v>1626</v>
      </c>
      <c r="B1627" s="2" t="str">
        <f>HYPERLINK("https://leetcode.com/problems/best-team-with-no-conflicts/", "Best Team With No Conflicts")</f>
        <v>Best Team With No Conflicts</v>
      </c>
      <c r="C1627" s="1">
        <v>3045</v>
      </c>
      <c r="D1627" s="1">
        <v>99</v>
      </c>
      <c r="E1627" s="3">
        <f>IF(INDEX(C:C, ROW())+INDEX(D:D, ROW())=0, 0, INDEX(C:C, ROW())/(INDEX(C:C, ROW())+INDEX(D:D, ROW())))</f>
        <v>0.96851145038167941</v>
      </c>
      <c r="F1627" s="1" t="s">
        <v>270</v>
      </c>
      <c r="G1627" s="1" t="s">
        <v>24</v>
      </c>
      <c r="H1627" s="1">
        <v>97948</v>
      </c>
      <c r="I1627" s="1">
        <v>193531</v>
      </c>
      <c r="J1627" s="7">
        <v>0.50600000000000001</v>
      </c>
      <c r="K1627" s="1" t="s">
        <v>21</v>
      </c>
      <c r="L1627" s="1" t="s">
        <v>21</v>
      </c>
      <c r="M1627" s="1" t="s">
        <v>29</v>
      </c>
      <c r="N1627" s="1" t="s">
        <v>22</v>
      </c>
    </row>
    <row r="1628" spans="1:14" x14ac:dyDescent="0.25">
      <c r="A1628" s="1">
        <v>1627</v>
      </c>
      <c r="B1628" s="2" t="str">
        <f>HYPERLINK("https://leetcode.com/problems/graph-connectivity-with-threshold/", "Graph Connectivity With Threshold")</f>
        <v>Graph Connectivity With Threshold</v>
      </c>
      <c r="C1628" s="1">
        <v>611</v>
      </c>
      <c r="D1628" s="1">
        <v>34</v>
      </c>
      <c r="E1628" s="3">
        <f>IF(INDEX(C:C, ROW())+INDEX(D:D, ROW())=0, 0, INDEX(C:C, ROW())/(INDEX(C:C, ROW())+INDEX(D:D, ROW())))</f>
        <v>0.94728682170542633</v>
      </c>
      <c r="F1628" s="1" t="s">
        <v>749</v>
      </c>
      <c r="G1628" s="1" t="s">
        <v>28</v>
      </c>
      <c r="H1628" s="1">
        <v>23276</v>
      </c>
      <c r="I1628" s="1">
        <v>47309</v>
      </c>
      <c r="J1628" s="7">
        <v>0.49199999999999999</v>
      </c>
      <c r="K1628" s="1" t="s">
        <v>21</v>
      </c>
      <c r="L1628" s="1" t="s">
        <v>29</v>
      </c>
      <c r="M1628" s="1" t="s">
        <v>29</v>
      </c>
      <c r="N1628" s="1" t="s">
        <v>22</v>
      </c>
    </row>
    <row r="1629" spans="1:14" x14ac:dyDescent="0.25">
      <c r="A1629" s="1">
        <v>1628</v>
      </c>
      <c r="B1629" s="2" t="str">
        <f>HYPERLINK("https://leetcode.com/problems/design-an-expression-tree-with-evaluate-function/", "Design an Expression Tree With Evaluate Function")</f>
        <v>Design an Expression Tree With Evaluate Function</v>
      </c>
      <c r="C1629" s="1">
        <v>547</v>
      </c>
      <c r="D1629" s="1">
        <v>74</v>
      </c>
      <c r="E1629" s="3">
        <f>IF(INDEX(C:C, ROW())+INDEX(D:D, ROW())=0, 0, INDEX(C:C, ROW())/(INDEX(C:C, ROW())+INDEX(D:D, ROW())))</f>
        <v>0.88083735909822869</v>
      </c>
      <c r="F1629" s="1" t="s">
        <v>882</v>
      </c>
      <c r="G1629" s="1" t="s">
        <v>24</v>
      </c>
      <c r="H1629" s="1">
        <v>29504</v>
      </c>
      <c r="I1629" s="1">
        <v>35763</v>
      </c>
      <c r="J1629" s="7">
        <v>0.82499999999999996</v>
      </c>
      <c r="K1629" s="1" t="s">
        <v>29</v>
      </c>
      <c r="L1629" s="1" t="s">
        <v>29</v>
      </c>
      <c r="M1629" s="1" t="s">
        <v>29</v>
      </c>
      <c r="N1629" s="1" t="s">
        <v>22</v>
      </c>
    </row>
    <row r="1630" spans="1:14" x14ac:dyDescent="0.25">
      <c r="A1630" s="1">
        <v>1629</v>
      </c>
      <c r="B1630" s="2" t="str">
        <f>HYPERLINK("https://leetcode.com/problems/slowest-key/", "Slowest Key")</f>
        <v>Slowest Key</v>
      </c>
      <c r="C1630" s="1">
        <v>796</v>
      </c>
      <c r="D1630" s="1">
        <v>113</v>
      </c>
      <c r="E1630" s="3">
        <f>IF(INDEX(C:C, ROW())+INDEX(D:D, ROW())=0, 0, INDEX(C:C, ROW())/(INDEX(C:C, ROW())+INDEX(D:D, ROW())))</f>
        <v>0.8756875687568757</v>
      </c>
      <c r="F1630" s="1" t="s">
        <v>369</v>
      </c>
      <c r="G1630" s="1" t="s">
        <v>20</v>
      </c>
      <c r="H1630" s="1">
        <v>115644</v>
      </c>
      <c r="I1630" s="1">
        <v>194348</v>
      </c>
      <c r="J1630" s="7">
        <v>0.59499999999999997</v>
      </c>
      <c r="K1630" s="1" t="s">
        <v>21</v>
      </c>
      <c r="L1630" s="1" t="s">
        <v>21</v>
      </c>
      <c r="M1630" s="1" t="s">
        <v>29</v>
      </c>
      <c r="N1630" s="1" t="s">
        <v>22</v>
      </c>
    </row>
    <row r="1631" spans="1:14" x14ac:dyDescent="0.25">
      <c r="A1631" s="1">
        <v>1630</v>
      </c>
      <c r="B1631" s="2" t="str">
        <f>HYPERLINK("https://leetcode.com/problems/arithmetic-subarrays/", "Arithmetic Subarrays")</f>
        <v>Arithmetic Subarrays</v>
      </c>
      <c r="C1631" s="1">
        <v>1894</v>
      </c>
      <c r="D1631" s="1">
        <v>210</v>
      </c>
      <c r="E1631" s="3">
        <f>IF(INDEX(C:C, ROW())+INDEX(D:D, ROW())=0, 0, INDEX(C:C, ROW())/(INDEX(C:C, ROW())+INDEX(D:D, ROW())))</f>
        <v>0.90019011406844107</v>
      </c>
      <c r="F1631" s="1" t="s">
        <v>92</v>
      </c>
      <c r="G1631" s="1" t="s">
        <v>24</v>
      </c>
      <c r="H1631" s="1">
        <v>155848</v>
      </c>
      <c r="I1631" s="1">
        <v>186052</v>
      </c>
      <c r="J1631" s="7">
        <v>0.83799999999999997</v>
      </c>
      <c r="K1631" s="1" t="s">
        <v>21</v>
      </c>
      <c r="L1631" s="1" t="s">
        <v>21</v>
      </c>
      <c r="M1631" s="1" t="s">
        <v>29</v>
      </c>
      <c r="N1631" s="1" t="s">
        <v>22</v>
      </c>
    </row>
    <row r="1632" spans="1:14" x14ac:dyDescent="0.25">
      <c r="A1632" s="1">
        <v>1631</v>
      </c>
      <c r="B1632" s="2" t="str">
        <f>HYPERLINK("https://leetcode.com/problems/path-with-minimum-effort/", "Path With Minimum Effort")</f>
        <v>Path With Minimum Effort</v>
      </c>
      <c r="C1632" s="1">
        <v>6775</v>
      </c>
      <c r="D1632" s="1">
        <v>237</v>
      </c>
      <c r="E1632" s="3">
        <f>IF(INDEX(C:C, ROW())+INDEX(D:D, ROW())=0, 0, INDEX(C:C, ROW())/(INDEX(C:C, ROW())+INDEX(D:D, ROW())))</f>
        <v>0.96620079863091846</v>
      </c>
      <c r="F1632" s="1" t="s">
        <v>208</v>
      </c>
      <c r="G1632" s="1" t="s">
        <v>24</v>
      </c>
      <c r="H1632" s="1">
        <v>437903</v>
      </c>
      <c r="I1632" s="1">
        <v>697422</v>
      </c>
      <c r="J1632" s="7">
        <v>0.628</v>
      </c>
      <c r="K1632" s="1" t="s">
        <v>21</v>
      </c>
      <c r="L1632" s="1" t="s">
        <v>21</v>
      </c>
      <c r="M1632" s="1" t="s">
        <v>29</v>
      </c>
      <c r="N1632" s="1" t="s">
        <v>22</v>
      </c>
    </row>
    <row r="1633" spans="1:14" x14ac:dyDescent="0.25">
      <c r="A1633" s="1">
        <v>1632</v>
      </c>
      <c r="B1633" s="2" t="str">
        <f>HYPERLINK("https://leetcode.com/problems/rank-transform-of-a-matrix/", "Rank Transform of a Matrix")</f>
        <v>Rank Transform of a Matrix</v>
      </c>
      <c r="C1633" s="1">
        <v>930</v>
      </c>
      <c r="D1633" s="1">
        <v>59</v>
      </c>
      <c r="E1633" s="3">
        <f>IF(INDEX(C:C, ROW())+INDEX(D:D, ROW())=0, 0, INDEX(C:C, ROW())/(INDEX(C:C, ROW())+INDEX(D:D, ROW())))</f>
        <v>0.94034378159757326</v>
      </c>
      <c r="F1633" s="1" t="s">
        <v>732</v>
      </c>
      <c r="G1633" s="1" t="s">
        <v>28</v>
      </c>
      <c r="H1633" s="1">
        <v>27095</v>
      </c>
      <c r="I1633" s="1">
        <v>64420</v>
      </c>
      <c r="J1633" s="7">
        <v>0.42099999999999999</v>
      </c>
      <c r="K1633" s="1" t="s">
        <v>21</v>
      </c>
      <c r="L1633" s="1" t="s">
        <v>21</v>
      </c>
      <c r="M1633" s="1" t="s">
        <v>29</v>
      </c>
      <c r="N1633" s="1" t="s">
        <v>22</v>
      </c>
    </row>
    <row r="1634" spans="1:14" x14ac:dyDescent="0.25">
      <c r="A1634" s="1">
        <v>1633</v>
      </c>
      <c r="B1634" s="2" t="str">
        <f>HYPERLINK("https://leetcode.com/problems/percentage-of-users-attended-a-contest/", "Percentage of Users Attended a Contest")</f>
        <v>Percentage of Users Attended a Contest</v>
      </c>
      <c r="C1634" s="1">
        <v>1177</v>
      </c>
      <c r="D1634" s="1">
        <v>106</v>
      </c>
      <c r="E1634" s="3">
        <f>IF(INDEX(C:C, ROW())+INDEX(D:D, ROW())=0, 0, INDEX(C:C, ROW())/(INDEX(C:C, ROW())+INDEX(D:D, ROW())))</f>
        <v>0.9173811379579111</v>
      </c>
      <c r="F1634" s="1" t="s">
        <v>297</v>
      </c>
      <c r="G1634" s="1" t="s">
        <v>20</v>
      </c>
      <c r="H1634" s="1">
        <v>514066</v>
      </c>
      <c r="I1634" s="1">
        <v>857809</v>
      </c>
      <c r="J1634" s="7">
        <v>0.59899999999999998</v>
      </c>
      <c r="K1634" s="1" t="s">
        <v>21</v>
      </c>
      <c r="L1634" s="1" t="s">
        <v>21</v>
      </c>
      <c r="M1634" s="1" t="s">
        <v>29</v>
      </c>
      <c r="N1634" s="1" t="s">
        <v>297</v>
      </c>
    </row>
    <row r="1635" spans="1:14" x14ac:dyDescent="0.25">
      <c r="A1635" s="1">
        <v>1634</v>
      </c>
      <c r="B1635" s="2" t="str">
        <f>HYPERLINK("https://leetcode.com/problems/add-two-polynomials-represented-as-linked-lists/", "Add Two Polynomials Represented as Linked Lists")</f>
        <v>Add Two Polynomials Represented as Linked Lists</v>
      </c>
      <c r="C1635" s="1">
        <v>173</v>
      </c>
      <c r="D1635" s="1">
        <v>14</v>
      </c>
      <c r="E1635" s="3">
        <f>IF(INDEX(C:C, ROW())+INDEX(D:D, ROW())=0, 0, INDEX(C:C, ROW())/(INDEX(C:C, ROW())+INDEX(D:D, ROW())))</f>
        <v>0.92513368983957223</v>
      </c>
      <c r="F1635" s="1" t="s">
        <v>1119</v>
      </c>
      <c r="G1635" s="1" t="s">
        <v>24</v>
      </c>
      <c r="H1635" s="1">
        <v>16372</v>
      </c>
      <c r="I1635" s="1">
        <v>26838</v>
      </c>
      <c r="J1635" s="7">
        <v>0.61</v>
      </c>
      <c r="K1635" s="1" t="s">
        <v>29</v>
      </c>
      <c r="L1635" s="1" t="s">
        <v>21</v>
      </c>
      <c r="M1635" s="1" t="s">
        <v>29</v>
      </c>
      <c r="N1635" s="1" t="s">
        <v>22</v>
      </c>
    </row>
    <row r="1636" spans="1:14" x14ac:dyDescent="0.25">
      <c r="A1636" s="1">
        <v>1635</v>
      </c>
      <c r="B1636" s="2" t="str">
        <f>HYPERLINK("https://leetcode.com/problems/hopper-company-queries-i/", "Hopper Company Queries I")</f>
        <v>Hopper Company Queries I</v>
      </c>
      <c r="C1636" s="1">
        <v>118</v>
      </c>
      <c r="D1636" s="1">
        <v>36</v>
      </c>
      <c r="E1636" s="3">
        <f>IF(INDEX(C:C, ROW())+INDEX(D:D, ROW())=0, 0, INDEX(C:C, ROW())/(INDEX(C:C, ROW())+INDEX(D:D, ROW())))</f>
        <v>0.76623376623376627</v>
      </c>
      <c r="F1636" s="1" t="s">
        <v>297</v>
      </c>
      <c r="G1636" s="1" t="s">
        <v>28</v>
      </c>
      <c r="H1636" s="1">
        <v>11105</v>
      </c>
      <c r="I1636" s="1">
        <v>23128</v>
      </c>
      <c r="J1636" s="7">
        <v>0.48</v>
      </c>
      <c r="K1636" s="1" t="s">
        <v>29</v>
      </c>
      <c r="L1636" s="1" t="s">
        <v>21</v>
      </c>
      <c r="M1636" s="1" t="s">
        <v>29</v>
      </c>
      <c r="N1636" s="1" t="s">
        <v>297</v>
      </c>
    </row>
    <row r="1637" spans="1:14" x14ac:dyDescent="0.25">
      <c r="A1637" s="1">
        <v>1636</v>
      </c>
      <c r="B1637" s="2" t="str">
        <f>HYPERLINK("https://leetcode.com/problems/sort-array-by-increasing-frequency/", "Sort Array by Increasing Frequency")</f>
        <v>Sort Array by Increasing Frequency</v>
      </c>
      <c r="C1637" s="1">
        <v>3698</v>
      </c>
      <c r="D1637" s="1">
        <v>177</v>
      </c>
      <c r="E1637" s="3">
        <f>IF(INDEX(C:C, ROW())+INDEX(D:D, ROW())=0, 0, INDEX(C:C, ROW())/(INDEX(C:C, ROW())+INDEX(D:D, ROW())))</f>
        <v>0.95432258064516129</v>
      </c>
      <c r="F1637" s="1" t="s">
        <v>92</v>
      </c>
      <c r="G1637" s="1" t="s">
        <v>20</v>
      </c>
      <c r="H1637" s="1">
        <v>341052</v>
      </c>
      <c r="I1637" s="1">
        <v>422711</v>
      </c>
      <c r="J1637" s="7">
        <v>0.80700000000000005</v>
      </c>
      <c r="K1637" s="1" t="s">
        <v>21</v>
      </c>
      <c r="L1637" s="1" t="s">
        <v>21</v>
      </c>
      <c r="M1637" s="1" t="s">
        <v>29</v>
      </c>
      <c r="N1637" s="1" t="s">
        <v>22</v>
      </c>
    </row>
    <row r="1638" spans="1:14" x14ac:dyDescent="0.25">
      <c r="A1638" s="1">
        <v>1637</v>
      </c>
      <c r="B1638" s="2" t="str">
        <f>HYPERLINK("https://leetcode.com/problems/widest-vertical-area-between-two-points-containing-no-points/", "Widest Vertical Area Between Two Points Containing No Points")</f>
        <v>Widest Vertical Area Between Two Points Containing No Points</v>
      </c>
      <c r="C1638" s="1">
        <v>982</v>
      </c>
      <c r="D1638" s="1">
        <v>1788</v>
      </c>
      <c r="E1638" s="3">
        <f>IF(INDEX(C:C, ROW())+INDEX(D:D, ROW())=0, 0, INDEX(C:C, ROW())/(INDEX(C:C, ROW())+INDEX(D:D, ROW())))</f>
        <v>0.35451263537906136</v>
      </c>
      <c r="F1638" s="1" t="s">
        <v>42</v>
      </c>
      <c r="G1638" s="1" t="s">
        <v>20</v>
      </c>
      <c r="H1638" s="1">
        <v>198764</v>
      </c>
      <c r="I1638" s="1">
        <v>228215</v>
      </c>
      <c r="J1638" s="7">
        <v>0.871</v>
      </c>
      <c r="K1638" s="1" t="s">
        <v>21</v>
      </c>
      <c r="L1638" s="1" t="s">
        <v>21</v>
      </c>
      <c r="M1638" s="1" t="s">
        <v>29</v>
      </c>
      <c r="N1638" s="1" t="s">
        <v>22</v>
      </c>
    </row>
    <row r="1639" spans="1:14" x14ac:dyDescent="0.25">
      <c r="A1639" s="1">
        <v>1638</v>
      </c>
      <c r="B1639" s="2" t="str">
        <f>HYPERLINK("https://leetcode.com/problems/count-substrings-that-differ-by-one-character/", "Count Substrings That Differ by One Character")</f>
        <v>Count Substrings That Differ by One Character</v>
      </c>
      <c r="C1639" s="1">
        <v>1202</v>
      </c>
      <c r="D1639" s="1">
        <v>357</v>
      </c>
      <c r="E1639" s="3">
        <f>IF(INDEX(C:C, ROW())+INDEX(D:D, ROW())=0, 0, INDEX(C:C, ROW())/(INDEX(C:C, ROW())+INDEX(D:D, ROW())))</f>
        <v>0.77100705580500317</v>
      </c>
      <c r="F1639" s="1" t="s">
        <v>514</v>
      </c>
      <c r="G1639" s="1" t="s">
        <v>24</v>
      </c>
      <c r="H1639" s="1">
        <v>37446</v>
      </c>
      <c r="I1639" s="1">
        <v>51764</v>
      </c>
      <c r="J1639" s="7">
        <v>0.72299999999999998</v>
      </c>
      <c r="K1639" s="1" t="s">
        <v>21</v>
      </c>
      <c r="L1639" s="1" t="s">
        <v>29</v>
      </c>
      <c r="M1639" s="1" t="s">
        <v>29</v>
      </c>
      <c r="N1639" s="1" t="s">
        <v>22</v>
      </c>
    </row>
    <row r="1640" spans="1:14" x14ac:dyDescent="0.25">
      <c r="A1640" s="1">
        <v>1639</v>
      </c>
      <c r="B1640" s="2" t="str">
        <f>HYPERLINK("https://leetcode.com/problems/number-of-ways-to-form-a-target-string-given-a-dictionary/", "Number of Ways to Form a Target String Given a Dictionary")</f>
        <v>Number of Ways to Form a Target String Given a Dictionary</v>
      </c>
      <c r="C1640" s="1">
        <v>2056</v>
      </c>
      <c r="D1640" s="1">
        <v>120</v>
      </c>
      <c r="E1640" s="3">
        <f>IF(INDEX(C:C, ROW())+INDEX(D:D, ROW())=0, 0, INDEX(C:C, ROW())/(INDEX(C:C, ROW())+INDEX(D:D, ROW())))</f>
        <v>0.94485294117647056</v>
      </c>
      <c r="F1640" s="1" t="s">
        <v>225</v>
      </c>
      <c r="G1640" s="1" t="s">
        <v>28</v>
      </c>
      <c r="H1640" s="1">
        <v>133065</v>
      </c>
      <c r="I1640" s="1">
        <v>234925</v>
      </c>
      <c r="J1640" s="7">
        <v>0.56599999999999995</v>
      </c>
      <c r="K1640" s="1" t="s">
        <v>21</v>
      </c>
      <c r="L1640" s="1" t="s">
        <v>21</v>
      </c>
      <c r="M1640" s="1" t="s">
        <v>29</v>
      </c>
      <c r="N1640" s="1" t="s">
        <v>22</v>
      </c>
    </row>
    <row r="1641" spans="1:14" x14ac:dyDescent="0.25">
      <c r="A1641" s="1">
        <v>1640</v>
      </c>
      <c r="B1641" s="2" t="str">
        <f>HYPERLINK("https://leetcode.com/problems/check-array-formation-through-concatenation/", "Check Array Formation Through Concatenation")</f>
        <v>Check Array Formation Through Concatenation</v>
      </c>
      <c r="C1641" s="1">
        <v>940</v>
      </c>
      <c r="D1641" s="1">
        <v>143</v>
      </c>
      <c r="E1641" s="3">
        <f>IF(INDEX(C:C, ROW())+INDEX(D:D, ROW())=0, 0, INDEX(C:C, ROW())/(INDEX(C:C, ROW())+INDEX(D:D, ROW())))</f>
        <v>0.86795937211449681</v>
      </c>
      <c r="F1641" s="1" t="s">
        <v>19</v>
      </c>
      <c r="G1641" s="1" t="s">
        <v>20</v>
      </c>
      <c r="H1641" s="1">
        <v>91755</v>
      </c>
      <c r="I1641" s="1">
        <v>160191</v>
      </c>
      <c r="J1641" s="7">
        <v>0.57299999999999995</v>
      </c>
      <c r="K1641" s="1" t="s">
        <v>21</v>
      </c>
      <c r="L1641" s="1" t="s">
        <v>21</v>
      </c>
      <c r="M1641" s="1" t="s">
        <v>29</v>
      </c>
      <c r="N1641" s="1" t="s">
        <v>22</v>
      </c>
    </row>
    <row r="1642" spans="1:14" x14ac:dyDescent="0.25">
      <c r="A1642" s="1">
        <v>1641</v>
      </c>
      <c r="B1642" s="2" t="str">
        <f>HYPERLINK("https://leetcode.com/problems/count-sorted-vowel-strings/", "Count Sorted Vowel Strings")</f>
        <v>Count Sorted Vowel Strings</v>
      </c>
      <c r="C1642" s="1">
        <v>3932</v>
      </c>
      <c r="D1642" s="1">
        <v>93</v>
      </c>
      <c r="E1642" s="3">
        <f>IF(INDEX(C:C, ROW())+INDEX(D:D, ROW())=0, 0, INDEX(C:C, ROW())/(INDEX(C:C, ROW())+INDEX(D:D, ROW())))</f>
        <v>0.97689440993788823</v>
      </c>
      <c r="F1642" s="1" t="s">
        <v>70</v>
      </c>
      <c r="G1642" s="1" t="s">
        <v>24</v>
      </c>
      <c r="H1642" s="1">
        <v>204705</v>
      </c>
      <c r="I1642" s="1">
        <v>258480</v>
      </c>
      <c r="J1642" s="7">
        <v>0.79200000000000004</v>
      </c>
      <c r="K1642" s="1" t="s">
        <v>21</v>
      </c>
      <c r="L1642" s="1" t="s">
        <v>21</v>
      </c>
      <c r="M1642" s="1" t="s">
        <v>29</v>
      </c>
      <c r="N1642" s="1" t="s">
        <v>22</v>
      </c>
    </row>
    <row r="1643" spans="1:14" x14ac:dyDescent="0.25">
      <c r="A1643" s="1">
        <v>1642</v>
      </c>
      <c r="B1643" s="2" t="str">
        <f>HYPERLINK("https://leetcode.com/problems/furthest-building-you-can-reach/", "Furthest Building You Can Reach")</f>
        <v>Furthest Building You Can Reach</v>
      </c>
      <c r="C1643" s="1">
        <v>6202</v>
      </c>
      <c r="D1643" s="1">
        <v>150</v>
      </c>
      <c r="E1643" s="3">
        <f>IF(INDEX(C:C, ROW())+INDEX(D:D, ROW())=0, 0, INDEX(C:C, ROW())/(INDEX(C:C, ROW())+INDEX(D:D, ROW())))</f>
        <v>0.9763853904282116</v>
      </c>
      <c r="F1643" s="1" t="s">
        <v>221</v>
      </c>
      <c r="G1643" s="1" t="s">
        <v>24</v>
      </c>
      <c r="H1643" s="1">
        <v>267311</v>
      </c>
      <c r="I1643" s="1">
        <v>527137</v>
      </c>
      <c r="J1643" s="7">
        <v>0.50700000000000001</v>
      </c>
      <c r="K1643" s="1" t="s">
        <v>21</v>
      </c>
      <c r="L1643" s="1" t="s">
        <v>21</v>
      </c>
      <c r="M1643" s="1" t="s">
        <v>29</v>
      </c>
      <c r="N1643" s="1" t="s">
        <v>22</v>
      </c>
    </row>
    <row r="1644" spans="1:14" x14ac:dyDescent="0.25">
      <c r="A1644" s="1">
        <v>1643</v>
      </c>
      <c r="B1644" s="2" t="str">
        <f>HYPERLINK("https://leetcode.com/problems/kth-smallest-instructions/", "Kth Smallest Instructions")</f>
        <v>Kth Smallest Instructions</v>
      </c>
      <c r="C1644" s="1">
        <v>565</v>
      </c>
      <c r="D1644" s="1">
        <v>16</v>
      </c>
      <c r="E1644" s="3">
        <f>IF(INDEX(C:C, ROW())+INDEX(D:D, ROW())=0, 0, INDEX(C:C, ROW())/(INDEX(C:C, ROW())+INDEX(D:D, ROW())))</f>
        <v>0.97246127366609292</v>
      </c>
      <c r="F1644" s="1" t="s">
        <v>867</v>
      </c>
      <c r="G1644" s="1" t="s">
        <v>28</v>
      </c>
      <c r="H1644" s="1">
        <v>17752</v>
      </c>
      <c r="I1644" s="1">
        <v>39730</v>
      </c>
      <c r="J1644" s="7">
        <v>0.44700000000000001</v>
      </c>
      <c r="K1644" s="1" t="s">
        <v>21</v>
      </c>
      <c r="L1644" s="1" t="s">
        <v>29</v>
      </c>
      <c r="M1644" s="1" t="s">
        <v>29</v>
      </c>
      <c r="N1644" s="1" t="s">
        <v>22</v>
      </c>
    </row>
    <row r="1645" spans="1:14" x14ac:dyDescent="0.25">
      <c r="A1645" s="1">
        <v>1644</v>
      </c>
      <c r="B1645" s="2" t="str">
        <f>HYPERLINK("https://leetcode.com/problems/lowest-common-ancestor-of-a-binary-tree-ii/", "Lowest Common Ancestor of a Binary Tree II")</f>
        <v>Lowest Common Ancestor of a Binary Tree II</v>
      </c>
      <c r="C1645" s="1">
        <v>699</v>
      </c>
      <c r="D1645" s="1">
        <v>42</v>
      </c>
      <c r="E1645" s="3">
        <f>IF(INDEX(C:C, ROW())+INDEX(D:D, ROW())=0, 0, INDEX(C:C, ROW())/(INDEX(C:C, ROW())+INDEX(D:D, ROW())))</f>
        <v>0.94331983805668018</v>
      </c>
      <c r="F1645" s="1" t="s">
        <v>67</v>
      </c>
      <c r="G1645" s="1" t="s">
        <v>24</v>
      </c>
      <c r="H1645" s="1">
        <v>119581</v>
      </c>
      <c r="I1645" s="1">
        <v>172078</v>
      </c>
      <c r="J1645" s="7">
        <v>0.69499999999999995</v>
      </c>
      <c r="K1645" s="1" t="s">
        <v>29</v>
      </c>
      <c r="L1645" s="1" t="s">
        <v>21</v>
      </c>
      <c r="M1645" s="1" t="s">
        <v>29</v>
      </c>
      <c r="N1645" s="1" t="s">
        <v>22</v>
      </c>
    </row>
    <row r="1646" spans="1:14" x14ac:dyDescent="0.25">
      <c r="A1646" s="1">
        <v>1645</v>
      </c>
      <c r="B1646" s="2" t="str">
        <f>HYPERLINK("https://leetcode.com/problems/hopper-company-queries-ii/", "Hopper Company Queries II")</f>
        <v>Hopper Company Queries II</v>
      </c>
      <c r="C1646" s="1">
        <v>64</v>
      </c>
      <c r="D1646" s="1">
        <v>18</v>
      </c>
      <c r="E1646" s="3">
        <f>IF(INDEX(C:C, ROW())+INDEX(D:D, ROW())=0, 0, INDEX(C:C, ROW())/(INDEX(C:C, ROW())+INDEX(D:D, ROW())))</f>
        <v>0.78048780487804881</v>
      </c>
      <c r="F1646" s="1" t="s">
        <v>297</v>
      </c>
      <c r="G1646" s="1" t="s">
        <v>28</v>
      </c>
      <c r="H1646" s="1">
        <v>8462</v>
      </c>
      <c r="I1646" s="1">
        <v>21303</v>
      </c>
      <c r="J1646" s="7">
        <v>0.39700000000000002</v>
      </c>
      <c r="K1646" s="1" t="s">
        <v>29</v>
      </c>
      <c r="L1646" s="1" t="s">
        <v>29</v>
      </c>
      <c r="M1646" s="1" t="s">
        <v>29</v>
      </c>
      <c r="N1646" s="1" t="s">
        <v>297</v>
      </c>
    </row>
    <row r="1647" spans="1:14" x14ac:dyDescent="0.25">
      <c r="A1647" s="1">
        <v>1646</v>
      </c>
      <c r="B1647" s="2" t="str">
        <f>HYPERLINK("https://leetcode.com/problems/get-maximum-in-generated-array/", "Get Maximum in Generated Array")</f>
        <v>Get Maximum in Generated Array</v>
      </c>
      <c r="C1647" s="1">
        <v>782</v>
      </c>
      <c r="D1647" s="1">
        <v>968</v>
      </c>
      <c r="E1647" s="3">
        <f>IF(INDEX(C:C, ROW())+INDEX(D:D, ROW())=0, 0, INDEX(C:C, ROW())/(INDEX(C:C, ROW())+INDEX(D:D, ROW())))</f>
        <v>0.44685714285714284</v>
      </c>
      <c r="F1647" s="1" t="s">
        <v>306</v>
      </c>
      <c r="G1647" s="1" t="s">
        <v>20</v>
      </c>
      <c r="H1647" s="1">
        <v>123657</v>
      </c>
      <c r="I1647" s="1">
        <v>240662</v>
      </c>
      <c r="J1647" s="7">
        <v>0.51400000000000001</v>
      </c>
      <c r="K1647" s="1" t="s">
        <v>21</v>
      </c>
      <c r="L1647" s="1" t="s">
        <v>21</v>
      </c>
      <c r="M1647" s="1" t="s">
        <v>29</v>
      </c>
      <c r="N1647" s="1" t="s">
        <v>22</v>
      </c>
    </row>
    <row r="1648" spans="1:14" x14ac:dyDescent="0.25">
      <c r="A1648" s="1">
        <v>1647</v>
      </c>
      <c r="B1648" s="2" t="str">
        <f>HYPERLINK("https://leetcode.com/problems/minimum-deletions-to-make-character-frequencies-unique/", "Minimum Deletions to Make Character Frequencies Unique")</f>
        <v>Minimum Deletions to Make Character Frequencies Unique</v>
      </c>
      <c r="C1648" s="1">
        <v>5049</v>
      </c>
      <c r="D1648" s="1">
        <v>76</v>
      </c>
      <c r="E1648" s="3">
        <f>IF(INDEX(C:C, ROW())+INDEX(D:D, ROW())=0, 0, INDEX(C:C, ROW())/(INDEX(C:C, ROW())+INDEX(D:D, ROW())))</f>
        <v>0.98517073170731706</v>
      </c>
      <c r="F1648" s="1" t="s">
        <v>260</v>
      </c>
      <c r="G1648" s="1" t="s">
        <v>24</v>
      </c>
      <c r="H1648" s="1">
        <v>298834</v>
      </c>
      <c r="I1648" s="1">
        <v>486326</v>
      </c>
      <c r="J1648" s="7">
        <v>0.61399999999999999</v>
      </c>
      <c r="K1648" s="1" t="s">
        <v>21</v>
      </c>
      <c r="L1648" s="1" t="s">
        <v>21</v>
      </c>
      <c r="M1648" s="1" t="s">
        <v>29</v>
      </c>
      <c r="N1648" s="1" t="s">
        <v>22</v>
      </c>
    </row>
    <row r="1649" spans="1:14" x14ac:dyDescent="0.25">
      <c r="A1649" s="1">
        <v>1648</v>
      </c>
      <c r="B1649" s="2" t="str">
        <f>HYPERLINK("https://leetcode.com/problems/sell-diminishing-valued-colored-balls/", "Sell Diminishing-Valued Colored Balls")</f>
        <v>Sell Diminishing-Valued Colored Balls</v>
      </c>
      <c r="C1649" s="1">
        <v>1151</v>
      </c>
      <c r="D1649" s="1">
        <v>402</v>
      </c>
      <c r="E1649" s="3">
        <f>IF(INDEX(C:C, ROW())+INDEX(D:D, ROW())=0, 0, INDEX(C:C, ROW())/(INDEX(C:C, ROW())+INDEX(D:D, ROW())))</f>
        <v>0.7411461687057308</v>
      </c>
      <c r="F1649" s="1" t="s">
        <v>671</v>
      </c>
      <c r="G1649" s="1" t="s">
        <v>24</v>
      </c>
      <c r="H1649" s="1">
        <v>44001</v>
      </c>
      <c r="I1649" s="1">
        <v>146261</v>
      </c>
      <c r="J1649" s="7">
        <v>0.30099999999999999</v>
      </c>
      <c r="K1649" s="1" t="s">
        <v>21</v>
      </c>
      <c r="L1649" s="1" t="s">
        <v>29</v>
      </c>
      <c r="M1649" s="1" t="s">
        <v>29</v>
      </c>
      <c r="N1649" s="1" t="s">
        <v>22</v>
      </c>
    </row>
    <row r="1650" spans="1:14" x14ac:dyDescent="0.25">
      <c r="A1650" s="1">
        <v>1649</v>
      </c>
      <c r="B1650" s="2" t="str">
        <f>HYPERLINK("https://leetcode.com/problems/create-sorted-array-through-instructions/", "Create Sorted Array through Instructions")</f>
        <v>Create Sorted Array through Instructions</v>
      </c>
      <c r="C1650" s="1">
        <v>690</v>
      </c>
      <c r="D1650" s="1">
        <v>82</v>
      </c>
      <c r="E1650" s="3">
        <f>IF(INDEX(C:C, ROW())+INDEX(D:D, ROW())=0, 0, INDEX(C:C, ROW())/(INDEX(C:C, ROW())+INDEX(D:D, ROW())))</f>
        <v>0.89378238341968907</v>
      </c>
      <c r="F1650" s="1" t="s">
        <v>147</v>
      </c>
      <c r="G1650" s="1" t="s">
        <v>28</v>
      </c>
      <c r="H1650" s="1">
        <v>31686</v>
      </c>
      <c r="I1650" s="1">
        <v>76743</v>
      </c>
      <c r="J1650" s="7">
        <v>0.41299999999999998</v>
      </c>
      <c r="K1650" s="1" t="s">
        <v>21</v>
      </c>
      <c r="L1650" s="1" t="s">
        <v>21</v>
      </c>
      <c r="M1650" s="1" t="s">
        <v>29</v>
      </c>
      <c r="N1650" s="1" t="s">
        <v>22</v>
      </c>
    </row>
    <row r="1651" spans="1:14" x14ac:dyDescent="0.25">
      <c r="A1651" s="1">
        <v>1650</v>
      </c>
      <c r="B1651" s="2" t="str">
        <f>HYPERLINK("https://leetcode.com/problems/lowest-common-ancestor-of-a-binary-tree-iii/", "Lowest Common Ancestor of a Binary Tree III")</f>
        <v>Lowest Common Ancestor of a Binary Tree III</v>
      </c>
      <c r="C1651" s="1">
        <v>1534</v>
      </c>
      <c r="D1651" s="1">
        <v>60</v>
      </c>
      <c r="E1651" s="3">
        <f>IF(INDEX(C:C, ROW())+INDEX(D:D, ROW())=0, 0, INDEX(C:C, ROW())/(INDEX(C:C, ROW())+INDEX(D:D, ROW())))</f>
        <v>0.96235884567126728</v>
      </c>
      <c r="F1651" s="1" t="s">
        <v>581</v>
      </c>
      <c r="G1651" s="1" t="s">
        <v>24</v>
      </c>
      <c r="H1651" s="1">
        <v>402964</v>
      </c>
      <c r="I1651" s="1">
        <v>485858</v>
      </c>
      <c r="J1651" s="7">
        <v>0.82899999999999996</v>
      </c>
      <c r="K1651" s="1" t="s">
        <v>29</v>
      </c>
      <c r="L1651" s="1" t="s">
        <v>29</v>
      </c>
      <c r="M1651" s="1" t="s">
        <v>29</v>
      </c>
      <c r="N1651" s="1" t="s">
        <v>22</v>
      </c>
    </row>
    <row r="1652" spans="1:14" x14ac:dyDescent="0.25">
      <c r="A1652" s="1">
        <v>1651</v>
      </c>
      <c r="B1652" s="2" t="str">
        <f>HYPERLINK("https://leetcode.com/problems/hopper-company-queries-iii/", "Hopper Company Queries III")</f>
        <v>Hopper Company Queries III</v>
      </c>
      <c r="C1652" s="1">
        <v>34</v>
      </c>
      <c r="D1652" s="1">
        <v>63</v>
      </c>
      <c r="E1652" s="3">
        <f>IF(INDEX(C:C, ROW())+INDEX(D:D, ROW())=0, 0, INDEX(C:C, ROW())/(INDEX(C:C, ROW())+INDEX(D:D, ROW())))</f>
        <v>0.35051546391752575</v>
      </c>
      <c r="F1652" s="1" t="s">
        <v>297</v>
      </c>
      <c r="G1652" s="1" t="s">
        <v>28</v>
      </c>
      <c r="H1652" s="1">
        <v>8639</v>
      </c>
      <c r="I1652" s="1">
        <v>13227</v>
      </c>
      <c r="J1652" s="7">
        <v>0.65300000000000002</v>
      </c>
      <c r="K1652" s="1" t="s">
        <v>29</v>
      </c>
      <c r="L1652" s="1" t="s">
        <v>29</v>
      </c>
      <c r="M1652" s="1" t="s">
        <v>29</v>
      </c>
      <c r="N1652" s="1" t="s">
        <v>297</v>
      </c>
    </row>
    <row r="1653" spans="1:14" x14ac:dyDescent="0.25">
      <c r="A1653" s="1">
        <v>1652</v>
      </c>
      <c r="B1653" s="2" t="str">
        <f>HYPERLINK("https://leetcode.com/problems/defuse-the-bomb/", "Defuse the Bomb")</f>
        <v>Defuse the Bomb</v>
      </c>
      <c r="C1653" s="1">
        <v>1591</v>
      </c>
      <c r="D1653" s="1">
        <v>181</v>
      </c>
      <c r="E1653" s="3">
        <f>IF(INDEX(C:C, ROW())+INDEX(D:D, ROW())=0, 0, INDEX(C:C, ROW())/(INDEX(C:C, ROW())+INDEX(D:D, ROW())))</f>
        <v>0.89785553047404065</v>
      </c>
      <c r="F1653" s="1" t="s">
        <v>295</v>
      </c>
      <c r="G1653" s="1" t="s">
        <v>20</v>
      </c>
      <c r="H1653" s="1">
        <v>215902</v>
      </c>
      <c r="I1653" s="1">
        <v>272354</v>
      </c>
      <c r="J1653" s="7">
        <v>0.79300000000000004</v>
      </c>
      <c r="K1653" s="1" t="s">
        <v>21</v>
      </c>
      <c r="L1653" s="1" t="s">
        <v>21</v>
      </c>
      <c r="M1653" s="1" t="s">
        <v>29</v>
      </c>
      <c r="N1653" s="1" t="s">
        <v>22</v>
      </c>
    </row>
    <row r="1654" spans="1:14" x14ac:dyDescent="0.25">
      <c r="A1654" s="1">
        <v>1653</v>
      </c>
      <c r="B1654" s="2" t="str">
        <f>HYPERLINK("https://leetcode.com/problems/minimum-deletions-to-make-string-balanced/", "Minimum Deletions to Make String Balanced")</f>
        <v>Minimum Deletions to Make String Balanced</v>
      </c>
      <c r="C1654" s="1">
        <v>2592</v>
      </c>
      <c r="D1654" s="1">
        <v>81</v>
      </c>
      <c r="E1654" s="3">
        <f>IF(INDEX(C:C, ROW())+INDEX(D:D, ROW())=0, 0, INDEX(C:C, ROW())/(INDEX(C:C, ROW())+INDEX(D:D, ROW())))</f>
        <v>0.96969696969696972</v>
      </c>
      <c r="F1654" s="1" t="s">
        <v>98</v>
      </c>
      <c r="G1654" s="1" t="s">
        <v>24</v>
      </c>
      <c r="H1654" s="1">
        <v>285957</v>
      </c>
      <c r="I1654" s="1">
        <v>419345</v>
      </c>
      <c r="J1654" s="7">
        <v>0.68200000000000005</v>
      </c>
      <c r="K1654" s="1" t="s">
        <v>21</v>
      </c>
      <c r="L1654" s="1" t="s">
        <v>21</v>
      </c>
      <c r="M1654" s="1" t="s">
        <v>29</v>
      </c>
      <c r="N1654" s="1" t="s">
        <v>22</v>
      </c>
    </row>
    <row r="1655" spans="1:14" x14ac:dyDescent="0.25">
      <c r="A1655" s="1">
        <v>1654</v>
      </c>
      <c r="B1655" s="2" t="str">
        <f>HYPERLINK("https://leetcode.com/problems/minimum-jumps-to-reach-home/", "Minimum Jumps to Reach Home")</f>
        <v>Minimum Jumps to Reach Home</v>
      </c>
      <c r="C1655" s="1">
        <v>1561</v>
      </c>
      <c r="D1655" s="1">
        <v>285</v>
      </c>
      <c r="E1655" s="3">
        <f>IF(INDEX(C:C, ROW())+INDEX(D:D, ROW())=0, 0, INDEX(C:C, ROW())/(INDEX(C:C, ROW())+INDEX(D:D, ROW())))</f>
        <v>0.84561213434452875</v>
      </c>
      <c r="F1655" s="1" t="s">
        <v>276</v>
      </c>
      <c r="G1655" s="1" t="s">
        <v>24</v>
      </c>
      <c r="H1655" s="1">
        <v>52153</v>
      </c>
      <c r="I1655" s="1">
        <v>170361</v>
      </c>
      <c r="J1655" s="7">
        <v>0.30599999999999999</v>
      </c>
      <c r="K1655" s="1" t="s">
        <v>21</v>
      </c>
      <c r="L1655" s="1" t="s">
        <v>29</v>
      </c>
      <c r="M1655" s="1" t="s">
        <v>29</v>
      </c>
      <c r="N1655" s="1" t="s">
        <v>22</v>
      </c>
    </row>
    <row r="1656" spans="1:14" x14ac:dyDescent="0.25">
      <c r="A1656" s="1">
        <v>1655</v>
      </c>
      <c r="B1656" s="2" t="str">
        <f>HYPERLINK("https://leetcode.com/problems/distribute-repeating-integers/", "Distribute Repeating Integers")</f>
        <v>Distribute Repeating Integers</v>
      </c>
      <c r="C1656" s="1">
        <v>470</v>
      </c>
      <c r="D1656" s="1">
        <v>31</v>
      </c>
      <c r="E1656" s="3">
        <f>IF(INDEX(C:C, ROW())+INDEX(D:D, ROW())=0, 0, INDEX(C:C, ROW())/(INDEX(C:C, ROW())+INDEX(D:D, ROW())))</f>
        <v>0.93812375249501001</v>
      </c>
      <c r="F1656" s="1" t="s">
        <v>942</v>
      </c>
      <c r="G1656" s="1" t="s">
        <v>28</v>
      </c>
      <c r="H1656" s="1">
        <v>20984</v>
      </c>
      <c r="I1656" s="1">
        <v>51901</v>
      </c>
      <c r="J1656" s="7">
        <v>0.40400000000000003</v>
      </c>
      <c r="K1656" s="1" t="s">
        <v>21</v>
      </c>
      <c r="L1656" s="1" t="s">
        <v>29</v>
      </c>
      <c r="M1656" s="1" t="s">
        <v>29</v>
      </c>
      <c r="N1656" s="1" t="s">
        <v>22</v>
      </c>
    </row>
    <row r="1657" spans="1:14" x14ac:dyDescent="0.25">
      <c r="A1657" s="1">
        <v>1656</v>
      </c>
      <c r="B1657" s="2" t="str">
        <f>HYPERLINK("https://leetcode.com/problems/design-an-ordered-stream/", "Design an Ordered Stream")</f>
        <v>Design an Ordered Stream</v>
      </c>
      <c r="C1657" s="1">
        <v>572</v>
      </c>
      <c r="D1657" s="1">
        <v>3629</v>
      </c>
      <c r="E1657" s="3">
        <f>IF(INDEX(C:C, ROW())+INDEX(D:D, ROW())=0, 0, INDEX(C:C, ROW())/(INDEX(C:C, ROW())+INDEX(D:D, ROW())))</f>
        <v>0.13615805760533206</v>
      </c>
      <c r="F1657" s="1" t="s">
        <v>864</v>
      </c>
      <c r="G1657" s="1" t="s">
        <v>20</v>
      </c>
      <c r="H1657" s="1">
        <v>108278</v>
      </c>
      <c r="I1657" s="1">
        <v>131130</v>
      </c>
      <c r="J1657" s="7">
        <v>0.82599999999999996</v>
      </c>
      <c r="K1657" s="1" t="s">
        <v>21</v>
      </c>
      <c r="L1657" s="1" t="s">
        <v>29</v>
      </c>
      <c r="M1657" s="1" t="s">
        <v>29</v>
      </c>
      <c r="N1657" s="1" t="s">
        <v>22</v>
      </c>
    </row>
    <row r="1658" spans="1:14" x14ac:dyDescent="0.25">
      <c r="A1658" s="1">
        <v>1657</v>
      </c>
      <c r="B1658" s="2" t="str">
        <f>HYPERLINK("https://leetcode.com/problems/determine-if-two-strings-are-close/", "Determine if Two Strings Are Close")</f>
        <v>Determine if Two Strings Are Close</v>
      </c>
      <c r="C1658" s="1">
        <v>4104</v>
      </c>
      <c r="D1658" s="1">
        <v>356</v>
      </c>
      <c r="E1658" s="3">
        <f>IF(INDEX(C:C, ROW())+INDEX(D:D, ROW())=0, 0, INDEX(C:C, ROW())/(INDEX(C:C, ROW())+INDEX(D:D, ROW())))</f>
        <v>0.92017937219730939</v>
      </c>
      <c r="F1658" s="1" t="s">
        <v>305</v>
      </c>
      <c r="G1658" s="1" t="s">
        <v>24</v>
      </c>
      <c r="H1658" s="1">
        <v>553845</v>
      </c>
      <c r="I1658" s="1">
        <v>1021284</v>
      </c>
      <c r="J1658" s="7">
        <v>0.54200000000000004</v>
      </c>
      <c r="K1658" s="1" t="s">
        <v>21</v>
      </c>
      <c r="L1658" s="1" t="s">
        <v>21</v>
      </c>
      <c r="M1658" s="1" t="s">
        <v>29</v>
      </c>
      <c r="N1658" s="1" t="s">
        <v>22</v>
      </c>
    </row>
    <row r="1659" spans="1:14" x14ac:dyDescent="0.25">
      <c r="A1659" s="1">
        <v>1658</v>
      </c>
      <c r="B1659" s="2" t="str">
        <f>HYPERLINK("https://leetcode.com/problems/minimum-operations-to-reduce-x-to-zero/", "Minimum Operations to Reduce X to Zero")</f>
        <v>Minimum Operations to Reduce X to Zero</v>
      </c>
      <c r="C1659" s="1">
        <v>5750</v>
      </c>
      <c r="D1659" s="1">
        <v>127</v>
      </c>
      <c r="E1659" s="3">
        <f>IF(INDEX(C:C, ROW())+INDEX(D:D, ROW())=0, 0, INDEX(C:C, ROW())/(INDEX(C:C, ROW())+INDEX(D:D, ROW())))</f>
        <v>0.9783903352050366</v>
      </c>
      <c r="F1659" s="1" t="s">
        <v>235</v>
      </c>
      <c r="G1659" s="1" t="s">
        <v>24</v>
      </c>
      <c r="H1659" s="1">
        <v>228978</v>
      </c>
      <c r="I1659" s="1">
        <v>566404</v>
      </c>
      <c r="J1659" s="7">
        <v>0.40400000000000003</v>
      </c>
      <c r="K1659" s="1" t="s">
        <v>21</v>
      </c>
      <c r="L1659" s="1" t="s">
        <v>21</v>
      </c>
      <c r="M1659" s="1" t="s">
        <v>29</v>
      </c>
      <c r="N1659" s="1" t="s">
        <v>22</v>
      </c>
    </row>
    <row r="1660" spans="1:14" x14ac:dyDescent="0.25">
      <c r="A1660" s="1">
        <v>1659</v>
      </c>
      <c r="B1660" s="2" t="str">
        <f>HYPERLINK("https://leetcode.com/problems/maximize-grid-happiness/", "Maximize Grid Happiness")</f>
        <v>Maximize Grid Happiness</v>
      </c>
      <c r="C1660" s="1">
        <v>342</v>
      </c>
      <c r="D1660" s="1">
        <v>56</v>
      </c>
      <c r="E1660" s="3">
        <f>IF(INDEX(C:C, ROW())+INDEX(D:D, ROW())=0, 0, INDEX(C:C, ROW())/(INDEX(C:C, ROW())+INDEX(D:D, ROW())))</f>
        <v>0.85929648241206025</v>
      </c>
      <c r="F1660" s="1" t="s">
        <v>1022</v>
      </c>
      <c r="G1660" s="1" t="s">
        <v>28</v>
      </c>
      <c r="H1660" s="1">
        <v>7362</v>
      </c>
      <c r="I1660" s="1">
        <v>18028</v>
      </c>
      <c r="J1660" s="7">
        <v>0.40799999999999997</v>
      </c>
      <c r="K1660" s="1" t="s">
        <v>21</v>
      </c>
      <c r="L1660" s="1" t="s">
        <v>29</v>
      </c>
      <c r="M1660" s="1" t="s">
        <v>29</v>
      </c>
      <c r="N1660" s="1" t="s">
        <v>22</v>
      </c>
    </row>
    <row r="1661" spans="1:14" x14ac:dyDescent="0.25">
      <c r="A1661" s="1">
        <v>1660</v>
      </c>
      <c r="B1661" s="2" t="str">
        <f>HYPERLINK("https://leetcode.com/problems/correct-a-binary-tree/", "Correct a Binary Tree")</f>
        <v>Correct a Binary Tree</v>
      </c>
      <c r="C1661" s="1">
        <v>277</v>
      </c>
      <c r="D1661" s="1">
        <v>47</v>
      </c>
      <c r="E1661" s="3">
        <f>IF(INDEX(C:C, ROW())+INDEX(D:D, ROW())=0, 0, INDEX(C:C, ROW())/(INDEX(C:C, ROW())+INDEX(D:D, ROW())))</f>
        <v>0.85493827160493829</v>
      </c>
      <c r="F1661" s="1" t="s">
        <v>107</v>
      </c>
      <c r="G1661" s="1" t="s">
        <v>24</v>
      </c>
      <c r="H1661" s="1">
        <v>22978</v>
      </c>
      <c r="I1661" s="1">
        <v>30923</v>
      </c>
      <c r="J1661" s="7">
        <v>0.74299999999999999</v>
      </c>
      <c r="K1661" s="1" t="s">
        <v>29</v>
      </c>
      <c r="L1661" s="1" t="s">
        <v>21</v>
      </c>
      <c r="M1661" s="1" t="s">
        <v>29</v>
      </c>
      <c r="N1661" s="1" t="s">
        <v>22</v>
      </c>
    </row>
    <row r="1662" spans="1:14" x14ac:dyDescent="0.25">
      <c r="A1662" s="1">
        <v>1661</v>
      </c>
      <c r="B1662" s="2" t="str">
        <f>HYPERLINK("https://leetcode.com/problems/average-time-of-process-per-machine/", "Average Time of Process per Machine")</f>
        <v>Average Time of Process per Machine</v>
      </c>
      <c r="C1662" s="1">
        <v>2400</v>
      </c>
      <c r="D1662" s="1">
        <v>241</v>
      </c>
      <c r="E1662" s="3">
        <f>IF(INDEX(C:C, ROW())+INDEX(D:D, ROW())=0, 0, INDEX(C:C, ROW())/(INDEX(C:C, ROW())+INDEX(D:D, ROW())))</f>
        <v>0.90874668686103743</v>
      </c>
      <c r="F1662" s="1" t="s">
        <v>297</v>
      </c>
      <c r="G1662" s="1" t="s">
        <v>20</v>
      </c>
      <c r="H1662" s="1">
        <v>747218</v>
      </c>
      <c r="I1662" s="1">
        <v>1116530</v>
      </c>
      <c r="J1662" s="7">
        <v>0.66900000000000004</v>
      </c>
      <c r="K1662" s="1" t="s">
        <v>21</v>
      </c>
      <c r="L1662" s="1" t="s">
        <v>21</v>
      </c>
      <c r="M1662" s="1" t="s">
        <v>29</v>
      </c>
      <c r="N1662" s="1" t="s">
        <v>297</v>
      </c>
    </row>
    <row r="1663" spans="1:14" x14ac:dyDescent="0.25">
      <c r="A1663" s="1">
        <v>1662</v>
      </c>
      <c r="B1663" s="2" t="str">
        <f>HYPERLINK("https://leetcode.com/problems/check-if-two-string-arrays-are-equivalent/", "Check If Two String Arrays are Equivalent")</f>
        <v>Check If Two String Arrays are Equivalent</v>
      </c>
      <c r="C1663" s="1">
        <v>3152</v>
      </c>
      <c r="D1663" s="1">
        <v>205</v>
      </c>
      <c r="E1663" s="3">
        <f>IF(INDEX(C:C, ROW())+INDEX(D:D, ROW())=0, 0, INDEX(C:C, ROW())/(INDEX(C:C, ROW())+INDEX(D:D, ROW())))</f>
        <v>0.93893357164134639</v>
      </c>
      <c r="F1663" s="1" t="s">
        <v>369</v>
      </c>
      <c r="G1663" s="1" t="s">
        <v>20</v>
      </c>
      <c r="H1663" s="1">
        <v>604430</v>
      </c>
      <c r="I1663" s="1">
        <v>702424</v>
      </c>
      <c r="J1663" s="7">
        <v>0.86</v>
      </c>
      <c r="K1663" s="1" t="s">
        <v>21</v>
      </c>
      <c r="L1663" s="1" t="s">
        <v>21</v>
      </c>
      <c r="M1663" s="1" t="s">
        <v>29</v>
      </c>
      <c r="N1663" s="1" t="s">
        <v>22</v>
      </c>
    </row>
    <row r="1664" spans="1:14" x14ac:dyDescent="0.25">
      <c r="A1664" s="1">
        <v>1663</v>
      </c>
      <c r="B1664" s="2" t="str">
        <f>HYPERLINK("https://leetcode.com/problems/smallest-string-with-a-given-numeric-value/", "Smallest String With A Given Numeric Value")</f>
        <v>Smallest String With A Given Numeric Value</v>
      </c>
      <c r="C1664" s="1">
        <v>1922</v>
      </c>
      <c r="D1664" s="1">
        <v>64</v>
      </c>
      <c r="E1664" s="3">
        <f>IF(INDEX(C:C, ROW())+INDEX(D:D, ROW())=0, 0, INDEX(C:C, ROW())/(INDEX(C:C, ROW())+INDEX(D:D, ROW())))</f>
        <v>0.96777442094662636</v>
      </c>
      <c r="F1664" s="1" t="s">
        <v>424</v>
      </c>
      <c r="G1664" s="1" t="s">
        <v>24</v>
      </c>
      <c r="H1664" s="1">
        <v>104399</v>
      </c>
      <c r="I1664" s="1">
        <v>154838</v>
      </c>
      <c r="J1664" s="7">
        <v>0.67400000000000004</v>
      </c>
      <c r="K1664" s="1" t="s">
        <v>21</v>
      </c>
      <c r="L1664" s="1" t="s">
        <v>21</v>
      </c>
      <c r="M1664" s="1" t="s">
        <v>29</v>
      </c>
      <c r="N1664" s="1" t="s">
        <v>22</v>
      </c>
    </row>
    <row r="1665" spans="1:14" x14ac:dyDescent="0.25">
      <c r="A1665" s="1">
        <v>1664</v>
      </c>
      <c r="B1665" s="2" t="str">
        <f>HYPERLINK("https://leetcode.com/problems/ways-to-make-a-fair-array/", "Ways to Make a Fair Array")</f>
        <v>Ways to Make a Fair Array</v>
      </c>
      <c r="C1665" s="1">
        <v>1395</v>
      </c>
      <c r="D1665" s="1">
        <v>47</v>
      </c>
      <c r="E1665" s="3">
        <f>IF(INDEX(C:C, ROW())+INDEX(D:D, ROW())=0, 0, INDEX(C:C, ROW())/(INDEX(C:C, ROW())+INDEX(D:D, ROW())))</f>
        <v>0.96740638002773927</v>
      </c>
      <c r="F1665" s="1" t="s">
        <v>37</v>
      </c>
      <c r="G1665" s="1" t="s">
        <v>24</v>
      </c>
      <c r="H1665" s="1">
        <v>55037</v>
      </c>
      <c r="I1665" s="1">
        <v>82957</v>
      </c>
      <c r="J1665" s="7">
        <v>0.66300000000000003</v>
      </c>
      <c r="K1665" s="1" t="s">
        <v>21</v>
      </c>
      <c r="L1665" s="1" t="s">
        <v>29</v>
      </c>
      <c r="M1665" s="1" t="s">
        <v>29</v>
      </c>
      <c r="N1665" s="1" t="s">
        <v>22</v>
      </c>
    </row>
    <row r="1666" spans="1:14" x14ac:dyDescent="0.25">
      <c r="A1666" s="1">
        <v>1665</v>
      </c>
      <c r="B1666" s="2" t="str">
        <f>HYPERLINK("https://leetcode.com/problems/minimum-initial-energy-to-finish-tasks/", "Minimum Initial Energy to Finish Tasks")</f>
        <v>Minimum Initial Energy to Finish Tasks</v>
      </c>
      <c r="C1666" s="1">
        <v>615</v>
      </c>
      <c r="D1666" s="1">
        <v>40</v>
      </c>
      <c r="E1666" s="3">
        <f>IF(INDEX(C:C, ROW())+INDEX(D:D, ROW())=0, 0, INDEX(C:C, ROW())/(INDEX(C:C, ROW())+INDEX(D:D, ROW())))</f>
        <v>0.93893129770992367</v>
      </c>
      <c r="F1666" s="1" t="s">
        <v>169</v>
      </c>
      <c r="G1666" s="1" t="s">
        <v>28</v>
      </c>
      <c r="H1666" s="1">
        <v>23026</v>
      </c>
      <c r="I1666" s="1">
        <v>37971</v>
      </c>
      <c r="J1666" s="7">
        <v>0.60599999999999998</v>
      </c>
      <c r="K1666" s="1" t="s">
        <v>21</v>
      </c>
      <c r="L1666" s="1" t="s">
        <v>29</v>
      </c>
      <c r="M1666" s="1" t="s">
        <v>29</v>
      </c>
      <c r="N1666" s="1" t="s">
        <v>22</v>
      </c>
    </row>
    <row r="1667" spans="1:14" x14ac:dyDescent="0.25">
      <c r="A1667" s="1">
        <v>1666</v>
      </c>
      <c r="B1667" s="2" t="str">
        <f>HYPERLINK("https://leetcode.com/problems/change-the-root-of-a-binary-tree/", "Change the Root of a Binary Tree")</f>
        <v>Change the Root of a Binary Tree</v>
      </c>
      <c r="C1667" s="1">
        <v>69</v>
      </c>
      <c r="D1667" s="1">
        <v>199</v>
      </c>
      <c r="E1667" s="3">
        <f>IF(INDEX(C:C, ROW())+INDEX(D:D, ROW())=0, 0, INDEX(C:C, ROW())/(INDEX(C:C, ROW())+INDEX(D:D, ROW())))</f>
        <v>0.2574626865671642</v>
      </c>
      <c r="F1667" s="1" t="s">
        <v>67</v>
      </c>
      <c r="G1667" s="1" t="s">
        <v>24</v>
      </c>
      <c r="H1667" s="1">
        <v>5895</v>
      </c>
      <c r="I1667" s="1">
        <v>7850</v>
      </c>
      <c r="J1667" s="7">
        <v>0.751</v>
      </c>
      <c r="K1667" s="1" t="s">
        <v>29</v>
      </c>
      <c r="L1667" s="1" t="s">
        <v>29</v>
      </c>
      <c r="M1667" s="1" t="s">
        <v>29</v>
      </c>
      <c r="N1667" s="1" t="s">
        <v>22</v>
      </c>
    </row>
    <row r="1668" spans="1:14" x14ac:dyDescent="0.25">
      <c r="A1668" s="1">
        <v>1667</v>
      </c>
      <c r="B1668" s="2" t="str">
        <f>HYPERLINK("https://leetcode.com/problems/fix-names-in-a-table/", "Fix Names in a Table")</f>
        <v>Fix Names in a Table</v>
      </c>
      <c r="C1668" s="1">
        <v>1070</v>
      </c>
      <c r="D1668" s="1">
        <v>143</v>
      </c>
      <c r="E1668" s="3">
        <f>IF(INDEX(C:C, ROW())+INDEX(D:D, ROW())=0, 0, INDEX(C:C, ROW())/(INDEX(C:C, ROW())+INDEX(D:D, ROW())))</f>
        <v>0.88211046990931574</v>
      </c>
      <c r="F1668" s="1" t="s">
        <v>297</v>
      </c>
      <c r="G1668" s="1" t="s">
        <v>20</v>
      </c>
      <c r="H1668" s="1">
        <v>440192</v>
      </c>
      <c r="I1668" s="1">
        <v>726528</v>
      </c>
      <c r="J1668" s="7">
        <v>0.60599999999999998</v>
      </c>
      <c r="K1668" s="1" t="s">
        <v>21</v>
      </c>
      <c r="L1668" s="1" t="s">
        <v>21</v>
      </c>
      <c r="M1668" s="1" t="s">
        <v>29</v>
      </c>
      <c r="N1668" s="1" t="s">
        <v>297</v>
      </c>
    </row>
    <row r="1669" spans="1:14" x14ac:dyDescent="0.25">
      <c r="A1669" s="1">
        <v>1668</v>
      </c>
      <c r="B1669" s="2" t="str">
        <f>HYPERLINK("https://leetcode.com/problems/maximum-repeating-substring/", "Maximum Repeating Substring")</f>
        <v>Maximum Repeating Substring</v>
      </c>
      <c r="C1669" s="1">
        <v>826</v>
      </c>
      <c r="D1669" s="1">
        <v>298</v>
      </c>
      <c r="E1669" s="3">
        <f>IF(INDEX(C:C, ROW())+INDEX(D:D, ROW())=0, 0, INDEX(C:C, ROW())/(INDEX(C:C, ROW())+INDEX(D:D, ROW())))</f>
        <v>0.73487544483985767</v>
      </c>
      <c r="F1669" s="1" t="s">
        <v>760</v>
      </c>
      <c r="G1669" s="1" t="s">
        <v>20</v>
      </c>
      <c r="H1669" s="1">
        <v>103927</v>
      </c>
      <c r="I1669" s="1">
        <v>252962</v>
      </c>
      <c r="J1669" s="7">
        <v>0.41099999999999998</v>
      </c>
      <c r="K1669" s="1" t="s">
        <v>21</v>
      </c>
      <c r="L1669" s="1" t="s">
        <v>29</v>
      </c>
      <c r="M1669" s="1" t="s">
        <v>29</v>
      </c>
      <c r="N1669" s="1" t="s">
        <v>22</v>
      </c>
    </row>
    <row r="1670" spans="1:14" x14ac:dyDescent="0.25">
      <c r="A1670" s="1">
        <v>1669</v>
      </c>
      <c r="B1670" s="2" t="str">
        <f>HYPERLINK("https://leetcode.com/problems/merge-in-between-linked-lists/", "Merge In Between Linked Lists")</f>
        <v>Merge In Between Linked Lists</v>
      </c>
      <c r="C1670" s="1">
        <v>2256</v>
      </c>
      <c r="D1670" s="1">
        <v>227</v>
      </c>
      <c r="E1670" s="3">
        <f>IF(INDEX(C:C, ROW())+INDEX(D:D, ROW())=0, 0, INDEX(C:C, ROW())/(INDEX(C:C, ROW())+INDEX(D:D, ROW())))</f>
        <v>0.90857833266210231</v>
      </c>
      <c r="F1670" s="1" t="s">
        <v>104</v>
      </c>
      <c r="G1670" s="1" t="s">
        <v>24</v>
      </c>
      <c r="H1670" s="1">
        <v>272689</v>
      </c>
      <c r="I1670" s="1">
        <v>329165</v>
      </c>
      <c r="J1670" s="7">
        <v>0.82799999999999996</v>
      </c>
      <c r="K1670" s="1" t="s">
        <v>21</v>
      </c>
      <c r="L1670" s="1" t="s">
        <v>21</v>
      </c>
      <c r="M1670" s="1" t="s">
        <v>29</v>
      </c>
      <c r="N1670" s="1" t="s">
        <v>22</v>
      </c>
    </row>
    <row r="1671" spans="1:14" x14ac:dyDescent="0.25">
      <c r="A1671" s="1">
        <v>1670</v>
      </c>
      <c r="B1671" s="2" t="str">
        <f>HYPERLINK("https://leetcode.com/problems/design-front-middle-back-queue/", "Design Front Middle Back Queue")</f>
        <v>Design Front Middle Back Queue</v>
      </c>
      <c r="C1671" s="1">
        <v>815</v>
      </c>
      <c r="D1671" s="1">
        <v>114</v>
      </c>
      <c r="E1671" s="3">
        <f>IF(INDEX(C:C, ROW())+INDEX(D:D, ROW())=0, 0, INDEX(C:C, ROW())/(INDEX(C:C, ROW())+INDEX(D:D, ROW())))</f>
        <v>0.87728740581270181</v>
      </c>
      <c r="F1671" s="1" t="s">
        <v>767</v>
      </c>
      <c r="G1671" s="1" t="s">
        <v>24</v>
      </c>
      <c r="H1671" s="1">
        <v>42177</v>
      </c>
      <c r="I1671" s="1">
        <v>74112</v>
      </c>
      <c r="J1671" s="7">
        <v>0.56899999999999995</v>
      </c>
      <c r="K1671" s="1" t="s">
        <v>21</v>
      </c>
      <c r="L1671" s="1" t="s">
        <v>29</v>
      </c>
      <c r="M1671" s="1" t="s">
        <v>29</v>
      </c>
      <c r="N1671" s="1" t="s">
        <v>22</v>
      </c>
    </row>
    <row r="1672" spans="1:14" x14ac:dyDescent="0.25">
      <c r="A1672" s="1">
        <v>1671</v>
      </c>
      <c r="B1672" s="2" t="str">
        <f>HYPERLINK("https://leetcode.com/problems/minimum-number-of-removals-to-make-mountain-array/", "Minimum Number of Removals to Make Mountain Array")</f>
        <v>Minimum Number of Removals to Make Mountain Array</v>
      </c>
      <c r="C1672" s="1">
        <v>2280</v>
      </c>
      <c r="D1672" s="1">
        <v>41</v>
      </c>
      <c r="E1672" s="3">
        <f>IF(INDEX(C:C, ROW())+INDEX(D:D, ROW())=0, 0, INDEX(C:C, ROW())/(INDEX(C:C, ROW())+INDEX(D:D, ROW())))</f>
        <v>0.98233520034467903</v>
      </c>
      <c r="F1672" s="1" t="s">
        <v>458</v>
      </c>
      <c r="G1672" s="1" t="s">
        <v>28</v>
      </c>
      <c r="H1672" s="1">
        <v>121969</v>
      </c>
      <c r="I1672" s="1">
        <v>222566</v>
      </c>
      <c r="J1672" s="7">
        <v>0.54800000000000004</v>
      </c>
      <c r="K1672" s="1" t="s">
        <v>21</v>
      </c>
      <c r="L1672" s="1" t="s">
        <v>21</v>
      </c>
      <c r="M1672" s="1" t="s">
        <v>29</v>
      </c>
      <c r="N1672" s="1" t="s">
        <v>22</v>
      </c>
    </row>
    <row r="1673" spans="1:14" x14ac:dyDescent="0.25">
      <c r="A1673" s="1">
        <v>1672</v>
      </c>
      <c r="B1673" s="2" t="str">
        <f>HYPERLINK("https://leetcode.com/problems/richest-customer-wealth/", "Richest Customer Wealth")</f>
        <v>Richest Customer Wealth</v>
      </c>
      <c r="C1673" s="1">
        <v>4845</v>
      </c>
      <c r="D1673" s="1">
        <v>389</v>
      </c>
      <c r="E1673" s="3">
        <f>IF(INDEX(C:C, ROW())+INDEX(D:D, ROW())=0, 0, INDEX(C:C, ROW())/(INDEX(C:C, ROW())+INDEX(D:D, ROW())))</f>
        <v>0.92567825754680932</v>
      </c>
      <c r="F1673" s="1" t="s">
        <v>266</v>
      </c>
      <c r="G1673" s="1" t="s">
        <v>20</v>
      </c>
      <c r="H1673" s="1">
        <v>1202096</v>
      </c>
      <c r="I1673" s="1">
        <v>1355722</v>
      </c>
      <c r="J1673" s="7">
        <v>0.88700000000000001</v>
      </c>
      <c r="K1673" s="1" t="s">
        <v>21</v>
      </c>
      <c r="L1673" s="1" t="s">
        <v>21</v>
      </c>
      <c r="M1673" s="1" t="s">
        <v>21</v>
      </c>
      <c r="N1673" s="1" t="s">
        <v>22</v>
      </c>
    </row>
    <row r="1674" spans="1:14" x14ac:dyDescent="0.25">
      <c r="A1674" s="1">
        <v>1673</v>
      </c>
      <c r="B1674" s="2" t="str">
        <f>HYPERLINK("https://leetcode.com/problems/find-the-most-competitive-subsequence/", "Find the Most Competitive Subsequence")</f>
        <v>Find the Most Competitive Subsequence</v>
      </c>
      <c r="C1674" s="1">
        <v>2180</v>
      </c>
      <c r="D1674" s="1">
        <v>106</v>
      </c>
      <c r="E1674" s="3">
        <f>IF(INDEX(C:C, ROW())+INDEX(D:D, ROW())=0, 0, INDEX(C:C, ROW())/(INDEX(C:C, ROW())+INDEX(D:D, ROW())))</f>
        <v>0.95363079615048119</v>
      </c>
      <c r="F1674" s="1" t="s">
        <v>473</v>
      </c>
      <c r="G1674" s="1" t="s">
        <v>24</v>
      </c>
      <c r="H1674" s="1">
        <v>82186</v>
      </c>
      <c r="I1674" s="1">
        <v>156006</v>
      </c>
      <c r="J1674" s="7">
        <v>0.52700000000000002</v>
      </c>
      <c r="K1674" s="1" t="s">
        <v>21</v>
      </c>
      <c r="L1674" s="1" t="s">
        <v>21</v>
      </c>
      <c r="M1674" s="1" t="s">
        <v>29</v>
      </c>
      <c r="N1674" s="1" t="s">
        <v>22</v>
      </c>
    </row>
    <row r="1675" spans="1:14" x14ac:dyDescent="0.25">
      <c r="A1675" s="1">
        <v>1674</v>
      </c>
      <c r="B1675" s="2" t="str">
        <f>HYPERLINK("https://leetcode.com/problems/minimum-moves-to-make-array-complementary/", "Minimum Moves to Make Array Complementary")</f>
        <v>Minimum Moves to Make Array Complementary</v>
      </c>
      <c r="C1675" s="1">
        <v>746</v>
      </c>
      <c r="D1675" s="1">
        <v>85</v>
      </c>
      <c r="E1675" s="3">
        <f>IF(INDEX(C:C, ROW())+INDEX(D:D, ROW())=0, 0, INDEX(C:C, ROW())/(INDEX(C:C, ROW())+INDEX(D:D, ROW())))</f>
        <v>0.89771359807460893</v>
      </c>
      <c r="F1675" s="1" t="s">
        <v>39</v>
      </c>
      <c r="G1675" s="1" t="s">
        <v>24</v>
      </c>
      <c r="H1675" s="1">
        <v>12852</v>
      </c>
      <c r="I1675" s="1">
        <v>29695</v>
      </c>
      <c r="J1675" s="7">
        <v>0.433</v>
      </c>
      <c r="K1675" s="1" t="s">
        <v>21</v>
      </c>
      <c r="L1675" s="1" t="s">
        <v>29</v>
      </c>
      <c r="M1675" s="1" t="s">
        <v>29</v>
      </c>
      <c r="N1675" s="1" t="s">
        <v>22</v>
      </c>
    </row>
    <row r="1676" spans="1:14" x14ac:dyDescent="0.25">
      <c r="A1676" s="1">
        <v>1675</v>
      </c>
      <c r="B1676" s="2" t="str">
        <f>HYPERLINK("https://leetcode.com/problems/minimize-deviation-in-array/", "Minimize Deviation in Array")</f>
        <v>Minimize Deviation in Array</v>
      </c>
      <c r="C1676" s="1">
        <v>3086</v>
      </c>
      <c r="D1676" s="1">
        <v>175</v>
      </c>
      <c r="E1676" s="3">
        <f>IF(INDEX(C:C, ROW())+INDEX(D:D, ROW())=0, 0, INDEX(C:C, ROW())/(INDEX(C:C, ROW())+INDEX(D:D, ROW())))</f>
        <v>0.9463354799141368</v>
      </c>
      <c r="F1676" s="1" t="s">
        <v>373</v>
      </c>
      <c r="G1676" s="1" t="s">
        <v>28</v>
      </c>
      <c r="H1676" s="1">
        <v>100452</v>
      </c>
      <c r="I1676" s="1">
        <v>186089</v>
      </c>
      <c r="J1676" s="7">
        <v>0.54</v>
      </c>
      <c r="K1676" s="1" t="s">
        <v>21</v>
      </c>
      <c r="L1676" s="1" t="s">
        <v>21</v>
      </c>
      <c r="M1676" s="1" t="s">
        <v>29</v>
      </c>
      <c r="N1676" s="1" t="s">
        <v>22</v>
      </c>
    </row>
    <row r="1677" spans="1:14" x14ac:dyDescent="0.25">
      <c r="A1677" s="1">
        <v>1676</v>
      </c>
      <c r="B1677" s="2" t="str">
        <f>HYPERLINK("https://leetcode.com/problems/lowest-common-ancestor-of-a-binary-tree-iv/", "Lowest Common Ancestor of a Binary Tree IV")</f>
        <v>Lowest Common Ancestor of a Binary Tree IV</v>
      </c>
      <c r="C1677" s="1">
        <v>502</v>
      </c>
      <c r="D1677" s="1">
        <v>16</v>
      </c>
      <c r="E1677" s="3">
        <f>IF(INDEX(C:C, ROW())+INDEX(D:D, ROW())=0, 0, INDEX(C:C, ROW())/(INDEX(C:C, ROW())+INDEX(D:D, ROW())))</f>
        <v>0.96911196911196906</v>
      </c>
      <c r="F1677" s="1" t="s">
        <v>224</v>
      </c>
      <c r="G1677" s="1" t="s">
        <v>24</v>
      </c>
      <c r="H1677" s="1">
        <v>62628</v>
      </c>
      <c r="I1677" s="1">
        <v>78759</v>
      </c>
      <c r="J1677" s="7">
        <v>0.79500000000000004</v>
      </c>
      <c r="K1677" s="1" t="s">
        <v>29</v>
      </c>
      <c r="L1677" s="1" t="s">
        <v>29</v>
      </c>
      <c r="M1677" s="1" t="s">
        <v>29</v>
      </c>
      <c r="N1677" s="1" t="s">
        <v>22</v>
      </c>
    </row>
    <row r="1678" spans="1:14" x14ac:dyDescent="0.25">
      <c r="A1678" s="1">
        <v>1677</v>
      </c>
      <c r="B1678" s="2" t="str">
        <f>HYPERLINK("https://leetcode.com/problems/products-worth-over-invoices/", "Product's Worth Over Invoices")</f>
        <v>Product's Worth Over Invoices</v>
      </c>
      <c r="C1678" s="1">
        <v>40</v>
      </c>
      <c r="D1678" s="1">
        <v>136</v>
      </c>
      <c r="E1678" s="3">
        <f>IF(INDEX(C:C, ROW())+INDEX(D:D, ROW())=0, 0, INDEX(C:C, ROW())/(INDEX(C:C, ROW())+INDEX(D:D, ROW())))</f>
        <v>0.22727272727272727</v>
      </c>
      <c r="F1678" s="1" t="s">
        <v>297</v>
      </c>
      <c r="G1678" s="1" t="s">
        <v>20</v>
      </c>
      <c r="H1678" s="1">
        <v>20294</v>
      </c>
      <c r="I1678" s="1">
        <v>52614</v>
      </c>
      <c r="J1678" s="7">
        <v>0.38600000000000001</v>
      </c>
      <c r="K1678" s="1" t="s">
        <v>29</v>
      </c>
      <c r="L1678" s="1" t="s">
        <v>29</v>
      </c>
      <c r="M1678" s="1" t="s">
        <v>29</v>
      </c>
      <c r="N1678" s="1" t="s">
        <v>297</v>
      </c>
    </row>
    <row r="1679" spans="1:14" x14ac:dyDescent="0.25">
      <c r="A1679" s="1">
        <v>1678</v>
      </c>
      <c r="B1679" s="2" t="str">
        <f>HYPERLINK("https://leetcode.com/problems/goal-parser-interpretation/", "Goal Parser Interpretation")</f>
        <v>Goal Parser Interpretation</v>
      </c>
      <c r="C1679" s="1">
        <v>1670</v>
      </c>
      <c r="D1679" s="1">
        <v>93</v>
      </c>
      <c r="E1679" s="3">
        <f>IF(INDEX(C:C, ROW())+INDEX(D:D, ROW())=0, 0, INDEX(C:C, ROW())/(INDEX(C:C, ROW())+INDEX(D:D, ROW())))</f>
        <v>0.94724900737379469</v>
      </c>
      <c r="F1679" s="1" t="s">
        <v>146</v>
      </c>
      <c r="G1679" s="1" t="s">
        <v>20</v>
      </c>
      <c r="H1679" s="1">
        <v>320050</v>
      </c>
      <c r="I1679" s="1">
        <v>363723</v>
      </c>
      <c r="J1679" s="7">
        <v>0.88</v>
      </c>
      <c r="K1679" s="1" t="s">
        <v>21</v>
      </c>
      <c r="L1679" s="1" t="s">
        <v>29</v>
      </c>
      <c r="M1679" s="1" t="s">
        <v>29</v>
      </c>
      <c r="N1679" s="1" t="s">
        <v>22</v>
      </c>
    </row>
    <row r="1680" spans="1:14" x14ac:dyDescent="0.25">
      <c r="A1680" s="1">
        <v>1679</v>
      </c>
      <c r="B1680" s="2" t="str">
        <f>HYPERLINK("https://leetcode.com/problems/max-number-of-k-sum-pairs/", "Max Number of K-Sum Pairs")</f>
        <v>Max Number of K-Sum Pairs</v>
      </c>
      <c r="C1680" s="1">
        <v>3533</v>
      </c>
      <c r="D1680" s="1">
        <v>121</v>
      </c>
      <c r="E1680" s="3">
        <f>IF(INDEX(C:C, ROW())+INDEX(D:D, ROW())=0, 0, INDEX(C:C, ROW())/(INDEX(C:C, ROW())+INDEX(D:D, ROW())))</f>
        <v>0.96688560481663932</v>
      </c>
      <c r="F1680" s="1" t="s">
        <v>347</v>
      </c>
      <c r="G1680" s="1" t="s">
        <v>24</v>
      </c>
      <c r="H1680" s="1">
        <v>582697</v>
      </c>
      <c r="I1680" s="1">
        <v>1024712</v>
      </c>
      <c r="J1680" s="7">
        <v>0.56899999999999995</v>
      </c>
      <c r="K1680" s="1" t="s">
        <v>21</v>
      </c>
      <c r="L1680" s="1" t="s">
        <v>21</v>
      </c>
      <c r="M1680" s="1" t="s">
        <v>29</v>
      </c>
      <c r="N1680" s="1" t="s">
        <v>22</v>
      </c>
    </row>
    <row r="1681" spans="1:14" x14ac:dyDescent="0.25">
      <c r="A1681" s="1">
        <v>1680</v>
      </c>
      <c r="B1681" s="2" t="str">
        <f>HYPERLINK("https://leetcode.com/problems/concatenation-of-consecutive-binary-numbers/", "Concatenation of Consecutive Binary Numbers")</f>
        <v>Concatenation of Consecutive Binary Numbers</v>
      </c>
      <c r="C1681" s="1">
        <v>1452</v>
      </c>
      <c r="D1681" s="1">
        <v>437</v>
      </c>
      <c r="E1681" s="3">
        <f>IF(INDEX(C:C, ROW())+INDEX(D:D, ROW())=0, 0, INDEX(C:C, ROW())/(INDEX(C:C, ROW())+INDEX(D:D, ROW())))</f>
        <v>0.76866066701958713</v>
      </c>
      <c r="F1681" s="1" t="s">
        <v>601</v>
      </c>
      <c r="G1681" s="1" t="s">
        <v>24</v>
      </c>
      <c r="H1681" s="1">
        <v>95725</v>
      </c>
      <c r="I1681" s="1">
        <v>168167</v>
      </c>
      <c r="J1681" s="7">
        <v>0.56899999999999995</v>
      </c>
      <c r="K1681" s="1" t="s">
        <v>21</v>
      </c>
      <c r="L1681" s="1" t="s">
        <v>21</v>
      </c>
      <c r="M1681" s="1" t="s">
        <v>29</v>
      </c>
      <c r="N1681" s="1" t="s">
        <v>22</v>
      </c>
    </row>
    <row r="1682" spans="1:14" x14ac:dyDescent="0.25">
      <c r="A1682" s="1">
        <v>1681</v>
      </c>
      <c r="B1682" s="2" t="str">
        <f>HYPERLINK("https://leetcode.com/problems/minimum-incompatibility/", "Minimum Incompatibility")</f>
        <v>Minimum Incompatibility</v>
      </c>
      <c r="C1682" s="1">
        <v>297</v>
      </c>
      <c r="D1682" s="1">
        <v>101</v>
      </c>
      <c r="E1682" s="3">
        <f>IF(INDEX(C:C, ROW())+INDEX(D:D, ROW())=0, 0, INDEX(C:C, ROW())/(INDEX(C:C, ROW())+INDEX(D:D, ROW())))</f>
        <v>0.74623115577889443</v>
      </c>
      <c r="F1682" s="1" t="s">
        <v>1045</v>
      </c>
      <c r="G1682" s="1" t="s">
        <v>28</v>
      </c>
      <c r="H1682" s="1">
        <v>10913</v>
      </c>
      <c r="I1682" s="1">
        <v>26595</v>
      </c>
      <c r="J1682" s="7">
        <v>0.41</v>
      </c>
      <c r="K1682" s="1" t="s">
        <v>21</v>
      </c>
      <c r="L1682" s="1" t="s">
        <v>29</v>
      </c>
      <c r="M1682" s="1" t="s">
        <v>29</v>
      </c>
      <c r="N1682" s="1" t="s">
        <v>22</v>
      </c>
    </row>
    <row r="1683" spans="1:14" x14ac:dyDescent="0.25">
      <c r="A1683" s="1">
        <v>1682</v>
      </c>
      <c r="B1683" s="2" t="str">
        <f>HYPERLINK("https://leetcode.com/problems/longest-palindromic-subsequence-ii/", "Longest Palindromic Subsequence II")</f>
        <v>Longest Palindromic Subsequence II</v>
      </c>
      <c r="C1683" s="1">
        <v>158</v>
      </c>
      <c r="D1683" s="1">
        <v>30</v>
      </c>
      <c r="E1683" s="3">
        <f>IF(INDEX(C:C, ROW())+INDEX(D:D, ROW())=0, 0, INDEX(C:C, ROW())/(INDEX(C:C, ROW())+INDEX(D:D, ROW())))</f>
        <v>0.84042553191489366</v>
      </c>
      <c r="F1683" s="1" t="s">
        <v>82</v>
      </c>
      <c r="G1683" s="1" t="s">
        <v>24</v>
      </c>
      <c r="H1683" s="1">
        <v>6380</v>
      </c>
      <c r="I1683" s="1">
        <v>12668</v>
      </c>
      <c r="J1683" s="7">
        <v>0.504</v>
      </c>
      <c r="K1683" s="1" t="s">
        <v>29</v>
      </c>
      <c r="L1683" s="1" t="s">
        <v>29</v>
      </c>
      <c r="M1683" s="1" t="s">
        <v>29</v>
      </c>
      <c r="N1683" s="1" t="s">
        <v>22</v>
      </c>
    </row>
    <row r="1684" spans="1:14" x14ac:dyDescent="0.25">
      <c r="A1684" s="1">
        <v>1683</v>
      </c>
      <c r="B1684" s="2" t="str">
        <f>HYPERLINK("https://leetcode.com/problems/invalid-tweets/", "Invalid Tweets")</f>
        <v>Invalid Tweets</v>
      </c>
      <c r="C1684" s="1">
        <v>1466</v>
      </c>
      <c r="D1684" s="1">
        <v>381</v>
      </c>
      <c r="E1684" s="3">
        <f>IF(INDEX(C:C, ROW())+INDEX(D:D, ROW())=0, 0, INDEX(C:C, ROW())/(INDEX(C:C, ROW())+INDEX(D:D, ROW())))</f>
        <v>0.79371954520844612</v>
      </c>
      <c r="F1684" s="1" t="s">
        <v>297</v>
      </c>
      <c r="G1684" s="1" t="s">
        <v>20</v>
      </c>
      <c r="H1684" s="1">
        <v>1367321</v>
      </c>
      <c r="I1684" s="1">
        <v>1604915</v>
      </c>
      <c r="J1684" s="7">
        <v>0.85199999999999998</v>
      </c>
      <c r="K1684" s="1" t="s">
        <v>21</v>
      </c>
      <c r="L1684" s="1" t="s">
        <v>21</v>
      </c>
      <c r="M1684" s="1" t="s">
        <v>29</v>
      </c>
      <c r="N1684" s="1" t="s">
        <v>297</v>
      </c>
    </row>
    <row r="1685" spans="1:14" x14ac:dyDescent="0.25">
      <c r="A1685" s="1">
        <v>1684</v>
      </c>
      <c r="B1685" s="2" t="str">
        <f>HYPERLINK("https://leetcode.com/problems/count-the-number-of-consistent-strings/", "Count the Number of Consistent Strings")</f>
        <v>Count the Number of Consistent Strings</v>
      </c>
      <c r="C1685" s="1">
        <v>2269</v>
      </c>
      <c r="D1685" s="1">
        <v>90</v>
      </c>
      <c r="E1685" s="3">
        <f>IF(INDEX(C:C, ROW())+INDEX(D:D, ROW())=0, 0, INDEX(C:C, ROW())/(INDEX(C:C, ROW())+INDEX(D:D, ROW())))</f>
        <v>0.96184824077999154</v>
      </c>
      <c r="F1685" s="1" t="s">
        <v>460</v>
      </c>
      <c r="G1685" s="1" t="s">
        <v>20</v>
      </c>
      <c r="H1685" s="1">
        <v>435830</v>
      </c>
      <c r="I1685" s="1">
        <v>492584</v>
      </c>
      <c r="J1685" s="7">
        <v>0.88500000000000001</v>
      </c>
      <c r="K1685" s="1" t="s">
        <v>21</v>
      </c>
      <c r="L1685" s="1" t="s">
        <v>21</v>
      </c>
      <c r="M1685" s="1" t="s">
        <v>29</v>
      </c>
      <c r="N1685" s="1" t="s">
        <v>22</v>
      </c>
    </row>
    <row r="1686" spans="1:14" x14ac:dyDescent="0.25">
      <c r="A1686" s="1">
        <v>1685</v>
      </c>
      <c r="B1686" s="2" t="str">
        <f>HYPERLINK("https://leetcode.com/problems/sum-of-absolute-differences-in-a-sorted-array/", "Sum of Absolute Differences in a Sorted Array")</f>
        <v>Sum of Absolute Differences in a Sorted Array</v>
      </c>
      <c r="C1686" s="1">
        <v>2195</v>
      </c>
      <c r="D1686" s="1">
        <v>84</v>
      </c>
      <c r="E1686" s="3">
        <f>IF(INDEX(C:C, ROW())+INDEX(D:D, ROW())=0, 0, INDEX(C:C, ROW())/(INDEX(C:C, ROW())+INDEX(D:D, ROW())))</f>
        <v>0.96314172882843352</v>
      </c>
      <c r="F1686" s="1" t="s">
        <v>317</v>
      </c>
      <c r="G1686" s="1" t="s">
        <v>24</v>
      </c>
      <c r="H1686" s="1">
        <v>131883</v>
      </c>
      <c r="I1686" s="1">
        <v>193267</v>
      </c>
      <c r="J1686" s="7">
        <v>0.68200000000000005</v>
      </c>
      <c r="K1686" s="1" t="s">
        <v>21</v>
      </c>
      <c r="L1686" s="1" t="s">
        <v>21</v>
      </c>
      <c r="M1686" s="1" t="s">
        <v>29</v>
      </c>
      <c r="N1686" s="1" t="s">
        <v>22</v>
      </c>
    </row>
    <row r="1687" spans="1:14" x14ac:dyDescent="0.25">
      <c r="A1687" s="1">
        <v>1686</v>
      </c>
      <c r="B1687" s="2" t="str">
        <f>HYPERLINK("https://leetcode.com/problems/stone-game-vi/", "Stone Game VI")</f>
        <v>Stone Game VI</v>
      </c>
      <c r="C1687" s="1">
        <v>893</v>
      </c>
      <c r="D1687" s="1">
        <v>77</v>
      </c>
      <c r="E1687" s="3">
        <f>IF(INDEX(C:C, ROW())+INDEX(D:D, ROW())=0, 0, INDEX(C:C, ROW())/(INDEX(C:C, ROW())+INDEX(D:D, ROW())))</f>
        <v>0.92061855670103088</v>
      </c>
      <c r="F1687" s="1" t="s">
        <v>742</v>
      </c>
      <c r="G1687" s="1" t="s">
        <v>24</v>
      </c>
      <c r="H1687" s="1">
        <v>27998</v>
      </c>
      <c r="I1687" s="1">
        <v>46324</v>
      </c>
      <c r="J1687" s="7">
        <v>0.60399999999999998</v>
      </c>
      <c r="K1687" s="1" t="s">
        <v>21</v>
      </c>
      <c r="L1687" s="1" t="s">
        <v>29</v>
      </c>
      <c r="M1687" s="1" t="s">
        <v>29</v>
      </c>
      <c r="N1687" s="1" t="s">
        <v>22</v>
      </c>
    </row>
    <row r="1688" spans="1:14" x14ac:dyDescent="0.25">
      <c r="A1688" s="1">
        <v>1687</v>
      </c>
      <c r="B1688" s="2" t="str">
        <f>HYPERLINK("https://leetcode.com/problems/delivering-boxes-from-storage-to-ports/", "Delivering Boxes from Storage to Ports")</f>
        <v>Delivering Boxes from Storage to Ports</v>
      </c>
      <c r="C1688" s="1">
        <v>403</v>
      </c>
      <c r="D1688" s="1">
        <v>33</v>
      </c>
      <c r="E1688" s="3">
        <f>IF(INDEX(C:C, ROW())+INDEX(D:D, ROW())=0, 0, INDEX(C:C, ROW())/(INDEX(C:C, ROW())+INDEX(D:D, ROW())))</f>
        <v>0.92431192660550454</v>
      </c>
      <c r="F1688" s="1" t="s">
        <v>980</v>
      </c>
      <c r="G1688" s="1" t="s">
        <v>28</v>
      </c>
      <c r="H1688" s="1">
        <v>8933</v>
      </c>
      <c r="I1688" s="1">
        <v>22325</v>
      </c>
      <c r="J1688" s="7">
        <v>0.4</v>
      </c>
      <c r="K1688" s="1" t="s">
        <v>21</v>
      </c>
      <c r="L1688" s="1" t="s">
        <v>29</v>
      </c>
      <c r="M1688" s="1" t="s">
        <v>29</v>
      </c>
      <c r="N1688" s="1" t="s">
        <v>22</v>
      </c>
    </row>
    <row r="1689" spans="1:14" x14ac:dyDescent="0.25">
      <c r="A1689" s="1">
        <v>1688</v>
      </c>
      <c r="B1689" s="2" t="str">
        <f>HYPERLINK("https://leetcode.com/problems/count-of-matches-in-tournament/", "Count of Matches in Tournament")</f>
        <v>Count of Matches in Tournament</v>
      </c>
      <c r="C1689" s="1">
        <v>1873</v>
      </c>
      <c r="D1689" s="1">
        <v>246</v>
      </c>
      <c r="E1689" s="3">
        <f>IF(INDEX(C:C, ROW())+INDEX(D:D, ROW())=0, 0, INDEX(C:C, ROW())/(INDEX(C:C, ROW())+INDEX(D:D, ROW())))</f>
        <v>0.88390750353940539</v>
      </c>
      <c r="F1689" s="1" t="s">
        <v>465</v>
      </c>
      <c r="G1689" s="1" t="s">
        <v>20</v>
      </c>
      <c r="H1689" s="1">
        <v>316948</v>
      </c>
      <c r="I1689" s="1">
        <v>367141</v>
      </c>
      <c r="J1689" s="7">
        <v>0.86299999999999999</v>
      </c>
      <c r="K1689" s="1" t="s">
        <v>21</v>
      </c>
      <c r="L1689" s="1" t="s">
        <v>21</v>
      </c>
      <c r="M1689" s="1" t="s">
        <v>29</v>
      </c>
      <c r="N1689" s="1" t="s">
        <v>22</v>
      </c>
    </row>
    <row r="1690" spans="1:14" x14ac:dyDescent="0.25">
      <c r="A1690" s="1">
        <v>1689</v>
      </c>
      <c r="B1690" s="2" t="str">
        <f>HYPERLINK("https://leetcode.com/problems/partitioning-into-minimum-number-of-deci-binary-numbers/", "Partitioning Into Minimum Number Of Deci-Binary Numbers")</f>
        <v>Partitioning Into Minimum Number Of Deci-Binary Numbers</v>
      </c>
      <c r="C1690" s="1">
        <v>2502</v>
      </c>
      <c r="D1690" s="1">
        <v>1512</v>
      </c>
      <c r="E1690" s="3">
        <f>IF(INDEX(C:C, ROW())+INDEX(D:D, ROW())=0, 0, INDEX(C:C, ROW())/(INDEX(C:C, ROW())+INDEX(D:D, ROW())))</f>
        <v>0.62331838565022424</v>
      </c>
      <c r="F1690" s="1" t="s">
        <v>424</v>
      </c>
      <c r="G1690" s="1" t="s">
        <v>24</v>
      </c>
      <c r="H1690" s="1">
        <v>254619</v>
      </c>
      <c r="I1690" s="1">
        <v>286865</v>
      </c>
      <c r="J1690" s="7">
        <v>0.88800000000000001</v>
      </c>
      <c r="K1690" s="1" t="s">
        <v>21</v>
      </c>
      <c r="L1690" s="1" t="s">
        <v>21</v>
      </c>
      <c r="M1690" s="1" t="s">
        <v>29</v>
      </c>
      <c r="N1690" s="1" t="s">
        <v>22</v>
      </c>
    </row>
    <row r="1691" spans="1:14" x14ac:dyDescent="0.25">
      <c r="A1691" s="1">
        <v>1690</v>
      </c>
      <c r="B1691" s="2" t="str">
        <f>HYPERLINK("https://leetcode.com/problems/stone-game-vii/", "Stone Game VII")</f>
        <v>Stone Game VII</v>
      </c>
      <c r="C1691" s="1">
        <v>1046</v>
      </c>
      <c r="D1691" s="1">
        <v>175</v>
      </c>
      <c r="E1691" s="3">
        <f>IF(INDEX(C:C, ROW())+INDEX(D:D, ROW())=0, 0, INDEX(C:C, ROW())/(INDEX(C:C, ROW())+INDEX(D:D, ROW())))</f>
        <v>0.85667485667485666</v>
      </c>
      <c r="F1691" s="1" t="s">
        <v>349</v>
      </c>
      <c r="G1691" s="1" t="s">
        <v>24</v>
      </c>
      <c r="H1691" s="1">
        <v>43279</v>
      </c>
      <c r="I1691" s="1">
        <v>73733</v>
      </c>
      <c r="J1691" s="7">
        <v>0.58699999999999997</v>
      </c>
      <c r="K1691" s="1" t="s">
        <v>21</v>
      </c>
      <c r="L1691" s="1" t="s">
        <v>21</v>
      </c>
      <c r="M1691" s="1" t="s">
        <v>29</v>
      </c>
      <c r="N1691" s="1" t="s">
        <v>22</v>
      </c>
    </row>
    <row r="1692" spans="1:14" x14ac:dyDescent="0.25">
      <c r="A1692" s="1">
        <v>1691</v>
      </c>
      <c r="B1692" s="2" t="str">
        <f>HYPERLINK("https://leetcode.com/problems/maximum-height-by-stacking-cuboids/", "Maximum Height by Stacking Cuboids ")</f>
        <v xml:space="preserve">Maximum Height by Stacking Cuboids </v>
      </c>
      <c r="C1692" s="1">
        <v>1263</v>
      </c>
      <c r="D1692" s="1">
        <v>35</v>
      </c>
      <c r="E1692" s="3">
        <f>IF(INDEX(C:C, ROW())+INDEX(D:D, ROW())=0, 0, INDEX(C:C, ROW())/(INDEX(C:C, ROW())+INDEX(D:D, ROW())))</f>
        <v>0.97303543913713408</v>
      </c>
      <c r="F1692" s="1" t="s">
        <v>270</v>
      </c>
      <c r="G1692" s="1" t="s">
        <v>28</v>
      </c>
      <c r="H1692" s="1">
        <v>44468</v>
      </c>
      <c r="I1692" s="1">
        <v>72088</v>
      </c>
      <c r="J1692" s="7">
        <v>0.61699999999999999</v>
      </c>
      <c r="K1692" s="1" t="s">
        <v>21</v>
      </c>
      <c r="L1692" s="1" t="s">
        <v>29</v>
      </c>
      <c r="M1692" s="1" t="s">
        <v>29</v>
      </c>
      <c r="N1692" s="1" t="s">
        <v>22</v>
      </c>
    </row>
    <row r="1693" spans="1:14" x14ac:dyDescent="0.25">
      <c r="A1693" s="1">
        <v>1692</v>
      </c>
      <c r="B1693" s="2" t="str">
        <f>HYPERLINK("https://leetcode.com/problems/count-ways-to-distribute-candies/", "Count Ways to Distribute Candies")</f>
        <v>Count Ways to Distribute Candies</v>
      </c>
      <c r="C1693" s="1">
        <v>78</v>
      </c>
      <c r="D1693" s="1">
        <v>9</v>
      </c>
      <c r="E1693" s="3">
        <f>IF(INDEX(C:C, ROW())+INDEX(D:D, ROW())=0, 0, INDEX(C:C, ROW())/(INDEX(C:C, ROW())+INDEX(D:D, ROW())))</f>
        <v>0.89655172413793105</v>
      </c>
      <c r="F1693" s="1" t="s">
        <v>251</v>
      </c>
      <c r="G1693" s="1" t="s">
        <v>28</v>
      </c>
      <c r="H1693" s="1">
        <v>3117</v>
      </c>
      <c r="I1693" s="1">
        <v>4888</v>
      </c>
      <c r="J1693" s="7">
        <v>0.63800000000000001</v>
      </c>
      <c r="K1693" s="1" t="s">
        <v>29</v>
      </c>
      <c r="L1693" s="1" t="s">
        <v>29</v>
      </c>
      <c r="M1693" s="1" t="s">
        <v>29</v>
      </c>
      <c r="N1693" s="1" t="s">
        <v>22</v>
      </c>
    </row>
    <row r="1694" spans="1:14" x14ac:dyDescent="0.25">
      <c r="A1694" s="1">
        <v>1693</v>
      </c>
      <c r="B1694" s="2" t="str">
        <f>HYPERLINK("https://leetcode.com/problems/daily-leads-and-partners/", "Daily Leads and Partners")</f>
        <v>Daily Leads and Partners</v>
      </c>
      <c r="C1694" s="1">
        <v>629</v>
      </c>
      <c r="D1694" s="1">
        <v>36</v>
      </c>
      <c r="E1694" s="3">
        <f>IF(INDEX(C:C, ROW())+INDEX(D:D, ROW())=0, 0, INDEX(C:C, ROW())/(INDEX(C:C, ROW())+INDEX(D:D, ROW())))</f>
        <v>0.9458646616541353</v>
      </c>
      <c r="F1694" s="1" t="s">
        <v>297</v>
      </c>
      <c r="G1694" s="1" t="s">
        <v>20</v>
      </c>
      <c r="H1694" s="1">
        <v>201639</v>
      </c>
      <c r="I1694" s="1">
        <v>232778</v>
      </c>
      <c r="J1694" s="7">
        <v>0.86599999999999999</v>
      </c>
      <c r="K1694" s="1" t="s">
        <v>21</v>
      </c>
      <c r="L1694" s="1" t="s">
        <v>21</v>
      </c>
      <c r="M1694" s="1" t="s">
        <v>29</v>
      </c>
      <c r="N1694" s="1" t="s">
        <v>297</v>
      </c>
    </row>
    <row r="1695" spans="1:14" x14ac:dyDescent="0.25">
      <c r="A1695" s="1">
        <v>1694</v>
      </c>
      <c r="B1695" s="2" t="str">
        <f>HYPERLINK("https://leetcode.com/problems/reformat-phone-number/", "Reformat Phone Number")</f>
        <v>Reformat Phone Number</v>
      </c>
      <c r="C1695" s="1">
        <v>398</v>
      </c>
      <c r="D1695" s="1">
        <v>206</v>
      </c>
      <c r="E1695" s="3">
        <f>IF(INDEX(C:C, ROW())+INDEX(D:D, ROW())=0, 0, INDEX(C:C, ROW())/(INDEX(C:C, ROW())+INDEX(D:D, ROW())))</f>
        <v>0.65894039735099341</v>
      </c>
      <c r="F1695" s="1" t="s">
        <v>146</v>
      </c>
      <c r="G1695" s="1" t="s">
        <v>20</v>
      </c>
      <c r="H1695" s="1">
        <v>48689</v>
      </c>
      <c r="I1695" s="1">
        <v>72031</v>
      </c>
      <c r="J1695" s="7">
        <v>0.67600000000000005</v>
      </c>
      <c r="K1695" s="1" t="s">
        <v>21</v>
      </c>
      <c r="L1695" s="1" t="s">
        <v>29</v>
      </c>
      <c r="M1695" s="1" t="s">
        <v>29</v>
      </c>
      <c r="N1695" s="1" t="s">
        <v>22</v>
      </c>
    </row>
    <row r="1696" spans="1:14" x14ac:dyDescent="0.25">
      <c r="A1696" s="1">
        <v>1695</v>
      </c>
      <c r="B1696" s="2" t="str">
        <f>HYPERLINK("https://leetcode.com/problems/maximum-erasure-value/", "Maximum Erasure Value")</f>
        <v>Maximum Erasure Value</v>
      </c>
      <c r="C1696" s="1">
        <v>3392</v>
      </c>
      <c r="D1696" s="1">
        <v>66</v>
      </c>
      <c r="E1696" s="3">
        <f>IF(INDEX(C:C, ROW())+INDEX(D:D, ROW())=0, 0, INDEX(C:C, ROW())/(INDEX(C:C, ROW())+INDEX(D:D, ROW())))</f>
        <v>0.98091382301908614</v>
      </c>
      <c r="F1696" s="1" t="s">
        <v>185</v>
      </c>
      <c r="G1696" s="1" t="s">
        <v>24</v>
      </c>
      <c r="H1696" s="1">
        <v>292282</v>
      </c>
      <c r="I1696" s="1">
        <v>455790</v>
      </c>
      <c r="J1696" s="7">
        <v>0.64100000000000001</v>
      </c>
      <c r="K1696" s="1" t="s">
        <v>21</v>
      </c>
      <c r="L1696" s="1" t="s">
        <v>21</v>
      </c>
      <c r="M1696" s="1" t="s">
        <v>29</v>
      </c>
      <c r="N1696" s="1" t="s">
        <v>22</v>
      </c>
    </row>
    <row r="1697" spans="1:14" x14ac:dyDescent="0.25">
      <c r="A1697" s="1">
        <v>1696</v>
      </c>
      <c r="B1697" s="2" t="str">
        <f>HYPERLINK("https://leetcode.com/problems/jump-game-vi/", "Jump Game VI")</f>
        <v>Jump Game VI</v>
      </c>
      <c r="C1697" s="1">
        <v>3551</v>
      </c>
      <c r="D1697" s="1">
        <v>125</v>
      </c>
      <c r="E1697" s="3">
        <f>IF(INDEX(C:C, ROW())+INDEX(D:D, ROW())=0, 0, INDEX(C:C, ROW())/(INDEX(C:C, ROW())+INDEX(D:D, ROW())))</f>
        <v>0.9659956474428727</v>
      </c>
      <c r="F1697" s="1" t="s">
        <v>345</v>
      </c>
      <c r="G1697" s="1" t="s">
        <v>24</v>
      </c>
      <c r="H1697" s="1">
        <v>127011</v>
      </c>
      <c r="I1697" s="1">
        <v>273891</v>
      </c>
      <c r="J1697" s="7">
        <v>0.46400000000000002</v>
      </c>
      <c r="K1697" s="1" t="s">
        <v>21</v>
      </c>
      <c r="L1697" s="1" t="s">
        <v>21</v>
      </c>
      <c r="M1697" s="1" t="s">
        <v>29</v>
      </c>
      <c r="N1697" s="1" t="s">
        <v>22</v>
      </c>
    </row>
    <row r="1698" spans="1:14" x14ac:dyDescent="0.25">
      <c r="A1698" s="1">
        <v>1697</v>
      </c>
      <c r="B1698" s="2" t="str">
        <f>HYPERLINK("https://leetcode.com/problems/checking-existence-of-edge-length-limited-paths/", "Checking Existence of Edge Length Limited Paths")</f>
        <v>Checking Existence of Edge Length Limited Paths</v>
      </c>
      <c r="C1698" s="1">
        <v>2100</v>
      </c>
      <c r="D1698" s="1">
        <v>48</v>
      </c>
      <c r="E1698" s="3">
        <f>IF(INDEX(C:C, ROW())+INDEX(D:D, ROW())=0, 0, INDEX(C:C, ROW())/(INDEX(C:C, ROW())+INDEX(D:D, ROW())))</f>
        <v>0.97765363128491622</v>
      </c>
      <c r="F1698" s="1" t="s">
        <v>486</v>
      </c>
      <c r="G1698" s="1" t="s">
        <v>28</v>
      </c>
      <c r="H1698" s="1">
        <v>59953</v>
      </c>
      <c r="I1698" s="1">
        <v>94931</v>
      </c>
      <c r="J1698" s="7">
        <v>0.63200000000000001</v>
      </c>
      <c r="K1698" s="1" t="s">
        <v>21</v>
      </c>
      <c r="L1698" s="1" t="s">
        <v>21</v>
      </c>
      <c r="M1698" s="1" t="s">
        <v>29</v>
      </c>
      <c r="N1698" s="1" t="s">
        <v>22</v>
      </c>
    </row>
    <row r="1699" spans="1:14" x14ac:dyDescent="0.25">
      <c r="A1699" s="1">
        <v>1698</v>
      </c>
      <c r="B1699" s="2" t="str">
        <f>HYPERLINK("https://leetcode.com/problems/number-of-distinct-substrings-in-a-string/", "Number of Distinct Substrings in a String")</f>
        <v>Number of Distinct Substrings in a String</v>
      </c>
      <c r="C1699" s="1">
        <v>207</v>
      </c>
      <c r="D1699" s="1">
        <v>44</v>
      </c>
      <c r="E1699" s="3">
        <f>IF(INDEX(C:C, ROW())+INDEX(D:D, ROW())=0, 0, INDEX(C:C, ROW())/(INDEX(C:C, ROW())+INDEX(D:D, ROW())))</f>
        <v>0.82470119521912355</v>
      </c>
      <c r="F1699" s="1" t="s">
        <v>1092</v>
      </c>
      <c r="G1699" s="1" t="s">
        <v>24</v>
      </c>
      <c r="H1699" s="1">
        <v>14272</v>
      </c>
      <c r="I1699" s="1">
        <v>22043</v>
      </c>
      <c r="J1699" s="7">
        <v>0.64700000000000002</v>
      </c>
      <c r="K1699" s="1" t="s">
        <v>29</v>
      </c>
      <c r="L1699" s="1" t="s">
        <v>29</v>
      </c>
      <c r="M1699" s="1" t="s">
        <v>29</v>
      </c>
      <c r="N1699" s="1" t="s">
        <v>22</v>
      </c>
    </row>
    <row r="1700" spans="1:14" x14ac:dyDescent="0.25">
      <c r="A1700" s="1">
        <v>1699</v>
      </c>
      <c r="B1700" s="2" t="str">
        <f>HYPERLINK("https://leetcode.com/problems/number-of-calls-between-two-persons/", "Number of Calls Between Two Persons")</f>
        <v>Number of Calls Between Two Persons</v>
      </c>
      <c r="C1700" s="1">
        <v>312</v>
      </c>
      <c r="D1700" s="1">
        <v>16</v>
      </c>
      <c r="E1700" s="3">
        <f>IF(INDEX(C:C, ROW())+INDEX(D:D, ROW())=0, 0, INDEX(C:C, ROW())/(INDEX(C:C, ROW())+INDEX(D:D, ROW())))</f>
        <v>0.95121951219512191</v>
      </c>
      <c r="F1700" s="1" t="s">
        <v>297</v>
      </c>
      <c r="G1700" s="1" t="s">
        <v>24</v>
      </c>
      <c r="H1700" s="1">
        <v>52847</v>
      </c>
      <c r="I1700" s="1">
        <v>65409</v>
      </c>
      <c r="J1700" s="7">
        <v>0.80800000000000005</v>
      </c>
      <c r="K1700" s="1" t="s">
        <v>29</v>
      </c>
      <c r="L1700" s="1" t="s">
        <v>29</v>
      </c>
      <c r="M1700" s="1" t="s">
        <v>29</v>
      </c>
      <c r="N1700" s="1" t="s">
        <v>297</v>
      </c>
    </row>
    <row r="1701" spans="1:14" x14ac:dyDescent="0.25">
      <c r="A1701" s="1">
        <v>1700</v>
      </c>
      <c r="B1701" s="2" t="str">
        <f>HYPERLINK("https://leetcode.com/problems/number-of-students-unable-to-eat-lunch/", "Number of Students Unable to Eat Lunch")</f>
        <v>Number of Students Unable to Eat Lunch</v>
      </c>
      <c r="C1701" s="1">
        <v>2704</v>
      </c>
      <c r="D1701" s="1">
        <v>291</v>
      </c>
      <c r="E1701" s="3">
        <f>IF(INDEX(C:C, ROW())+INDEX(D:D, ROW())=0, 0, INDEX(C:C, ROW())/(INDEX(C:C, ROW())+INDEX(D:D, ROW())))</f>
        <v>0.90283806343906514</v>
      </c>
      <c r="F1701" s="1" t="s">
        <v>400</v>
      </c>
      <c r="G1701" s="1" t="s">
        <v>20</v>
      </c>
      <c r="H1701" s="1">
        <v>357946</v>
      </c>
      <c r="I1701" s="1">
        <v>451052</v>
      </c>
      <c r="J1701" s="7">
        <v>0.79400000000000004</v>
      </c>
      <c r="K1701" s="1" t="s">
        <v>21</v>
      </c>
      <c r="L1701" s="1" t="s">
        <v>21</v>
      </c>
      <c r="M1701" s="1" t="s">
        <v>29</v>
      </c>
      <c r="N1701" s="1" t="s">
        <v>22</v>
      </c>
    </row>
    <row r="1702" spans="1:14" x14ac:dyDescent="0.25">
      <c r="A1702" s="1">
        <v>1701</v>
      </c>
      <c r="B1702" s="2" t="str">
        <f>HYPERLINK("https://leetcode.com/problems/average-waiting-time/", "Average Waiting Time")</f>
        <v>Average Waiting Time</v>
      </c>
      <c r="C1702" s="1">
        <v>1268</v>
      </c>
      <c r="D1702" s="1">
        <v>101</v>
      </c>
      <c r="E1702" s="3">
        <f>IF(INDEX(C:C, ROW())+INDEX(D:D, ROW())=0, 0, INDEX(C:C, ROW())/(INDEX(C:C, ROW())+INDEX(D:D, ROW())))</f>
        <v>0.92622352081811543</v>
      </c>
      <c r="F1702" s="1" t="s">
        <v>306</v>
      </c>
      <c r="G1702" s="1" t="s">
        <v>24</v>
      </c>
      <c r="H1702" s="1">
        <v>218742</v>
      </c>
      <c r="I1702" s="1">
        <v>299367</v>
      </c>
      <c r="J1702" s="7">
        <v>0.73099999999999998</v>
      </c>
      <c r="K1702" s="1" t="s">
        <v>21</v>
      </c>
      <c r="L1702" s="1" t="s">
        <v>21</v>
      </c>
      <c r="M1702" s="1" t="s">
        <v>29</v>
      </c>
      <c r="N1702" s="1" t="s">
        <v>22</v>
      </c>
    </row>
    <row r="1703" spans="1:14" x14ac:dyDescent="0.25">
      <c r="A1703" s="1">
        <v>1702</v>
      </c>
      <c r="B1703" s="2" t="str">
        <f>HYPERLINK("https://leetcode.com/problems/maximum-binary-string-after-change/", "Maximum Binary String After Change")</f>
        <v>Maximum Binary String After Change</v>
      </c>
      <c r="C1703" s="1">
        <v>528</v>
      </c>
      <c r="D1703" s="1">
        <v>64</v>
      </c>
      <c r="E1703" s="3">
        <f>IF(INDEX(C:C, ROW())+INDEX(D:D, ROW())=0, 0, INDEX(C:C, ROW())/(INDEX(C:C, ROW())+INDEX(D:D, ROW())))</f>
        <v>0.89189189189189189</v>
      </c>
      <c r="F1703" s="1" t="s">
        <v>424</v>
      </c>
      <c r="G1703" s="1" t="s">
        <v>24</v>
      </c>
      <c r="H1703" s="1">
        <v>17654</v>
      </c>
      <c r="I1703" s="1">
        <v>36783</v>
      </c>
      <c r="J1703" s="7">
        <v>0.48</v>
      </c>
      <c r="K1703" s="1" t="s">
        <v>21</v>
      </c>
      <c r="L1703" s="1" t="s">
        <v>29</v>
      </c>
      <c r="M1703" s="1" t="s">
        <v>29</v>
      </c>
      <c r="N1703" s="1" t="s">
        <v>22</v>
      </c>
    </row>
    <row r="1704" spans="1:14" x14ac:dyDescent="0.25">
      <c r="A1704" s="1">
        <v>1703</v>
      </c>
      <c r="B1704" s="2" t="str">
        <f>HYPERLINK("https://leetcode.com/problems/minimum-adjacent-swaps-for-k-consecutive-ones/", "Minimum Adjacent Swaps for K Consecutive Ones")</f>
        <v>Minimum Adjacent Swaps for K Consecutive Ones</v>
      </c>
      <c r="C1704" s="1">
        <v>743</v>
      </c>
      <c r="D1704" s="1">
        <v>29</v>
      </c>
      <c r="E1704" s="3">
        <f>IF(INDEX(C:C, ROW())+INDEX(D:D, ROW())=0, 0, INDEX(C:C, ROW())/(INDEX(C:C, ROW())+INDEX(D:D, ROW())))</f>
        <v>0.96243523316062174</v>
      </c>
      <c r="F1704" s="1" t="s">
        <v>784</v>
      </c>
      <c r="G1704" s="1" t="s">
        <v>28</v>
      </c>
      <c r="H1704" s="1">
        <v>13989</v>
      </c>
      <c r="I1704" s="1">
        <v>33092</v>
      </c>
      <c r="J1704" s="7">
        <v>0.42299999999999999</v>
      </c>
      <c r="K1704" s="1" t="s">
        <v>21</v>
      </c>
      <c r="L1704" s="1" t="s">
        <v>29</v>
      </c>
      <c r="M1704" s="1" t="s">
        <v>29</v>
      </c>
      <c r="N1704" s="1" t="s">
        <v>22</v>
      </c>
    </row>
    <row r="1705" spans="1:14" x14ac:dyDescent="0.25">
      <c r="A1705" s="1">
        <v>1704</v>
      </c>
      <c r="B1705" s="2" t="str">
        <f>HYPERLINK("https://leetcode.com/problems/determine-if-string-halves-are-alike/", "Determine if String Halves Are Alike")</f>
        <v>Determine if String Halves Are Alike</v>
      </c>
      <c r="C1705" s="1">
        <v>2332</v>
      </c>
      <c r="D1705" s="1">
        <v>126</v>
      </c>
      <c r="E1705" s="3">
        <f>IF(INDEX(C:C, ROW())+INDEX(D:D, ROW())=0, 0, INDEX(C:C, ROW())/(INDEX(C:C, ROW())+INDEX(D:D, ROW())))</f>
        <v>0.94873881204231081</v>
      </c>
      <c r="F1705" s="1" t="s">
        <v>452</v>
      </c>
      <c r="G1705" s="1" t="s">
        <v>20</v>
      </c>
      <c r="H1705" s="1">
        <v>399088</v>
      </c>
      <c r="I1705" s="1">
        <v>506633</v>
      </c>
      <c r="J1705" s="7">
        <v>0.78800000000000003</v>
      </c>
      <c r="K1705" s="1" t="s">
        <v>21</v>
      </c>
      <c r="L1705" s="1" t="s">
        <v>21</v>
      </c>
      <c r="M1705" s="1" t="s">
        <v>29</v>
      </c>
      <c r="N1705" s="1" t="s">
        <v>22</v>
      </c>
    </row>
    <row r="1706" spans="1:14" x14ac:dyDescent="0.25">
      <c r="A1706" s="1">
        <v>1705</v>
      </c>
      <c r="B1706" s="2" t="str">
        <f>HYPERLINK("https://leetcode.com/problems/maximum-number-of-eaten-apples/", "Maximum Number of Eaten Apples")</f>
        <v>Maximum Number of Eaten Apples</v>
      </c>
      <c r="C1706" s="1">
        <v>883</v>
      </c>
      <c r="D1706" s="1">
        <v>200</v>
      </c>
      <c r="E1706" s="3">
        <f>IF(INDEX(C:C, ROW())+INDEX(D:D, ROW())=0, 0, INDEX(C:C, ROW())/(INDEX(C:C, ROW())+INDEX(D:D, ROW())))</f>
        <v>0.81532779316712833</v>
      </c>
      <c r="F1706" s="1" t="s">
        <v>221</v>
      </c>
      <c r="G1706" s="1" t="s">
        <v>24</v>
      </c>
      <c r="H1706" s="1">
        <v>31863</v>
      </c>
      <c r="I1706" s="1">
        <v>74586</v>
      </c>
      <c r="J1706" s="7">
        <v>0.42699999999999999</v>
      </c>
      <c r="K1706" s="1" t="s">
        <v>21</v>
      </c>
      <c r="L1706" s="1" t="s">
        <v>21</v>
      </c>
      <c r="M1706" s="1" t="s">
        <v>29</v>
      </c>
      <c r="N1706" s="1" t="s">
        <v>22</v>
      </c>
    </row>
    <row r="1707" spans="1:14" x14ac:dyDescent="0.25">
      <c r="A1707" s="1">
        <v>1706</v>
      </c>
      <c r="B1707" s="2" t="str">
        <f>HYPERLINK("https://leetcode.com/problems/where-will-the-ball-fall/", "Where Will the Ball Fall")</f>
        <v>Where Will the Ball Fall</v>
      </c>
      <c r="C1707" s="1">
        <v>3176</v>
      </c>
      <c r="D1707" s="1">
        <v>181</v>
      </c>
      <c r="E1707" s="3">
        <f>IF(INDEX(C:C, ROW())+INDEX(D:D, ROW())=0, 0, INDEX(C:C, ROW())/(INDEX(C:C, ROW())+INDEX(D:D, ROW())))</f>
        <v>0.94608281203455469</v>
      </c>
      <c r="F1707" s="1" t="s">
        <v>77</v>
      </c>
      <c r="G1707" s="1" t="s">
        <v>24</v>
      </c>
      <c r="H1707" s="1">
        <v>148730</v>
      </c>
      <c r="I1707" s="1">
        <v>205855</v>
      </c>
      <c r="J1707" s="7">
        <v>0.72199999999999998</v>
      </c>
      <c r="K1707" s="1" t="s">
        <v>21</v>
      </c>
      <c r="L1707" s="1" t="s">
        <v>21</v>
      </c>
      <c r="M1707" s="1" t="s">
        <v>29</v>
      </c>
      <c r="N1707" s="1" t="s">
        <v>22</v>
      </c>
    </row>
    <row r="1708" spans="1:14" x14ac:dyDescent="0.25">
      <c r="A1708" s="1">
        <v>1707</v>
      </c>
      <c r="B1708" s="2" t="str">
        <f>HYPERLINK("https://leetcode.com/problems/maximum-xor-with-an-element-from-array/", "Maximum XOR With an Element From Array")</f>
        <v>Maximum XOR With an Element From Array</v>
      </c>
      <c r="C1708" s="1">
        <v>1402</v>
      </c>
      <c r="D1708" s="1">
        <v>40</v>
      </c>
      <c r="E1708" s="3">
        <f>IF(INDEX(C:C, ROW())+INDEX(D:D, ROW())=0, 0, INDEX(C:C, ROW())/(INDEX(C:C, ROW())+INDEX(D:D, ROW())))</f>
        <v>0.9722607489597781</v>
      </c>
      <c r="F1708" s="1" t="s">
        <v>614</v>
      </c>
      <c r="G1708" s="1" t="s">
        <v>28</v>
      </c>
      <c r="H1708" s="1">
        <v>44504</v>
      </c>
      <c r="I1708" s="1">
        <v>77330</v>
      </c>
      <c r="J1708" s="7">
        <v>0.57599999999999996</v>
      </c>
      <c r="K1708" s="1" t="s">
        <v>21</v>
      </c>
      <c r="L1708" s="1" t="s">
        <v>29</v>
      </c>
      <c r="M1708" s="1" t="s">
        <v>29</v>
      </c>
      <c r="N1708" s="1" t="s">
        <v>22</v>
      </c>
    </row>
    <row r="1709" spans="1:14" x14ac:dyDescent="0.25">
      <c r="A1709" s="1">
        <v>1708</v>
      </c>
      <c r="B1709" s="2" t="str">
        <f>HYPERLINK("https://leetcode.com/problems/largest-subarray-length-k/", "Largest Subarray Length K")</f>
        <v>Largest Subarray Length K</v>
      </c>
      <c r="C1709" s="1">
        <v>110</v>
      </c>
      <c r="D1709" s="1">
        <v>116</v>
      </c>
      <c r="E1709" s="3">
        <f>IF(INDEX(C:C, ROW())+INDEX(D:D, ROW())=0, 0, INDEX(C:C, ROW())/(INDEX(C:C, ROW())+INDEX(D:D, ROW())))</f>
        <v>0.48672566371681414</v>
      </c>
      <c r="F1709" s="1" t="s">
        <v>96</v>
      </c>
      <c r="G1709" s="1" t="s">
        <v>20</v>
      </c>
      <c r="H1709" s="1">
        <v>10533</v>
      </c>
      <c r="I1709" s="1">
        <v>16032</v>
      </c>
      <c r="J1709" s="7">
        <v>0.65700000000000003</v>
      </c>
      <c r="K1709" s="1" t="s">
        <v>29</v>
      </c>
      <c r="L1709" s="1" t="s">
        <v>29</v>
      </c>
      <c r="M1709" s="1" t="s">
        <v>29</v>
      </c>
      <c r="N1709" s="1" t="s">
        <v>22</v>
      </c>
    </row>
    <row r="1710" spans="1:14" x14ac:dyDescent="0.25">
      <c r="A1710" s="1">
        <v>1709</v>
      </c>
      <c r="B1710" s="2" t="str">
        <f>HYPERLINK("https://leetcode.com/problems/biggest-window-between-visits/", "Biggest Window Between Visits")</f>
        <v>Biggest Window Between Visits</v>
      </c>
      <c r="C1710" s="1">
        <v>224</v>
      </c>
      <c r="D1710" s="1">
        <v>16</v>
      </c>
      <c r="E1710" s="3">
        <f>IF(INDEX(C:C, ROW())+INDEX(D:D, ROW())=0, 0, INDEX(C:C, ROW())/(INDEX(C:C, ROW())+INDEX(D:D, ROW())))</f>
        <v>0.93333333333333335</v>
      </c>
      <c r="F1710" s="1" t="s">
        <v>297</v>
      </c>
      <c r="G1710" s="1" t="s">
        <v>24</v>
      </c>
      <c r="H1710" s="1">
        <v>32484</v>
      </c>
      <c r="I1710" s="1">
        <v>46651</v>
      </c>
      <c r="J1710" s="7">
        <v>0.69599999999999995</v>
      </c>
      <c r="K1710" s="1" t="s">
        <v>29</v>
      </c>
      <c r="L1710" s="1" t="s">
        <v>21</v>
      </c>
      <c r="M1710" s="1" t="s">
        <v>29</v>
      </c>
      <c r="N1710" s="1" t="s">
        <v>297</v>
      </c>
    </row>
    <row r="1711" spans="1:14" x14ac:dyDescent="0.25">
      <c r="A1711" s="1">
        <v>1710</v>
      </c>
      <c r="B1711" s="2" t="str">
        <f>HYPERLINK("https://leetcode.com/problems/maximum-units-on-a-truck/", "Maximum Units on a Truck")</f>
        <v>Maximum Units on a Truck</v>
      </c>
      <c r="C1711" s="1">
        <v>4020</v>
      </c>
      <c r="D1711" s="1">
        <v>239</v>
      </c>
      <c r="E1711" s="3">
        <f>IF(INDEX(C:C, ROW())+INDEX(D:D, ROW())=0, 0, INDEX(C:C, ROW())/(INDEX(C:C, ROW())+INDEX(D:D, ROW())))</f>
        <v>0.94388354073726222</v>
      </c>
      <c r="F1711" s="1" t="s">
        <v>169</v>
      </c>
      <c r="G1711" s="1" t="s">
        <v>20</v>
      </c>
      <c r="H1711" s="1">
        <v>382189</v>
      </c>
      <c r="I1711" s="1">
        <v>511999</v>
      </c>
      <c r="J1711" s="7">
        <v>0.746</v>
      </c>
      <c r="K1711" s="1" t="s">
        <v>21</v>
      </c>
      <c r="L1711" s="1" t="s">
        <v>21</v>
      </c>
      <c r="M1711" s="1" t="s">
        <v>29</v>
      </c>
      <c r="N1711" s="1" t="s">
        <v>22</v>
      </c>
    </row>
    <row r="1712" spans="1:14" x14ac:dyDescent="0.25">
      <c r="A1712" s="1">
        <v>1711</v>
      </c>
      <c r="B1712" s="2" t="str">
        <f>HYPERLINK("https://leetcode.com/problems/count-good-meals/", "Count Good Meals")</f>
        <v>Count Good Meals</v>
      </c>
      <c r="C1712" s="1">
        <v>1126</v>
      </c>
      <c r="D1712" s="1">
        <v>246</v>
      </c>
      <c r="E1712" s="3">
        <f>IF(INDEX(C:C, ROW())+INDEX(D:D, ROW())=0, 0, INDEX(C:C, ROW())/(INDEX(C:C, ROW())+INDEX(D:D, ROW())))</f>
        <v>0.82069970845481055</v>
      </c>
      <c r="F1712" s="1" t="s">
        <v>19</v>
      </c>
      <c r="G1712" s="1" t="s">
        <v>24</v>
      </c>
      <c r="H1712" s="1">
        <v>52570</v>
      </c>
      <c r="I1712" s="1">
        <v>161589</v>
      </c>
      <c r="J1712" s="7">
        <v>0.32500000000000001</v>
      </c>
      <c r="K1712" s="1" t="s">
        <v>21</v>
      </c>
      <c r="L1712" s="1" t="s">
        <v>29</v>
      </c>
      <c r="M1712" s="1" t="s">
        <v>29</v>
      </c>
      <c r="N1712" s="1" t="s">
        <v>22</v>
      </c>
    </row>
    <row r="1713" spans="1:14" x14ac:dyDescent="0.25">
      <c r="A1713" s="1">
        <v>1712</v>
      </c>
      <c r="B1713" s="2" t="str">
        <f>HYPERLINK("https://leetcode.com/problems/ways-to-split-array-into-three-subarrays/", "Ways to Split Array Into Three Subarrays")</f>
        <v>Ways to Split Array Into Three Subarrays</v>
      </c>
      <c r="C1713" s="1">
        <v>1504</v>
      </c>
      <c r="D1713" s="1">
        <v>110</v>
      </c>
      <c r="E1713" s="3">
        <f>IF(INDEX(C:C, ROW())+INDEX(D:D, ROW())=0, 0, INDEX(C:C, ROW())/(INDEX(C:C, ROW())+INDEX(D:D, ROW())))</f>
        <v>0.93184634448574966</v>
      </c>
      <c r="F1713" s="1" t="s">
        <v>586</v>
      </c>
      <c r="G1713" s="1" t="s">
        <v>24</v>
      </c>
      <c r="H1713" s="1">
        <v>40863</v>
      </c>
      <c r="I1713" s="1">
        <v>119646</v>
      </c>
      <c r="J1713" s="7">
        <v>0.34200000000000003</v>
      </c>
      <c r="K1713" s="1" t="s">
        <v>21</v>
      </c>
      <c r="L1713" s="1" t="s">
        <v>29</v>
      </c>
      <c r="M1713" s="1" t="s">
        <v>29</v>
      </c>
      <c r="N1713" s="1" t="s">
        <v>22</v>
      </c>
    </row>
    <row r="1714" spans="1:14" x14ac:dyDescent="0.25">
      <c r="A1714" s="1">
        <v>1713</v>
      </c>
      <c r="B1714" s="2" t="str">
        <f>HYPERLINK("https://leetcode.com/problems/minimum-operations-to-make-a-subsequence/", "Minimum Operations to Make a Subsequence")</f>
        <v>Minimum Operations to Make a Subsequence</v>
      </c>
      <c r="C1714" s="1">
        <v>764</v>
      </c>
      <c r="D1714" s="1">
        <v>15</v>
      </c>
      <c r="E1714" s="3">
        <f>IF(INDEX(C:C, ROW())+INDEX(D:D, ROW())=0, 0, INDEX(C:C, ROW())/(INDEX(C:C, ROW())+INDEX(D:D, ROW())))</f>
        <v>0.98074454428754809</v>
      </c>
      <c r="F1714" s="1" t="s">
        <v>779</v>
      </c>
      <c r="G1714" s="1" t="s">
        <v>28</v>
      </c>
      <c r="H1714" s="1">
        <v>15971</v>
      </c>
      <c r="I1714" s="1">
        <v>32194</v>
      </c>
      <c r="J1714" s="7">
        <v>0.496</v>
      </c>
      <c r="K1714" s="1" t="s">
        <v>21</v>
      </c>
      <c r="L1714" s="1" t="s">
        <v>29</v>
      </c>
      <c r="M1714" s="1" t="s">
        <v>29</v>
      </c>
      <c r="N1714" s="1" t="s">
        <v>22</v>
      </c>
    </row>
    <row r="1715" spans="1:14" x14ac:dyDescent="0.25">
      <c r="A1715" s="1">
        <v>1714</v>
      </c>
      <c r="B1715" s="2" t="str">
        <f>HYPERLINK("https://leetcode.com/problems/sum-of-special-evenly-spaced-elements-in-array/", "Sum Of Special Evenly-Spaced Elements In Array")</f>
        <v>Sum Of Special Evenly-Spaced Elements In Array</v>
      </c>
      <c r="C1715" s="1">
        <v>34</v>
      </c>
      <c r="D1715" s="1">
        <v>27</v>
      </c>
      <c r="E1715" s="3">
        <f>IF(INDEX(C:C, ROW())+INDEX(D:D, ROW())=0, 0, INDEX(C:C, ROW())/(INDEX(C:C, ROW())+INDEX(D:D, ROW())))</f>
        <v>0.55737704918032782</v>
      </c>
      <c r="F1715" s="1" t="s">
        <v>30</v>
      </c>
      <c r="G1715" s="1" t="s">
        <v>28</v>
      </c>
      <c r="H1715" s="1">
        <v>1711</v>
      </c>
      <c r="I1715" s="1">
        <v>3432</v>
      </c>
      <c r="J1715" s="7">
        <v>0.499</v>
      </c>
      <c r="K1715" s="1" t="s">
        <v>29</v>
      </c>
      <c r="L1715" s="1" t="s">
        <v>29</v>
      </c>
      <c r="M1715" s="1" t="s">
        <v>29</v>
      </c>
      <c r="N1715" s="1" t="s">
        <v>22</v>
      </c>
    </row>
    <row r="1716" spans="1:14" x14ac:dyDescent="0.25">
      <c r="A1716" s="1">
        <v>1715</v>
      </c>
      <c r="B1716" s="2" t="str">
        <f>HYPERLINK("https://leetcode.com/problems/count-apples-and-oranges/", "Count Apples and Oranges")</f>
        <v>Count Apples and Oranges</v>
      </c>
      <c r="C1716" s="1">
        <v>90</v>
      </c>
      <c r="D1716" s="1">
        <v>22</v>
      </c>
      <c r="E1716" s="3">
        <f>IF(INDEX(C:C, ROW())+INDEX(D:D, ROW())=0, 0, INDEX(C:C, ROW())/(INDEX(C:C, ROW())+INDEX(D:D, ROW())))</f>
        <v>0.8035714285714286</v>
      </c>
      <c r="F1716" s="1" t="s">
        <v>297</v>
      </c>
      <c r="G1716" s="1" t="s">
        <v>24</v>
      </c>
      <c r="H1716" s="1">
        <v>19083</v>
      </c>
      <c r="I1716" s="1">
        <v>25187</v>
      </c>
      <c r="J1716" s="7">
        <v>0.75800000000000001</v>
      </c>
      <c r="K1716" s="1" t="s">
        <v>29</v>
      </c>
      <c r="L1716" s="1" t="s">
        <v>29</v>
      </c>
      <c r="M1716" s="1" t="s">
        <v>29</v>
      </c>
      <c r="N1716" s="1" t="s">
        <v>297</v>
      </c>
    </row>
    <row r="1717" spans="1:14" x14ac:dyDescent="0.25">
      <c r="A1717" s="1">
        <v>1716</v>
      </c>
      <c r="B1717" s="2" t="str">
        <f>HYPERLINK("https://leetcode.com/problems/calculate-money-in-leetcode-bank/", "Calculate Money in Leetcode Bank")</f>
        <v>Calculate Money in Leetcode Bank</v>
      </c>
      <c r="C1717" s="1">
        <v>1834</v>
      </c>
      <c r="D1717" s="1">
        <v>64</v>
      </c>
      <c r="E1717" s="3">
        <f>IF(INDEX(C:C, ROW())+INDEX(D:D, ROW())=0, 0, INDEX(C:C, ROW())/(INDEX(C:C, ROW())+INDEX(D:D, ROW())))</f>
        <v>0.9662802950474183</v>
      </c>
      <c r="F1717" s="1" t="s">
        <v>84</v>
      </c>
      <c r="G1717" s="1" t="s">
        <v>20</v>
      </c>
      <c r="H1717" s="1">
        <v>297251</v>
      </c>
      <c r="I1717" s="1">
        <v>361034</v>
      </c>
      <c r="J1717" s="7">
        <v>0.82299999999999995</v>
      </c>
      <c r="K1717" s="1" t="s">
        <v>21</v>
      </c>
      <c r="L1717" s="1" t="s">
        <v>21</v>
      </c>
      <c r="M1717" s="1" t="s">
        <v>29</v>
      </c>
      <c r="N1717" s="1" t="s">
        <v>22</v>
      </c>
    </row>
    <row r="1718" spans="1:14" x14ac:dyDescent="0.25">
      <c r="A1718" s="1">
        <v>1717</v>
      </c>
      <c r="B1718" s="2" t="str">
        <f>HYPERLINK("https://leetcode.com/problems/maximum-score-from-removing-substrings/", "Maximum Score From Removing Substrings")</f>
        <v>Maximum Score From Removing Substrings</v>
      </c>
      <c r="C1718" s="1">
        <v>1918</v>
      </c>
      <c r="D1718" s="1">
        <v>137</v>
      </c>
      <c r="E1718" s="3">
        <f>IF(INDEX(C:C, ROW())+INDEX(D:D, ROW())=0, 0, INDEX(C:C, ROW())/(INDEX(C:C, ROW())+INDEX(D:D, ROW())))</f>
        <v>0.93333333333333335</v>
      </c>
      <c r="F1718" s="1" t="s">
        <v>263</v>
      </c>
      <c r="G1718" s="1" t="s">
        <v>24</v>
      </c>
      <c r="H1718" s="1">
        <v>242179</v>
      </c>
      <c r="I1718" s="1">
        <v>363858</v>
      </c>
      <c r="J1718" s="7">
        <v>0.66600000000000004</v>
      </c>
      <c r="K1718" s="1" t="s">
        <v>21</v>
      </c>
      <c r="L1718" s="1" t="s">
        <v>21</v>
      </c>
      <c r="M1718" s="1" t="s">
        <v>29</v>
      </c>
      <c r="N1718" s="1" t="s">
        <v>22</v>
      </c>
    </row>
    <row r="1719" spans="1:14" x14ac:dyDescent="0.25">
      <c r="A1719" s="1">
        <v>1718</v>
      </c>
      <c r="B1719" s="2" t="str">
        <f>HYPERLINK("https://leetcode.com/problems/construct-the-lexicographically-largest-valid-sequence/", "Construct the Lexicographically Largest Valid Sequence")</f>
        <v>Construct the Lexicographically Largest Valid Sequence</v>
      </c>
      <c r="C1719" s="1">
        <v>1155</v>
      </c>
      <c r="D1719" s="1">
        <v>182</v>
      </c>
      <c r="E1719" s="3">
        <f>IF(INDEX(C:C, ROW())+INDEX(D:D, ROW())=0, 0, INDEX(C:C, ROW())/(INDEX(C:C, ROW())+INDEX(D:D, ROW())))</f>
        <v>0.86387434554973819</v>
      </c>
      <c r="F1719" s="1" t="s">
        <v>56</v>
      </c>
      <c r="G1719" s="1" t="s">
        <v>24</v>
      </c>
      <c r="H1719" s="1">
        <v>112477</v>
      </c>
      <c r="I1719" s="1">
        <v>154510</v>
      </c>
      <c r="J1719" s="7">
        <v>0.72799999999999998</v>
      </c>
      <c r="K1719" s="1" t="s">
        <v>21</v>
      </c>
      <c r="L1719" s="1" t="s">
        <v>21</v>
      </c>
      <c r="M1719" s="1" t="s">
        <v>29</v>
      </c>
      <c r="N1719" s="1" t="s">
        <v>22</v>
      </c>
    </row>
    <row r="1720" spans="1:14" x14ac:dyDescent="0.25">
      <c r="A1720" s="1">
        <v>1719</v>
      </c>
      <c r="B1720" s="2" t="str">
        <f>HYPERLINK("https://leetcode.com/problems/number-of-ways-to-reconstruct-a-tree/", "Number Of Ways To Reconstruct A Tree")</f>
        <v>Number Of Ways To Reconstruct A Tree</v>
      </c>
      <c r="C1720" s="1">
        <v>235</v>
      </c>
      <c r="D1720" s="1">
        <v>159</v>
      </c>
      <c r="E1720" s="3">
        <f>IF(INDEX(C:C, ROW())+INDEX(D:D, ROW())=0, 0, INDEX(C:C, ROW())/(INDEX(C:C, ROW())+INDEX(D:D, ROW())))</f>
        <v>0.59644670050761417</v>
      </c>
      <c r="F1720" s="1" t="s">
        <v>1076</v>
      </c>
      <c r="G1720" s="1" t="s">
        <v>28</v>
      </c>
      <c r="H1720" s="1">
        <v>6607</v>
      </c>
      <c r="I1720" s="1">
        <v>14563</v>
      </c>
      <c r="J1720" s="7">
        <v>0.45400000000000001</v>
      </c>
      <c r="K1720" s="1" t="s">
        <v>21</v>
      </c>
      <c r="L1720" s="1" t="s">
        <v>29</v>
      </c>
      <c r="M1720" s="1" t="s">
        <v>29</v>
      </c>
      <c r="N1720" s="1" t="s">
        <v>22</v>
      </c>
    </row>
    <row r="1721" spans="1:14" x14ac:dyDescent="0.25">
      <c r="A1721" s="1">
        <v>1720</v>
      </c>
      <c r="B1721" s="2" t="str">
        <f>HYPERLINK("https://leetcode.com/problems/decode-xored-array/", "Decode XORed Array")</f>
        <v>Decode XORed Array</v>
      </c>
      <c r="C1721" s="1">
        <v>1667</v>
      </c>
      <c r="D1721" s="1">
        <v>221</v>
      </c>
      <c r="E1721" s="3">
        <f>IF(INDEX(C:C, ROW())+INDEX(D:D, ROW())=0, 0, INDEX(C:C, ROW())/(INDEX(C:C, ROW())+INDEX(D:D, ROW())))</f>
        <v>0.88294491525423724</v>
      </c>
      <c r="F1721" s="1" t="s">
        <v>65</v>
      </c>
      <c r="G1721" s="1" t="s">
        <v>20</v>
      </c>
      <c r="H1721" s="1">
        <v>189047</v>
      </c>
      <c r="I1721" s="1">
        <v>216507</v>
      </c>
      <c r="J1721" s="7">
        <v>0.873</v>
      </c>
      <c r="K1721" s="1" t="s">
        <v>21</v>
      </c>
      <c r="L1721" s="1" t="s">
        <v>29</v>
      </c>
      <c r="M1721" s="1" t="s">
        <v>29</v>
      </c>
      <c r="N1721" s="1" t="s">
        <v>22</v>
      </c>
    </row>
    <row r="1722" spans="1:14" x14ac:dyDescent="0.25">
      <c r="A1722" s="1">
        <v>1721</v>
      </c>
      <c r="B1722" s="2" t="str">
        <f>HYPERLINK("https://leetcode.com/problems/swapping-nodes-in-a-linked-list/", "Swapping Nodes in a Linked List")</f>
        <v>Swapping Nodes in a Linked List</v>
      </c>
      <c r="C1722" s="1">
        <v>5710</v>
      </c>
      <c r="D1722" s="1">
        <v>210</v>
      </c>
      <c r="E1722" s="3">
        <f>IF(INDEX(C:C, ROW())+INDEX(D:D, ROW())=0, 0, INDEX(C:C, ROW())/(INDEX(C:C, ROW())+INDEX(D:D, ROW())))</f>
        <v>0.96452702702702697</v>
      </c>
      <c r="F1722" s="1" t="s">
        <v>53</v>
      </c>
      <c r="G1722" s="1" t="s">
        <v>24</v>
      </c>
      <c r="H1722" s="1">
        <v>451152</v>
      </c>
      <c r="I1722" s="1">
        <v>651805</v>
      </c>
      <c r="J1722" s="7">
        <v>0.69199999999999995</v>
      </c>
      <c r="K1722" s="1" t="s">
        <v>21</v>
      </c>
      <c r="L1722" s="1" t="s">
        <v>21</v>
      </c>
      <c r="M1722" s="1" t="s">
        <v>29</v>
      </c>
      <c r="N1722" s="1" t="s">
        <v>22</v>
      </c>
    </row>
    <row r="1723" spans="1:14" x14ac:dyDescent="0.25">
      <c r="A1723" s="1">
        <v>1722</v>
      </c>
      <c r="B1723" s="2" t="str">
        <f>HYPERLINK("https://leetcode.com/problems/minimize-hamming-distance-after-swap-operations/", "Minimize Hamming Distance After Swap Operations")</f>
        <v>Minimize Hamming Distance After Swap Operations</v>
      </c>
      <c r="C1723" s="1">
        <v>896</v>
      </c>
      <c r="D1723" s="1">
        <v>30</v>
      </c>
      <c r="E1723" s="3">
        <f>IF(INDEX(C:C, ROW())+INDEX(D:D, ROW())=0, 0, INDEX(C:C, ROW())/(INDEX(C:C, ROW())+INDEX(D:D, ROW())))</f>
        <v>0.96760259179265662</v>
      </c>
      <c r="F1723" s="1" t="s">
        <v>738</v>
      </c>
      <c r="G1723" s="1" t="s">
        <v>24</v>
      </c>
      <c r="H1723" s="1">
        <v>22291</v>
      </c>
      <c r="I1723" s="1">
        <v>45350</v>
      </c>
      <c r="J1723" s="7">
        <v>0.49199999999999999</v>
      </c>
      <c r="K1723" s="1" t="s">
        <v>21</v>
      </c>
      <c r="L1723" s="1" t="s">
        <v>29</v>
      </c>
      <c r="M1723" s="1" t="s">
        <v>29</v>
      </c>
      <c r="N1723" s="1" t="s">
        <v>22</v>
      </c>
    </row>
    <row r="1724" spans="1:14" x14ac:dyDescent="0.25">
      <c r="A1724" s="1">
        <v>1723</v>
      </c>
      <c r="B1724" s="2" t="str">
        <f>HYPERLINK("https://leetcode.com/problems/find-minimum-time-to-finish-all-jobs/", "Find Minimum Time to Finish All Jobs")</f>
        <v>Find Minimum Time to Finish All Jobs</v>
      </c>
      <c r="C1724" s="1">
        <v>1128</v>
      </c>
      <c r="D1724" s="1">
        <v>39</v>
      </c>
      <c r="E1724" s="3">
        <f>IF(INDEX(C:C, ROW())+INDEX(D:D, ROW())=0, 0, INDEX(C:C, ROW())/(INDEX(C:C, ROW())+INDEX(D:D, ROW())))</f>
        <v>0.96658097686375322</v>
      </c>
      <c r="F1724" s="1" t="s">
        <v>309</v>
      </c>
      <c r="G1724" s="1" t="s">
        <v>28</v>
      </c>
      <c r="H1724" s="1">
        <v>42078</v>
      </c>
      <c r="I1724" s="1">
        <v>92728</v>
      </c>
      <c r="J1724" s="7">
        <v>0.45400000000000001</v>
      </c>
      <c r="K1724" s="1" t="s">
        <v>21</v>
      </c>
      <c r="L1724" s="1" t="s">
        <v>29</v>
      </c>
      <c r="M1724" s="1" t="s">
        <v>29</v>
      </c>
      <c r="N1724" s="1" t="s">
        <v>22</v>
      </c>
    </row>
    <row r="1725" spans="1:14" x14ac:dyDescent="0.25">
      <c r="A1725" s="1">
        <v>1724</v>
      </c>
      <c r="B1725" s="2" t="str">
        <f>HYPERLINK("https://leetcode.com/problems/checking-existence-of-edge-length-limited-paths-ii/", "Checking Existence of Edge Length Limited Paths II")</f>
        <v>Checking Existence of Edge Length Limited Paths II</v>
      </c>
      <c r="C1725" s="1">
        <v>122</v>
      </c>
      <c r="D1725" s="1">
        <v>10</v>
      </c>
      <c r="E1725" s="3">
        <f>IF(INDEX(C:C, ROW())+INDEX(D:D, ROW())=0, 0, INDEX(C:C, ROW())/(INDEX(C:C, ROW())+INDEX(D:D, ROW())))</f>
        <v>0.9242424242424242</v>
      </c>
      <c r="F1725" s="1" t="s">
        <v>1161</v>
      </c>
      <c r="G1725" s="1" t="s">
        <v>28</v>
      </c>
      <c r="H1725" s="1">
        <v>4092</v>
      </c>
      <c r="I1725" s="1">
        <v>7907</v>
      </c>
      <c r="J1725" s="7">
        <v>0.51800000000000002</v>
      </c>
      <c r="K1725" s="1" t="s">
        <v>29</v>
      </c>
      <c r="L1725" s="1" t="s">
        <v>29</v>
      </c>
      <c r="M1725" s="1" t="s">
        <v>29</v>
      </c>
      <c r="N1725" s="1" t="s">
        <v>22</v>
      </c>
    </row>
    <row r="1726" spans="1:14" x14ac:dyDescent="0.25">
      <c r="A1726" s="1">
        <v>1725</v>
      </c>
      <c r="B1726" s="2" t="str">
        <f>HYPERLINK("https://leetcode.com/problems/number-of-rectangles-that-can-form-the-largest-square/", "Number Of Rectangles That Can Form The Largest Square")</f>
        <v>Number Of Rectangles That Can Form The Largest Square</v>
      </c>
      <c r="C1726" s="1">
        <v>624</v>
      </c>
      <c r="D1726" s="1">
        <v>75</v>
      </c>
      <c r="E1726" s="3">
        <f>IF(INDEX(C:C, ROW())+INDEX(D:D, ROW())=0, 0, INDEX(C:C, ROW())/(INDEX(C:C, ROW())+INDEX(D:D, ROW())))</f>
        <v>0.89270386266094426</v>
      </c>
      <c r="F1726" s="1" t="s">
        <v>113</v>
      </c>
      <c r="G1726" s="1" t="s">
        <v>20</v>
      </c>
      <c r="H1726" s="1">
        <v>85743</v>
      </c>
      <c r="I1726" s="1">
        <v>108054</v>
      </c>
      <c r="J1726" s="7">
        <v>0.79400000000000004</v>
      </c>
      <c r="K1726" s="1" t="s">
        <v>21</v>
      </c>
      <c r="L1726" s="1" t="s">
        <v>29</v>
      </c>
      <c r="M1726" s="1" t="s">
        <v>29</v>
      </c>
      <c r="N1726" s="1" t="s">
        <v>22</v>
      </c>
    </row>
    <row r="1727" spans="1:14" x14ac:dyDescent="0.25">
      <c r="A1727" s="1">
        <v>1726</v>
      </c>
      <c r="B1727" s="2" t="str">
        <f>HYPERLINK("https://leetcode.com/problems/tuple-with-same-product/", "Tuple with Same Product")</f>
        <v>Tuple with Same Product</v>
      </c>
      <c r="C1727" s="1">
        <v>1371</v>
      </c>
      <c r="D1727" s="1">
        <v>59</v>
      </c>
      <c r="E1727" s="3">
        <f>IF(INDEX(C:C, ROW())+INDEX(D:D, ROW())=0, 0, INDEX(C:C, ROW())/(INDEX(C:C, ROW())+INDEX(D:D, ROW())))</f>
        <v>0.95874125874125871</v>
      </c>
      <c r="F1727" s="1" t="s">
        <v>294</v>
      </c>
      <c r="G1727" s="1" t="s">
        <v>24</v>
      </c>
      <c r="H1727" s="1">
        <v>198433</v>
      </c>
      <c r="I1727" s="1">
        <v>283011</v>
      </c>
      <c r="J1727" s="7">
        <v>0.70099999999999996</v>
      </c>
      <c r="K1727" s="1" t="s">
        <v>21</v>
      </c>
      <c r="L1727" s="1" t="s">
        <v>21</v>
      </c>
      <c r="M1727" s="1" t="s">
        <v>29</v>
      </c>
      <c r="N1727" s="1" t="s">
        <v>22</v>
      </c>
    </row>
    <row r="1728" spans="1:14" x14ac:dyDescent="0.25">
      <c r="A1728" s="1">
        <v>1727</v>
      </c>
      <c r="B1728" s="2" t="str">
        <f>HYPERLINK("https://leetcode.com/problems/largest-submatrix-with-rearrangements/", "Largest Submatrix With Rearrangements")</f>
        <v>Largest Submatrix With Rearrangements</v>
      </c>
      <c r="C1728" s="1">
        <v>1978</v>
      </c>
      <c r="D1728" s="1">
        <v>107</v>
      </c>
      <c r="E1728" s="3">
        <f>IF(INDEX(C:C, ROW())+INDEX(D:D, ROW())=0, 0, INDEX(C:C, ROW())/(INDEX(C:C, ROW())+INDEX(D:D, ROW())))</f>
        <v>0.94868105515587531</v>
      </c>
      <c r="F1728" s="1" t="s">
        <v>504</v>
      </c>
      <c r="G1728" s="1" t="s">
        <v>24</v>
      </c>
      <c r="H1728" s="1">
        <v>78800</v>
      </c>
      <c r="I1728" s="1">
        <v>104760</v>
      </c>
      <c r="J1728" s="7">
        <v>0.752</v>
      </c>
      <c r="K1728" s="1" t="s">
        <v>21</v>
      </c>
      <c r="L1728" s="1" t="s">
        <v>21</v>
      </c>
      <c r="M1728" s="1" t="s">
        <v>29</v>
      </c>
      <c r="N1728" s="1" t="s">
        <v>22</v>
      </c>
    </row>
    <row r="1729" spans="1:14" x14ac:dyDescent="0.25">
      <c r="A1729" s="1">
        <v>1728</v>
      </c>
      <c r="B1729" s="2" t="str">
        <f>HYPERLINK("https://leetcode.com/problems/cat-and-mouse-ii/", "Cat and Mouse II")</f>
        <v>Cat and Mouse II</v>
      </c>
      <c r="C1729" s="1">
        <v>286</v>
      </c>
      <c r="D1729" s="1">
        <v>48</v>
      </c>
      <c r="E1729" s="3">
        <f>IF(INDEX(C:C, ROW())+INDEX(D:D, ROW())=0, 0, INDEX(C:C, ROW())/(INDEX(C:C, ROW())+INDEX(D:D, ROW())))</f>
        <v>0.85628742514970058</v>
      </c>
      <c r="F1729" s="1" t="s">
        <v>1049</v>
      </c>
      <c r="G1729" s="1" t="s">
        <v>28</v>
      </c>
      <c r="H1729" s="1">
        <v>9318</v>
      </c>
      <c r="I1729" s="1">
        <v>23096</v>
      </c>
      <c r="J1729" s="7">
        <v>0.40300000000000002</v>
      </c>
      <c r="K1729" s="1" t="s">
        <v>21</v>
      </c>
      <c r="L1729" s="1" t="s">
        <v>29</v>
      </c>
      <c r="M1729" s="1" t="s">
        <v>29</v>
      </c>
      <c r="N1729" s="1" t="s">
        <v>22</v>
      </c>
    </row>
    <row r="1730" spans="1:14" x14ac:dyDescent="0.25">
      <c r="A1730" s="1">
        <v>1729</v>
      </c>
      <c r="B1730" s="2" t="str">
        <f>HYPERLINK("https://leetcode.com/problems/find-followers-count/", "Find Followers Count")</f>
        <v>Find Followers Count</v>
      </c>
      <c r="C1730" s="1">
        <v>742</v>
      </c>
      <c r="D1730" s="1">
        <v>47</v>
      </c>
      <c r="E1730" s="3">
        <f>IF(INDEX(C:C, ROW())+INDEX(D:D, ROW())=0, 0, INDEX(C:C, ROW())/(INDEX(C:C, ROW())+INDEX(D:D, ROW())))</f>
        <v>0.94043092522179972</v>
      </c>
      <c r="F1730" s="1" t="s">
        <v>297</v>
      </c>
      <c r="G1730" s="1" t="s">
        <v>20</v>
      </c>
      <c r="H1730" s="1">
        <v>452699</v>
      </c>
      <c r="I1730" s="1">
        <v>651141</v>
      </c>
      <c r="J1730" s="7">
        <v>0.69499999999999995</v>
      </c>
      <c r="K1730" s="1" t="s">
        <v>21</v>
      </c>
      <c r="L1730" s="1" t="s">
        <v>21</v>
      </c>
      <c r="M1730" s="1" t="s">
        <v>29</v>
      </c>
      <c r="N1730" s="1" t="s">
        <v>297</v>
      </c>
    </row>
    <row r="1731" spans="1:14" x14ac:dyDescent="0.25">
      <c r="A1731" s="1">
        <v>1730</v>
      </c>
      <c r="B1731" s="2" t="str">
        <f>HYPERLINK("https://leetcode.com/problems/shortest-path-to-get-food/", "Shortest Path to Get Food")</f>
        <v>Shortest Path to Get Food</v>
      </c>
      <c r="C1731" s="1">
        <v>721</v>
      </c>
      <c r="D1731" s="1">
        <v>41</v>
      </c>
      <c r="E1731" s="3">
        <f>IF(INDEX(C:C, ROW())+INDEX(D:D, ROW())=0, 0, INDEX(C:C, ROW())/(INDEX(C:C, ROW())+INDEX(D:D, ROW())))</f>
        <v>0.9461942257217848</v>
      </c>
      <c r="F1731" s="1" t="s">
        <v>86</v>
      </c>
      <c r="G1731" s="1" t="s">
        <v>24</v>
      </c>
      <c r="H1731" s="1">
        <v>82416</v>
      </c>
      <c r="I1731" s="1">
        <v>144356</v>
      </c>
      <c r="J1731" s="7">
        <v>0.57099999999999995</v>
      </c>
      <c r="K1731" s="1" t="s">
        <v>29</v>
      </c>
      <c r="L1731" s="1" t="s">
        <v>21</v>
      </c>
      <c r="M1731" s="1" t="s">
        <v>29</v>
      </c>
      <c r="N1731" s="1" t="s">
        <v>22</v>
      </c>
    </row>
    <row r="1732" spans="1:14" x14ac:dyDescent="0.25">
      <c r="A1732" s="1">
        <v>1731</v>
      </c>
      <c r="B1732" s="2" t="str">
        <f>HYPERLINK("https://leetcode.com/problems/the-number-of-employees-which-report-to-each-employee/", "The Number of Employees Which Report to Each Employee")</f>
        <v>The Number of Employees Which Report to Each Employee</v>
      </c>
      <c r="C1732" s="1">
        <v>872</v>
      </c>
      <c r="D1732" s="1">
        <v>106</v>
      </c>
      <c r="E1732" s="3">
        <f>IF(INDEX(C:C, ROW())+INDEX(D:D, ROW())=0, 0, INDEX(C:C, ROW())/(INDEX(C:C, ROW())+INDEX(D:D, ROW())))</f>
        <v>0.89161554192229042</v>
      </c>
      <c r="F1732" s="1" t="s">
        <v>297</v>
      </c>
      <c r="G1732" s="1" t="s">
        <v>20</v>
      </c>
      <c r="H1732" s="1">
        <v>363181</v>
      </c>
      <c r="I1732" s="1">
        <v>685549</v>
      </c>
      <c r="J1732" s="7">
        <v>0.53</v>
      </c>
      <c r="K1732" s="1" t="s">
        <v>21</v>
      </c>
      <c r="L1732" s="1" t="s">
        <v>21</v>
      </c>
      <c r="M1732" s="1" t="s">
        <v>29</v>
      </c>
      <c r="N1732" s="1" t="s">
        <v>297</v>
      </c>
    </row>
    <row r="1733" spans="1:14" x14ac:dyDescent="0.25">
      <c r="A1733" s="1">
        <v>1732</v>
      </c>
      <c r="B1733" s="2" t="str">
        <f>HYPERLINK("https://leetcode.com/problems/find-the-highest-altitude/", "Find the Highest Altitude")</f>
        <v>Find the Highest Altitude</v>
      </c>
      <c r="C1733" s="1">
        <v>3230</v>
      </c>
      <c r="D1733" s="1">
        <v>425</v>
      </c>
      <c r="E1733" s="3">
        <f>IF(INDEX(C:C, ROW())+INDEX(D:D, ROW())=0, 0, INDEX(C:C, ROW())/(INDEX(C:C, ROW())+INDEX(D:D, ROW())))</f>
        <v>0.88372093023255816</v>
      </c>
      <c r="F1733" s="1" t="s">
        <v>37</v>
      </c>
      <c r="G1733" s="1" t="s">
        <v>20</v>
      </c>
      <c r="H1733" s="1">
        <v>700159</v>
      </c>
      <c r="I1733" s="1">
        <v>834734</v>
      </c>
      <c r="J1733" s="7">
        <v>0.83899999999999997</v>
      </c>
      <c r="K1733" s="1" t="s">
        <v>21</v>
      </c>
      <c r="L1733" s="1" t="s">
        <v>21</v>
      </c>
      <c r="M1733" s="1" t="s">
        <v>29</v>
      </c>
      <c r="N1733" s="1" t="s">
        <v>22</v>
      </c>
    </row>
    <row r="1734" spans="1:14" x14ac:dyDescent="0.25">
      <c r="A1734" s="1">
        <v>1733</v>
      </c>
      <c r="B1734" s="2" t="str">
        <f>HYPERLINK("https://leetcode.com/problems/minimum-number-of-people-to-teach/", "Minimum Number of People to Teach")</f>
        <v>Minimum Number of People to Teach</v>
      </c>
      <c r="C1734" s="1">
        <v>716</v>
      </c>
      <c r="D1734" s="1">
        <v>559</v>
      </c>
      <c r="E1734" s="3">
        <f>IF(INDEX(C:C, ROW())+INDEX(D:D, ROW())=0, 0, INDEX(C:C, ROW())/(INDEX(C:C, ROW())+INDEX(D:D, ROW())))</f>
        <v>0.56156862745098035</v>
      </c>
      <c r="F1734" s="1" t="s">
        <v>368</v>
      </c>
      <c r="G1734" s="1" t="s">
        <v>24</v>
      </c>
      <c r="H1734" s="1">
        <v>98811</v>
      </c>
      <c r="I1734" s="1">
        <v>146040</v>
      </c>
      <c r="J1734" s="7">
        <v>0.67700000000000005</v>
      </c>
      <c r="K1734" s="1" t="s">
        <v>21</v>
      </c>
      <c r="L1734" s="1" t="s">
        <v>21</v>
      </c>
      <c r="M1734" s="1" t="s">
        <v>29</v>
      </c>
      <c r="N1734" s="1" t="s">
        <v>22</v>
      </c>
    </row>
    <row r="1735" spans="1:14" x14ac:dyDescent="0.25">
      <c r="A1735" s="1">
        <v>1734</v>
      </c>
      <c r="B1735" s="2" t="str">
        <f>HYPERLINK("https://leetcode.com/problems/decode-xored-permutation/", "Decode XORed Permutation")</f>
        <v>Decode XORed Permutation</v>
      </c>
      <c r="C1735" s="1">
        <v>802</v>
      </c>
      <c r="D1735" s="1">
        <v>35</v>
      </c>
      <c r="E1735" s="3">
        <f>IF(INDEX(C:C, ROW())+INDEX(D:D, ROW())=0, 0, INDEX(C:C, ROW())/(INDEX(C:C, ROW())+INDEX(D:D, ROW())))</f>
        <v>0.95818399044205493</v>
      </c>
      <c r="F1735" s="1" t="s">
        <v>65</v>
      </c>
      <c r="G1735" s="1" t="s">
        <v>24</v>
      </c>
      <c r="H1735" s="1">
        <v>19967</v>
      </c>
      <c r="I1735" s="1">
        <v>29864</v>
      </c>
      <c r="J1735" s="7">
        <v>0.66900000000000004</v>
      </c>
      <c r="K1735" s="1" t="s">
        <v>21</v>
      </c>
      <c r="L1735" s="1" t="s">
        <v>29</v>
      </c>
      <c r="M1735" s="1" t="s">
        <v>29</v>
      </c>
      <c r="N1735" s="1" t="s">
        <v>22</v>
      </c>
    </row>
    <row r="1736" spans="1:14" x14ac:dyDescent="0.25">
      <c r="A1736" s="1">
        <v>1735</v>
      </c>
      <c r="B1736" s="2" t="str">
        <f>HYPERLINK("https://leetcode.com/problems/count-ways-to-make-array-with-product/", "Count Ways to Make Array With Product")</f>
        <v>Count Ways to Make Array With Product</v>
      </c>
      <c r="C1736" s="1">
        <v>319</v>
      </c>
      <c r="D1736" s="1">
        <v>36</v>
      </c>
      <c r="E1736" s="3">
        <f>IF(INDEX(C:C, ROW())+INDEX(D:D, ROW())=0, 0, INDEX(C:C, ROW())/(INDEX(C:C, ROW())+INDEX(D:D, ROW())))</f>
        <v>0.89859154929577467</v>
      </c>
      <c r="F1736" s="1" t="s">
        <v>1037</v>
      </c>
      <c r="G1736" s="1" t="s">
        <v>28</v>
      </c>
      <c r="H1736" s="1">
        <v>9005</v>
      </c>
      <c r="I1736" s="1">
        <v>16564</v>
      </c>
      <c r="J1736" s="7">
        <v>0.54400000000000004</v>
      </c>
      <c r="K1736" s="1" t="s">
        <v>21</v>
      </c>
      <c r="L1736" s="1" t="s">
        <v>29</v>
      </c>
      <c r="M1736" s="1" t="s">
        <v>29</v>
      </c>
      <c r="N1736" s="1" t="s">
        <v>22</v>
      </c>
    </row>
    <row r="1737" spans="1:14" x14ac:dyDescent="0.25">
      <c r="A1737" s="1">
        <v>1736</v>
      </c>
      <c r="B1737" s="2" t="str">
        <f>HYPERLINK("https://leetcode.com/problems/latest-time-by-replacing-hidden-digits/", "Latest Time by Replacing Hidden Digits")</f>
        <v>Latest Time by Replacing Hidden Digits</v>
      </c>
      <c r="C1737" s="1">
        <v>402</v>
      </c>
      <c r="D1737" s="1">
        <v>188</v>
      </c>
      <c r="E1737" s="3">
        <f>IF(INDEX(C:C, ROW())+INDEX(D:D, ROW())=0, 0, INDEX(C:C, ROW())/(INDEX(C:C, ROW())+INDEX(D:D, ROW())))</f>
        <v>0.68135593220338986</v>
      </c>
      <c r="F1737" s="1" t="s">
        <v>424</v>
      </c>
      <c r="G1737" s="1" t="s">
        <v>20</v>
      </c>
      <c r="H1737" s="1">
        <v>47295</v>
      </c>
      <c r="I1737" s="1">
        <v>108379</v>
      </c>
      <c r="J1737" s="7">
        <v>0.436</v>
      </c>
      <c r="K1737" s="1" t="s">
        <v>21</v>
      </c>
      <c r="L1737" s="1" t="s">
        <v>29</v>
      </c>
      <c r="M1737" s="1" t="s">
        <v>29</v>
      </c>
      <c r="N1737" s="1" t="s">
        <v>22</v>
      </c>
    </row>
    <row r="1738" spans="1:14" x14ac:dyDescent="0.25">
      <c r="A1738" s="1">
        <v>1737</v>
      </c>
      <c r="B1738" s="2" t="str">
        <f>HYPERLINK("https://leetcode.com/problems/change-minimum-characters-to-satisfy-one-of-three-conditions/", "Change Minimum Characters to Satisfy One of Three Conditions")</f>
        <v>Change Minimum Characters to Satisfy One of Three Conditions</v>
      </c>
      <c r="C1738" s="1">
        <v>336</v>
      </c>
      <c r="D1738" s="1">
        <v>346</v>
      </c>
      <c r="E1738" s="3">
        <f>IF(INDEX(C:C, ROW())+INDEX(D:D, ROW())=0, 0, INDEX(C:C, ROW())/(INDEX(C:C, ROW())+INDEX(D:D, ROW())))</f>
        <v>0.49266862170087977</v>
      </c>
      <c r="F1738" s="1" t="s">
        <v>1029</v>
      </c>
      <c r="G1738" s="1" t="s">
        <v>24</v>
      </c>
      <c r="H1738" s="1">
        <v>16299</v>
      </c>
      <c r="I1738" s="1">
        <v>43181</v>
      </c>
      <c r="J1738" s="7">
        <v>0.377</v>
      </c>
      <c r="K1738" s="1" t="s">
        <v>21</v>
      </c>
      <c r="L1738" s="1" t="s">
        <v>29</v>
      </c>
      <c r="M1738" s="1" t="s">
        <v>29</v>
      </c>
      <c r="N1738" s="1" t="s">
        <v>22</v>
      </c>
    </row>
    <row r="1739" spans="1:14" x14ac:dyDescent="0.25">
      <c r="A1739" s="1">
        <v>1738</v>
      </c>
      <c r="B1739" s="2" t="str">
        <f>HYPERLINK("https://leetcode.com/problems/find-kth-largest-xor-coordinate-value/", "Find Kth Largest XOR Coordinate Value")</f>
        <v>Find Kth Largest XOR Coordinate Value</v>
      </c>
      <c r="C1739" s="1">
        <v>538</v>
      </c>
      <c r="D1739" s="1">
        <v>84</v>
      </c>
      <c r="E1739" s="3">
        <f>IF(INDEX(C:C, ROW())+INDEX(D:D, ROW())=0, 0, INDEX(C:C, ROW())/(INDEX(C:C, ROW())+INDEX(D:D, ROW())))</f>
        <v>0.864951768488746</v>
      </c>
      <c r="F1739" s="1" t="s">
        <v>888</v>
      </c>
      <c r="G1739" s="1" t="s">
        <v>24</v>
      </c>
      <c r="H1739" s="1">
        <v>30020</v>
      </c>
      <c r="I1739" s="1">
        <v>46779</v>
      </c>
      <c r="J1739" s="7">
        <v>0.64200000000000002</v>
      </c>
      <c r="K1739" s="1" t="s">
        <v>21</v>
      </c>
      <c r="L1739" s="1" t="s">
        <v>29</v>
      </c>
      <c r="M1739" s="1" t="s">
        <v>29</v>
      </c>
      <c r="N1739" s="1" t="s">
        <v>22</v>
      </c>
    </row>
    <row r="1740" spans="1:14" x14ac:dyDescent="0.25">
      <c r="A1740" s="1">
        <v>1739</v>
      </c>
      <c r="B1740" s="2" t="str">
        <f>HYPERLINK("https://leetcode.com/problems/building-boxes/", "Building Boxes")</f>
        <v>Building Boxes</v>
      </c>
      <c r="C1740" s="1">
        <v>314</v>
      </c>
      <c r="D1740" s="1">
        <v>49</v>
      </c>
      <c r="E1740" s="3">
        <f>IF(INDEX(C:C, ROW())+INDEX(D:D, ROW())=0, 0, INDEX(C:C, ROW())/(INDEX(C:C, ROW())+INDEX(D:D, ROW())))</f>
        <v>0.86501377410468316</v>
      </c>
      <c r="F1740" s="1" t="s">
        <v>399</v>
      </c>
      <c r="G1740" s="1" t="s">
        <v>28</v>
      </c>
      <c r="H1740" s="1">
        <v>9530</v>
      </c>
      <c r="I1740" s="1">
        <v>18186</v>
      </c>
      <c r="J1740" s="7">
        <v>0.52400000000000002</v>
      </c>
      <c r="K1740" s="1" t="s">
        <v>21</v>
      </c>
      <c r="L1740" s="1" t="s">
        <v>29</v>
      </c>
      <c r="M1740" s="1" t="s">
        <v>29</v>
      </c>
      <c r="N1740" s="1" t="s">
        <v>22</v>
      </c>
    </row>
    <row r="1741" spans="1:14" x14ac:dyDescent="0.25">
      <c r="A1741" s="1">
        <v>1740</v>
      </c>
      <c r="B1741" s="2" t="str">
        <f>HYPERLINK("https://leetcode.com/problems/find-distance-in-a-binary-tree/", "Find Distance in a Binary Tree")</f>
        <v>Find Distance in a Binary Tree</v>
      </c>
      <c r="C1741" s="1">
        <v>485</v>
      </c>
      <c r="D1741" s="1">
        <v>19</v>
      </c>
      <c r="E1741" s="3">
        <f>IF(INDEX(C:C, ROW())+INDEX(D:D, ROW())=0, 0, INDEX(C:C, ROW())/(INDEX(C:C, ROW())+INDEX(D:D, ROW())))</f>
        <v>0.96230158730158732</v>
      </c>
      <c r="F1741" s="1" t="s">
        <v>107</v>
      </c>
      <c r="G1741" s="1" t="s">
        <v>24</v>
      </c>
      <c r="H1741" s="1">
        <v>35395</v>
      </c>
      <c r="I1741" s="1">
        <v>47635</v>
      </c>
      <c r="J1741" s="7">
        <v>0.74299999999999999</v>
      </c>
      <c r="K1741" s="1" t="s">
        <v>29</v>
      </c>
      <c r="L1741" s="1" t="s">
        <v>21</v>
      </c>
      <c r="M1741" s="1" t="s">
        <v>29</v>
      </c>
      <c r="N1741" s="1" t="s">
        <v>22</v>
      </c>
    </row>
    <row r="1742" spans="1:14" x14ac:dyDescent="0.25">
      <c r="A1742" s="1">
        <v>1741</v>
      </c>
      <c r="B1742" s="2" t="str">
        <f>HYPERLINK("https://leetcode.com/problems/find-total-time-spent-by-each-employee/", "Find Total Time Spent by Each Employee")</f>
        <v>Find Total Time Spent by Each Employee</v>
      </c>
      <c r="C1742" s="1">
        <v>803</v>
      </c>
      <c r="D1742" s="1">
        <v>24</v>
      </c>
      <c r="E1742" s="3">
        <f>IF(INDEX(C:C, ROW())+INDEX(D:D, ROW())=0, 0, INDEX(C:C, ROW())/(INDEX(C:C, ROW())+INDEX(D:D, ROW())))</f>
        <v>0.97097944377267231</v>
      </c>
      <c r="F1742" s="1" t="s">
        <v>297</v>
      </c>
      <c r="G1742" s="1" t="s">
        <v>20</v>
      </c>
      <c r="H1742" s="1">
        <v>214532</v>
      </c>
      <c r="I1742" s="1">
        <v>248268</v>
      </c>
      <c r="J1742" s="7">
        <v>0.86399999999999999</v>
      </c>
      <c r="K1742" s="1" t="s">
        <v>21</v>
      </c>
      <c r="L1742" s="1" t="s">
        <v>21</v>
      </c>
      <c r="M1742" s="1" t="s">
        <v>29</v>
      </c>
      <c r="N1742" s="1" t="s">
        <v>297</v>
      </c>
    </row>
    <row r="1743" spans="1:14" x14ac:dyDescent="0.25">
      <c r="A1743" s="1">
        <v>1742</v>
      </c>
      <c r="B1743" s="2" t="str">
        <f>HYPERLINK("https://leetcode.com/problems/maximum-number-of-balls-in-a-box/", "Maximum Number of Balls in a Box")</f>
        <v>Maximum Number of Balls in a Box</v>
      </c>
      <c r="C1743" s="1">
        <v>653</v>
      </c>
      <c r="D1743" s="1">
        <v>170</v>
      </c>
      <c r="E1743" s="3">
        <f>IF(INDEX(C:C, ROW())+INDEX(D:D, ROW())=0, 0, INDEX(C:C, ROW())/(INDEX(C:C, ROW())+INDEX(D:D, ROW())))</f>
        <v>0.79343863912515189</v>
      </c>
      <c r="F1743" s="1" t="s">
        <v>822</v>
      </c>
      <c r="G1743" s="1" t="s">
        <v>20</v>
      </c>
      <c r="H1743" s="1">
        <v>83350</v>
      </c>
      <c r="I1743" s="1">
        <v>111541</v>
      </c>
      <c r="J1743" s="7">
        <v>0.747</v>
      </c>
      <c r="K1743" s="1" t="s">
        <v>21</v>
      </c>
      <c r="L1743" s="1" t="s">
        <v>29</v>
      </c>
      <c r="M1743" s="1" t="s">
        <v>29</v>
      </c>
      <c r="N1743" s="1" t="s">
        <v>22</v>
      </c>
    </row>
    <row r="1744" spans="1:14" x14ac:dyDescent="0.25">
      <c r="A1744" s="1">
        <v>1743</v>
      </c>
      <c r="B1744" s="2" t="str">
        <f>HYPERLINK("https://leetcode.com/problems/restore-the-array-from-adjacent-pairs/", "Restore the Array From Adjacent Pairs")</f>
        <v>Restore the Array From Adjacent Pairs</v>
      </c>
      <c r="C1744" s="1">
        <v>2049</v>
      </c>
      <c r="D1744" s="1">
        <v>71</v>
      </c>
      <c r="E1744" s="3">
        <f>IF(INDEX(C:C, ROW())+INDEX(D:D, ROW())=0, 0, INDEX(C:C, ROW())/(INDEX(C:C, ROW())+INDEX(D:D, ROW())))</f>
        <v>0.96650943396226419</v>
      </c>
      <c r="F1744" s="1" t="s">
        <v>498</v>
      </c>
      <c r="G1744" s="1" t="s">
        <v>24</v>
      </c>
      <c r="H1744" s="1">
        <v>125363</v>
      </c>
      <c r="I1744" s="1">
        <v>167033</v>
      </c>
      <c r="J1744" s="7">
        <v>0.751</v>
      </c>
      <c r="K1744" s="1" t="s">
        <v>21</v>
      </c>
      <c r="L1744" s="1" t="s">
        <v>21</v>
      </c>
      <c r="M1744" s="1" t="s">
        <v>29</v>
      </c>
      <c r="N1744" s="1" t="s">
        <v>22</v>
      </c>
    </row>
    <row r="1745" spans="1:14" x14ac:dyDescent="0.25">
      <c r="A1745" s="1">
        <v>1744</v>
      </c>
      <c r="B1745" s="2" t="str">
        <f>HYPERLINK("https://leetcode.com/problems/can-you-eat-your-favorite-candy-on-your-favorite-day/", "Can You Eat Your Favorite Candy on Your Favorite Day?")</f>
        <v>Can You Eat Your Favorite Candy on Your Favorite Day?</v>
      </c>
      <c r="C1745" s="1">
        <v>150</v>
      </c>
      <c r="D1745" s="1">
        <v>341</v>
      </c>
      <c r="E1745" s="3">
        <f>IF(INDEX(C:C, ROW())+INDEX(D:D, ROW())=0, 0, INDEX(C:C, ROW())/(INDEX(C:C, ROW())+INDEX(D:D, ROW())))</f>
        <v>0.30549898167006112</v>
      </c>
      <c r="F1745" s="1" t="s">
        <v>37</v>
      </c>
      <c r="G1745" s="1" t="s">
        <v>24</v>
      </c>
      <c r="H1745" s="1">
        <v>13705</v>
      </c>
      <c r="I1745" s="1">
        <v>38071</v>
      </c>
      <c r="J1745" s="7">
        <v>0.36</v>
      </c>
      <c r="K1745" s="1" t="s">
        <v>21</v>
      </c>
      <c r="L1745" s="1" t="s">
        <v>29</v>
      </c>
      <c r="M1745" s="1" t="s">
        <v>29</v>
      </c>
      <c r="N1745" s="1" t="s">
        <v>22</v>
      </c>
    </row>
    <row r="1746" spans="1:14" x14ac:dyDescent="0.25">
      <c r="A1746" s="1">
        <v>1745</v>
      </c>
      <c r="B1746" s="2" t="str">
        <f>HYPERLINK("https://leetcode.com/problems/palindrome-partitioning-iv/", "Palindrome Partitioning IV")</f>
        <v>Palindrome Partitioning IV</v>
      </c>
      <c r="C1746" s="1">
        <v>963</v>
      </c>
      <c r="D1746" s="1">
        <v>31</v>
      </c>
      <c r="E1746" s="3">
        <f>IF(INDEX(C:C, ROW())+INDEX(D:D, ROW())=0, 0, INDEX(C:C, ROW())/(INDEX(C:C, ROW())+INDEX(D:D, ROW())))</f>
        <v>0.96881287726358145</v>
      </c>
      <c r="F1746" s="1" t="s">
        <v>82</v>
      </c>
      <c r="G1746" s="1" t="s">
        <v>28</v>
      </c>
      <c r="H1746" s="1">
        <v>32271</v>
      </c>
      <c r="I1746" s="1">
        <v>71417</v>
      </c>
      <c r="J1746" s="7">
        <v>0.45200000000000001</v>
      </c>
      <c r="K1746" s="1" t="s">
        <v>21</v>
      </c>
      <c r="L1746" s="1" t="s">
        <v>29</v>
      </c>
      <c r="M1746" s="1" t="s">
        <v>29</v>
      </c>
      <c r="N1746" s="1" t="s">
        <v>22</v>
      </c>
    </row>
    <row r="1747" spans="1:14" x14ac:dyDescent="0.25">
      <c r="A1747" s="1">
        <v>1746</v>
      </c>
      <c r="B1747" s="2" t="str">
        <f>HYPERLINK("https://leetcode.com/problems/maximum-subarray-sum-after-one-operation/", "Maximum Subarray Sum After One Operation")</f>
        <v>Maximum Subarray Sum After One Operation</v>
      </c>
      <c r="C1747" s="1">
        <v>312</v>
      </c>
      <c r="D1747" s="1">
        <v>10</v>
      </c>
      <c r="E1747" s="3">
        <f>IF(INDEX(C:C, ROW())+INDEX(D:D, ROW())=0, 0, INDEX(C:C, ROW())/(INDEX(C:C, ROW())+INDEX(D:D, ROW())))</f>
        <v>0.96894409937888204</v>
      </c>
      <c r="F1747" s="1" t="s">
        <v>30</v>
      </c>
      <c r="G1747" s="1" t="s">
        <v>24</v>
      </c>
      <c r="H1747" s="1">
        <v>13863</v>
      </c>
      <c r="I1747" s="1">
        <v>21243</v>
      </c>
      <c r="J1747" s="7">
        <v>0.65300000000000002</v>
      </c>
      <c r="K1747" s="1" t="s">
        <v>29</v>
      </c>
      <c r="L1747" s="1" t="s">
        <v>21</v>
      </c>
      <c r="M1747" s="1" t="s">
        <v>29</v>
      </c>
      <c r="N1747" s="1" t="s">
        <v>22</v>
      </c>
    </row>
    <row r="1748" spans="1:14" x14ac:dyDescent="0.25">
      <c r="A1748" s="1">
        <v>1747</v>
      </c>
      <c r="B1748" s="2" t="str">
        <f>HYPERLINK("https://leetcode.com/problems/leetflex-banned-accounts/", "Leetflex Banned Accounts")</f>
        <v>Leetflex Banned Accounts</v>
      </c>
      <c r="C1748" s="1">
        <v>201</v>
      </c>
      <c r="D1748" s="1">
        <v>18</v>
      </c>
      <c r="E1748" s="3">
        <f>IF(INDEX(C:C, ROW())+INDEX(D:D, ROW())=0, 0, INDEX(C:C, ROW())/(INDEX(C:C, ROW())+INDEX(D:D, ROW())))</f>
        <v>0.9178082191780822</v>
      </c>
      <c r="F1748" s="1" t="s">
        <v>297</v>
      </c>
      <c r="G1748" s="1" t="s">
        <v>24</v>
      </c>
      <c r="H1748" s="1">
        <v>30296</v>
      </c>
      <c r="I1748" s="1">
        <v>49019</v>
      </c>
      <c r="J1748" s="7">
        <v>0.61799999999999999</v>
      </c>
      <c r="K1748" s="1" t="s">
        <v>29</v>
      </c>
      <c r="L1748" s="1" t="s">
        <v>21</v>
      </c>
      <c r="M1748" s="1" t="s">
        <v>29</v>
      </c>
      <c r="N1748" s="1" t="s">
        <v>297</v>
      </c>
    </row>
    <row r="1749" spans="1:14" x14ac:dyDescent="0.25">
      <c r="A1749" s="1">
        <v>1748</v>
      </c>
      <c r="B1749" s="2" t="str">
        <f>HYPERLINK("https://leetcode.com/problems/sum-of-unique-elements/", "Sum of Unique Elements")</f>
        <v>Sum of Unique Elements</v>
      </c>
      <c r="C1749" s="1">
        <v>1691</v>
      </c>
      <c r="D1749" s="1">
        <v>35</v>
      </c>
      <c r="E1749" s="3">
        <f>IF(INDEX(C:C, ROW())+INDEX(D:D, ROW())=0, 0, INDEX(C:C, ROW())/(INDEX(C:C, ROW())+INDEX(D:D, ROW())))</f>
        <v>0.97972190034762452</v>
      </c>
      <c r="F1749" s="1" t="s">
        <v>294</v>
      </c>
      <c r="G1749" s="1" t="s">
        <v>20</v>
      </c>
      <c r="H1749" s="1">
        <v>253704</v>
      </c>
      <c r="I1749" s="1">
        <v>318067</v>
      </c>
      <c r="J1749" s="7">
        <v>0.79800000000000004</v>
      </c>
      <c r="K1749" s="1" t="s">
        <v>21</v>
      </c>
      <c r="L1749" s="1" t="s">
        <v>29</v>
      </c>
      <c r="M1749" s="1" t="s">
        <v>29</v>
      </c>
      <c r="N1749" s="1" t="s">
        <v>22</v>
      </c>
    </row>
    <row r="1750" spans="1:14" x14ac:dyDescent="0.25">
      <c r="A1750" s="1">
        <v>1749</v>
      </c>
      <c r="B1750" s="2" t="str">
        <f>HYPERLINK("https://leetcode.com/problems/maximum-absolute-sum-of-any-subarray/", "Maximum Absolute Sum of Any Subarray")</f>
        <v>Maximum Absolute Sum of Any Subarray</v>
      </c>
      <c r="C1750" s="1">
        <v>1986</v>
      </c>
      <c r="D1750" s="1">
        <v>48</v>
      </c>
      <c r="E1750" s="3">
        <f>IF(INDEX(C:C, ROW())+INDEX(D:D, ROW())=0, 0, INDEX(C:C, ROW())/(INDEX(C:C, ROW())+INDEX(D:D, ROW())))</f>
        <v>0.97640117994100295</v>
      </c>
      <c r="F1750" s="1" t="s">
        <v>30</v>
      </c>
      <c r="G1750" s="1" t="s">
        <v>24</v>
      </c>
      <c r="H1750" s="1">
        <v>185648</v>
      </c>
      <c r="I1750" s="1">
        <v>260844</v>
      </c>
      <c r="J1750" s="7">
        <v>0.71199999999999997</v>
      </c>
      <c r="K1750" s="1" t="s">
        <v>21</v>
      </c>
      <c r="L1750" s="1" t="s">
        <v>21</v>
      </c>
      <c r="M1750" s="1" t="s">
        <v>29</v>
      </c>
      <c r="N1750" s="1" t="s">
        <v>22</v>
      </c>
    </row>
    <row r="1751" spans="1:14" x14ac:dyDescent="0.25">
      <c r="A1751" s="1">
        <v>1750</v>
      </c>
      <c r="B1751" s="2" t="str">
        <f>HYPERLINK("https://leetcode.com/problems/minimum-length-of-string-after-deleting-similar-ends/", "Minimum Length of String After Deleting Similar Ends")</f>
        <v>Minimum Length of String After Deleting Similar Ends</v>
      </c>
      <c r="C1751" s="1">
        <v>1317</v>
      </c>
      <c r="D1751" s="1">
        <v>111</v>
      </c>
      <c r="E1751" s="3">
        <f>IF(INDEX(C:C, ROW())+INDEX(D:D, ROW())=0, 0, INDEX(C:C, ROW())/(INDEX(C:C, ROW())+INDEX(D:D, ROW())))</f>
        <v>0.92226890756302526</v>
      </c>
      <c r="F1751" s="1" t="s">
        <v>117</v>
      </c>
      <c r="G1751" s="1" t="s">
        <v>24</v>
      </c>
      <c r="H1751" s="1">
        <v>186117</v>
      </c>
      <c r="I1751" s="1">
        <v>332076</v>
      </c>
      <c r="J1751" s="7">
        <v>0.56000000000000005</v>
      </c>
      <c r="K1751" s="1" t="s">
        <v>21</v>
      </c>
      <c r="L1751" s="1" t="s">
        <v>21</v>
      </c>
      <c r="M1751" s="1" t="s">
        <v>29</v>
      </c>
      <c r="N1751" s="1" t="s">
        <v>22</v>
      </c>
    </row>
    <row r="1752" spans="1:14" x14ac:dyDescent="0.25">
      <c r="A1752" s="1">
        <v>1751</v>
      </c>
      <c r="B1752" s="2" t="str">
        <f>HYPERLINK("https://leetcode.com/problems/maximum-number-of-events-that-can-be-attended-ii/", "Maximum Number of Events That Can Be Attended II")</f>
        <v>Maximum Number of Events That Can Be Attended II</v>
      </c>
      <c r="C1752" s="1">
        <v>2545</v>
      </c>
      <c r="D1752" s="1">
        <v>53</v>
      </c>
      <c r="E1752" s="3">
        <f>IF(INDEX(C:C, ROW())+INDEX(D:D, ROW())=0, 0, INDEX(C:C, ROW())/(INDEX(C:C, ROW())+INDEX(D:D, ROW())))</f>
        <v>0.97959969207082376</v>
      </c>
      <c r="F1752" s="1" t="s">
        <v>188</v>
      </c>
      <c r="G1752" s="1" t="s">
        <v>28</v>
      </c>
      <c r="H1752" s="1">
        <v>162299</v>
      </c>
      <c r="I1752" s="1">
        <v>255146</v>
      </c>
      <c r="J1752" s="7">
        <v>0.63600000000000001</v>
      </c>
      <c r="K1752" s="1" t="s">
        <v>21</v>
      </c>
      <c r="L1752" s="1" t="s">
        <v>21</v>
      </c>
      <c r="M1752" s="1" t="s">
        <v>29</v>
      </c>
      <c r="N1752" s="1" t="s">
        <v>22</v>
      </c>
    </row>
    <row r="1753" spans="1:14" x14ac:dyDescent="0.25">
      <c r="A1753" s="1">
        <v>1752</v>
      </c>
      <c r="B1753" s="2" t="str">
        <f>HYPERLINK("https://leetcode.com/problems/check-if-array-is-sorted-and-rotated/", "Check if Array Is Sorted and Rotated")</f>
        <v>Check if Array Is Sorted and Rotated</v>
      </c>
      <c r="C1753" s="1">
        <v>4858</v>
      </c>
      <c r="D1753" s="1">
        <v>285</v>
      </c>
      <c r="E1753" s="3">
        <f>IF(INDEX(C:C, ROW())+INDEX(D:D, ROW())=0, 0, INDEX(C:C, ROW())/(INDEX(C:C, ROW())+INDEX(D:D, ROW())))</f>
        <v>0.94458487264242663</v>
      </c>
      <c r="F1753" s="1" t="s">
        <v>113</v>
      </c>
      <c r="G1753" s="1" t="s">
        <v>20</v>
      </c>
      <c r="H1753" s="1">
        <v>819944</v>
      </c>
      <c r="I1753" s="1">
        <v>1471315</v>
      </c>
      <c r="J1753" s="7">
        <v>0.55700000000000005</v>
      </c>
      <c r="K1753" s="1" t="s">
        <v>21</v>
      </c>
      <c r="L1753" s="1" t="s">
        <v>21</v>
      </c>
      <c r="M1753" s="1" t="s">
        <v>29</v>
      </c>
      <c r="N1753" s="1" t="s">
        <v>22</v>
      </c>
    </row>
    <row r="1754" spans="1:14" x14ac:dyDescent="0.25">
      <c r="A1754" s="1">
        <v>1753</v>
      </c>
      <c r="B1754" s="2" t="str">
        <f>HYPERLINK("https://leetcode.com/problems/maximum-score-from-removing-stones/", "Maximum Score From Removing Stones")</f>
        <v>Maximum Score From Removing Stones</v>
      </c>
      <c r="C1754" s="1">
        <v>986</v>
      </c>
      <c r="D1754" s="1">
        <v>58</v>
      </c>
      <c r="E1754" s="3">
        <f>IF(INDEX(C:C, ROW())+INDEX(D:D, ROW())=0, 0, INDEX(C:C, ROW())/(INDEX(C:C, ROW())+INDEX(D:D, ROW())))</f>
        <v>0.94444444444444442</v>
      </c>
      <c r="F1754" s="1" t="s">
        <v>717</v>
      </c>
      <c r="G1754" s="1" t="s">
        <v>24</v>
      </c>
      <c r="H1754" s="1">
        <v>52986</v>
      </c>
      <c r="I1754" s="1">
        <v>77266</v>
      </c>
      <c r="J1754" s="7">
        <v>0.68600000000000005</v>
      </c>
      <c r="K1754" s="1" t="s">
        <v>21</v>
      </c>
      <c r="L1754" s="1" t="s">
        <v>29</v>
      </c>
      <c r="M1754" s="1" t="s">
        <v>29</v>
      </c>
      <c r="N1754" s="1" t="s">
        <v>22</v>
      </c>
    </row>
    <row r="1755" spans="1:14" x14ac:dyDescent="0.25">
      <c r="A1755" s="1">
        <v>1754</v>
      </c>
      <c r="B1755" s="2" t="str">
        <f>HYPERLINK("https://leetcode.com/problems/largest-merge-of-two-strings/", "Largest Merge Of Two Strings")</f>
        <v>Largest Merge Of Two Strings</v>
      </c>
      <c r="C1755" s="1">
        <v>612</v>
      </c>
      <c r="D1755" s="1">
        <v>87</v>
      </c>
      <c r="E1755" s="3">
        <f>IF(INDEX(C:C, ROW())+INDEX(D:D, ROW())=0, 0, INDEX(C:C, ROW())/(INDEX(C:C, ROW())+INDEX(D:D, ROW())))</f>
        <v>0.87553648068669532</v>
      </c>
      <c r="F1755" s="1" t="s">
        <v>158</v>
      </c>
      <c r="G1755" s="1" t="s">
        <v>24</v>
      </c>
      <c r="H1755" s="1">
        <v>34196</v>
      </c>
      <c r="I1755" s="1">
        <v>63970</v>
      </c>
      <c r="J1755" s="7">
        <v>0.53500000000000003</v>
      </c>
      <c r="K1755" s="1" t="s">
        <v>21</v>
      </c>
      <c r="L1755" s="1" t="s">
        <v>29</v>
      </c>
      <c r="M1755" s="1" t="s">
        <v>29</v>
      </c>
      <c r="N1755" s="1" t="s">
        <v>22</v>
      </c>
    </row>
    <row r="1756" spans="1:14" x14ac:dyDescent="0.25">
      <c r="A1756" s="1">
        <v>1755</v>
      </c>
      <c r="B1756" s="2" t="str">
        <f>HYPERLINK("https://leetcode.com/problems/closest-subsequence-sum/", "Closest Subsequence Sum")</f>
        <v>Closest Subsequence Sum</v>
      </c>
      <c r="C1756" s="1">
        <v>1004</v>
      </c>
      <c r="D1756" s="1">
        <v>74</v>
      </c>
      <c r="E1756" s="3">
        <f>IF(INDEX(C:C, ROW())+INDEX(D:D, ROW())=0, 0, INDEX(C:C, ROW())/(INDEX(C:C, ROW())+INDEX(D:D, ROW())))</f>
        <v>0.93135435992578852</v>
      </c>
      <c r="F1756" s="1" t="s">
        <v>716</v>
      </c>
      <c r="G1756" s="1" t="s">
        <v>28</v>
      </c>
      <c r="H1756" s="1">
        <v>27352</v>
      </c>
      <c r="I1756" s="1">
        <v>63296</v>
      </c>
      <c r="J1756" s="7">
        <v>0.432</v>
      </c>
      <c r="K1756" s="1" t="s">
        <v>21</v>
      </c>
      <c r="L1756" s="1" t="s">
        <v>29</v>
      </c>
      <c r="M1756" s="1" t="s">
        <v>29</v>
      </c>
      <c r="N1756" s="1" t="s">
        <v>22</v>
      </c>
    </row>
    <row r="1757" spans="1:14" x14ac:dyDescent="0.25">
      <c r="A1757" s="1">
        <v>1756</v>
      </c>
      <c r="B1757" s="2" t="str">
        <f>HYPERLINK("https://leetcode.com/problems/design-most-recently-used-queue/", "Design Most Recently Used Queue")</f>
        <v>Design Most Recently Used Queue</v>
      </c>
      <c r="C1757" s="1">
        <v>328</v>
      </c>
      <c r="D1757" s="1">
        <v>27</v>
      </c>
      <c r="E1757" s="3">
        <f>IF(INDEX(C:C, ROW())+INDEX(D:D, ROW())=0, 0, INDEX(C:C, ROW())/(INDEX(C:C, ROW())+INDEX(D:D, ROW())))</f>
        <v>0.92394366197183098</v>
      </c>
      <c r="F1757" s="1" t="s">
        <v>1031</v>
      </c>
      <c r="G1757" s="1" t="s">
        <v>24</v>
      </c>
      <c r="H1757" s="1">
        <v>25401</v>
      </c>
      <c r="I1757" s="1">
        <v>32664</v>
      </c>
      <c r="J1757" s="7">
        <v>0.77800000000000002</v>
      </c>
      <c r="K1757" s="1" t="s">
        <v>29</v>
      </c>
      <c r="L1757" s="1" t="s">
        <v>21</v>
      </c>
      <c r="M1757" s="1" t="s">
        <v>29</v>
      </c>
      <c r="N1757" s="1" t="s">
        <v>22</v>
      </c>
    </row>
    <row r="1758" spans="1:14" x14ac:dyDescent="0.25">
      <c r="A1758" s="1">
        <v>1757</v>
      </c>
      <c r="B1758" s="2" t="str">
        <f>HYPERLINK("https://leetcode.com/problems/recyclable-and-low-fat-products/", "Recyclable and Low Fat Products")</f>
        <v>Recyclable and Low Fat Products</v>
      </c>
      <c r="C1758" s="1">
        <v>3311</v>
      </c>
      <c r="D1758" s="1">
        <v>130</v>
      </c>
      <c r="E1758" s="3">
        <f>IF(INDEX(C:C, ROW())+INDEX(D:D, ROW())=0, 0, INDEX(C:C, ROW())/(INDEX(C:C, ROW())+INDEX(D:D, ROW())))</f>
        <v>0.96222028480092991</v>
      </c>
      <c r="F1758" s="1" t="s">
        <v>297</v>
      </c>
      <c r="G1758" s="1" t="s">
        <v>20</v>
      </c>
      <c r="H1758" s="1">
        <v>2306415</v>
      </c>
      <c r="I1758" s="1">
        <v>2598552</v>
      </c>
      <c r="J1758" s="7">
        <v>0.88800000000000001</v>
      </c>
      <c r="K1758" s="1" t="s">
        <v>21</v>
      </c>
      <c r="L1758" s="1" t="s">
        <v>21</v>
      </c>
      <c r="M1758" s="1" t="s">
        <v>29</v>
      </c>
      <c r="N1758" s="1" t="s">
        <v>297</v>
      </c>
    </row>
    <row r="1759" spans="1:14" x14ac:dyDescent="0.25">
      <c r="A1759" s="1">
        <v>1758</v>
      </c>
      <c r="B1759" s="2" t="str">
        <f>HYPERLINK("https://leetcode.com/problems/minimum-changes-to-make-alternating-binary-string/", "Minimum Changes To Make Alternating Binary String")</f>
        <v>Minimum Changes To Make Alternating Binary String</v>
      </c>
      <c r="C1759" s="1">
        <v>1499</v>
      </c>
      <c r="D1759" s="1">
        <v>43</v>
      </c>
      <c r="E1759" s="3">
        <f>IF(INDEX(C:C, ROW())+INDEX(D:D, ROW())=0, 0, INDEX(C:C, ROW())/(INDEX(C:C, ROW())+INDEX(D:D, ROW())))</f>
        <v>0.97211413748378728</v>
      </c>
      <c r="F1759" s="1" t="s">
        <v>146</v>
      </c>
      <c r="G1759" s="1" t="s">
        <v>20</v>
      </c>
      <c r="H1759" s="1">
        <v>165376</v>
      </c>
      <c r="I1759" s="1">
        <v>259313</v>
      </c>
      <c r="J1759" s="7">
        <v>0.63800000000000001</v>
      </c>
      <c r="K1759" s="1" t="s">
        <v>21</v>
      </c>
      <c r="L1759" s="1" t="s">
        <v>21</v>
      </c>
      <c r="M1759" s="1" t="s">
        <v>29</v>
      </c>
      <c r="N1759" s="1" t="s">
        <v>22</v>
      </c>
    </row>
    <row r="1760" spans="1:14" x14ac:dyDescent="0.25">
      <c r="A1760" s="1">
        <v>1759</v>
      </c>
      <c r="B1760" s="2" t="str">
        <f>HYPERLINK("https://leetcode.com/problems/count-number-of-homogenous-substrings/", "Count Number of Homogenous Substrings")</f>
        <v>Count Number of Homogenous Substrings</v>
      </c>
      <c r="C1760" s="1">
        <v>1586</v>
      </c>
      <c r="D1760" s="1">
        <v>104</v>
      </c>
      <c r="E1760" s="3">
        <f>IF(INDEX(C:C, ROW())+INDEX(D:D, ROW())=0, 0, INDEX(C:C, ROW())/(INDEX(C:C, ROW())+INDEX(D:D, ROW())))</f>
        <v>0.93846153846153846</v>
      </c>
      <c r="F1760" s="1" t="s">
        <v>228</v>
      </c>
      <c r="G1760" s="1" t="s">
        <v>24</v>
      </c>
      <c r="H1760" s="1">
        <v>131069</v>
      </c>
      <c r="I1760" s="1">
        <v>228455</v>
      </c>
      <c r="J1760" s="7">
        <v>0.57399999999999995</v>
      </c>
      <c r="K1760" s="1" t="s">
        <v>21</v>
      </c>
      <c r="L1760" s="1" t="s">
        <v>21</v>
      </c>
      <c r="M1760" s="1" t="s">
        <v>29</v>
      </c>
      <c r="N1760" s="1" t="s">
        <v>22</v>
      </c>
    </row>
    <row r="1761" spans="1:14" x14ac:dyDescent="0.25">
      <c r="A1761" s="1">
        <v>1760</v>
      </c>
      <c r="B1761" s="2" t="str">
        <f>HYPERLINK("https://leetcode.com/problems/minimum-limit-of-balls-in-a-bag/", "Minimum Limit of Balls in a Bag")</f>
        <v>Minimum Limit of Balls in a Bag</v>
      </c>
      <c r="C1761" s="1">
        <v>2835</v>
      </c>
      <c r="D1761" s="1">
        <v>105</v>
      </c>
      <c r="E1761" s="3">
        <f>IF(INDEX(C:C, ROW())+INDEX(D:D, ROW())=0, 0, INDEX(C:C, ROW())/(INDEX(C:C, ROW())+INDEX(D:D, ROW())))</f>
        <v>0.9642857142857143</v>
      </c>
      <c r="F1761" s="1" t="s">
        <v>35</v>
      </c>
      <c r="G1761" s="1" t="s">
        <v>24</v>
      </c>
      <c r="H1761" s="1">
        <v>151608</v>
      </c>
      <c r="I1761" s="1">
        <v>227812</v>
      </c>
      <c r="J1761" s="7">
        <v>0.66500000000000004</v>
      </c>
      <c r="K1761" s="1" t="s">
        <v>21</v>
      </c>
      <c r="L1761" s="1" t="s">
        <v>21</v>
      </c>
      <c r="M1761" s="1" t="s">
        <v>29</v>
      </c>
      <c r="N1761" s="1" t="s">
        <v>22</v>
      </c>
    </row>
    <row r="1762" spans="1:14" x14ac:dyDescent="0.25">
      <c r="A1762" s="1">
        <v>1761</v>
      </c>
      <c r="B1762" s="2" t="str">
        <f>HYPERLINK("https://leetcode.com/problems/minimum-degree-of-a-connected-trio-in-a-graph/", "Minimum Degree of a Connected Trio in a Graph")</f>
        <v>Minimum Degree of a Connected Trio in a Graph</v>
      </c>
      <c r="C1762" s="1">
        <v>355</v>
      </c>
      <c r="D1762" s="1">
        <v>294</v>
      </c>
      <c r="E1762" s="3">
        <f>IF(INDEX(C:C, ROW())+INDEX(D:D, ROW())=0, 0, INDEX(C:C, ROW())/(INDEX(C:C, ROW())+INDEX(D:D, ROW())))</f>
        <v>0.54699537750385208</v>
      </c>
      <c r="F1762" s="1" t="s">
        <v>1014</v>
      </c>
      <c r="G1762" s="1" t="s">
        <v>28</v>
      </c>
      <c r="H1762" s="1">
        <v>29279</v>
      </c>
      <c r="I1762" s="1">
        <v>66173</v>
      </c>
      <c r="J1762" s="7">
        <v>0.442</v>
      </c>
      <c r="K1762" s="1" t="s">
        <v>21</v>
      </c>
      <c r="L1762" s="1" t="s">
        <v>29</v>
      </c>
      <c r="M1762" s="1" t="s">
        <v>29</v>
      </c>
      <c r="N1762" s="1" t="s">
        <v>22</v>
      </c>
    </row>
    <row r="1763" spans="1:14" x14ac:dyDescent="0.25">
      <c r="A1763" s="1">
        <v>1762</v>
      </c>
      <c r="B1763" s="2" t="str">
        <f>HYPERLINK("https://leetcode.com/problems/buildings-with-an-ocean-view/", "Buildings With an Ocean View")</f>
        <v>Buildings With an Ocean View</v>
      </c>
      <c r="C1763" s="1">
        <v>1322</v>
      </c>
      <c r="D1763" s="1">
        <v>151</v>
      </c>
      <c r="E1763" s="3">
        <f>IF(INDEX(C:C, ROW())+INDEX(D:D, ROW())=0, 0, INDEX(C:C, ROW())/(INDEX(C:C, ROW())+INDEX(D:D, ROW())))</f>
        <v>0.89748811948404617</v>
      </c>
      <c r="F1763" s="1" t="s">
        <v>61</v>
      </c>
      <c r="G1763" s="1" t="s">
        <v>24</v>
      </c>
      <c r="H1763" s="1">
        <v>339516</v>
      </c>
      <c r="I1763" s="1">
        <v>419755</v>
      </c>
      <c r="J1763" s="7">
        <v>0.80900000000000005</v>
      </c>
      <c r="K1763" s="1" t="s">
        <v>29</v>
      </c>
      <c r="L1763" s="1" t="s">
        <v>21</v>
      </c>
      <c r="M1763" s="1" t="s">
        <v>29</v>
      </c>
      <c r="N1763" s="1" t="s">
        <v>22</v>
      </c>
    </row>
    <row r="1764" spans="1:14" x14ac:dyDescent="0.25">
      <c r="A1764" s="1">
        <v>1763</v>
      </c>
      <c r="B1764" s="2" t="str">
        <f>HYPERLINK("https://leetcode.com/problems/longest-nice-substring/", "Longest Nice Substring")</f>
        <v>Longest Nice Substring</v>
      </c>
      <c r="C1764" s="1">
        <v>1501</v>
      </c>
      <c r="D1764" s="1">
        <v>969</v>
      </c>
      <c r="E1764" s="3">
        <f>IF(INDEX(C:C, ROW())+INDEX(D:D, ROW())=0, 0, INDEX(C:C, ROW())/(INDEX(C:C, ROW())+INDEX(D:D, ROW())))</f>
        <v>0.60769230769230764</v>
      </c>
      <c r="F1764" s="1" t="s">
        <v>589</v>
      </c>
      <c r="G1764" s="1" t="s">
        <v>20</v>
      </c>
      <c r="H1764" s="1">
        <v>92021</v>
      </c>
      <c r="I1764" s="1">
        <v>144416</v>
      </c>
      <c r="J1764" s="7">
        <v>0.63700000000000001</v>
      </c>
      <c r="K1764" s="1" t="s">
        <v>21</v>
      </c>
      <c r="L1764" s="1" t="s">
        <v>29</v>
      </c>
      <c r="M1764" s="1" t="s">
        <v>29</v>
      </c>
      <c r="N1764" s="1" t="s">
        <v>22</v>
      </c>
    </row>
    <row r="1765" spans="1:14" x14ac:dyDescent="0.25">
      <c r="A1765" s="1">
        <v>1764</v>
      </c>
      <c r="B1765" s="2" t="str">
        <f>HYPERLINK("https://leetcode.com/problems/form-array-by-concatenating-subarrays-of-another-array/", "Form Array by Concatenating Subarrays of Another Array")</f>
        <v>Form Array by Concatenating Subarrays of Another Array</v>
      </c>
      <c r="C1765" s="1">
        <v>351</v>
      </c>
      <c r="D1765" s="1">
        <v>45</v>
      </c>
      <c r="E1765" s="3">
        <f>IF(INDEX(C:C, ROW())+INDEX(D:D, ROW())=0, 0, INDEX(C:C, ROW())/(INDEX(C:C, ROW())+INDEX(D:D, ROW())))</f>
        <v>0.88636363636363635</v>
      </c>
      <c r="F1765" s="1" t="s">
        <v>1016</v>
      </c>
      <c r="G1765" s="1" t="s">
        <v>24</v>
      </c>
      <c r="H1765" s="1">
        <v>20472</v>
      </c>
      <c r="I1765" s="1">
        <v>37422</v>
      </c>
      <c r="J1765" s="7">
        <v>0.54700000000000004</v>
      </c>
      <c r="K1765" s="1" t="s">
        <v>21</v>
      </c>
      <c r="L1765" s="1" t="s">
        <v>29</v>
      </c>
      <c r="M1765" s="1" t="s">
        <v>29</v>
      </c>
      <c r="N1765" s="1" t="s">
        <v>22</v>
      </c>
    </row>
    <row r="1766" spans="1:14" x14ac:dyDescent="0.25">
      <c r="A1766" s="1">
        <v>1765</v>
      </c>
      <c r="B1766" s="2" t="str">
        <f>HYPERLINK("https://leetcode.com/problems/map-of-highest-peak/", "Map of Highest Peak")</f>
        <v>Map of Highest Peak</v>
      </c>
      <c r="C1766" s="1">
        <v>1546</v>
      </c>
      <c r="D1766" s="1">
        <v>112</v>
      </c>
      <c r="E1766" s="3">
        <f>IF(INDEX(C:C, ROW())+INDEX(D:D, ROW())=0, 0, INDEX(C:C, ROW())/(INDEX(C:C, ROW())+INDEX(D:D, ROW())))</f>
        <v>0.93244873341375156</v>
      </c>
      <c r="F1766" s="1" t="s">
        <v>86</v>
      </c>
      <c r="G1766" s="1" t="s">
        <v>24</v>
      </c>
      <c r="H1766" s="1">
        <v>158100</v>
      </c>
      <c r="I1766" s="1">
        <v>208981</v>
      </c>
      <c r="J1766" s="7">
        <v>0.75700000000000001</v>
      </c>
      <c r="K1766" s="1" t="s">
        <v>21</v>
      </c>
      <c r="L1766" s="1" t="s">
        <v>21</v>
      </c>
      <c r="M1766" s="1" t="s">
        <v>29</v>
      </c>
      <c r="N1766" s="1" t="s">
        <v>22</v>
      </c>
    </row>
    <row r="1767" spans="1:14" x14ac:dyDescent="0.25">
      <c r="A1767" s="1">
        <v>1766</v>
      </c>
      <c r="B1767" s="2" t="str">
        <f>HYPERLINK("https://leetcode.com/problems/tree-of-coprimes/", "Tree of Coprimes")</f>
        <v>Tree of Coprimes</v>
      </c>
      <c r="C1767" s="1">
        <v>427</v>
      </c>
      <c r="D1767" s="1">
        <v>36</v>
      </c>
      <c r="E1767" s="3">
        <f>IF(INDEX(C:C, ROW())+INDEX(D:D, ROW())=0, 0, INDEX(C:C, ROW())/(INDEX(C:C, ROW())+INDEX(D:D, ROW())))</f>
        <v>0.9222462203023758</v>
      </c>
      <c r="F1767" s="1" t="s">
        <v>962</v>
      </c>
      <c r="G1767" s="1" t="s">
        <v>28</v>
      </c>
      <c r="H1767" s="1">
        <v>13709</v>
      </c>
      <c r="I1767" s="1">
        <v>31296</v>
      </c>
      <c r="J1767" s="7">
        <v>0.438</v>
      </c>
      <c r="K1767" s="1" t="s">
        <v>21</v>
      </c>
      <c r="L1767" s="1" t="s">
        <v>29</v>
      </c>
      <c r="M1767" s="1" t="s">
        <v>29</v>
      </c>
      <c r="N1767" s="1" t="s">
        <v>22</v>
      </c>
    </row>
    <row r="1768" spans="1:14" x14ac:dyDescent="0.25">
      <c r="A1768" s="1">
        <v>1767</v>
      </c>
      <c r="B1768" s="2" t="str">
        <f>HYPERLINK("https://leetcode.com/problems/find-the-subtasks-that-did-not-execute/", "Find the Subtasks That Did Not Execute")</f>
        <v>Find the Subtasks That Did Not Execute</v>
      </c>
      <c r="C1768" s="1">
        <v>189</v>
      </c>
      <c r="D1768" s="1">
        <v>15</v>
      </c>
      <c r="E1768" s="3">
        <f>IF(INDEX(C:C, ROW())+INDEX(D:D, ROW())=0, 0, INDEX(C:C, ROW())/(INDEX(C:C, ROW())+INDEX(D:D, ROW())))</f>
        <v>0.92647058823529416</v>
      </c>
      <c r="F1768" s="1" t="s">
        <v>297</v>
      </c>
      <c r="G1768" s="1" t="s">
        <v>28</v>
      </c>
      <c r="H1768" s="1">
        <v>19261</v>
      </c>
      <c r="I1768" s="1">
        <v>24606</v>
      </c>
      <c r="J1768" s="7">
        <v>0.78300000000000003</v>
      </c>
      <c r="K1768" s="1" t="s">
        <v>29</v>
      </c>
      <c r="L1768" s="1" t="s">
        <v>29</v>
      </c>
      <c r="M1768" s="1" t="s">
        <v>29</v>
      </c>
      <c r="N1768" s="1" t="s">
        <v>297</v>
      </c>
    </row>
    <row r="1769" spans="1:14" x14ac:dyDescent="0.25">
      <c r="A1769" s="1">
        <v>1768</v>
      </c>
      <c r="B1769" s="2" t="str">
        <f>HYPERLINK("https://leetcode.com/problems/merge-strings-alternately/", "Merge Strings Alternately")</f>
        <v>Merge Strings Alternately</v>
      </c>
      <c r="C1769" s="1">
        <v>4876</v>
      </c>
      <c r="D1769" s="1">
        <v>143</v>
      </c>
      <c r="E1769" s="3">
        <f>IF(INDEX(C:C, ROW())+INDEX(D:D, ROW())=0, 0, INDEX(C:C, ROW())/(INDEX(C:C, ROW())+INDEX(D:D, ROW())))</f>
        <v>0.97150826857939832</v>
      </c>
      <c r="F1769" s="1" t="s">
        <v>117</v>
      </c>
      <c r="G1769" s="1" t="s">
        <v>20</v>
      </c>
      <c r="H1769" s="1">
        <v>1988579</v>
      </c>
      <c r="I1769" s="1">
        <v>2422544</v>
      </c>
      <c r="J1769" s="7">
        <v>0.82099999999999995</v>
      </c>
      <c r="K1769" s="1" t="s">
        <v>21</v>
      </c>
      <c r="L1769" s="1" t="s">
        <v>21</v>
      </c>
      <c r="M1769" s="1" t="s">
        <v>21</v>
      </c>
      <c r="N1769" s="1" t="s">
        <v>22</v>
      </c>
    </row>
    <row r="1770" spans="1:14" x14ac:dyDescent="0.25">
      <c r="A1770" s="1">
        <v>1769</v>
      </c>
      <c r="B1770" s="2" t="str">
        <f>HYPERLINK("https://leetcode.com/problems/minimum-number-of-operations-to-move-all-balls-to-each-box/", "Minimum Number of Operations to Move All Balls to Each Box")</f>
        <v>Minimum Number of Operations to Move All Balls to Each Box</v>
      </c>
      <c r="C1770" s="1">
        <v>3116</v>
      </c>
      <c r="D1770" s="1">
        <v>139</v>
      </c>
      <c r="E1770" s="3">
        <f>IF(INDEX(C:C, ROW())+INDEX(D:D, ROW())=0, 0, INDEX(C:C, ROW())/(INDEX(C:C, ROW())+INDEX(D:D, ROW())))</f>
        <v>0.95729646697388637</v>
      </c>
      <c r="F1770" s="1" t="s">
        <v>372</v>
      </c>
      <c r="G1770" s="1" t="s">
        <v>24</v>
      </c>
      <c r="H1770" s="1">
        <v>333712</v>
      </c>
      <c r="I1770" s="1">
        <v>370289</v>
      </c>
      <c r="J1770" s="7">
        <v>0.90100000000000002</v>
      </c>
      <c r="K1770" s="1" t="s">
        <v>21</v>
      </c>
      <c r="L1770" s="1" t="s">
        <v>21</v>
      </c>
      <c r="M1770" s="1" t="s">
        <v>29</v>
      </c>
      <c r="N1770" s="1" t="s">
        <v>22</v>
      </c>
    </row>
    <row r="1771" spans="1:14" x14ac:dyDescent="0.25">
      <c r="A1771" s="1">
        <v>1770</v>
      </c>
      <c r="B1771" s="2" t="str">
        <f>HYPERLINK("https://leetcode.com/problems/maximum-score-from-performing-multiplication-operations/", "Maximum Score from Performing Multiplication Operations")</f>
        <v>Maximum Score from Performing Multiplication Operations</v>
      </c>
      <c r="C1771" s="1">
        <v>2590</v>
      </c>
      <c r="D1771" s="1">
        <v>514</v>
      </c>
      <c r="E1771" s="3">
        <f>IF(INDEX(C:C, ROW())+INDEX(D:D, ROW())=0, 0, INDEX(C:C, ROW())/(INDEX(C:C, ROW())+INDEX(D:D, ROW())))</f>
        <v>0.83440721649484539</v>
      </c>
      <c r="F1771" s="1" t="s">
        <v>30</v>
      </c>
      <c r="G1771" s="1" t="s">
        <v>28</v>
      </c>
      <c r="H1771" s="1">
        <v>133964</v>
      </c>
      <c r="I1771" s="1">
        <v>310477</v>
      </c>
      <c r="J1771" s="7">
        <v>0.43099999999999999</v>
      </c>
      <c r="K1771" s="1" t="s">
        <v>21</v>
      </c>
      <c r="L1771" s="1" t="s">
        <v>21</v>
      </c>
      <c r="M1771" s="1" t="s">
        <v>29</v>
      </c>
      <c r="N1771" s="1" t="s">
        <v>22</v>
      </c>
    </row>
    <row r="1772" spans="1:14" x14ac:dyDescent="0.25">
      <c r="A1772" s="1">
        <v>1771</v>
      </c>
      <c r="B1772" s="2" t="str">
        <f>HYPERLINK("https://leetcode.com/problems/maximize-palindrome-length-from-subsequences/", "Maximize Palindrome Length From Subsequences")</f>
        <v>Maximize Palindrome Length From Subsequences</v>
      </c>
      <c r="C1772" s="1">
        <v>566</v>
      </c>
      <c r="D1772" s="1">
        <v>17</v>
      </c>
      <c r="E1772" s="3">
        <f>IF(INDEX(C:C, ROW())+INDEX(D:D, ROW())=0, 0, INDEX(C:C, ROW())/(INDEX(C:C, ROW())+INDEX(D:D, ROW())))</f>
        <v>0.97084048027444259</v>
      </c>
      <c r="F1772" s="1" t="s">
        <v>82</v>
      </c>
      <c r="G1772" s="1" t="s">
        <v>28</v>
      </c>
      <c r="H1772" s="1">
        <v>14296</v>
      </c>
      <c r="I1772" s="1">
        <v>37393</v>
      </c>
      <c r="J1772" s="7">
        <v>0.38200000000000001</v>
      </c>
      <c r="K1772" s="1" t="s">
        <v>21</v>
      </c>
      <c r="L1772" s="1" t="s">
        <v>29</v>
      </c>
      <c r="M1772" s="1" t="s">
        <v>29</v>
      </c>
      <c r="N1772" s="1" t="s">
        <v>22</v>
      </c>
    </row>
    <row r="1773" spans="1:14" x14ac:dyDescent="0.25">
      <c r="A1773" s="1">
        <v>1772</v>
      </c>
      <c r="B1773" s="2" t="str">
        <f>HYPERLINK("https://leetcode.com/problems/sort-features-by-popularity/", "Sort Features by Popularity")</f>
        <v>Sort Features by Popularity</v>
      </c>
      <c r="C1773" s="1">
        <v>92</v>
      </c>
      <c r="D1773" s="1">
        <v>43</v>
      </c>
      <c r="E1773" s="3">
        <f>IF(INDEX(C:C, ROW())+INDEX(D:D, ROW())=0, 0, INDEX(C:C, ROW())/(INDEX(C:C, ROW())+INDEX(D:D, ROW())))</f>
        <v>0.68148148148148147</v>
      </c>
      <c r="F1773" s="1" t="s">
        <v>49</v>
      </c>
      <c r="G1773" s="1" t="s">
        <v>24</v>
      </c>
      <c r="H1773" s="1">
        <v>7383</v>
      </c>
      <c r="I1773" s="1">
        <v>11127</v>
      </c>
      <c r="J1773" s="7">
        <v>0.66400000000000003</v>
      </c>
      <c r="K1773" s="1" t="s">
        <v>29</v>
      </c>
      <c r="L1773" s="1" t="s">
        <v>29</v>
      </c>
      <c r="M1773" s="1" t="s">
        <v>29</v>
      </c>
      <c r="N1773" s="1" t="s">
        <v>22</v>
      </c>
    </row>
    <row r="1774" spans="1:14" x14ac:dyDescent="0.25">
      <c r="A1774" s="1">
        <v>1773</v>
      </c>
      <c r="B1774" s="2" t="str">
        <f>HYPERLINK("https://leetcode.com/problems/count-items-matching-a-rule/", "Count Items Matching a Rule")</f>
        <v>Count Items Matching a Rule</v>
      </c>
      <c r="C1774" s="1">
        <v>2035</v>
      </c>
      <c r="D1774" s="1">
        <v>286</v>
      </c>
      <c r="E1774" s="3">
        <f>IF(INDEX(C:C, ROW())+INDEX(D:D, ROW())=0, 0, INDEX(C:C, ROW())/(INDEX(C:C, ROW())+INDEX(D:D, ROW())))</f>
        <v>0.87677725118483407</v>
      </c>
      <c r="F1774" s="1" t="s">
        <v>369</v>
      </c>
      <c r="G1774" s="1" t="s">
        <v>20</v>
      </c>
      <c r="H1774" s="1">
        <v>281814</v>
      </c>
      <c r="I1774" s="1">
        <v>330460</v>
      </c>
      <c r="J1774" s="7">
        <v>0.85299999999999998</v>
      </c>
      <c r="K1774" s="1" t="s">
        <v>21</v>
      </c>
      <c r="L1774" s="1" t="s">
        <v>29</v>
      </c>
      <c r="M1774" s="1" t="s">
        <v>29</v>
      </c>
      <c r="N1774" s="1" t="s">
        <v>22</v>
      </c>
    </row>
    <row r="1775" spans="1:14" x14ac:dyDescent="0.25">
      <c r="A1775" s="1">
        <v>1774</v>
      </c>
      <c r="B1775" s="2" t="str">
        <f>HYPERLINK("https://leetcode.com/problems/closest-dessert-cost/", "Closest Dessert Cost")</f>
        <v>Closest Dessert Cost</v>
      </c>
      <c r="C1775" s="1">
        <v>733</v>
      </c>
      <c r="D1775" s="1">
        <v>95</v>
      </c>
      <c r="E1775" s="3">
        <f>IF(INDEX(C:C, ROW())+INDEX(D:D, ROW())=0, 0, INDEX(C:C, ROW())/(INDEX(C:C, ROW())+INDEX(D:D, ROW())))</f>
        <v>0.88526570048309183</v>
      </c>
      <c r="F1775" s="1" t="s">
        <v>106</v>
      </c>
      <c r="G1775" s="1" t="s">
        <v>24</v>
      </c>
      <c r="H1775" s="1">
        <v>38019</v>
      </c>
      <c r="I1775" s="1">
        <v>78585</v>
      </c>
      <c r="J1775" s="7">
        <v>0.48399999999999999</v>
      </c>
      <c r="K1775" s="1" t="s">
        <v>21</v>
      </c>
      <c r="L1775" s="1" t="s">
        <v>29</v>
      </c>
      <c r="M1775" s="1" t="s">
        <v>29</v>
      </c>
      <c r="N1775" s="1" t="s">
        <v>22</v>
      </c>
    </row>
    <row r="1776" spans="1:14" x14ac:dyDescent="0.25">
      <c r="A1776" s="1">
        <v>1775</v>
      </c>
      <c r="B1776" s="2" t="str">
        <f>HYPERLINK("https://leetcode.com/problems/equal-sum-arrays-with-minimum-number-of-operations/", "Equal Sum Arrays With Minimum Number of Operations")</f>
        <v>Equal Sum Arrays With Minimum Number of Operations</v>
      </c>
      <c r="C1776" s="1">
        <v>964</v>
      </c>
      <c r="D1776" s="1">
        <v>49</v>
      </c>
      <c r="E1776" s="3">
        <f>IF(INDEX(C:C, ROW())+INDEX(D:D, ROW())=0, 0, INDEX(C:C, ROW())/(INDEX(C:C, ROW())+INDEX(D:D, ROW())))</f>
        <v>0.95162882527147086</v>
      </c>
      <c r="F1776" s="1" t="s">
        <v>389</v>
      </c>
      <c r="G1776" s="1" t="s">
        <v>24</v>
      </c>
      <c r="H1776" s="1">
        <v>35238</v>
      </c>
      <c r="I1776" s="1">
        <v>64531</v>
      </c>
      <c r="J1776" s="7">
        <v>0.54600000000000004</v>
      </c>
      <c r="K1776" s="1" t="s">
        <v>21</v>
      </c>
      <c r="L1776" s="1" t="s">
        <v>29</v>
      </c>
      <c r="M1776" s="1" t="s">
        <v>29</v>
      </c>
      <c r="N1776" s="1" t="s">
        <v>22</v>
      </c>
    </row>
    <row r="1777" spans="1:14" x14ac:dyDescent="0.25">
      <c r="A1777" s="1">
        <v>1776</v>
      </c>
      <c r="B1777" s="2" t="str">
        <f>HYPERLINK("https://leetcode.com/problems/car-fleet-ii/", "Car Fleet II")</f>
        <v>Car Fleet II</v>
      </c>
      <c r="C1777" s="1">
        <v>961</v>
      </c>
      <c r="D1777" s="1">
        <v>41</v>
      </c>
      <c r="E1777" s="3">
        <f>IF(INDEX(C:C, ROW())+INDEX(D:D, ROW())=0, 0, INDEX(C:C, ROW())/(INDEX(C:C, ROW())+INDEX(D:D, ROW())))</f>
        <v>0.95908183632734534</v>
      </c>
      <c r="F1777" s="1" t="s">
        <v>720</v>
      </c>
      <c r="G1777" s="1" t="s">
        <v>28</v>
      </c>
      <c r="H1777" s="1">
        <v>32831</v>
      </c>
      <c r="I1777" s="1">
        <v>56903</v>
      </c>
      <c r="J1777" s="7">
        <v>0.57699999999999996</v>
      </c>
      <c r="K1777" s="1" t="s">
        <v>21</v>
      </c>
      <c r="L1777" s="1" t="s">
        <v>29</v>
      </c>
      <c r="M1777" s="1" t="s">
        <v>29</v>
      </c>
      <c r="N1777" s="1" t="s">
        <v>22</v>
      </c>
    </row>
    <row r="1778" spans="1:14" x14ac:dyDescent="0.25">
      <c r="A1778" s="1">
        <v>1777</v>
      </c>
      <c r="B1778" s="2" t="str">
        <f>HYPERLINK("https://leetcode.com/problems/products-price-for-each-store/", "Product's Price for Each Store")</f>
        <v>Product's Price for Each Store</v>
      </c>
      <c r="C1778" s="1">
        <v>142</v>
      </c>
      <c r="D1778" s="1">
        <v>13</v>
      </c>
      <c r="E1778" s="3">
        <f>IF(INDEX(C:C, ROW())+INDEX(D:D, ROW())=0, 0, INDEX(C:C, ROW())/(INDEX(C:C, ROW())+INDEX(D:D, ROW())))</f>
        <v>0.91612903225806452</v>
      </c>
      <c r="F1778" s="1" t="s">
        <v>297</v>
      </c>
      <c r="G1778" s="1" t="s">
        <v>20</v>
      </c>
      <c r="H1778" s="1">
        <v>24666</v>
      </c>
      <c r="I1778" s="1">
        <v>30042</v>
      </c>
      <c r="J1778" s="7">
        <v>0.82099999999999995</v>
      </c>
      <c r="K1778" s="1" t="s">
        <v>29</v>
      </c>
      <c r="L1778" s="1" t="s">
        <v>21</v>
      </c>
      <c r="M1778" s="1" t="s">
        <v>29</v>
      </c>
      <c r="N1778" s="1" t="s">
        <v>297</v>
      </c>
    </row>
    <row r="1779" spans="1:14" x14ac:dyDescent="0.25">
      <c r="A1779" s="1">
        <v>1778</v>
      </c>
      <c r="B1779" s="2" t="str">
        <f>HYPERLINK("https://leetcode.com/problems/shortest-path-in-a-hidden-grid/", "Shortest Path in a Hidden Grid")</f>
        <v>Shortest Path in a Hidden Grid</v>
      </c>
      <c r="C1779" s="1">
        <v>208</v>
      </c>
      <c r="D1779" s="1">
        <v>88</v>
      </c>
      <c r="E1779" s="3">
        <f>IF(INDEX(C:C, ROW())+INDEX(D:D, ROW())=0, 0, INDEX(C:C, ROW())/(INDEX(C:C, ROW())+INDEX(D:D, ROW())))</f>
        <v>0.70270270270270274</v>
      </c>
      <c r="F1779" s="1" t="s">
        <v>1089</v>
      </c>
      <c r="G1779" s="1" t="s">
        <v>24</v>
      </c>
      <c r="H1779" s="1">
        <v>17278</v>
      </c>
      <c r="I1779" s="1">
        <v>38861</v>
      </c>
      <c r="J1779" s="7">
        <v>0.44500000000000001</v>
      </c>
      <c r="K1779" s="1" t="s">
        <v>29</v>
      </c>
      <c r="L1779" s="1" t="s">
        <v>29</v>
      </c>
      <c r="M1779" s="1" t="s">
        <v>29</v>
      </c>
      <c r="N1779" s="1" t="s">
        <v>22</v>
      </c>
    </row>
    <row r="1780" spans="1:14" x14ac:dyDescent="0.25">
      <c r="A1780" s="1">
        <v>1779</v>
      </c>
      <c r="B1780" s="2" t="str">
        <f>HYPERLINK("https://leetcode.com/problems/find-nearest-point-that-has-the-same-x-or-y-coordinate/", "Find Nearest Point That Has the Same X or Y Coordinate")</f>
        <v>Find Nearest Point That Has the Same X or Y Coordinate</v>
      </c>
      <c r="C1780" s="1">
        <v>880</v>
      </c>
      <c r="D1780" s="1">
        <v>191</v>
      </c>
      <c r="E1780" s="3">
        <f>IF(INDEX(C:C, ROW())+INDEX(D:D, ROW())=0, 0, INDEX(C:C, ROW())/(INDEX(C:C, ROW())+INDEX(D:D, ROW())))</f>
        <v>0.82166199813258634</v>
      </c>
      <c r="F1780" s="1" t="s">
        <v>113</v>
      </c>
      <c r="G1780" s="1" t="s">
        <v>20</v>
      </c>
      <c r="H1780" s="1">
        <v>132916</v>
      </c>
      <c r="I1780" s="1">
        <v>190156</v>
      </c>
      <c r="J1780" s="7">
        <v>0.69899999999999995</v>
      </c>
      <c r="K1780" s="1" t="s">
        <v>21</v>
      </c>
      <c r="L1780" s="1" t="s">
        <v>29</v>
      </c>
      <c r="M1780" s="1" t="s">
        <v>29</v>
      </c>
      <c r="N1780" s="1" t="s">
        <v>22</v>
      </c>
    </row>
    <row r="1781" spans="1:14" x14ac:dyDescent="0.25">
      <c r="A1781" s="1">
        <v>1780</v>
      </c>
      <c r="B1781" s="2" t="str">
        <f>HYPERLINK("https://leetcode.com/problems/check-if-number-is-a-sum-of-powers-of-three/", "Check if Number is a Sum of Powers of Three")</f>
        <v>Check if Number is a Sum of Powers of Three</v>
      </c>
      <c r="C1781" s="1">
        <v>1667</v>
      </c>
      <c r="D1781" s="1">
        <v>67</v>
      </c>
      <c r="E1781" s="3">
        <f>IF(INDEX(C:C, ROW())+INDEX(D:D, ROW())=0, 0, INDEX(C:C, ROW())/(INDEX(C:C, ROW())+INDEX(D:D, ROW())))</f>
        <v>0.96136101499423299</v>
      </c>
      <c r="F1781" s="1" t="s">
        <v>84</v>
      </c>
      <c r="G1781" s="1" t="s">
        <v>24</v>
      </c>
      <c r="H1781" s="1">
        <v>214499</v>
      </c>
      <c r="I1781" s="1">
        <v>270220</v>
      </c>
      <c r="J1781" s="7">
        <v>0.79400000000000004</v>
      </c>
      <c r="K1781" s="1" t="s">
        <v>21</v>
      </c>
      <c r="L1781" s="1" t="s">
        <v>21</v>
      </c>
      <c r="M1781" s="1" t="s">
        <v>29</v>
      </c>
      <c r="N1781" s="1" t="s">
        <v>22</v>
      </c>
    </row>
    <row r="1782" spans="1:14" x14ac:dyDescent="0.25">
      <c r="A1782" s="1">
        <v>1781</v>
      </c>
      <c r="B1782" s="2" t="str">
        <f>HYPERLINK("https://leetcode.com/problems/sum-of-beauty-of-all-substrings/", "Sum of Beauty of All Substrings")</f>
        <v>Sum of Beauty of All Substrings</v>
      </c>
      <c r="C1782" s="1">
        <v>1555</v>
      </c>
      <c r="D1782" s="1">
        <v>222</v>
      </c>
      <c r="E1782" s="3">
        <f>IF(INDEX(C:C, ROW())+INDEX(D:D, ROW())=0, 0, INDEX(C:C, ROW())/(INDEX(C:C, ROW())+INDEX(D:D, ROW())))</f>
        <v>0.87507034327518285</v>
      </c>
      <c r="F1782" s="1" t="s">
        <v>237</v>
      </c>
      <c r="G1782" s="1" t="s">
        <v>24</v>
      </c>
      <c r="H1782" s="1">
        <v>174957</v>
      </c>
      <c r="I1782" s="1">
        <v>237920</v>
      </c>
      <c r="J1782" s="7">
        <v>0.73499999999999999</v>
      </c>
      <c r="K1782" s="1" t="s">
        <v>21</v>
      </c>
      <c r="L1782" s="1" t="s">
        <v>29</v>
      </c>
      <c r="M1782" s="1" t="s">
        <v>29</v>
      </c>
      <c r="N1782" s="1" t="s">
        <v>22</v>
      </c>
    </row>
    <row r="1783" spans="1:14" x14ac:dyDescent="0.25">
      <c r="A1783" s="1">
        <v>1782</v>
      </c>
      <c r="B1783" s="2" t="str">
        <f>HYPERLINK("https://leetcode.com/problems/count-pairs-of-nodes/", "Count Pairs Of Nodes")</f>
        <v>Count Pairs Of Nodes</v>
      </c>
      <c r="C1783" s="1">
        <v>343</v>
      </c>
      <c r="D1783" s="1">
        <v>172</v>
      </c>
      <c r="E1783" s="3">
        <f>IF(INDEX(C:C, ROW())+INDEX(D:D, ROW())=0, 0, INDEX(C:C, ROW())/(INDEX(C:C, ROW())+INDEX(D:D, ROW())))</f>
        <v>0.66601941747572813</v>
      </c>
      <c r="F1783" s="1" t="s">
        <v>1021</v>
      </c>
      <c r="G1783" s="1" t="s">
        <v>28</v>
      </c>
      <c r="H1783" s="1">
        <v>9601</v>
      </c>
      <c r="I1783" s="1">
        <v>22599</v>
      </c>
      <c r="J1783" s="7">
        <v>0.42499999999999999</v>
      </c>
      <c r="K1783" s="1" t="s">
        <v>21</v>
      </c>
      <c r="L1783" s="1" t="s">
        <v>29</v>
      </c>
      <c r="M1783" s="1" t="s">
        <v>29</v>
      </c>
      <c r="N1783" s="1" t="s">
        <v>22</v>
      </c>
    </row>
    <row r="1784" spans="1:14" x14ac:dyDescent="0.25">
      <c r="A1784" s="1">
        <v>1783</v>
      </c>
      <c r="B1784" s="2" t="str">
        <f>HYPERLINK("https://leetcode.com/problems/grand-slam-titles/", "Grand Slam Titles")</f>
        <v>Grand Slam Titles</v>
      </c>
      <c r="C1784" s="1">
        <v>246</v>
      </c>
      <c r="D1784" s="1">
        <v>10</v>
      </c>
      <c r="E1784" s="3">
        <f>IF(INDEX(C:C, ROW())+INDEX(D:D, ROW())=0, 0, INDEX(C:C, ROW())/(INDEX(C:C, ROW())+INDEX(D:D, ROW())))</f>
        <v>0.9609375</v>
      </c>
      <c r="F1784" s="1" t="s">
        <v>297</v>
      </c>
      <c r="G1784" s="1" t="s">
        <v>24</v>
      </c>
      <c r="H1784" s="1">
        <v>33975</v>
      </c>
      <c r="I1784" s="1">
        <v>40962</v>
      </c>
      <c r="J1784" s="7">
        <v>0.82899999999999996</v>
      </c>
      <c r="K1784" s="1" t="s">
        <v>29</v>
      </c>
      <c r="L1784" s="1" t="s">
        <v>29</v>
      </c>
      <c r="M1784" s="1" t="s">
        <v>29</v>
      </c>
      <c r="N1784" s="1" t="s">
        <v>297</v>
      </c>
    </row>
    <row r="1785" spans="1:14" x14ac:dyDescent="0.25">
      <c r="A1785" s="1">
        <v>1784</v>
      </c>
      <c r="B1785" s="2" t="str">
        <f>HYPERLINK("https://leetcode.com/problems/check-if-binary-string-has-at-most-one-segment-of-ones/", "Check if Binary String Has at Most One Segment of Ones")</f>
        <v>Check if Binary String Has at Most One Segment of Ones</v>
      </c>
      <c r="C1785" s="1">
        <v>376</v>
      </c>
      <c r="D1785" s="1">
        <v>1008</v>
      </c>
      <c r="E1785" s="3">
        <f>IF(INDEX(C:C, ROW())+INDEX(D:D, ROW())=0, 0, INDEX(C:C, ROW())/(INDEX(C:C, ROW())+INDEX(D:D, ROW())))</f>
        <v>0.27167630057803466</v>
      </c>
      <c r="F1785" s="1" t="s">
        <v>146</v>
      </c>
      <c r="G1785" s="1" t="s">
        <v>20</v>
      </c>
      <c r="H1785" s="1">
        <v>58547</v>
      </c>
      <c r="I1785" s="1">
        <v>148720</v>
      </c>
      <c r="J1785" s="7">
        <v>0.39400000000000002</v>
      </c>
      <c r="K1785" s="1" t="s">
        <v>21</v>
      </c>
      <c r="L1785" s="1" t="s">
        <v>29</v>
      </c>
      <c r="M1785" s="1" t="s">
        <v>29</v>
      </c>
      <c r="N1785" s="1" t="s">
        <v>22</v>
      </c>
    </row>
    <row r="1786" spans="1:14" x14ac:dyDescent="0.25">
      <c r="A1786" s="1">
        <v>1785</v>
      </c>
      <c r="B1786" s="2" t="str">
        <f>HYPERLINK("https://leetcode.com/problems/minimum-elements-to-add-to-form-a-given-sum/", "Minimum Elements to Add to Form a Given Sum")</f>
        <v>Minimum Elements to Add to Form a Given Sum</v>
      </c>
      <c r="C1786" s="1">
        <v>283</v>
      </c>
      <c r="D1786" s="1">
        <v>196</v>
      </c>
      <c r="E1786" s="3">
        <f>IF(INDEX(C:C, ROW())+INDEX(D:D, ROW())=0, 0, INDEX(C:C, ROW())/(INDEX(C:C, ROW())+INDEX(D:D, ROW())))</f>
        <v>0.59081419624217124</v>
      </c>
      <c r="F1786" s="1" t="s">
        <v>96</v>
      </c>
      <c r="G1786" s="1" t="s">
        <v>24</v>
      </c>
      <c r="H1786" s="1">
        <v>26942</v>
      </c>
      <c r="I1786" s="1">
        <v>59941</v>
      </c>
      <c r="J1786" s="7">
        <v>0.44900000000000001</v>
      </c>
      <c r="K1786" s="1" t="s">
        <v>21</v>
      </c>
      <c r="L1786" s="1" t="s">
        <v>29</v>
      </c>
      <c r="M1786" s="1" t="s">
        <v>29</v>
      </c>
      <c r="N1786" s="1" t="s">
        <v>22</v>
      </c>
    </row>
    <row r="1787" spans="1:14" x14ac:dyDescent="0.25">
      <c r="A1787" s="1">
        <v>1786</v>
      </c>
      <c r="B1787" s="2" t="str">
        <f>HYPERLINK("https://leetcode.com/problems/number-of-restricted-paths-from-first-to-last-node/", "Number of Restricted Paths From First to Last Node")</f>
        <v>Number of Restricted Paths From First to Last Node</v>
      </c>
      <c r="C1787" s="1">
        <v>1192</v>
      </c>
      <c r="D1787" s="1">
        <v>233</v>
      </c>
      <c r="E1787" s="3">
        <f>IF(INDEX(C:C, ROW())+INDEX(D:D, ROW())=0, 0, INDEX(C:C, ROW())/(INDEX(C:C, ROW())+INDEX(D:D, ROW())))</f>
        <v>0.8364912280701754</v>
      </c>
      <c r="F1787" s="1" t="s">
        <v>660</v>
      </c>
      <c r="G1787" s="1" t="s">
        <v>24</v>
      </c>
      <c r="H1787" s="1">
        <v>33819</v>
      </c>
      <c r="I1787" s="1">
        <v>82650</v>
      </c>
      <c r="J1787" s="7">
        <v>0.40899999999999997</v>
      </c>
      <c r="K1787" s="1" t="s">
        <v>21</v>
      </c>
      <c r="L1787" s="1" t="s">
        <v>29</v>
      </c>
      <c r="M1787" s="1" t="s">
        <v>29</v>
      </c>
      <c r="N1787" s="1" t="s">
        <v>22</v>
      </c>
    </row>
    <row r="1788" spans="1:14" x14ac:dyDescent="0.25">
      <c r="A1788" s="1">
        <v>1787</v>
      </c>
      <c r="B1788" s="2" t="str">
        <f>HYPERLINK("https://leetcode.com/problems/make-the-xor-of-all-segments-equal-to-zero/", "Make the XOR of All Segments Equal to Zero")</f>
        <v>Make the XOR of All Segments Equal to Zero</v>
      </c>
      <c r="C1788" s="1">
        <v>424</v>
      </c>
      <c r="D1788" s="1">
        <v>27</v>
      </c>
      <c r="E1788" s="3">
        <f>IF(INDEX(C:C, ROW())+INDEX(D:D, ROW())=0, 0, INDEX(C:C, ROW())/(INDEX(C:C, ROW())+INDEX(D:D, ROW())))</f>
        <v>0.94013303769401335</v>
      </c>
      <c r="F1788" s="1" t="s">
        <v>963</v>
      </c>
      <c r="G1788" s="1" t="s">
        <v>28</v>
      </c>
      <c r="H1788" s="1">
        <v>6868</v>
      </c>
      <c r="I1788" s="1">
        <v>16753</v>
      </c>
      <c r="J1788" s="7">
        <v>0.41</v>
      </c>
      <c r="K1788" s="1" t="s">
        <v>21</v>
      </c>
      <c r="L1788" s="1" t="s">
        <v>29</v>
      </c>
      <c r="M1788" s="1" t="s">
        <v>29</v>
      </c>
      <c r="N1788" s="1" t="s">
        <v>22</v>
      </c>
    </row>
    <row r="1789" spans="1:14" x14ac:dyDescent="0.25">
      <c r="A1789" s="1">
        <v>1788</v>
      </c>
      <c r="B1789" s="2" t="str">
        <f>HYPERLINK("https://leetcode.com/problems/maximize-the-beauty-of-the-garden/", "Maximize the Beauty of the Garden")</f>
        <v>Maximize the Beauty of the Garden</v>
      </c>
      <c r="C1789" s="1">
        <v>82</v>
      </c>
      <c r="D1789" s="1">
        <v>6</v>
      </c>
      <c r="E1789" s="3">
        <f>IF(INDEX(C:C, ROW())+INDEX(D:D, ROW())=0, 0, INDEX(C:C, ROW())/(INDEX(C:C, ROW())+INDEX(D:D, ROW())))</f>
        <v>0.93181818181818177</v>
      </c>
      <c r="F1789" s="1" t="s">
        <v>683</v>
      </c>
      <c r="G1789" s="1" t="s">
        <v>28</v>
      </c>
      <c r="H1789" s="1">
        <v>2757</v>
      </c>
      <c r="I1789" s="1">
        <v>4268</v>
      </c>
      <c r="J1789" s="7">
        <v>0.64600000000000002</v>
      </c>
      <c r="K1789" s="1" t="s">
        <v>29</v>
      </c>
      <c r="L1789" s="1" t="s">
        <v>29</v>
      </c>
      <c r="M1789" s="1" t="s">
        <v>29</v>
      </c>
      <c r="N1789" s="1" t="s">
        <v>22</v>
      </c>
    </row>
    <row r="1790" spans="1:14" x14ac:dyDescent="0.25">
      <c r="A1790" s="1">
        <v>1789</v>
      </c>
      <c r="B1790" s="2" t="str">
        <f>HYPERLINK("https://leetcode.com/problems/primary-department-for-each-employee/", "Primary Department for Each Employee")</f>
        <v>Primary Department for Each Employee</v>
      </c>
      <c r="C1790" s="1">
        <v>834</v>
      </c>
      <c r="D1790" s="1">
        <v>267</v>
      </c>
      <c r="E1790" s="3">
        <f>IF(INDEX(C:C, ROW())+INDEX(D:D, ROW())=0, 0, INDEX(C:C, ROW())/(INDEX(C:C, ROW())+INDEX(D:D, ROW())))</f>
        <v>0.75749318801089915</v>
      </c>
      <c r="F1790" s="1" t="s">
        <v>297</v>
      </c>
      <c r="G1790" s="1" t="s">
        <v>20</v>
      </c>
      <c r="H1790" s="1">
        <v>338682</v>
      </c>
      <c r="I1790" s="1">
        <v>458185</v>
      </c>
      <c r="J1790" s="7">
        <v>0.73899999999999999</v>
      </c>
      <c r="K1790" s="1" t="s">
        <v>21</v>
      </c>
      <c r="L1790" s="1" t="s">
        <v>21</v>
      </c>
      <c r="M1790" s="1" t="s">
        <v>29</v>
      </c>
      <c r="N1790" s="1" t="s">
        <v>297</v>
      </c>
    </row>
    <row r="1791" spans="1:14" x14ac:dyDescent="0.25">
      <c r="A1791" s="1">
        <v>1790</v>
      </c>
      <c r="B1791" s="2" t="str">
        <f>HYPERLINK("https://leetcode.com/problems/check-if-one-string-swap-can-make-strings-equal/", "Check if One String Swap Can Make Strings Equal")</f>
        <v>Check if One String Swap Can Make Strings Equal</v>
      </c>
      <c r="C1791" s="1">
        <v>1703</v>
      </c>
      <c r="D1791" s="1">
        <v>87</v>
      </c>
      <c r="E1791" s="3">
        <f>IF(INDEX(C:C, ROW())+INDEX(D:D, ROW())=0, 0, INDEX(C:C, ROW())/(INDEX(C:C, ROW())+INDEX(D:D, ROW())))</f>
        <v>0.95139664804469271</v>
      </c>
      <c r="F1791" s="1" t="s">
        <v>237</v>
      </c>
      <c r="G1791" s="1" t="s">
        <v>20</v>
      </c>
      <c r="H1791" s="1">
        <v>308603</v>
      </c>
      <c r="I1791" s="1">
        <v>623644</v>
      </c>
      <c r="J1791" s="7">
        <v>0.495</v>
      </c>
      <c r="K1791" s="1" t="s">
        <v>21</v>
      </c>
      <c r="L1791" s="1" t="s">
        <v>21</v>
      </c>
      <c r="M1791" s="1" t="s">
        <v>29</v>
      </c>
      <c r="N1791" s="1" t="s">
        <v>22</v>
      </c>
    </row>
    <row r="1792" spans="1:14" x14ac:dyDescent="0.25">
      <c r="A1792" s="1">
        <v>1791</v>
      </c>
      <c r="B1792" s="2" t="str">
        <f>HYPERLINK("https://leetcode.com/problems/find-center-of-star-graph/", "Find Center of Star Graph")</f>
        <v>Find Center of Star Graph</v>
      </c>
      <c r="C1792" s="1">
        <v>1977</v>
      </c>
      <c r="D1792" s="1">
        <v>182</v>
      </c>
      <c r="E1792" s="3">
        <f>IF(INDEX(C:C, ROW())+INDEX(D:D, ROW())=0, 0, INDEX(C:C, ROW())/(INDEX(C:C, ROW())+INDEX(D:D, ROW())))</f>
        <v>0.91570171375636866</v>
      </c>
      <c r="F1792" s="1" t="s">
        <v>319</v>
      </c>
      <c r="G1792" s="1" t="s">
        <v>20</v>
      </c>
      <c r="H1792" s="1">
        <v>432799</v>
      </c>
      <c r="I1792" s="1">
        <v>499594</v>
      </c>
      <c r="J1792" s="7">
        <v>0.86599999999999999</v>
      </c>
      <c r="K1792" s="1" t="s">
        <v>21</v>
      </c>
      <c r="L1792" s="1" t="s">
        <v>21</v>
      </c>
      <c r="M1792" s="1" t="s">
        <v>29</v>
      </c>
      <c r="N1792" s="1" t="s">
        <v>22</v>
      </c>
    </row>
    <row r="1793" spans="1:14" x14ac:dyDescent="0.25">
      <c r="A1793" s="1">
        <v>1792</v>
      </c>
      <c r="B1793" s="2" t="str">
        <f>HYPERLINK("https://leetcode.com/problems/maximum-average-pass-ratio/", "Maximum Average Pass Ratio")</f>
        <v>Maximum Average Pass Ratio</v>
      </c>
      <c r="C1793" s="1">
        <v>1930</v>
      </c>
      <c r="D1793" s="1">
        <v>139</v>
      </c>
      <c r="E1793" s="3">
        <f>IF(INDEX(C:C, ROW())+INDEX(D:D, ROW())=0, 0, INDEX(C:C, ROW())/(INDEX(C:C, ROW())+INDEX(D:D, ROW())))</f>
        <v>0.93281778637022716</v>
      </c>
      <c r="F1793" s="1" t="s">
        <v>221</v>
      </c>
      <c r="G1793" s="1" t="s">
        <v>24</v>
      </c>
      <c r="H1793" s="1">
        <v>208670</v>
      </c>
      <c r="I1793" s="1">
        <v>281567</v>
      </c>
      <c r="J1793" s="7">
        <v>0.74099999999999999</v>
      </c>
      <c r="K1793" s="1" t="s">
        <v>21</v>
      </c>
      <c r="L1793" s="1" t="s">
        <v>21</v>
      </c>
      <c r="M1793" s="1" t="s">
        <v>29</v>
      </c>
      <c r="N1793" s="1" t="s">
        <v>22</v>
      </c>
    </row>
    <row r="1794" spans="1:14" x14ac:dyDescent="0.25">
      <c r="A1794" s="1">
        <v>1793</v>
      </c>
      <c r="B1794" s="2" t="str">
        <f>HYPERLINK("https://leetcode.com/problems/maximum-score-of-a-good-subarray/", "Maximum Score of a Good Subarray")</f>
        <v>Maximum Score of a Good Subarray</v>
      </c>
      <c r="C1794" s="1">
        <v>2000</v>
      </c>
      <c r="D1794" s="1">
        <v>50</v>
      </c>
      <c r="E1794" s="3">
        <f>IF(INDEX(C:C, ROW())+INDEX(D:D, ROW())=0, 0, INDEX(C:C, ROW())/(INDEX(C:C, ROW())+INDEX(D:D, ROW())))</f>
        <v>0.97560975609756095</v>
      </c>
      <c r="F1794" s="1" t="s">
        <v>437</v>
      </c>
      <c r="G1794" s="1" t="s">
        <v>28</v>
      </c>
      <c r="H1794" s="1">
        <v>88665</v>
      </c>
      <c r="I1794" s="1">
        <v>137693</v>
      </c>
      <c r="J1794" s="7">
        <v>0.64400000000000002</v>
      </c>
      <c r="K1794" s="1" t="s">
        <v>21</v>
      </c>
      <c r="L1794" s="1" t="s">
        <v>21</v>
      </c>
      <c r="M1794" s="1" t="s">
        <v>29</v>
      </c>
      <c r="N1794" s="1" t="s">
        <v>22</v>
      </c>
    </row>
    <row r="1795" spans="1:14" x14ac:dyDescent="0.25">
      <c r="A1795" s="1">
        <v>1794</v>
      </c>
      <c r="B1795" s="2" t="str">
        <f>HYPERLINK("https://leetcode.com/problems/count-pairs-of-equal-substrings-with-minimum-difference/", "Count Pairs of Equal Substrings With Minimum Difference")</f>
        <v>Count Pairs of Equal Substrings With Minimum Difference</v>
      </c>
      <c r="C1795" s="1">
        <v>48</v>
      </c>
      <c r="D1795" s="1">
        <v>62</v>
      </c>
      <c r="E1795" s="3">
        <f>IF(INDEX(C:C, ROW())+INDEX(D:D, ROW())=0, 0, INDEX(C:C, ROW())/(INDEX(C:C, ROW())+INDEX(D:D, ROW())))</f>
        <v>0.43636363636363634</v>
      </c>
      <c r="F1795" s="1" t="s">
        <v>217</v>
      </c>
      <c r="G1795" s="1" t="s">
        <v>24</v>
      </c>
      <c r="H1795" s="1">
        <v>2454</v>
      </c>
      <c r="I1795" s="1">
        <v>3836</v>
      </c>
      <c r="J1795" s="7">
        <v>0.64</v>
      </c>
      <c r="K1795" s="1" t="s">
        <v>29</v>
      </c>
      <c r="L1795" s="1" t="s">
        <v>29</v>
      </c>
      <c r="M1795" s="1" t="s">
        <v>29</v>
      </c>
      <c r="N1795" s="1" t="s">
        <v>22</v>
      </c>
    </row>
    <row r="1796" spans="1:14" x14ac:dyDescent="0.25">
      <c r="A1796" s="1">
        <v>1795</v>
      </c>
      <c r="B1796" s="2" t="str">
        <f>HYPERLINK("https://leetcode.com/problems/rearrange-products-table/", "Rearrange Products Table")</f>
        <v>Rearrange Products Table</v>
      </c>
      <c r="C1796" s="1">
        <v>968</v>
      </c>
      <c r="D1796" s="1">
        <v>68</v>
      </c>
      <c r="E1796" s="3">
        <f>IF(INDEX(C:C, ROW())+INDEX(D:D, ROW())=0, 0, INDEX(C:C, ROW())/(INDEX(C:C, ROW())+INDEX(D:D, ROW())))</f>
        <v>0.93436293436293438</v>
      </c>
      <c r="F1796" s="1" t="s">
        <v>297</v>
      </c>
      <c r="G1796" s="1" t="s">
        <v>20</v>
      </c>
      <c r="H1796" s="1">
        <v>195739</v>
      </c>
      <c r="I1796" s="1">
        <v>228826</v>
      </c>
      <c r="J1796" s="7">
        <v>0.85499999999999998</v>
      </c>
      <c r="K1796" s="1" t="s">
        <v>21</v>
      </c>
      <c r="L1796" s="1" t="s">
        <v>21</v>
      </c>
      <c r="M1796" s="1" t="s">
        <v>29</v>
      </c>
      <c r="N1796" s="1" t="s">
        <v>297</v>
      </c>
    </row>
    <row r="1797" spans="1:14" x14ac:dyDescent="0.25">
      <c r="A1797" s="1">
        <v>1796</v>
      </c>
      <c r="B1797" s="2" t="str">
        <f>HYPERLINK("https://leetcode.com/problems/second-largest-digit-in-a-string/", "Second Largest Digit in a String")</f>
        <v>Second Largest Digit in a String</v>
      </c>
      <c r="C1797" s="1">
        <v>592</v>
      </c>
      <c r="D1797" s="1">
        <v>132</v>
      </c>
      <c r="E1797" s="3">
        <f>IF(INDEX(C:C, ROW())+INDEX(D:D, ROW())=0, 0, INDEX(C:C, ROW())/(INDEX(C:C, ROW())+INDEX(D:D, ROW())))</f>
        <v>0.81767955801104975</v>
      </c>
      <c r="F1797" s="1" t="s">
        <v>131</v>
      </c>
      <c r="G1797" s="1" t="s">
        <v>20</v>
      </c>
      <c r="H1797" s="1">
        <v>96655</v>
      </c>
      <c r="I1797" s="1">
        <v>179694</v>
      </c>
      <c r="J1797" s="7">
        <v>0.53800000000000003</v>
      </c>
      <c r="K1797" s="1" t="s">
        <v>21</v>
      </c>
      <c r="L1797" s="1" t="s">
        <v>29</v>
      </c>
      <c r="M1797" s="1" t="s">
        <v>29</v>
      </c>
      <c r="N1797" s="1" t="s">
        <v>22</v>
      </c>
    </row>
    <row r="1798" spans="1:14" x14ac:dyDescent="0.25">
      <c r="A1798" s="1">
        <v>1797</v>
      </c>
      <c r="B1798" s="2" t="str">
        <f>HYPERLINK("https://leetcode.com/problems/design-authentication-manager/", "Design Authentication Manager")</f>
        <v>Design Authentication Manager</v>
      </c>
      <c r="C1798" s="1">
        <v>429</v>
      </c>
      <c r="D1798" s="1">
        <v>57</v>
      </c>
      <c r="E1798" s="3">
        <f>IF(INDEX(C:C, ROW())+INDEX(D:D, ROW())=0, 0, INDEX(C:C, ROW())/(INDEX(C:C, ROW())+INDEX(D:D, ROW())))</f>
        <v>0.88271604938271608</v>
      </c>
      <c r="F1798" s="1" t="s">
        <v>45</v>
      </c>
      <c r="G1798" s="1" t="s">
        <v>24</v>
      </c>
      <c r="H1798" s="1">
        <v>54271</v>
      </c>
      <c r="I1798" s="1">
        <v>92982</v>
      </c>
      <c r="J1798" s="7">
        <v>0.58399999999999996</v>
      </c>
      <c r="K1798" s="1" t="s">
        <v>21</v>
      </c>
      <c r="L1798" s="1" t="s">
        <v>29</v>
      </c>
      <c r="M1798" s="1" t="s">
        <v>29</v>
      </c>
      <c r="N1798" s="1" t="s">
        <v>22</v>
      </c>
    </row>
    <row r="1799" spans="1:14" x14ac:dyDescent="0.25">
      <c r="A1799" s="1">
        <v>1798</v>
      </c>
      <c r="B1799" s="2" t="str">
        <f>HYPERLINK("https://leetcode.com/problems/maximum-number-of-consecutive-values-you-can-make/", "Maximum Number of Consecutive Values You Can Make")</f>
        <v>Maximum Number of Consecutive Values You Can Make</v>
      </c>
      <c r="C1799" s="1">
        <v>865</v>
      </c>
      <c r="D1799" s="1">
        <v>60</v>
      </c>
      <c r="E1799" s="3">
        <f>IF(INDEX(C:C, ROW())+INDEX(D:D, ROW())=0, 0, INDEX(C:C, ROW())/(INDEX(C:C, ROW())+INDEX(D:D, ROW())))</f>
        <v>0.93513513513513513</v>
      </c>
      <c r="F1799" s="1" t="s">
        <v>169</v>
      </c>
      <c r="G1799" s="1" t="s">
        <v>24</v>
      </c>
      <c r="H1799" s="1">
        <v>25677</v>
      </c>
      <c r="I1799" s="1">
        <v>40437</v>
      </c>
      <c r="J1799" s="7">
        <v>0.63500000000000001</v>
      </c>
      <c r="K1799" s="1" t="s">
        <v>21</v>
      </c>
      <c r="L1799" s="1" t="s">
        <v>29</v>
      </c>
      <c r="M1799" s="1" t="s">
        <v>29</v>
      </c>
      <c r="N1799" s="1" t="s">
        <v>22</v>
      </c>
    </row>
    <row r="1800" spans="1:14" x14ac:dyDescent="0.25">
      <c r="A1800" s="1">
        <v>1799</v>
      </c>
      <c r="B1800" s="2" t="str">
        <f>HYPERLINK("https://leetcode.com/problems/maximize-score-after-n-operations/", "Maximize Score After N Operations")</f>
        <v>Maximize Score After N Operations</v>
      </c>
      <c r="C1800" s="1">
        <v>1710</v>
      </c>
      <c r="D1800" s="1">
        <v>114</v>
      </c>
      <c r="E1800" s="3">
        <f>IF(INDEX(C:C, ROW())+INDEX(D:D, ROW())=0, 0, INDEX(C:C, ROW())/(INDEX(C:C, ROW())+INDEX(D:D, ROW())))</f>
        <v>0.9375</v>
      </c>
      <c r="F1800" s="1" t="s">
        <v>546</v>
      </c>
      <c r="G1800" s="1" t="s">
        <v>28</v>
      </c>
      <c r="H1800" s="1">
        <v>69272</v>
      </c>
      <c r="I1800" s="1">
        <v>119543</v>
      </c>
      <c r="J1800" s="7">
        <v>0.57899999999999996</v>
      </c>
      <c r="K1800" s="1" t="s">
        <v>21</v>
      </c>
      <c r="L1800" s="1" t="s">
        <v>21</v>
      </c>
      <c r="M1800" s="1" t="s">
        <v>29</v>
      </c>
      <c r="N1800" s="1" t="s">
        <v>22</v>
      </c>
    </row>
    <row r="1801" spans="1:14" x14ac:dyDescent="0.25">
      <c r="A1801" s="1">
        <v>1800</v>
      </c>
      <c r="B1801" s="2" t="str">
        <f>HYPERLINK("https://leetcode.com/problems/maximum-ascending-subarray-sum/", "Maximum Ascending Subarray Sum")</f>
        <v>Maximum Ascending Subarray Sum</v>
      </c>
      <c r="C1801" s="1">
        <v>1289</v>
      </c>
      <c r="D1801" s="1">
        <v>43</v>
      </c>
      <c r="E1801" s="3">
        <f>IF(INDEX(C:C, ROW())+INDEX(D:D, ROW())=0, 0, INDEX(C:C, ROW())/(INDEX(C:C, ROW())+INDEX(D:D, ROW())))</f>
        <v>0.96771771771771775</v>
      </c>
      <c r="F1801" s="1" t="s">
        <v>113</v>
      </c>
      <c r="G1801" s="1" t="s">
        <v>20</v>
      </c>
      <c r="H1801" s="1">
        <v>246564</v>
      </c>
      <c r="I1801" s="1">
        <v>371882</v>
      </c>
      <c r="J1801" s="7">
        <v>0.66300000000000003</v>
      </c>
      <c r="K1801" s="1" t="s">
        <v>21</v>
      </c>
      <c r="L1801" s="1" t="s">
        <v>21</v>
      </c>
      <c r="M1801" s="1" t="s">
        <v>29</v>
      </c>
      <c r="N1801" s="1" t="s">
        <v>22</v>
      </c>
    </row>
    <row r="1802" spans="1:14" x14ac:dyDescent="0.25">
      <c r="A1802" s="1">
        <v>1801</v>
      </c>
      <c r="B1802" s="2" t="str">
        <f>HYPERLINK("https://leetcode.com/problems/number-of-orders-in-the-backlog/", "Number of Orders in the Backlog")</f>
        <v>Number of Orders in the Backlog</v>
      </c>
      <c r="C1802" s="1">
        <v>338</v>
      </c>
      <c r="D1802" s="1">
        <v>246</v>
      </c>
      <c r="E1802" s="3">
        <f>IF(INDEX(C:C, ROW())+INDEX(D:D, ROW())=0, 0, INDEX(C:C, ROW())/(INDEX(C:C, ROW())+INDEX(D:D, ROW())))</f>
        <v>0.57876712328767121</v>
      </c>
      <c r="F1802" s="1" t="s">
        <v>751</v>
      </c>
      <c r="G1802" s="1" t="s">
        <v>24</v>
      </c>
      <c r="H1802" s="1">
        <v>35426</v>
      </c>
      <c r="I1802" s="1">
        <v>66133</v>
      </c>
      <c r="J1802" s="7">
        <v>0.53600000000000003</v>
      </c>
      <c r="K1802" s="1" t="s">
        <v>21</v>
      </c>
      <c r="L1802" s="1" t="s">
        <v>29</v>
      </c>
      <c r="M1802" s="1" t="s">
        <v>29</v>
      </c>
      <c r="N1802" s="1" t="s">
        <v>22</v>
      </c>
    </row>
    <row r="1803" spans="1:14" x14ac:dyDescent="0.25">
      <c r="A1803" s="1">
        <v>1802</v>
      </c>
      <c r="B1803" s="2" t="str">
        <f>HYPERLINK("https://leetcode.com/problems/maximum-value-at-a-given-index-in-a-bounded-array/", "Maximum Value at a Given Index in a Bounded Array")</f>
        <v>Maximum Value at a Given Index in a Bounded Array</v>
      </c>
      <c r="C1803" s="1">
        <v>2712</v>
      </c>
      <c r="D1803" s="1">
        <v>477</v>
      </c>
      <c r="E1803" s="3">
        <f>IF(INDEX(C:C, ROW())+INDEX(D:D, ROW())=0, 0, INDEX(C:C, ROW())/(INDEX(C:C, ROW())+INDEX(D:D, ROW())))</f>
        <v>0.85042333019755412</v>
      </c>
      <c r="F1803" s="1" t="s">
        <v>399</v>
      </c>
      <c r="G1803" s="1" t="s">
        <v>24</v>
      </c>
      <c r="H1803" s="1">
        <v>87720</v>
      </c>
      <c r="I1803" s="1">
        <v>225590</v>
      </c>
      <c r="J1803" s="7">
        <v>0.38900000000000001</v>
      </c>
      <c r="K1803" s="1" t="s">
        <v>21</v>
      </c>
      <c r="L1803" s="1" t="s">
        <v>21</v>
      </c>
      <c r="M1803" s="1" t="s">
        <v>29</v>
      </c>
      <c r="N1803" s="1" t="s">
        <v>22</v>
      </c>
    </row>
    <row r="1804" spans="1:14" x14ac:dyDescent="0.25">
      <c r="A1804" s="1">
        <v>1803</v>
      </c>
      <c r="B1804" s="2" t="str">
        <f>HYPERLINK("https://leetcode.com/problems/count-pairs-with-xor-in-a-range/", "Count Pairs With XOR in a Range")</f>
        <v>Count Pairs With XOR in a Range</v>
      </c>
      <c r="C1804" s="1">
        <v>553</v>
      </c>
      <c r="D1804" s="1">
        <v>24</v>
      </c>
      <c r="E1804" s="3">
        <f>IF(INDEX(C:C, ROW())+INDEX(D:D, ROW())=0, 0, INDEX(C:C, ROW())/(INDEX(C:C, ROW())+INDEX(D:D, ROW())))</f>
        <v>0.95840554592720972</v>
      </c>
      <c r="F1804" s="1" t="s">
        <v>614</v>
      </c>
      <c r="G1804" s="1" t="s">
        <v>28</v>
      </c>
      <c r="H1804" s="1">
        <v>12012</v>
      </c>
      <c r="I1804" s="1">
        <v>25965</v>
      </c>
      <c r="J1804" s="7">
        <v>0.46300000000000002</v>
      </c>
      <c r="K1804" s="1" t="s">
        <v>21</v>
      </c>
      <c r="L1804" s="1" t="s">
        <v>29</v>
      </c>
      <c r="M1804" s="1" t="s">
        <v>29</v>
      </c>
      <c r="N1804" s="1" t="s">
        <v>22</v>
      </c>
    </row>
    <row r="1805" spans="1:14" x14ac:dyDescent="0.25">
      <c r="A1805" s="1">
        <v>1804</v>
      </c>
      <c r="B1805" s="2" t="str">
        <f>HYPERLINK("https://leetcode.com/problems/implement-trie-ii-prefix-tree/", "Implement Trie II (Prefix Tree)")</f>
        <v>Implement Trie II (Prefix Tree)</v>
      </c>
      <c r="C1805" s="1">
        <v>354</v>
      </c>
      <c r="D1805" s="1">
        <v>19</v>
      </c>
      <c r="E1805" s="3">
        <f>IF(INDEX(C:C, ROW())+INDEX(D:D, ROW())=0, 0, INDEX(C:C, ROW())/(INDEX(C:C, ROW())+INDEX(D:D, ROW())))</f>
        <v>0.94906166219839139</v>
      </c>
      <c r="F1805" s="1" t="s">
        <v>105</v>
      </c>
      <c r="G1805" s="1" t="s">
        <v>24</v>
      </c>
      <c r="H1805" s="1">
        <v>26659</v>
      </c>
      <c r="I1805" s="1">
        <v>42134</v>
      </c>
      <c r="J1805" s="7">
        <v>0.63300000000000001</v>
      </c>
      <c r="K1805" s="1" t="s">
        <v>29</v>
      </c>
      <c r="L1805" s="1" t="s">
        <v>21</v>
      </c>
      <c r="M1805" s="1" t="s">
        <v>29</v>
      </c>
      <c r="N1805" s="1" t="s">
        <v>22</v>
      </c>
    </row>
    <row r="1806" spans="1:14" x14ac:dyDescent="0.25">
      <c r="A1806" s="1">
        <v>1805</v>
      </c>
      <c r="B1806" s="2" t="str">
        <f>HYPERLINK("https://leetcode.com/problems/number-of-different-integers-in-a-string/", "Number of Different Integers in a String")</f>
        <v>Number of Different Integers in a String</v>
      </c>
      <c r="C1806" s="1">
        <v>663</v>
      </c>
      <c r="D1806" s="1">
        <v>106</v>
      </c>
      <c r="E1806" s="3">
        <f>IF(INDEX(C:C, ROW())+INDEX(D:D, ROW())=0, 0, INDEX(C:C, ROW())/(INDEX(C:C, ROW())+INDEX(D:D, ROW())))</f>
        <v>0.86215864759427829</v>
      </c>
      <c r="F1806" s="1" t="s">
        <v>131</v>
      </c>
      <c r="G1806" s="1" t="s">
        <v>20</v>
      </c>
      <c r="H1806" s="1">
        <v>63035</v>
      </c>
      <c r="I1806" s="1">
        <v>157496</v>
      </c>
      <c r="J1806" s="7">
        <v>0.4</v>
      </c>
      <c r="K1806" s="1" t="s">
        <v>21</v>
      </c>
      <c r="L1806" s="1" t="s">
        <v>29</v>
      </c>
      <c r="M1806" s="1" t="s">
        <v>29</v>
      </c>
      <c r="N1806" s="1" t="s">
        <v>22</v>
      </c>
    </row>
    <row r="1807" spans="1:14" x14ac:dyDescent="0.25">
      <c r="A1807" s="1">
        <v>1806</v>
      </c>
      <c r="B1807" s="2" t="str">
        <f>HYPERLINK("https://leetcode.com/problems/minimum-number-of-operations-to-reinitialize-a-permutation/", "Minimum Number of Operations to Reinitialize a Permutation")</f>
        <v>Minimum Number of Operations to Reinitialize a Permutation</v>
      </c>
      <c r="C1807" s="1">
        <v>326</v>
      </c>
      <c r="D1807" s="1">
        <v>176</v>
      </c>
      <c r="E1807" s="3">
        <f>IF(INDEX(C:C, ROW())+INDEX(D:D, ROW())=0, 0, INDEX(C:C, ROW())/(INDEX(C:C, ROW())+INDEX(D:D, ROW())))</f>
        <v>0.64940239043824699</v>
      </c>
      <c r="F1807" s="1" t="s">
        <v>629</v>
      </c>
      <c r="G1807" s="1" t="s">
        <v>24</v>
      </c>
      <c r="H1807" s="1">
        <v>22869</v>
      </c>
      <c r="I1807" s="1">
        <v>31455</v>
      </c>
      <c r="J1807" s="7">
        <v>0.72699999999999998</v>
      </c>
      <c r="K1807" s="1" t="s">
        <v>21</v>
      </c>
      <c r="L1807" s="1" t="s">
        <v>29</v>
      </c>
      <c r="M1807" s="1" t="s">
        <v>29</v>
      </c>
      <c r="N1807" s="1" t="s">
        <v>22</v>
      </c>
    </row>
    <row r="1808" spans="1:14" x14ac:dyDescent="0.25">
      <c r="A1808" s="1">
        <v>1807</v>
      </c>
      <c r="B1808" s="2" t="str">
        <f>HYPERLINK("https://leetcode.com/problems/evaluate-the-bracket-pairs-of-a-string/", "Evaluate the Bracket Pairs of a String")</f>
        <v>Evaluate the Bracket Pairs of a String</v>
      </c>
      <c r="C1808" s="1">
        <v>516</v>
      </c>
      <c r="D1808" s="1">
        <v>43</v>
      </c>
      <c r="E1808" s="3">
        <f>IF(INDEX(C:C, ROW())+INDEX(D:D, ROW())=0, 0, INDEX(C:C, ROW())/(INDEX(C:C, ROW())+INDEX(D:D, ROW())))</f>
        <v>0.92307692307692313</v>
      </c>
      <c r="F1808" s="1" t="s">
        <v>258</v>
      </c>
      <c r="G1808" s="1" t="s">
        <v>24</v>
      </c>
      <c r="H1808" s="1">
        <v>41082</v>
      </c>
      <c r="I1808" s="1">
        <v>59311</v>
      </c>
      <c r="J1808" s="7">
        <v>0.69299999999999995</v>
      </c>
      <c r="K1808" s="1" t="s">
        <v>21</v>
      </c>
      <c r="L1808" s="1" t="s">
        <v>29</v>
      </c>
      <c r="M1808" s="1" t="s">
        <v>29</v>
      </c>
      <c r="N1808" s="1" t="s">
        <v>22</v>
      </c>
    </row>
    <row r="1809" spans="1:14" x14ac:dyDescent="0.25">
      <c r="A1809" s="1">
        <v>1808</v>
      </c>
      <c r="B1809" s="2" t="str">
        <f>HYPERLINK("https://leetcode.com/problems/maximize-number-of-nice-divisors/", "Maximize Number of Nice Divisors")</f>
        <v>Maximize Number of Nice Divisors</v>
      </c>
      <c r="C1809" s="1">
        <v>233</v>
      </c>
      <c r="D1809" s="1">
        <v>171</v>
      </c>
      <c r="E1809" s="3">
        <f>IF(INDEX(C:C, ROW())+INDEX(D:D, ROW())=0, 0, INDEX(C:C, ROW())/(INDEX(C:C, ROW())+INDEX(D:D, ROW())))</f>
        <v>0.57673267326732669</v>
      </c>
      <c r="F1809" s="1" t="s">
        <v>1078</v>
      </c>
      <c r="G1809" s="1" t="s">
        <v>28</v>
      </c>
      <c r="H1809" s="1">
        <v>10003</v>
      </c>
      <c r="I1809" s="1">
        <v>28294</v>
      </c>
      <c r="J1809" s="7">
        <v>0.35399999999999998</v>
      </c>
      <c r="K1809" s="1" t="s">
        <v>21</v>
      </c>
      <c r="L1809" s="1" t="s">
        <v>29</v>
      </c>
      <c r="M1809" s="1" t="s">
        <v>29</v>
      </c>
      <c r="N1809" s="1" t="s">
        <v>22</v>
      </c>
    </row>
    <row r="1810" spans="1:14" x14ac:dyDescent="0.25">
      <c r="A1810" s="1">
        <v>1809</v>
      </c>
      <c r="B1810" s="2" t="str">
        <f>HYPERLINK("https://leetcode.com/problems/ad-free-sessions/", "Ad-Free Sessions")</f>
        <v>Ad-Free Sessions</v>
      </c>
      <c r="C1810" s="1">
        <v>99</v>
      </c>
      <c r="D1810" s="1">
        <v>61</v>
      </c>
      <c r="E1810" s="3">
        <f>IF(INDEX(C:C, ROW())+INDEX(D:D, ROW())=0, 0, INDEX(C:C, ROW())/(INDEX(C:C, ROW())+INDEX(D:D, ROW())))</f>
        <v>0.61875000000000002</v>
      </c>
      <c r="F1810" s="1" t="s">
        <v>297</v>
      </c>
      <c r="G1810" s="1" t="s">
        <v>20</v>
      </c>
      <c r="H1810" s="1">
        <v>19413</v>
      </c>
      <c r="I1810" s="1">
        <v>32983</v>
      </c>
      <c r="J1810" s="7">
        <v>0.58899999999999997</v>
      </c>
      <c r="K1810" s="1" t="s">
        <v>29</v>
      </c>
      <c r="L1810" s="1" t="s">
        <v>29</v>
      </c>
      <c r="M1810" s="1" t="s">
        <v>29</v>
      </c>
      <c r="N1810" s="1" t="s">
        <v>297</v>
      </c>
    </row>
    <row r="1811" spans="1:14" x14ac:dyDescent="0.25">
      <c r="A1811" s="1">
        <v>1810</v>
      </c>
      <c r="B1811" s="2" t="str">
        <f>HYPERLINK("https://leetcode.com/problems/minimum-path-cost-in-a-hidden-grid/", "Minimum Path Cost in a Hidden Grid")</f>
        <v>Minimum Path Cost in a Hidden Grid</v>
      </c>
      <c r="C1811" s="1">
        <v>95</v>
      </c>
      <c r="D1811" s="1">
        <v>32</v>
      </c>
      <c r="E1811" s="3">
        <f>IF(INDEX(C:C, ROW())+INDEX(D:D, ROW())=0, 0, INDEX(C:C, ROW())/(INDEX(C:C, ROW())+INDEX(D:D, ROW())))</f>
        <v>0.74803149606299213</v>
      </c>
      <c r="F1811" s="1" t="s">
        <v>1189</v>
      </c>
      <c r="G1811" s="1" t="s">
        <v>24</v>
      </c>
      <c r="H1811" s="1">
        <v>5482</v>
      </c>
      <c r="I1811" s="1">
        <v>9334</v>
      </c>
      <c r="J1811" s="7">
        <v>0.58699999999999997</v>
      </c>
      <c r="K1811" s="1" t="s">
        <v>29</v>
      </c>
      <c r="L1811" s="1" t="s">
        <v>29</v>
      </c>
      <c r="M1811" s="1" t="s">
        <v>29</v>
      </c>
      <c r="N1811" s="1" t="s">
        <v>22</v>
      </c>
    </row>
    <row r="1812" spans="1:14" x14ac:dyDescent="0.25">
      <c r="A1812" s="1">
        <v>1811</v>
      </c>
      <c r="B1812" s="2" t="str">
        <f>HYPERLINK("https://leetcode.com/problems/find-interview-candidates/", "Find Interview Candidates")</f>
        <v>Find Interview Candidates</v>
      </c>
      <c r="C1812" s="1">
        <v>210</v>
      </c>
      <c r="D1812" s="1">
        <v>29</v>
      </c>
      <c r="E1812" s="3">
        <f>IF(INDEX(C:C, ROW())+INDEX(D:D, ROW())=0, 0, INDEX(C:C, ROW())/(INDEX(C:C, ROW())+INDEX(D:D, ROW())))</f>
        <v>0.87866108786610875</v>
      </c>
      <c r="F1812" s="1" t="s">
        <v>297</v>
      </c>
      <c r="G1812" s="1" t="s">
        <v>24</v>
      </c>
      <c r="H1812" s="1">
        <v>19322</v>
      </c>
      <c r="I1812" s="1">
        <v>31881</v>
      </c>
      <c r="J1812" s="7">
        <v>0.60599999999999998</v>
      </c>
      <c r="K1812" s="1" t="s">
        <v>29</v>
      </c>
      <c r="L1812" s="1" t="s">
        <v>29</v>
      </c>
      <c r="M1812" s="1" t="s">
        <v>29</v>
      </c>
      <c r="N1812" s="1" t="s">
        <v>297</v>
      </c>
    </row>
    <row r="1813" spans="1:14" x14ac:dyDescent="0.25">
      <c r="A1813" s="1">
        <v>1812</v>
      </c>
      <c r="B1813" s="2" t="str">
        <f>HYPERLINK("https://leetcode.com/problems/determine-color-of-a-chessboard-square/", "Determine Color of a Chessboard Square")</f>
        <v>Determine Color of a Chessboard Square</v>
      </c>
      <c r="C1813" s="1">
        <v>901</v>
      </c>
      <c r="D1813" s="1">
        <v>24</v>
      </c>
      <c r="E1813" s="3">
        <f>IF(INDEX(C:C, ROW())+INDEX(D:D, ROW())=0, 0, INDEX(C:C, ROW())/(INDEX(C:C, ROW())+INDEX(D:D, ROW())))</f>
        <v>0.9740540540540541</v>
      </c>
      <c r="F1813" s="1" t="s">
        <v>228</v>
      </c>
      <c r="G1813" s="1" t="s">
        <v>20</v>
      </c>
      <c r="H1813" s="1">
        <v>116470</v>
      </c>
      <c r="I1813" s="1">
        <v>145968</v>
      </c>
      <c r="J1813" s="7">
        <v>0.79800000000000004</v>
      </c>
      <c r="K1813" s="1" t="s">
        <v>21</v>
      </c>
      <c r="L1813" s="1" t="s">
        <v>29</v>
      </c>
      <c r="M1813" s="1" t="s">
        <v>29</v>
      </c>
      <c r="N1813" s="1" t="s">
        <v>22</v>
      </c>
    </row>
    <row r="1814" spans="1:14" x14ac:dyDescent="0.25">
      <c r="A1814" s="1">
        <v>1813</v>
      </c>
      <c r="B1814" s="2" t="str">
        <f>HYPERLINK("https://leetcode.com/problems/sentence-similarity-iii/", "Sentence Similarity III")</f>
        <v>Sentence Similarity III</v>
      </c>
      <c r="C1814" s="1">
        <v>1063</v>
      </c>
      <c r="D1814" s="1">
        <v>163</v>
      </c>
      <c r="E1814" s="3">
        <f>IF(INDEX(C:C, ROW())+INDEX(D:D, ROW())=0, 0, INDEX(C:C, ROW())/(INDEX(C:C, ROW())+INDEX(D:D, ROW())))</f>
        <v>0.86704730831973897</v>
      </c>
      <c r="F1814" s="1" t="s">
        <v>360</v>
      </c>
      <c r="G1814" s="1" t="s">
        <v>24</v>
      </c>
      <c r="H1814" s="1">
        <v>131815</v>
      </c>
      <c r="I1814" s="1">
        <v>271908</v>
      </c>
      <c r="J1814" s="7">
        <v>0.48499999999999999</v>
      </c>
      <c r="K1814" s="1" t="s">
        <v>21</v>
      </c>
      <c r="L1814" s="1" t="s">
        <v>21</v>
      </c>
      <c r="M1814" s="1" t="s">
        <v>29</v>
      </c>
      <c r="N1814" s="1" t="s">
        <v>22</v>
      </c>
    </row>
    <row r="1815" spans="1:14" x14ac:dyDescent="0.25">
      <c r="A1815" s="1">
        <v>1814</v>
      </c>
      <c r="B1815" s="2" t="str">
        <f>HYPERLINK("https://leetcode.com/problems/count-nice-pairs-in-an-array/", "Count Nice Pairs in an Array")</f>
        <v>Count Nice Pairs in an Array</v>
      </c>
      <c r="C1815" s="1">
        <v>2037</v>
      </c>
      <c r="D1815" s="1">
        <v>92</v>
      </c>
      <c r="E1815" s="3">
        <f>IF(INDEX(C:C, ROW())+INDEX(D:D, ROW())=0, 0, INDEX(C:C, ROW())/(INDEX(C:C, ROW())+INDEX(D:D, ROW())))</f>
        <v>0.95678722404884919</v>
      </c>
      <c r="F1815" s="1" t="s">
        <v>233</v>
      </c>
      <c r="G1815" s="1" t="s">
        <v>24</v>
      </c>
      <c r="H1815" s="1">
        <v>133483</v>
      </c>
      <c r="I1815" s="1">
        <v>275572</v>
      </c>
      <c r="J1815" s="7">
        <v>0.48399999999999999</v>
      </c>
      <c r="K1815" s="1" t="s">
        <v>21</v>
      </c>
      <c r="L1815" s="1" t="s">
        <v>21</v>
      </c>
      <c r="M1815" s="1" t="s">
        <v>29</v>
      </c>
      <c r="N1815" s="1" t="s">
        <v>22</v>
      </c>
    </row>
    <row r="1816" spans="1:14" x14ac:dyDescent="0.25">
      <c r="A1816" s="1">
        <v>1815</v>
      </c>
      <c r="B1816" s="2" t="str">
        <f>HYPERLINK("https://leetcode.com/problems/maximum-number-of-groups-getting-fresh-donuts/", "Maximum Number of Groups Getting Fresh Donuts")</f>
        <v>Maximum Number of Groups Getting Fresh Donuts</v>
      </c>
      <c r="C1816" s="1">
        <v>356</v>
      </c>
      <c r="D1816" s="1">
        <v>33</v>
      </c>
      <c r="E1816" s="3">
        <f>IF(INDEX(C:C, ROW())+INDEX(D:D, ROW())=0, 0, INDEX(C:C, ROW())/(INDEX(C:C, ROW())+INDEX(D:D, ROW())))</f>
        <v>0.91516709511568128</v>
      </c>
      <c r="F1816" s="1" t="s">
        <v>1013</v>
      </c>
      <c r="G1816" s="1" t="s">
        <v>28</v>
      </c>
      <c r="H1816" s="1">
        <v>8313</v>
      </c>
      <c r="I1816" s="1">
        <v>20048</v>
      </c>
      <c r="J1816" s="7">
        <v>0.41499999999999998</v>
      </c>
      <c r="K1816" s="1" t="s">
        <v>21</v>
      </c>
      <c r="L1816" s="1" t="s">
        <v>29</v>
      </c>
      <c r="M1816" s="1" t="s">
        <v>29</v>
      </c>
      <c r="N1816" s="1" t="s">
        <v>22</v>
      </c>
    </row>
    <row r="1817" spans="1:14" x14ac:dyDescent="0.25">
      <c r="A1817" s="1">
        <v>1816</v>
      </c>
      <c r="B1817" s="2" t="str">
        <f>HYPERLINK("https://leetcode.com/problems/truncate-sentence/", "Truncate Sentence")</f>
        <v>Truncate Sentence</v>
      </c>
      <c r="C1817" s="1">
        <v>1224</v>
      </c>
      <c r="D1817" s="1">
        <v>34</v>
      </c>
      <c r="E1817" s="3">
        <f>IF(INDEX(C:C, ROW())+INDEX(D:D, ROW())=0, 0, INDEX(C:C, ROW())/(INDEX(C:C, ROW())+INDEX(D:D, ROW())))</f>
        <v>0.97297297297297303</v>
      </c>
      <c r="F1817" s="1" t="s">
        <v>369</v>
      </c>
      <c r="G1817" s="1" t="s">
        <v>20</v>
      </c>
      <c r="H1817" s="1">
        <v>228863</v>
      </c>
      <c r="I1817" s="1">
        <v>264156</v>
      </c>
      <c r="J1817" s="7">
        <v>0.86599999999999999</v>
      </c>
      <c r="K1817" s="1" t="s">
        <v>21</v>
      </c>
      <c r="L1817" s="1" t="s">
        <v>29</v>
      </c>
      <c r="M1817" s="1" t="s">
        <v>29</v>
      </c>
      <c r="N1817" s="1" t="s">
        <v>22</v>
      </c>
    </row>
    <row r="1818" spans="1:14" x14ac:dyDescent="0.25">
      <c r="A1818" s="1">
        <v>1817</v>
      </c>
      <c r="B1818" s="2" t="str">
        <f>HYPERLINK("https://leetcode.com/problems/finding-the-users-active-minutes/", "Finding the Users Active Minutes")</f>
        <v>Finding the Users Active Minutes</v>
      </c>
      <c r="C1818" s="1">
        <v>863</v>
      </c>
      <c r="D1818" s="1">
        <v>318</v>
      </c>
      <c r="E1818" s="3">
        <f>IF(INDEX(C:C, ROW())+INDEX(D:D, ROW())=0, 0, INDEX(C:C, ROW())/(INDEX(C:C, ROW())+INDEX(D:D, ROW())))</f>
        <v>0.73073666384419989</v>
      </c>
      <c r="F1818" s="1" t="s">
        <v>19</v>
      </c>
      <c r="G1818" s="1" t="s">
        <v>24</v>
      </c>
      <c r="H1818" s="1">
        <v>69665</v>
      </c>
      <c r="I1818" s="1">
        <v>86207</v>
      </c>
      <c r="J1818" s="7">
        <v>0.80800000000000005</v>
      </c>
      <c r="K1818" s="1" t="s">
        <v>21</v>
      </c>
      <c r="L1818" s="1" t="s">
        <v>29</v>
      </c>
      <c r="M1818" s="1" t="s">
        <v>29</v>
      </c>
      <c r="N1818" s="1" t="s">
        <v>22</v>
      </c>
    </row>
    <row r="1819" spans="1:14" x14ac:dyDescent="0.25">
      <c r="A1819" s="1">
        <v>1818</v>
      </c>
      <c r="B1819" s="2" t="str">
        <f>HYPERLINK("https://leetcode.com/problems/minimum-absolute-sum-difference/", "Minimum Absolute Sum Difference")</f>
        <v>Minimum Absolute Sum Difference</v>
      </c>
      <c r="C1819" s="1">
        <v>1096</v>
      </c>
      <c r="D1819" s="1">
        <v>80</v>
      </c>
      <c r="E1819" s="3">
        <f>IF(INDEX(C:C, ROW())+INDEX(D:D, ROW())=0, 0, INDEX(C:C, ROW())/(INDEX(C:C, ROW())+INDEX(D:D, ROW())))</f>
        <v>0.93197278911564629</v>
      </c>
      <c r="F1819" s="1" t="s">
        <v>688</v>
      </c>
      <c r="G1819" s="1" t="s">
        <v>24</v>
      </c>
      <c r="H1819" s="1">
        <v>32092</v>
      </c>
      <c r="I1819" s="1">
        <v>99653</v>
      </c>
      <c r="J1819" s="7">
        <v>0.32200000000000001</v>
      </c>
      <c r="K1819" s="1" t="s">
        <v>21</v>
      </c>
      <c r="L1819" s="1" t="s">
        <v>29</v>
      </c>
      <c r="M1819" s="1" t="s">
        <v>29</v>
      </c>
      <c r="N1819" s="1" t="s">
        <v>22</v>
      </c>
    </row>
    <row r="1820" spans="1:14" x14ac:dyDescent="0.25">
      <c r="A1820" s="1">
        <v>1819</v>
      </c>
      <c r="B1820" s="2" t="str">
        <f>HYPERLINK("https://leetcode.com/problems/number-of-different-subsequences-gcds/", "Number of Different Subsequences GCDs")</f>
        <v>Number of Different Subsequences GCDs</v>
      </c>
      <c r="C1820" s="1">
        <v>435</v>
      </c>
      <c r="D1820" s="1">
        <v>48</v>
      </c>
      <c r="E1820" s="3">
        <f>IF(INDEX(C:C, ROW())+INDEX(D:D, ROW())=0, 0, INDEX(C:C, ROW())/(INDEX(C:C, ROW())+INDEX(D:D, ROW())))</f>
        <v>0.90062111801242239</v>
      </c>
      <c r="F1820" s="1" t="s">
        <v>957</v>
      </c>
      <c r="G1820" s="1" t="s">
        <v>28</v>
      </c>
      <c r="H1820" s="1">
        <v>12862</v>
      </c>
      <c r="I1820" s="1">
        <v>28588</v>
      </c>
      <c r="J1820" s="7">
        <v>0.45</v>
      </c>
      <c r="K1820" s="1" t="s">
        <v>21</v>
      </c>
      <c r="L1820" s="1" t="s">
        <v>29</v>
      </c>
      <c r="M1820" s="1" t="s">
        <v>29</v>
      </c>
      <c r="N1820" s="1" t="s">
        <v>22</v>
      </c>
    </row>
    <row r="1821" spans="1:14" x14ac:dyDescent="0.25">
      <c r="A1821" s="1">
        <v>1820</v>
      </c>
      <c r="B1821" s="2" t="str">
        <f>HYPERLINK("https://leetcode.com/problems/maximum-number-of-accepted-invitations/", "Maximum Number of Accepted Invitations")</f>
        <v>Maximum Number of Accepted Invitations</v>
      </c>
      <c r="C1821" s="1">
        <v>236</v>
      </c>
      <c r="D1821" s="1">
        <v>68</v>
      </c>
      <c r="E1821" s="3">
        <f>IF(INDEX(C:C, ROW())+INDEX(D:D, ROW())=0, 0, INDEX(C:C, ROW())/(INDEX(C:C, ROW())+INDEX(D:D, ROW())))</f>
        <v>0.77631578947368418</v>
      </c>
      <c r="F1821" s="1" t="s">
        <v>1074</v>
      </c>
      <c r="G1821" s="1" t="s">
        <v>24</v>
      </c>
      <c r="H1821" s="1">
        <v>10872</v>
      </c>
      <c r="I1821" s="1">
        <v>20794</v>
      </c>
      <c r="J1821" s="7">
        <v>0.52300000000000002</v>
      </c>
      <c r="K1821" s="1" t="s">
        <v>29</v>
      </c>
      <c r="L1821" s="1" t="s">
        <v>29</v>
      </c>
      <c r="M1821" s="1" t="s">
        <v>29</v>
      </c>
      <c r="N1821" s="1" t="s">
        <v>22</v>
      </c>
    </row>
    <row r="1822" spans="1:14" x14ac:dyDescent="0.25">
      <c r="A1822" s="1">
        <v>1821</v>
      </c>
      <c r="B1822" s="2" t="str">
        <f>HYPERLINK("https://leetcode.com/problems/find-customers-with-positive-revenue-this-year/", "Find Customers With Positive Revenue this Year")</f>
        <v>Find Customers With Positive Revenue this Year</v>
      </c>
      <c r="C1822" s="1">
        <v>66</v>
      </c>
      <c r="D1822" s="1">
        <v>26</v>
      </c>
      <c r="E1822" s="3">
        <f>IF(INDEX(C:C, ROW())+INDEX(D:D, ROW())=0, 0, INDEX(C:C, ROW())/(INDEX(C:C, ROW())+INDEX(D:D, ROW())))</f>
        <v>0.71739130434782605</v>
      </c>
      <c r="F1822" s="1" t="s">
        <v>297</v>
      </c>
      <c r="G1822" s="1" t="s">
        <v>20</v>
      </c>
      <c r="H1822" s="1">
        <v>36493</v>
      </c>
      <c r="I1822" s="1">
        <v>41617</v>
      </c>
      <c r="J1822" s="7">
        <v>0.877</v>
      </c>
      <c r="K1822" s="1" t="s">
        <v>29</v>
      </c>
      <c r="L1822" s="1" t="s">
        <v>29</v>
      </c>
      <c r="M1822" s="1" t="s">
        <v>29</v>
      </c>
      <c r="N1822" s="1" t="s">
        <v>297</v>
      </c>
    </row>
    <row r="1823" spans="1:14" x14ac:dyDescent="0.25">
      <c r="A1823" s="1">
        <v>1822</v>
      </c>
      <c r="B1823" s="2" t="str">
        <f>HYPERLINK("https://leetcode.com/problems/sign-of-the-product-of-an-array/", "Sign of the Product of an Array")</f>
        <v>Sign of the Product of an Array</v>
      </c>
      <c r="C1823" s="1">
        <v>2289</v>
      </c>
      <c r="D1823" s="1">
        <v>228</v>
      </c>
      <c r="E1823" s="3">
        <f>IF(INDEX(C:C, ROW())+INDEX(D:D, ROW())=0, 0, INDEX(C:C, ROW())/(INDEX(C:C, ROW())+INDEX(D:D, ROW())))</f>
        <v>0.90941597139451724</v>
      </c>
      <c r="F1823" s="1" t="s">
        <v>115</v>
      </c>
      <c r="G1823" s="1" t="s">
        <v>20</v>
      </c>
      <c r="H1823" s="1">
        <v>431634</v>
      </c>
      <c r="I1823" s="1">
        <v>665814</v>
      </c>
      <c r="J1823" s="7">
        <v>0.64800000000000002</v>
      </c>
      <c r="K1823" s="1" t="s">
        <v>21</v>
      </c>
      <c r="L1823" s="1" t="s">
        <v>21</v>
      </c>
      <c r="M1823" s="1" t="s">
        <v>29</v>
      </c>
      <c r="N1823" s="1" t="s">
        <v>22</v>
      </c>
    </row>
    <row r="1824" spans="1:14" x14ac:dyDescent="0.25">
      <c r="A1824" s="1">
        <v>1823</v>
      </c>
      <c r="B1824" s="2" t="str">
        <f>HYPERLINK("https://leetcode.com/problems/find-the-winner-of-the-circular-game/", "Find the Winner of the Circular Game")</f>
        <v>Find the Winner of the Circular Game</v>
      </c>
      <c r="C1824" s="1">
        <v>4089</v>
      </c>
      <c r="D1824" s="1">
        <v>127</v>
      </c>
      <c r="E1824" s="3">
        <f>IF(INDEX(C:C, ROW())+INDEX(D:D, ROW())=0, 0, INDEX(C:C, ROW())/(INDEX(C:C, ROW())+INDEX(D:D, ROW())))</f>
        <v>0.96987666034155595</v>
      </c>
      <c r="F1824" s="1" t="s">
        <v>307</v>
      </c>
      <c r="G1824" s="1" t="s">
        <v>24</v>
      </c>
      <c r="H1824" s="1">
        <v>368893</v>
      </c>
      <c r="I1824" s="1">
        <v>448641</v>
      </c>
      <c r="J1824" s="7">
        <v>0.82199999999999995</v>
      </c>
      <c r="K1824" s="1" t="s">
        <v>21</v>
      </c>
      <c r="L1824" s="1" t="s">
        <v>21</v>
      </c>
      <c r="M1824" s="1" t="s">
        <v>29</v>
      </c>
      <c r="N1824" s="1" t="s">
        <v>22</v>
      </c>
    </row>
    <row r="1825" spans="1:14" x14ac:dyDescent="0.25">
      <c r="A1825" s="1">
        <v>1824</v>
      </c>
      <c r="B1825" s="2" t="str">
        <f>HYPERLINK("https://leetcode.com/problems/minimum-sideway-jumps/", "Minimum Sideway Jumps")</f>
        <v>Minimum Sideway Jumps</v>
      </c>
      <c r="C1825" s="1">
        <v>1279</v>
      </c>
      <c r="D1825" s="1">
        <v>51</v>
      </c>
      <c r="E1825" s="3">
        <f>IF(INDEX(C:C, ROW())+INDEX(D:D, ROW())=0, 0, INDEX(C:C, ROW())/(INDEX(C:C, ROW())+INDEX(D:D, ROW())))</f>
        <v>0.96165413533834587</v>
      </c>
      <c r="F1825" s="1" t="s">
        <v>50</v>
      </c>
      <c r="G1825" s="1" t="s">
        <v>24</v>
      </c>
      <c r="H1825" s="1">
        <v>57869</v>
      </c>
      <c r="I1825" s="1">
        <v>112388</v>
      </c>
      <c r="J1825" s="7">
        <v>0.51500000000000001</v>
      </c>
      <c r="K1825" s="1" t="s">
        <v>21</v>
      </c>
      <c r="L1825" s="1" t="s">
        <v>29</v>
      </c>
      <c r="M1825" s="1" t="s">
        <v>29</v>
      </c>
      <c r="N1825" s="1" t="s">
        <v>22</v>
      </c>
    </row>
    <row r="1826" spans="1:14" x14ac:dyDescent="0.25">
      <c r="A1826" s="1">
        <v>1825</v>
      </c>
      <c r="B1826" s="2" t="str">
        <f>HYPERLINK("https://leetcode.com/problems/finding-mk-average/", "Finding MK Average")</f>
        <v>Finding MK Average</v>
      </c>
      <c r="C1826" s="1">
        <v>527</v>
      </c>
      <c r="D1826" s="1">
        <v>142</v>
      </c>
      <c r="E1826" s="3">
        <f>IF(INDEX(C:C, ROW())+INDEX(D:D, ROW())=0, 0, INDEX(C:C, ROW())/(INDEX(C:C, ROW())+INDEX(D:D, ROW())))</f>
        <v>0.78774289985052315</v>
      </c>
      <c r="F1826" s="1" t="s">
        <v>898</v>
      </c>
      <c r="G1826" s="1" t="s">
        <v>28</v>
      </c>
      <c r="H1826" s="1">
        <v>28325</v>
      </c>
      <c r="I1826" s="1">
        <v>73259</v>
      </c>
      <c r="J1826" s="7">
        <v>0.38700000000000001</v>
      </c>
      <c r="K1826" s="1" t="s">
        <v>21</v>
      </c>
      <c r="L1826" s="1" t="s">
        <v>29</v>
      </c>
      <c r="M1826" s="1" t="s">
        <v>29</v>
      </c>
      <c r="N1826" s="1" t="s">
        <v>22</v>
      </c>
    </row>
    <row r="1827" spans="1:14" x14ac:dyDescent="0.25">
      <c r="A1827" s="1">
        <v>1826</v>
      </c>
      <c r="B1827" s="2" t="str">
        <f>HYPERLINK("https://leetcode.com/problems/faulty-sensor/", "Faulty Sensor")</f>
        <v>Faulty Sensor</v>
      </c>
      <c r="C1827" s="1">
        <v>72</v>
      </c>
      <c r="D1827" s="1">
        <v>85</v>
      </c>
      <c r="E1827" s="3">
        <f>IF(INDEX(C:C, ROW())+INDEX(D:D, ROW())=0, 0, INDEX(C:C, ROW())/(INDEX(C:C, ROW())+INDEX(D:D, ROW())))</f>
        <v>0.45859872611464969</v>
      </c>
      <c r="F1827" s="1" t="s">
        <v>51</v>
      </c>
      <c r="G1827" s="1" t="s">
        <v>20</v>
      </c>
      <c r="H1827" s="1">
        <v>6997</v>
      </c>
      <c r="I1827" s="1">
        <v>13864</v>
      </c>
      <c r="J1827" s="7">
        <v>0.505</v>
      </c>
      <c r="K1827" s="1" t="s">
        <v>29</v>
      </c>
      <c r="L1827" s="1" t="s">
        <v>29</v>
      </c>
      <c r="M1827" s="1" t="s">
        <v>29</v>
      </c>
      <c r="N1827" s="1" t="s">
        <v>22</v>
      </c>
    </row>
    <row r="1828" spans="1:14" x14ac:dyDescent="0.25">
      <c r="A1828" s="1">
        <v>1827</v>
      </c>
      <c r="B1828" s="2" t="str">
        <f>HYPERLINK("https://leetcode.com/problems/minimum-operations-to-make-the-array-increasing/", "Minimum Operations to Make the Array Increasing")</f>
        <v>Minimum Operations to Make the Array Increasing</v>
      </c>
      <c r="C1828" s="1">
        <v>1316</v>
      </c>
      <c r="D1828" s="1">
        <v>68</v>
      </c>
      <c r="E1828" s="3">
        <f>IF(INDEX(C:C, ROW())+INDEX(D:D, ROW())=0, 0, INDEX(C:C, ROW())/(INDEX(C:C, ROW())+INDEX(D:D, ROW())))</f>
        <v>0.95086705202312138</v>
      </c>
      <c r="F1828" s="1" t="s">
        <v>96</v>
      </c>
      <c r="G1828" s="1" t="s">
        <v>20</v>
      </c>
      <c r="H1828" s="1">
        <v>132417</v>
      </c>
      <c r="I1828" s="1">
        <v>161813</v>
      </c>
      <c r="J1828" s="7">
        <v>0.81799999999999995</v>
      </c>
      <c r="K1828" s="1" t="s">
        <v>21</v>
      </c>
      <c r="L1828" s="1" t="s">
        <v>29</v>
      </c>
      <c r="M1828" s="1" t="s">
        <v>29</v>
      </c>
      <c r="N1828" s="1" t="s">
        <v>22</v>
      </c>
    </row>
    <row r="1829" spans="1:14" x14ac:dyDescent="0.25">
      <c r="A1829" s="1">
        <v>1828</v>
      </c>
      <c r="B1829" s="2" t="str">
        <f>HYPERLINK("https://leetcode.com/problems/queries-on-number-of-points-inside-a-circle/", "Queries on Number of Points Inside a Circle")</f>
        <v>Queries on Number of Points Inside a Circle</v>
      </c>
      <c r="C1829" s="1">
        <v>1194</v>
      </c>
      <c r="D1829" s="1">
        <v>90</v>
      </c>
      <c r="E1829" s="3">
        <f>IF(INDEX(C:C, ROW())+INDEX(D:D, ROW())=0, 0, INDEX(C:C, ROW())/(INDEX(C:C, ROW())+INDEX(D:D, ROW())))</f>
        <v>0.92990654205607481</v>
      </c>
      <c r="F1829" s="1" t="s">
        <v>397</v>
      </c>
      <c r="G1829" s="1" t="s">
        <v>24</v>
      </c>
      <c r="H1829" s="1">
        <v>94271</v>
      </c>
      <c r="I1829" s="1">
        <v>108640</v>
      </c>
      <c r="J1829" s="7">
        <v>0.86799999999999999</v>
      </c>
      <c r="K1829" s="1" t="s">
        <v>21</v>
      </c>
      <c r="L1829" s="1" t="s">
        <v>29</v>
      </c>
      <c r="M1829" s="1" t="s">
        <v>29</v>
      </c>
      <c r="N1829" s="1" t="s">
        <v>22</v>
      </c>
    </row>
    <row r="1830" spans="1:14" x14ac:dyDescent="0.25">
      <c r="A1830" s="1">
        <v>1829</v>
      </c>
      <c r="B1830" s="2" t="str">
        <f>HYPERLINK("https://leetcode.com/problems/maximum-xor-for-each-query/", "Maximum XOR for Each Query")</f>
        <v>Maximum XOR for Each Query</v>
      </c>
      <c r="C1830" s="1">
        <v>1263</v>
      </c>
      <c r="D1830" s="1">
        <v>194</v>
      </c>
      <c r="E1830" s="3">
        <f>IF(INDEX(C:C, ROW())+INDEX(D:D, ROW())=0, 0, INDEX(C:C, ROW())/(INDEX(C:C, ROW())+INDEX(D:D, ROW())))</f>
        <v>0.86684969114619081</v>
      </c>
      <c r="F1830" s="1" t="s">
        <v>489</v>
      </c>
      <c r="G1830" s="1" t="s">
        <v>24</v>
      </c>
      <c r="H1830" s="1">
        <v>144140</v>
      </c>
      <c r="I1830" s="1">
        <v>170053</v>
      </c>
      <c r="J1830" s="7">
        <v>0.84799999999999998</v>
      </c>
      <c r="K1830" s="1" t="s">
        <v>21</v>
      </c>
      <c r="L1830" s="1" t="s">
        <v>21</v>
      </c>
      <c r="M1830" s="1" t="s">
        <v>29</v>
      </c>
      <c r="N1830" s="1" t="s">
        <v>22</v>
      </c>
    </row>
    <row r="1831" spans="1:14" x14ac:dyDescent="0.25">
      <c r="A1831" s="1">
        <v>1830</v>
      </c>
      <c r="B1831" s="2" t="str">
        <f>HYPERLINK("https://leetcode.com/problems/minimum-number-of-operations-to-make-string-sorted/", "Minimum Number of Operations to Make String Sorted")</f>
        <v>Minimum Number of Operations to Make String Sorted</v>
      </c>
      <c r="C1831" s="1">
        <v>188</v>
      </c>
      <c r="D1831" s="1">
        <v>131</v>
      </c>
      <c r="E1831" s="3">
        <f>IF(INDEX(C:C, ROW())+INDEX(D:D, ROW())=0, 0, INDEX(C:C, ROW())/(INDEX(C:C, ROW())+INDEX(D:D, ROW())))</f>
        <v>0.58934169278996862</v>
      </c>
      <c r="F1831" s="1" t="s">
        <v>941</v>
      </c>
      <c r="G1831" s="1" t="s">
        <v>28</v>
      </c>
      <c r="H1831" s="1">
        <v>5418</v>
      </c>
      <c r="I1831" s="1">
        <v>10683</v>
      </c>
      <c r="J1831" s="7">
        <v>0.50700000000000001</v>
      </c>
      <c r="K1831" s="1" t="s">
        <v>21</v>
      </c>
      <c r="L1831" s="1" t="s">
        <v>29</v>
      </c>
      <c r="M1831" s="1" t="s">
        <v>29</v>
      </c>
      <c r="N1831" s="1" t="s">
        <v>22</v>
      </c>
    </row>
    <row r="1832" spans="1:14" x14ac:dyDescent="0.25">
      <c r="A1832" s="1">
        <v>1831</v>
      </c>
      <c r="B1832" s="2" t="str">
        <f>HYPERLINK("https://leetcode.com/problems/maximum-transaction-each-day/", "Maximum Transaction Each Day")</f>
        <v>Maximum Transaction Each Day</v>
      </c>
      <c r="C1832" s="1">
        <v>96</v>
      </c>
      <c r="D1832" s="1">
        <v>3</v>
      </c>
      <c r="E1832" s="3">
        <f>IF(INDEX(C:C, ROW())+INDEX(D:D, ROW())=0, 0, INDEX(C:C, ROW())/(INDEX(C:C, ROW())+INDEX(D:D, ROW())))</f>
        <v>0.96969696969696972</v>
      </c>
      <c r="F1832" s="1" t="s">
        <v>297</v>
      </c>
      <c r="G1832" s="1" t="s">
        <v>24</v>
      </c>
      <c r="H1832" s="1">
        <v>27724</v>
      </c>
      <c r="I1832" s="1">
        <v>33638</v>
      </c>
      <c r="J1832" s="7">
        <v>0.82399999999999995</v>
      </c>
      <c r="K1832" s="1" t="s">
        <v>29</v>
      </c>
      <c r="L1832" s="1" t="s">
        <v>29</v>
      </c>
      <c r="M1832" s="1" t="s">
        <v>29</v>
      </c>
      <c r="N1832" s="1" t="s">
        <v>297</v>
      </c>
    </row>
    <row r="1833" spans="1:14" x14ac:dyDescent="0.25">
      <c r="A1833" s="1">
        <v>1832</v>
      </c>
      <c r="B1833" s="2" t="str">
        <f>HYPERLINK("https://leetcode.com/problems/check-if-the-sentence-is-pangram/", "Check if the Sentence Is Pangram")</f>
        <v>Check if the Sentence Is Pangram</v>
      </c>
      <c r="C1833" s="1">
        <v>3015</v>
      </c>
      <c r="D1833" s="1">
        <v>66</v>
      </c>
      <c r="E1833" s="3">
        <f>IF(INDEX(C:C, ROW())+INDEX(D:D, ROW())=0, 0, INDEX(C:C, ROW())/(INDEX(C:C, ROW())+INDEX(D:D, ROW())))</f>
        <v>0.97857838364167482</v>
      </c>
      <c r="F1833" s="1" t="s">
        <v>131</v>
      </c>
      <c r="G1833" s="1" t="s">
        <v>20</v>
      </c>
      <c r="H1833" s="1">
        <v>527673</v>
      </c>
      <c r="I1833" s="1">
        <v>627294</v>
      </c>
      <c r="J1833" s="7">
        <v>0.84099999999999997</v>
      </c>
      <c r="K1833" s="1" t="s">
        <v>21</v>
      </c>
      <c r="L1833" s="1" t="s">
        <v>21</v>
      </c>
      <c r="M1833" s="1" t="s">
        <v>29</v>
      </c>
      <c r="N1833" s="1" t="s">
        <v>22</v>
      </c>
    </row>
    <row r="1834" spans="1:14" x14ac:dyDescent="0.25">
      <c r="A1834" s="1">
        <v>1833</v>
      </c>
      <c r="B1834" s="2" t="str">
        <f>HYPERLINK("https://leetcode.com/problems/maximum-ice-cream-bars/", "Maximum Ice Cream Bars")</f>
        <v>Maximum Ice Cream Bars</v>
      </c>
      <c r="C1834" s="1">
        <v>2257</v>
      </c>
      <c r="D1834" s="1">
        <v>679</v>
      </c>
      <c r="E1834" s="3">
        <f>IF(INDEX(C:C, ROW())+INDEX(D:D, ROW())=0, 0, INDEX(C:C, ROW())/(INDEX(C:C, ROW())+INDEX(D:D, ROW())))</f>
        <v>0.76873297002724794</v>
      </c>
      <c r="F1834" s="1" t="s">
        <v>443</v>
      </c>
      <c r="G1834" s="1" t="s">
        <v>24</v>
      </c>
      <c r="H1834" s="1">
        <v>187654</v>
      </c>
      <c r="I1834" s="1">
        <v>252913</v>
      </c>
      <c r="J1834" s="7">
        <v>0.74199999999999999</v>
      </c>
      <c r="K1834" s="1" t="s">
        <v>21</v>
      </c>
      <c r="L1834" s="1" t="s">
        <v>21</v>
      </c>
      <c r="M1834" s="1" t="s">
        <v>29</v>
      </c>
      <c r="N1834" s="1" t="s">
        <v>22</v>
      </c>
    </row>
    <row r="1835" spans="1:14" x14ac:dyDescent="0.25">
      <c r="A1835" s="1">
        <v>1834</v>
      </c>
      <c r="B1835" s="2" t="str">
        <f>HYPERLINK("https://leetcode.com/problems/single-threaded-cpu/", "Single-Threaded CPU")</f>
        <v>Single-Threaded CPU</v>
      </c>
      <c r="C1835" s="1">
        <v>3471</v>
      </c>
      <c r="D1835" s="1">
        <v>290</v>
      </c>
      <c r="E1835" s="3">
        <f>IF(INDEX(C:C, ROW())+INDEX(D:D, ROW())=0, 0, INDEX(C:C, ROW())/(INDEX(C:C, ROW())+INDEX(D:D, ROW())))</f>
        <v>0.92289284764690238</v>
      </c>
      <c r="F1835" s="1" t="s">
        <v>350</v>
      </c>
      <c r="G1835" s="1" t="s">
        <v>24</v>
      </c>
      <c r="H1835" s="1">
        <v>150527</v>
      </c>
      <c r="I1835" s="1">
        <v>317896</v>
      </c>
      <c r="J1835" s="7">
        <v>0.47399999999999998</v>
      </c>
      <c r="K1835" s="1" t="s">
        <v>21</v>
      </c>
      <c r="L1835" s="1" t="s">
        <v>21</v>
      </c>
      <c r="M1835" s="1" t="s">
        <v>29</v>
      </c>
      <c r="N1835" s="1" t="s">
        <v>22</v>
      </c>
    </row>
    <row r="1836" spans="1:14" x14ac:dyDescent="0.25">
      <c r="A1836" s="1">
        <v>1835</v>
      </c>
      <c r="B1836" s="2" t="str">
        <f>HYPERLINK("https://leetcode.com/problems/find-xor-sum-of-all-pairs-bitwise-and/", "Find XOR Sum of All Pairs Bitwise AND")</f>
        <v>Find XOR Sum of All Pairs Bitwise AND</v>
      </c>
      <c r="C1836" s="1">
        <v>627</v>
      </c>
      <c r="D1836" s="1">
        <v>51</v>
      </c>
      <c r="E1836" s="3">
        <f>IF(INDEX(C:C, ROW())+INDEX(D:D, ROW())=0, 0, INDEX(C:C, ROW())/(INDEX(C:C, ROW())+INDEX(D:D, ROW())))</f>
        <v>0.9247787610619469</v>
      </c>
      <c r="F1836" s="1" t="s">
        <v>456</v>
      </c>
      <c r="G1836" s="1" t="s">
        <v>28</v>
      </c>
      <c r="H1836" s="1">
        <v>26022</v>
      </c>
      <c r="I1836" s="1">
        <v>41643</v>
      </c>
      <c r="J1836" s="7">
        <v>0.625</v>
      </c>
      <c r="K1836" s="1" t="s">
        <v>21</v>
      </c>
      <c r="L1836" s="1" t="s">
        <v>29</v>
      </c>
      <c r="M1836" s="1" t="s">
        <v>29</v>
      </c>
      <c r="N1836" s="1" t="s">
        <v>22</v>
      </c>
    </row>
    <row r="1837" spans="1:14" x14ac:dyDescent="0.25">
      <c r="A1837" s="1">
        <v>1836</v>
      </c>
      <c r="B1837" s="2" t="str">
        <f>HYPERLINK("https://leetcode.com/problems/remove-duplicates-from-an-unsorted-linked-list/", "Remove Duplicates From an Unsorted Linked List")</f>
        <v>Remove Duplicates From an Unsorted Linked List</v>
      </c>
      <c r="C1837" s="1">
        <v>408</v>
      </c>
      <c r="D1837" s="1">
        <v>12</v>
      </c>
      <c r="E1837" s="3">
        <f>IF(INDEX(C:C, ROW())+INDEX(D:D, ROW())=0, 0, INDEX(C:C, ROW())/(INDEX(C:C, ROW())+INDEX(D:D, ROW())))</f>
        <v>0.97142857142857142</v>
      </c>
      <c r="F1837" s="1" t="s">
        <v>85</v>
      </c>
      <c r="G1837" s="1" t="s">
        <v>24</v>
      </c>
      <c r="H1837" s="1">
        <v>39711</v>
      </c>
      <c r="I1837" s="1">
        <v>52488</v>
      </c>
      <c r="J1837" s="7">
        <v>0.75700000000000001</v>
      </c>
      <c r="K1837" s="1" t="s">
        <v>29</v>
      </c>
      <c r="L1837" s="1" t="s">
        <v>21</v>
      </c>
      <c r="M1837" s="1" t="s">
        <v>29</v>
      </c>
      <c r="N1837" s="1" t="s">
        <v>22</v>
      </c>
    </row>
    <row r="1838" spans="1:14" x14ac:dyDescent="0.25">
      <c r="A1838" s="1">
        <v>1837</v>
      </c>
      <c r="B1838" s="2" t="str">
        <f>HYPERLINK("https://leetcode.com/problems/sum-of-digits-in-base-k/", "Sum of Digits in Base K")</f>
        <v>Sum of Digits in Base K</v>
      </c>
      <c r="C1838" s="1">
        <v>557</v>
      </c>
      <c r="D1838" s="1">
        <v>50</v>
      </c>
      <c r="E1838" s="3">
        <f>IF(INDEX(C:C, ROW())+INDEX(D:D, ROW())=0, 0, INDEX(C:C, ROW())/(INDEX(C:C, ROW())+INDEX(D:D, ROW())))</f>
        <v>0.9176276771004942</v>
      </c>
      <c r="F1838" s="1" t="s">
        <v>84</v>
      </c>
      <c r="G1838" s="1" t="s">
        <v>20</v>
      </c>
      <c r="H1838" s="1">
        <v>77206</v>
      </c>
      <c r="I1838" s="1">
        <v>98331</v>
      </c>
      <c r="J1838" s="7">
        <v>0.78500000000000003</v>
      </c>
      <c r="K1838" s="1" t="s">
        <v>21</v>
      </c>
      <c r="L1838" s="1" t="s">
        <v>29</v>
      </c>
      <c r="M1838" s="1" t="s">
        <v>29</v>
      </c>
      <c r="N1838" s="1" t="s">
        <v>22</v>
      </c>
    </row>
    <row r="1839" spans="1:14" x14ac:dyDescent="0.25">
      <c r="A1839" s="1">
        <v>1838</v>
      </c>
      <c r="B1839" s="2" t="str">
        <f>HYPERLINK("https://leetcode.com/problems/frequency-of-the-most-frequent-element/", "Frequency of the Most Frequent Element")</f>
        <v>Frequency of the Most Frequent Element</v>
      </c>
      <c r="C1839" s="1">
        <v>5693</v>
      </c>
      <c r="D1839" s="1">
        <v>305</v>
      </c>
      <c r="E1839" s="3">
        <f>IF(INDEX(C:C, ROW())+INDEX(D:D, ROW())=0, 0, INDEX(C:C, ROW())/(INDEX(C:C, ROW())+INDEX(D:D, ROW())))</f>
        <v>0.94914971657219072</v>
      </c>
      <c r="F1839" s="1" t="s">
        <v>236</v>
      </c>
      <c r="G1839" s="1" t="s">
        <v>24</v>
      </c>
      <c r="H1839" s="1">
        <v>260984</v>
      </c>
      <c r="I1839" s="1">
        <v>584702</v>
      </c>
      <c r="J1839" s="7">
        <v>0.44600000000000001</v>
      </c>
      <c r="K1839" s="1" t="s">
        <v>21</v>
      </c>
      <c r="L1839" s="1" t="s">
        <v>21</v>
      </c>
      <c r="M1839" s="1" t="s">
        <v>29</v>
      </c>
      <c r="N1839" s="1" t="s">
        <v>22</v>
      </c>
    </row>
    <row r="1840" spans="1:14" x14ac:dyDescent="0.25">
      <c r="A1840" s="1">
        <v>1839</v>
      </c>
      <c r="B1840" s="2" t="str">
        <f>HYPERLINK("https://leetcode.com/problems/longest-substring-of-all-vowels-in-order/", "Longest Substring Of All Vowels in Order")</f>
        <v>Longest Substring Of All Vowels in Order</v>
      </c>
      <c r="C1840" s="1">
        <v>850</v>
      </c>
      <c r="D1840" s="1">
        <v>31</v>
      </c>
      <c r="E1840" s="3">
        <f>IF(INDEX(C:C, ROW())+INDEX(D:D, ROW())=0, 0, INDEX(C:C, ROW())/(INDEX(C:C, ROW())+INDEX(D:D, ROW())))</f>
        <v>0.96481271282633374</v>
      </c>
      <c r="F1840" s="1" t="s">
        <v>314</v>
      </c>
      <c r="G1840" s="1" t="s">
        <v>24</v>
      </c>
      <c r="H1840" s="1">
        <v>45552</v>
      </c>
      <c r="I1840" s="1">
        <v>88347</v>
      </c>
      <c r="J1840" s="7">
        <v>0.51600000000000001</v>
      </c>
      <c r="K1840" s="1" t="s">
        <v>21</v>
      </c>
      <c r="L1840" s="1" t="s">
        <v>29</v>
      </c>
      <c r="M1840" s="1" t="s">
        <v>29</v>
      </c>
      <c r="N1840" s="1" t="s">
        <v>22</v>
      </c>
    </row>
    <row r="1841" spans="1:14" x14ac:dyDescent="0.25">
      <c r="A1841" s="1">
        <v>1840</v>
      </c>
      <c r="B1841" s="2" t="str">
        <f>HYPERLINK("https://leetcode.com/problems/maximum-building-height/", "Maximum Building Height")</f>
        <v>Maximum Building Height</v>
      </c>
      <c r="C1841" s="1">
        <v>404</v>
      </c>
      <c r="D1841" s="1">
        <v>23</v>
      </c>
      <c r="E1841" s="3">
        <f>IF(INDEX(C:C, ROW())+INDEX(D:D, ROW())=0, 0, INDEX(C:C, ROW())/(INDEX(C:C, ROW())+INDEX(D:D, ROW())))</f>
        <v>0.94613583138173307</v>
      </c>
      <c r="F1841" s="1" t="s">
        <v>284</v>
      </c>
      <c r="G1841" s="1" t="s">
        <v>28</v>
      </c>
      <c r="H1841" s="1">
        <v>9520</v>
      </c>
      <c r="I1841" s="1">
        <v>24841</v>
      </c>
      <c r="J1841" s="7">
        <v>0.38300000000000001</v>
      </c>
      <c r="K1841" s="1" t="s">
        <v>21</v>
      </c>
      <c r="L1841" s="1" t="s">
        <v>29</v>
      </c>
      <c r="M1841" s="1" t="s">
        <v>29</v>
      </c>
      <c r="N1841" s="1" t="s">
        <v>22</v>
      </c>
    </row>
    <row r="1842" spans="1:14" x14ac:dyDescent="0.25">
      <c r="A1842" s="1">
        <v>1841</v>
      </c>
      <c r="B1842" s="2" t="str">
        <f>HYPERLINK("https://leetcode.com/problems/league-statistics/", "League Statistics")</f>
        <v>League Statistics</v>
      </c>
      <c r="C1842" s="1">
        <v>114</v>
      </c>
      <c r="D1842" s="1">
        <v>98</v>
      </c>
      <c r="E1842" s="3">
        <f>IF(INDEX(C:C, ROW())+INDEX(D:D, ROW())=0, 0, INDEX(C:C, ROW())/(INDEX(C:C, ROW())+INDEX(D:D, ROW())))</f>
        <v>0.53773584905660377</v>
      </c>
      <c r="F1842" s="1" t="s">
        <v>297</v>
      </c>
      <c r="G1842" s="1" t="s">
        <v>24</v>
      </c>
      <c r="H1842" s="1">
        <v>16276</v>
      </c>
      <c r="I1842" s="1">
        <v>30470</v>
      </c>
      <c r="J1842" s="7">
        <v>0.53400000000000003</v>
      </c>
      <c r="K1842" s="1" t="s">
        <v>29</v>
      </c>
      <c r="L1842" s="1" t="s">
        <v>21</v>
      </c>
      <c r="M1842" s="1" t="s">
        <v>29</v>
      </c>
      <c r="N1842" s="1" t="s">
        <v>297</v>
      </c>
    </row>
    <row r="1843" spans="1:14" x14ac:dyDescent="0.25">
      <c r="A1843" s="1">
        <v>1842</v>
      </c>
      <c r="B1843" s="2" t="str">
        <f>HYPERLINK("https://leetcode.com/problems/next-palindrome-using-same-digits/", "Next Palindrome Using Same Digits")</f>
        <v>Next Palindrome Using Same Digits</v>
      </c>
      <c r="C1843" s="1">
        <v>126</v>
      </c>
      <c r="D1843" s="1">
        <v>19</v>
      </c>
      <c r="E1843" s="3">
        <f>IF(INDEX(C:C, ROW())+INDEX(D:D, ROW())=0, 0, INDEX(C:C, ROW())/(INDEX(C:C, ROW())+INDEX(D:D, ROW())))</f>
        <v>0.86896551724137927</v>
      </c>
      <c r="F1843" s="1" t="s">
        <v>117</v>
      </c>
      <c r="G1843" s="1" t="s">
        <v>28</v>
      </c>
      <c r="H1843" s="1">
        <v>6911</v>
      </c>
      <c r="I1843" s="1">
        <v>12763</v>
      </c>
      <c r="J1843" s="7">
        <v>0.54100000000000004</v>
      </c>
      <c r="K1843" s="1" t="s">
        <v>29</v>
      </c>
      <c r="L1843" s="1" t="s">
        <v>29</v>
      </c>
      <c r="M1843" s="1" t="s">
        <v>29</v>
      </c>
      <c r="N1843" s="1" t="s">
        <v>22</v>
      </c>
    </row>
    <row r="1844" spans="1:14" x14ac:dyDescent="0.25">
      <c r="A1844" s="1">
        <v>1843</v>
      </c>
      <c r="B1844" s="2" t="str">
        <f>HYPERLINK("https://leetcode.com/problems/suspicious-bank-accounts/", "Suspicious Bank Accounts")</f>
        <v>Suspicious Bank Accounts</v>
      </c>
      <c r="C1844" s="1">
        <v>103</v>
      </c>
      <c r="D1844" s="1">
        <v>59</v>
      </c>
      <c r="E1844" s="3">
        <f>IF(INDEX(C:C, ROW())+INDEX(D:D, ROW())=0, 0, INDEX(C:C, ROW())/(INDEX(C:C, ROW())+INDEX(D:D, ROW())))</f>
        <v>0.63580246913580252</v>
      </c>
      <c r="F1844" s="1" t="s">
        <v>297</v>
      </c>
      <c r="G1844" s="1" t="s">
        <v>24</v>
      </c>
      <c r="H1844" s="1">
        <v>14924</v>
      </c>
      <c r="I1844" s="1">
        <v>33758</v>
      </c>
      <c r="J1844" s="7">
        <v>0.442</v>
      </c>
      <c r="K1844" s="1" t="s">
        <v>29</v>
      </c>
      <c r="L1844" s="1" t="s">
        <v>21</v>
      </c>
      <c r="M1844" s="1" t="s">
        <v>29</v>
      </c>
      <c r="N1844" s="1" t="s">
        <v>297</v>
      </c>
    </row>
    <row r="1845" spans="1:14" x14ac:dyDescent="0.25">
      <c r="A1845" s="1">
        <v>1844</v>
      </c>
      <c r="B1845" s="2" t="str">
        <f>HYPERLINK("https://leetcode.com/problems/replace-all-digits-with-characters/", "Replace All Digits with Characters")</f>
        <v>Replace All Digits with Characters</v>
      </c>
      <c r="C1845" s="1">
        <v>892</v>
      </c>
      <c r="D1845" s="1">
        <v>116</v>
      </c>
      <c r="E1845" s="3">
        <f>IF(INDEX(C:C, ROW())+INDEX(D:D, ROW())=0, 0, INDEX(C:C, ROW())/(INDEX(C:C, ROW())+INDEX(D:D, ROW())))</f>
        <v>0.88492063492063489</v>
      </c>
      <c r="F1845" s="1" t="s">
        <v>146</v>
      </c>
      <c r="G1845" s="1" t="s">
        <v>20</v>
      </c>
      <c r="H1845" s="1">
        <v>112909</v>
      </c>
      <c r="I1845" s="1">
        <v>136624</v>
      </c>
      <c r="J1845" s="7">
        <v>0.82599999999999996</v>
      </c>
      <c r="K1845" s="1" t="s">
        <v>21</v>
      </c>
      <c r="L1845" s="1" t="s">
        <v>29</v>
      </c>
      <c r="M1845" s="1" t="s">
        <v>29</v>
      </c>
      <c r="N1845" s="1" t="s">
        <v>22</v>
      </c>
    </row>
    <row r="1846" spans="1:14" x14ac:dyDescent="0.25">
      <c r="A1846" s="1">
        <v>1845</v>
      </c>
      <c r="B1846" s="2" t="str">
        <f>HYPERLINK("https://leetcode.com/problems/seat-reservation-manager/", "Seat Reservation Manager")</f>
        <v>Seat Reservation Manager</v>
      </c>
      <c r="C1846" s="1">
        <v>1477</v>
      </c>
      <c r="D1846" s="1">
        <v>91</v>
      </c>
      <c r="E1846" s="3">
        <f>IF(INDEX(C:C, ROW())+INDEX(D:D, ROW())=0, 0, INDEX(C:C, ROW())/(INDEX(C:C, ROW())+INDEX(D:D, ROW())))</f>
        <v>0.9419642857142857</v>
      </c>
      <c r="F1846" s="1" t="s">
        <v>596</v>
      </c>
      <c r="G1846" s="1" t="s">
        <v>24</v>
      </c>
      <c r="H1846" s="1">
        <v>147491</v>
      </c>
      <c r="I1846" s="1">
        <v>219954</v>
      </c>
      <c r="J1846" s="7">
        <v>0.67100000000000004</v>
      </c>
      <c r="K1846" s="1" t="s">
        <v>21</v>
      </c>
      <c r="L1846" s="1" t="s">
        <v>21</v>
      </c>
      <c r="M1846" s="1" t="s">
        <v>29</v>
      </c>
      <c r="N1846" s="1" t="s">
        <v>22</v>
      </c>
    </row>
    <row r="1847" spans="1:14" x14ac:dyDescent="0.25">
      <c r="A1847" s="1">
        <v>1846</v>
      </c>
      <c r="B1847" s="2" t="str">
        <f>HYPERLINK("https://leetcode.com/problems/maximum-element-after-decreasing-and-rearranging/", "Maximum Element After Decreasing and Rearranging")</f>
        <v>Maximum Element After Decreasing and Rearranging</v>
      </c>
      <c r="C1847" s="1">
        <v>1134</v>
      </c>
      <c r="D1847" s="1">
        <v>278</v>
      </c>
      <c r="E1847" s="3">
        <f>IF(INDEX(C:C, ROW())+INDEX(D:D, ROW())=0, 0, INDEX(C:C, ROW())/(INDEX(C:C, ROW())+INDEX(D:D, ROW())))</f>
        <v>0.80311614730878189</v>
      </c>
      <c r="F1847" s="1" t="s">
        <v>169</v>
      </c>
      <c r="G1847" s="1" t="s">
        <v>24</v>
      </c>
      <c r="H1847" s="1">
        <v>114094</v>
      </c>
      <c r="I1847" s="1">
        <v>173448</v>
      </c>
      <c r="J1847" s="7">
        <v>0.65800000000000003</v>
      </c>
      <c r="K1847" s="1" t="s">
        <v>21</v>
      </c>
      <c r="L1847" s="1" t="s">
        <v>21</v>
      </c>
      <c r="M1847" s="1" t="s">
        <v>29</v>
      </c>
      <c r="N1847" s="1" t="s">
        <v>22</v>
      </c>
    </row>
    <row r="1848" spans="1:14" x14ac:dyDescent="0.25">
      <c r="A1848" s="1">
        <v>1847</v>
      </c>
      <c r="B1848" s="2" t="str">
        <f>HYPERLINK("https://leetcode.com/problems/closest-room/", "Closest Room")</f>
        <v>Closest Room</v>
      </c>
      <c r="C1848" s="1">
        <v>537</v>
      </c>
      <c r="D1848" s="1">
        <v>21</v>
      </c>
      <c r="E1848" s="3">
        <f>IF(INDEX(C:C, ROW())+INDEX(D:D, ROW())=0, 0, INDEX(C:C, ROW())/(INDEX(C:C, ROW())+INDEX(D:D, ROW())))</f>
        <v>0.9623655913978495</v>
      </c>
      <c r="F1848" s="1" t="s">
        <v>688</v>
      </c>
      <c r="G1848" s="1" t="s">
        <v>28</v>
      </c>
      <c r="H1848" s="1">
        <v>12187</v>
      </c>
      <c r="I1848" s="1">
        <v>29659</v>
      </c>
      <c r="J1848" s="7">
        <v>0.41099999999999998</v>
      </c>
      <c r="K1848" s="1" t="s">
        <v>21</v>
      </c>
      <c r="L1848" s="1" t="s">
        <v>29</v>
      </c>
      <c r="M1848" s="1" t="s">
        <v>29</v>
      </c>
      <c r="N1848" s="1" t="s">
        <v>22</v>
      </c>
    </row>
    <row r="1849" spans="1:14" x14ac:dyDescent="0.25">
      <c r="A1849" s="1">
        <v>1848</v>
      </c>
      <c r="B1849" s="2" t="str">
        <f>HYPERLINK("https://leetcode.com/problems/minimum-distance-to-the-target-element/", "Minimum Distance to the Target Element")</f>
        <v>Minimum Distance to the Target Element</v>
      </c>
      <c r="C1849" s="1">
        <v>391</v>
      </c>
      <c r="D1849" s="1">
        <v>68</v>
      </c>
      <c r="E1849" s="3">
        <f>IF(INDEX(C:C, ROW())+INDEX(D:D, ROW())=0, 0, INDEX(C:C, ROW())/(INDEX(C:C, ROW())+INDEX(D:D, ROW())))</f>
        <v>0.85185185185185186</v>
      </c>
      <c r="F1849" s="1" t="s">
        <v>113</v>
      </c>
      <c r="G1849" s="1" t="s">
        <v>20</v>
      </c>
      <c r="H1849" s="1">
        <v>59868</v>
      </c>
      <c r="I1849" s="1">
        <v>110375</v>
      </c>
      <c r="J1849" s="7">
        <v>0.54200000000000004</v>
      </c>
      <c r="K1849" s="1" t="s">
        <v>21</v>
      </c>
      <c r="L1849" s="1" t="s">
        <v>29</v>
      </c>
      <c r="M1849" s="1" t="s">
        <v>29</v>
      </c>
      <c r="N1849" s="1" t="s">
        <v>22</v>
      </c>
    </row>
    <row r="1850" spans="1:14" x14ac:dyDescent="0.25">
      <c r="A1850" s="1">
        <v>1849</v>
      </c>
      <c r="B1850" s="2" t="str">
        <f>HYPERLINK("https://leetcode.com/problems/splitting-a-string-into-descending-consecutive-values/", "Splitting a String Into Descending Consecutive Values")</f>
        <v>Splitting a String Into Descending Consecutive Values</v>
      </c>
      <c r="C1850" s="1">
        <v>551</v>
      </c>
      <c r="D1850" s="1">
        <v>128</v>
      </c>
      <c r="E1850" s="3">
        <f>IF(INDEX(C:C, ROW())+INDEX(D:D, ROW())=0, 0, INDEX(C:C, ROW())/(INDEX(C:C, ROW())+INDEX(D:D, ROW())))</f>
        <v>0.81148748159057438</v>
      </c>
      <c r="F1850" s="1" t="s">
        <v>876</v>
      </c>
      <c r="G1850" s="1" t="s">
        <v>24</v>
      </c>
      <c r="H1850" s="1">
        <v>34004</v>
      </c>
      <c r="I1850" s="1">
        <v>90827</v>
      </c>
      <c r="J1850" s="7">
        <v>0.374</v>
      </c>
      <c r="K1850" s="1" t="s">
        <v>21</v>
      </c>
      <c r="L1850" s="1" t="s">
        <v>29</v>
      </c>
      <c r="M1850" s="1" t="s">
        <v>29</v>
      </c>
      <c r="N1850" s="1" t="s">
        <v>22</v>
      </c>
    </row>
    <row r="1851" spans="1:14" x14ac:dyDescent="0.25">
      <c r="A1851" s="1">
        <v>1850</v>
      </c>
      <c r="B1851" s="2" t="str">
        <f>HYPERLINK("https://leetcode.com/problems/minimum-adjacent-swaps-to-reach-the-kth-smallest-number/", "Minimum Adjacent Swaps to Reach the Kth Smallest Number")</f>
        <v>Minimum Adjacent Swaps to Reach the Kth Smallest Number</v>
      </c>
      <c r="C1851" s="1">
        <v>808</v>
      </c>
      <c r="D1851" s="1">
        <v>120</v>
      </c>
      <c r="E1851" s="3">
        <f>IF(INDEX(C:C, ROW())+INDEX(D:D, ROW())=0, 0, INDEX(C:C, ROW())/(INDEX(C:C, ROW())+INDEX(D:D, ROW())))</f>
        <v>0.87068965517241381</v>
      </c>
      <c r="F1851" s="1" t="s">
        <v>158</v>
      </c>
      <c r="G1851" s="1" t="s">
        <v>24</v>
      </c>
      <c r="H1851" s="1">
        <v>27595</v>
      </c>
      <c r="I1851" s="1">
        <v>38293</v>
      </c>
      <c r="J1851" s="7">
        <v>0.72099999999999997</v>
      </c>
      <c r="K1851" s="1" t="s">
        <v>21</v>
      </c>
      <c r="L1851" s="1" t="s">
        <v>29</v>
      </c>
      <c r="M1851" s="1" t="s">
        <v>29</v>
      </c>
      <c r="N1851" s="1" t="s">
        <v>22</v>
      </c>
    </row>
    <row r="1852" spans="1:14" x14ac:dyDescent="0.25">
      <c r="A1852" s="1">
        <v>1851</v>
      </c>
      <c r="B1852" s="2" t="str">
        <f>HYPERLINK("https://leetcode.com/problems/minimum-interval-to-include-each-query/", "Minimum Interval to Include Each Query")</f>
        <v>Minimum Interval to Include Each Query</v>
      </c>
      <c r="C1852" s="1">
        <v>1137</v>
      </c>
      <c r="D1852" s="1">
        <v>48</v>
      </c>
      <c r="E1852" s="3">
        <f>IF(INDEX(C:C, ROW())+INDEX(D:D, ROW())=0, 0, INDEX(C:C, ROW())/(INDEX(C:C, ROW())+INDEX(D:D, ROW())))</f>
        <v>0.95949367088607596</v>
      </c>
      <c r="F1852" s="1" t="s">
        <v>674</v>
      </c>
      <c r="G1852" s="1" t="s">
        <v>28</v>
      </c>
      <c r="H1852" s="1">
        <v>68089</v>
      </c>
      <c r="I1852" s="1">
        <v>126227</v>
      </c>
      <c r="J1852" s="7">
        <v>0.53900000000000003</v>
      </c>
      <c r="K1852" s="1" t="s">
        <v>21</v>
      </c>
      <c r="L1852" s="1" t="s">
        <v>29</v>
      </c>
      <c r="M1852" s="1" t="s">
        <v>29</v>
      </c>
      <c r="N1852" s="1" t="s">
        <v>22</v>
      </c>
    </row>
    <row r="1853" spans="1:14" x14ac:dyDescent="0.25">
      <c r="A1853" s="1">
        <v>1852</v>
      </c>
      <c r="B1853" s="2" t="str">
        <f>HYPERLINK("https://leetcode.com/problems/distinct-numbers-in-each-subarray/", "Distinct Numbers in Each Subarray")</f>
        <v>Distinct Numbers in Each Subarray</v>
      </c>
      <c r="C1853" s="1">
        <v>157</v>
      </c>
      <c r="D1853" s="1">
        <v>10</v>
      </c>
      <c r="E1853" s="3">
        <f>IF(INDEX(C:C, ROW())+INDEX(D:D, ROW())=0, 0, INDEX(C:C, ROW())/(INDEX(C:C, ROW())+INDEX(D:D, ROW())))</f>
        <v>0.94011976047904189</v>
      </c>
      <c r="F1853" s="1" t="s">
        <v>185</v>
      </c>
      <c r="G1853" s="1" t="s">
        <v>24</v>
      </c>
      <c r="H1853" s="1">
        <v>16706</v>
      </c>
      <c r="I1853" s="1">
        <v>21616</v>
      </c>
      <c r="J1853" s="7">
        <v>0.77300000000000002</v>
      </c>
      <c r="K1853" s="1" t="s">
        <v>29</v>
      </c>
      <c r="L1853" s="1" t="s">
        <v>21</v>
      </c>
      <c r="M1853" s="1" t="s">
        <v>29</v>
      </c>
      <c r="N1853" s="1" t="s">
        <v>22</v>
      </c>
    </row>
    <row r="1854" spans="1:14" x14ac:dyDescent="0.25">
      <c r="A1854" s="1">
        <v>1853</v>
      </c>
      <c r="B1854" s="2" t="str">
        <f>HYPERLINK("https://leetcode.com/problems/convert-date-format/", "Convert Date Format")</f>
        <v>Convert Date Format</v>
      </c>
      <c r="C1854" s="1">
        <v>69</v>
      </c>
      <c r="D1854" s="1">
        <v>42</v>
      </c>
      <c r="E1854" s="3">
        <f>IF(INDEX(C:C, ROW())+INDEX(D:D, ROW())=0, 0, INDEX(C:C, ROW())/(INDEX(C:C, ROW())+INDEX(D:D, ROW())))</f>
        <v>0.6216216216216216</v>
      </c>
      <c r="F1854" s="1" t="s">
        <v>297</v>
      </c>
      <c r="G1854" s="1" t="s">
        <v>20</v>
      </c>
      <c r="H1854" s="1">
        <v>15868</v>
      </c>
      <c r="I1854" s="1">
        <v>18683</v>
      </c>
      <c r="J1854" s="7">
        <v>0.84899999999999998</v>
      </c>
      <c r="K1854" s="1" t="s">
        <v>29</v>
      </c>
      <c r="L1854" s="1" t="s">
        <v>29</v>
      </c>
      <c r="M1854" s="1" t="s">
        <v>29</v>
      </c>
      <c r="N1854" s="1" t="s">
        <v>297</v>
      </c>
    </row>
    <row r="1855" spans="1:14" x14ac:dyDescent="0.25">
      <c r="A1855" s="1">
        <v>1854</v>
      </c>
      <c r="B1855" s="2" t="str">
        <f>HYPERLINK("https://leetcode.com/problems/maximum-population-year/", "Maximum Population Year")</f>
        <v>Maximum Population Year</v>
      </c>
      <c r="C1855" s="1">
        <v>1538</v>
      </c>
      <c r="D1855" s="1">
        <v>284</v>
      </c>
      <c r="E1855" s="3">
        <f>IF(INDEX(C:C, ROW())+INDEX(D:D, ROW())=0, 0, INDEX(C:C, ROW())/(INDEX(C:C, ROW())+INDEX(D:D, ROW())))</f>
        <v>0.84412733260153672</v>
      </c>
      <c r="F1855" s="1" t="s">
        <v>578</v>
      </c>
      <c r="G1855" s="1" t="s">
        <v>20</v>
      </c>
      <c r="H1855" s="1">
        <v>112878</v>
      </c>
      <c r="I1855" s="1">
        <v>177316</v>
      </c>
      <c r="J1855" s="7">
        <v>0.63700000000000001</v>
      </c>
      <c r="K1855" s="1" t="s">
        <v>21</v>
      </c>
      <c r="L1855" s="1" t="s">
        <v>29</v>
      </c>
      <c r="M1855" s="1" t="s">
        <v>29</v>
      </c>
      <c r="N1855" s="1" t="s">
        <v>22</v>
      </c>
    </row>
    <row r="1856" spans="1:14" x14ac:dyDescent="0.25">
      <c r="A1856" s="1">
        <v>1855</v>
      </c>
      <c r="B1856" s="2" t="str">
        <f>HYPERLINK("https://leetcode.com/problems/maximum-distance-between-a-pair-of-values/", "Maximum Distance Between a Pair of Values")</f>
        <v>Maximum Distance Between a Pair of Values</v>
      </c>
      <c r="C1856" s="1">
        <v>1264</v>
      </c>
      <c r="D1856" s="1">
        <v>32</v>
      </c>
      <c r="E1856" s="3">
        <f>IF(INDEX(C:C, ROW())+INDEX(D:D, ROW())=0, 0, INDEX(C:C, ROW())/(INDEX(C:C, ROW())+INDEX(D:D, ROW())))</f>
        <v>0.97530864197530864</v>
      </c>
      <c r="F1856" s="1" t="s">
        <v>97</v>
      </c>
      <c r="G1856" s="1" t="s">
        <v>24</v>
      </c>
      <c r="H1856" s="1">
        <v>61713</v>
      </c>
      <c r="I1856" s="1">
        <v>113702</v>
      </c>
      <c r="J1856" s="7">
        <v>0.54300000000000004</v>
      </c>
      <c r="K1856" s="1" t="s">
        <v>21</v>
      </c>
      <c r="L1856" s="1" t="s">
        <v>21</v>
      </c>
      <c r="M1856" s="1" t="s">
        <v>29</v>
      </c>
      <c r="N1856" s="1" t="s">
        <v>22</v>
      </c>
    </row>
    <row r="1857" spans="1:14" x14ac:dyDescent="0.25">
      <c r="A1857" s="1">
        <v>1856</v>
      </c>
      <c r="B1857" s="2" t="str">
        <f>HYPERLINK("https://leetcode.com/problems/maximum-subarray-min-product/", "Maximum Subarray Min-Product")</f>
        <v>Maximum Subarray Min-Product</v>
      </c>
      <c r="C1857" s="1">
        <v>1550</v>
      </c>
      <c r="D1857" s="1">
        <v>144</v>
      </c>
      <c r="E1857" s="3">
        <f>IF(INDEX(C:C, ROW())+INDEX(D:D, ROW())=0, 0, INDEX(C:C, ROW())/(INDEX(C:C, ROW())+INDEX(D:D, ROW())))</f>
        <v>0.91499409681227861</v>
      </c>
      <c r="F1857" s="1" t="s">
        <v>573</v>
      </c>
      <c r="G1857" s="1" t="s">
        <v>24</v>
      </c>
      <c r="H1857" s="1">
        <v>39255</v>
      </c>
      <c r="I1857" s="1">
        <v>98109</v>
      </c>
      <c r="J1857" s="7">
        <v>0.4</v>
      </c>
      <c r="K1857" s="1" t="s">
        <v>21</v>
      </c>
      <c r="L1857" s="1" t="s">
        <v>29</v>
      </c>
      <c r="M1857" s="1" t="s">
        <v>29</v>
      </c>
      <c r="N1857" s="1" t="s">
        <v>22</v>
      </c>
    </row>
    <row r="1858" spans="1:14" x14ac:dyDescent="0.25">
      <c r="A1858" s="1">
        <v>1857</v>
      </c>
      <c r="B1858" s="2" t="str">
        <f>HYPERLINK("https://leetcode.com/problems/largest-color-value-in-a-directed-graph/", "Largest Color Value in a Directed Graph")</f>
        <v>Largest Color Value in a Directed Graph</v>
      </c>
      <c r="C1858" s="1">
        <v>2613</v>
      </c>
      <c r="D1858" s="1">
        <v>87</v>
      </c>
      <c r="E1858" s="3">
        <f>IF(INDEX(C:C, ROW())+INDEX(D:D, ROW())=0, 0, INDEX(C:C, ROW())/(INDEX(C:C, ROW())+INDEX(D:D, ROW())))</f>
        <v>0.96777777777777774</v>
      </c>
      <c r="F1858" s="1" t="s">
        <v>409</v>
      </c>
      <c r="G1858" s="1" t="s">
        <v>28</v>
      </c>
      <c r="H1858" s="1">
        <v>148487</v>
      </c>
      <c r="I1858" s="1">
        <v>258905</v>
      </c>
      <c r="J1858" s="7">
        <v>0.57399999999999995</v>
      </c>
      <c r="K1858" s="1" t="s">
        <v>21</v>
      </c>
      <c r="L1858" s="1" t="s">
        <v>21</v>
      </c>
      <c r="M1858" s="1" t="s">
        <v>29</v>
      </c>
      <c r="N1858" s="1" t="s">
        <v>22</v>
      </c>
    </row>
    <row r="1859" spans="1:14" x14ac:dyDescent="0.25">
      <c r="A1859" s="1">
        <v>1858</v>
      </c>
      <c r="B1859" s="2" t="str">
        <f>HYPERLINK("https://leetcode.com/problems/longest-word-with-all-prefixes/", "Longest Word With All Prefixes")</f>
        <v>Longest Word With All Prefixes</v>
      </c>
      <c r="C1859" s="1">
        <v>204</v>
      </c>
      <c r="D1859" s="1">
        <v>7</v>
      </c>
      <c r="E1859" s="3">
        <f>IF(INDEX(C:C, ROW())+INDEX(D:D, ROW())=0, 0, INDEX(C:C, ROW())/(INDEX(C:C, ROW())+INDEX(D:D, ROW())))</f>
        <v>0.96682464454976302</v>
      </c>
      <c r="F1859" s="1" t="s">
        <v>553</v>
      </c>
      <c r="G1859" s="1" t="s">
        <v>24</v>
      </c>
      <c r="H1859" s="1">
        <v>14373</v>
      </c>
      <c r="I1859" s="1">
        <v>19964</v>
      </c>
      <c r="J1859" s="7">
        <v>0.72</v>
      </c>
      <c r="K1859" s="1" t="s">
        <v>29</v>
      </c>
      <c r="L1859" s="1" t="s">
        <v>21</v>
      </c>
      <c r="M1859" s="1" t="s">
        <v>29</v>
      </c>
      <c r="N1859" s="1" t="s">
        <v>22</v>
      </c>
    </row>
    <row r="1860" spans="1:14" x14ac:dyDescent="0.25">
      <c r="A1860" s="1">
        <v>1859</v>
      </c>
      <c r="B1860" s="2" t="str">
        <f>HYPERLINK("https://leetcode.com/problems/sorting-the-sentence/", "Sorting the Sentence")</f>
        <v>Sorting the Sentence</v>
      </c>
      <c r="C1860" s="1">
        <v>2385</v>
      </c>
      <c r="D1860" s="1">
        <v>81</v>
      </c>
      <c r="E1860" s="3">
        <f>IF(INDEX(C:C, ROW())+INDEX(D:D, ROW())=0, 0, INDEX(C:C, ROW())/(INDEX(C:C, ROW())+INDEX(D:D, ROW())))</f>
        <v>0.96715328467153283</v>
      </c>
      <c r="F1860" s="1" t="s">
        <v>444</v>
      </c>
      <c r="G1860" s="1" t="s">
        <v>20</v>
      </c>
      <c r="H1860" s="1">
        <v>231205</v>
      </c>
      <c r="I1860" s="1">
        <v>275004</v>
      </c>
      <c r="J1860" s="7">
        <v>0.84099999999999997</v>
      </c>
      <c r="K1860" s="1" t="s">
        <v>21</v>
      </c>
      <c r="L1860" s="1" t="s">
        <v>29</v>
      </c>
      <c r="M1860" s="1" t="s">
        <v>29</v>
      </c>
      <c r="N1860" s="1" t="s">
        <v>22</v>
      </c>
    </row>
    <row r="1861" spans="1:14" x14ac:dyDescent="0.25">
      <c r="A1861" s="1">
        <v>1860</v>
      </c>
      <c r="B1861" s="2" t="str">
        <f>HYPERLINK("https://leetcode.com/problems/incremental-memory-leak/", "Incremental Memory Leak")</f>
        <v>Incremental Memory Leak</v>
      </c>
      <c r="C1861" s="1">
        <v>235</v>
      </c>
      <c r="D1861" s="1">
        <v>92</v>
      </c>
      <c r="E1861" s="3">
        <f>IF(INDEX(C:C, ROW())+INDEX(D:D, ROW())=0, 0, INDEX(C:C, ROW())/(INDEX(C:C, ROW())+INDEX(D:D, ROW())))</f>
        <v>0.71865443425076447</v>
      </c>
      <c r="F1861" s="1" t="s">
        <v>465</v>
      </c>
      <c r="G1861" s="1" t="s">
        <v>24</v>
      </c>
      <c r="H1861" s="1">
        <v>25795</v>
      </c>
      <c r="I1861" s="1">
        <v>35348</v>
      </c>
      <c r="J1861" s="7">
        <v>0.73</v>
      </c>
      <c r="K1861" s="1" t="s">
        <v>21</v>
      </c>
      <c r="L1861" s="1" t="s">
        <v>29</v>
      </c>
      <c r="M1861" s="1" t="s">
        <v>29</v>
      </c>
      <c r="N1861" s="1" t="s">
        <v>22</v>
      </c>
    </row>
    <row r="1862" spans="1:14" x14ac:dyDescent="0.25">
      <c r="A1862" s="1">
        <v>1861</v>
      </c>
      <c r="B1862" s="2" t="str">
        <f>HYPERLINK("https://leetcode.com/problems/rotating-the-box/", "Rotating the Box")</f>
        <v>Rotating the Box</v>
      </c>
      <c r="C1862" s="1">
        <v>1625</v>
      </c>
      <c r="D1862" s="1">
        <v>82</v>
      </c>
      <c r="E1862" s="3">
        <f>IF(INDEX(C:C, ROW())+INDEX(D:D, ROW())=0, 0, INDEX(C:C, ROW())/(INDEX(C:C, ROW())+INDEX(D:D, ROW())))</f>
        <v>0.95196250732278853</v>
      </c>
      <c r="F1862" s="1" t="s">
        <v>559</v>
      </c>
      <c r="G1862" s="1" t="s">
        <v>24</v>
      </c>
      <c r="H1862" s="1">
        <v>168629</v>
      </c>
      <c r="I1862" s="1">
        <v>212910</v>
      </c>
      <c r="J1862" s="7">
        <v>0.79200000000000004</v>
      </c>
      <c r="K1862" s="1" t="s">
        <v>21</v>
      </c>
      <c r="L1862" s="1" t="s">
        <v>21</v>
      </c>
      <c r="M1862" s="1" t="s">
        <v>29</v>
      </c>
      <c r="N1862" s="1" t="s">
        <v>22</v>
      </c>
    </row>
    <row r="1863" spans="1:14" x14ac:dyDescent="0.25">
      <c r="A1863" s="1">
        <v>1862</v>
      </c>
      <c r="B1863" s="2" t="str">
        <f>HYPERLINK("https://leetcode.com/problems/sum-of-floored-pairs/", "Sum of Floored Pairs")</f>
        <v>Sum of Floored Pairs</v>
      </c>
      <c r="C1863" s="1">
        <v>466</v>
      </c>
      <c r="D1863" s="1">
        <v>39</v>
      </c>
      <c r="E1863" s="3">
        <f>IF(INDEX(C:C, ROW())+INDEX(D:D, ROW())=0, 0, INDEX(C:C, ROW())/(INDEX(C:C, ROW())+INDEX(D:D, ROW())))</f>
        <v>0.92277227722772281</v>
      </c>
      <c r="F1863" s="1" t="s">
        <v>945</v>
      </c>
      <c r="G1863" s="1" t="s">
        <v>28</v>
      </c>
      <c r="H1863" s="1">
        <v>12027</v>
      </c>
      <c r="I1863" s="1">
        <v>39194</v>
      </c>
      <c r="J1863" s="7">
        <v>0.307</v>
      </c>
      <c r="K1863" s="1" t="s">
        <v>21</v>
      </c>
      <c r="L1863" s="1" t="s">
        <v>29</v>
      </c>
      <c r="M1863" s="1" t="s">
        <v>29</v>
      </c>
      <c r="N1863" s="1" t="s">
        <v>22</v>
      </c>
    </row>
    <row r="1864" spans="1:14" x14ac:dyDescent="0.25">
      <c r="A1864" s="1">
        <v>1863</v>
      </c>
      <c r="B1864" s="2" t="str">
        <f>HYPERLINK("https://leetcode.com/problems/sum-of-all-subset-xor-totals/", "Sum of All Subset XOR Totals")</f>
        <v>Sum of All Subset XOR Totals</v>
      </c>
      <c r="C1864" s="1">
        <v>2677</v>
      </c>
      <c r="D1864" s="1">
        <v>354</v>
      </c>
      <c r="E1864" s="3">
        <f>IF(INDEX(C:C, ROW())+INDEX(D:D, ROW())=0, 0, INDEX(C:C, ROW())/(INDEX(C:C, ROW())+INDEX(D:D, ROW())))</f>
        <v>0.88320686242164304</v>
      </c>
      <c r="F1864" s="1" t="s">
        <v>403</v>
      </c>
      <c r="G1864" s="1" t="s">
        <v>20</v>
      </c>
      <c r="H1864" s="1">
        <v>351581</v>
      </c>
      <c r="I1864" s="1">
        <v>390267</v>
      </c>
      <c r="J1864" s="7">
        <v>0.90100000000000002</v>
      </c>
      <c r="K1864" s="1" t="s">
        <v>21</v>
      </c>
      <c r="L1864" s="1" t="s">
        <v>21</v>
      </c>
      <c r="M1864" s="1" t="s">
        <v>29</v>
      </c>
      <c r="N1864" s="1" t="s">
        <v>22</v>
      </c>
    </row>
    <row r="1865" spans="1:14" x14ac:dyDescent="0.25">
      <c r="A1865" s="1">
        <v>1864</v>
      </c>
      <c r="B1865" s="2" t="str">
        <f>HYPERLINK("https://leetcode.com/problems/minimum-number-of-swaps-to-make-the-binary-string-alternating/", "Minimum Number of Swaps to Make the Binary String Alternating")</f>
        <v>Minimum Number of Swaps to Make the Binary String Alternating</v>
      </c>
      <c r="C1865" s="1">
        <v>624</v>
      </c>
      <c r="D1865" s="1">
        <v>38</v>
      </c>
      <c r="E1865" s="3">
        <f>IF(INDEX(C:C, ROW())+INDEX(D:D, ROW())=0, 0, INDEX(C:C, ROW())/(INDEX(C:C, ROW())+INDEX(D:D, ROW())))</f>
        <v>0.94259818731117828</v>
      </c>
      <c r="F1865" s="1" t="s">
        <v>424</v>
      </c>
      <c r="G1865" s="1" t="s">
        <v>24</v>
      </c>
      <c r="H1865" s="1">
        <v>35265</v>
      </c>
      <c r="I1865" s="1">
        <v>80408</v>
      </c>
      <c r="J1865" s="7">
        <v>0.439</v>
      </c>
      <c r="K1865" s="1" t="s">
        <v>21</v>
      </c>
      <c r="L1865" s="1" t="s">
        <v>29</v>
      </c>
      <c r="M1865" s="1" t="s">
        <v>29</v>
      </c>
      <c r="N1865" s="1" t="s">
        <v>22</v>
      </c>
    </row>
    <row r="1866" spans="1:14" x14ac:dyDescent="0.25">
      <c r="A1866" s="1">
        <v>1865</v>
      </c>
      <c r="B1866" s="2" t="str">
        <f>HYPERLINK("https://leetcode.com/problems/finding-pairs-with-a-certain-sum/", "Finding Pairs With a Certain Sum")</f>
        <v>Finding Pairs With a Certain Sum</v>
      </c>
      <c r="C1866" s="1">
        <v>1036</v>
      </c>
      <c r="D1866" s="1">
        <v>145</v>
      </c>
      <c r="E1866" s="3">
        <f>IF(INDEX(C:C, ROW())+INDEX(D:D, ROW())=0, 0, INDEX(C:C, ROW())/(INDEX(C:C, ROW())+INDEX(D:D, ROW())))</f>
        <v>0.87722269263336161</v>
      </c>
      <c r="F1866" s="1" t="s">
        <v>708</v>
      </c>
      <c r="G1866" s="1" t="s">
        <v>24</v>
      </c>
      <c r="H1866" s="1">
        <v>143799</v>
      </c>
      <c r="I1866" s="1">
        <v>233496</v>
      </c>
      <c r="J1866" s="7">
        <v>0.61599999999999999</v>
      </c>
      <c r="K1866" s="1" t="s">
        <v>21</v>
      </c>
      <c r="L1866" s="1" t="s">
        <v>21</v>
      </c>
      <c r="M1866" s="1" t="s">
        <v>29</v>
      </c>
      <c r="N1866" s="1" t="s">
        <v>22</v>
      </c>
    </row>
    <row r="1867" spans="1:14" x14ac:dyDescent="0.25">
      <c r="A1867" s="1">
        <v>1866</v>
      </c>
      <c r="B1867" s="2" t="str">
        <f>HYPERLINK("https://leetcode.com/problems/number-of-ways-to-rearrange-sticks-with-k-sticks-visible/", "Number of Ways to Rearrange Sticks With K Sticks Visible")</f>
        <v>Number of Ways to Rearrange Sticks With K Sticks Visible</v>
      </c>
      <c r="C1867" s="1">
        <v>754</v>
      </c>
      <c r="D1867" s="1">
        <v>24</v>
      </c>
      <c r="E1867" s="3">
        <f>IF(INDEX(C:C, ROW())+INDEX(D:D, ROW())=0, 0, INDEX(C:C, ROW())/(INDEX(C:C, ROW())+INDEX(D:D, ROW())))</f>
        <v>0.96915167095115684</v>
      </c>
      <c r="F1867" s="1" t="s">
        <v>70</v>
      </c>
      <c r="G1867" s="1" t="s">
        <v>28</v>
      </c>
      <c r="H1867" s="1">
        <v>21531</v>
      </c>
      <c r="I1867" s="1">
        <v>35589</v>
      </c>
      <c r="J1867" s="7">
        <v>0.60499999999999998</v>
      </c>
      <c r="K1867" s="1" t="s">
        <v>21</v>
      </c>
      <c r="L1867" s="1" t="s">
        <v>29</v>
      </c>
      <c r="M1867" s="1" t="s">
        <v>29</v>
      </c>
      <c r="N1867" s="1" t="s">
        <v>22</v>
      </c>
    </row>
    <row r="1868" spans="1:14" x14ac:dyDescent="0.25">
      <c r="A1868" s="1">
        <v>1867</v>
      </c>
      <c r="B1868" s="2" t="str">
        <f>HYPERLINK("https://leetcode.com/problems/orders-with-maximum-quantity-above-average/", "Orders With Maximum Quantity Above Average")</f>
        <v>Orders With Maximum Quantity Above Average</v>
      </c>
      <c r="C1868" s="1">
        <v>79</v>
      </c>
      <c r="D1868" s="1">
        <v>281</v>
      </c>
      <c r="E1868" s="3">
        <f>IF(INDEX(C:C, ROW())+INDEX(D:D, ROW())=0, 0, INDEX(C:C, ROW())/(INDEX(C:C, ROW())+INDEX(D:D, ROW())))</f>
        <v>0.21944444444444444</v>
      </c>
      <c r="F1868" s="1" t="s">
        <v>297</v>
      </c>
      <c r="G1868" s="1" t="s">
        <v>24</v>
      </c>
      <c r="H1868" s="1">
        <v>19437</v>
      </c>
      <c r="I1868" s="1">
        <v>27500</v>
      </c>
      <c r="J1868" s="7">
        <v>0.70699999999999996</v>
      </c>
      <c r="K1868" s="1" t="s">
        <v>29</v>
      </c>
      <c r="L1868" s="1" t="s">
        <v>29</v>
      </c>
      <c r="M1868" s="1" t="s">
        <v>29</v>
      </c>
      <c r="N1868" s="1" t="s">
        <v>297</v>
      </c>
    </row>
    <row r="1869" spans="1:14" x14ac:dyDescent="0.25">
      <c r="A1869" s="1">
        <v>1868</v>
      </c>
      <c r="B1869" s="2" t="str">
        <f>HYPERLINK("https://leetcode.com/problems/product-of-two-run-length-encoded-arrays/", "Product of Two Run-Length Encoded Arrays")</f>
        <v>Product of Two Run-Length Encoded Arrays</v>
      </c>
      <c r="C1869" s="1">
        <v>414</v>
      </c>
      <c r="D1869" s="1">
        <v>83</v>
      </c>
      <c r="E1869" s="3">
        <f>IF(INDEX(C:C, ROW())+INDEX(D:D, ROW())=0, 0, INDEX(C:C, ROW())/(INDEX(C:C, ROW())+INDEX(D:D, ROW())))</f>
        <v>0.83299798792756541</v>
      </c>
      <c r="F1869" s="1" t="s">
        <v>51</v>
      </c>
      <c r="G1869" s="1" t="s">
        <v>24</v>
      </c>
      <c r="H1869" s="1">
        <v>63263</v>
      </c>
      <c r="I1869" s="1">
        <v>106206</v>
      </c>
      <c r="J1869" s="7">
        <v>0.59599999999999997</v>
      </c>
      <c r="K1869" s="1" t="s">
        <v>29</v>
      </c>
      <c r="L1869" s="1" t="s">
        <v>29</v>
      </c>
      <c r="M1869" s="1" t="s">
        <v>29</v>
      </c>
      <c r="N1869" s="1" t="s">
        <v>22</v>
      </c>
    </row>
    <row r="1870" spans="1:14" x14ac:dyDescent="0.25">
      <c r="A1870" s="1">
        <v>1869</v>
      </c>
      <c r="B1870" s="2" t="str">
        <f>HYPERLINK("https://leetcode.com/problems/longer-contiguous-segments-of-ones-than-zeros/", "Longer Contiguous Segments of Ones than Zeros")</f>
        <v>Longer Contiguous Segments of Ones than Zeros</v>
      </c>
      <c r="C1870" s="1">
        <v>561</v>
      </c>
      <c r="D1870" s="1">
        <v>13</v>
      </c>
      <c r="E1870" s="3">
        <f>IF(INDEX(C:C, ROW())+INDEX(D:D, ROW())=0, 0, INDEX(C:C, ROW())/(INDEX(C:C, ROW())+INDEX(D:D, ROW())))</f>
        <v>0.97735191637630658</v>
      </c>
      <c r="F1870" s="1" t="s">
        <v>146</v>
      </c>
      <c r="G1870" s="1" t="s">
        <v>20</v>
      </c>
      <c r="H1870" s="1">
        <v>61818</v>
      </c>
      <c r="I1870" s="1">
        <v>99574</v>
      </c>
      <c r="J1870" s="7">
        <v>0.621</v>
      </c>
      <c r="K1870" s="1" t="s">
        <v>21</v>
      </c>
      <c r="L1870" s="1" t="s">
        <v>29</v>
      </c>
      <c r="M1870" s="1" t="s">
        <v>29</v>
      </c>
      <c r="N1870" s="1" t="s">
        <v>22</v>
      </c>
    </row>
    <row r="1871" spans="1:14" x14ac:dyDescent="0.25">
      <c r="A1871" s="1">
        <v>1870</v>
      </c>
      <c r="B1871" s="2" t="str">
        <f>HYPERLINK("https://leetcode.com/problems/minimum-speed-to-arrive-on-time/", "Minimum Speed to Arrive on Time")</f>
        <v>Minimum Speed to Arrive on Time</v>
      </c>
      <c r="C1871" s="1">
        <v>2448</v>
      </c>
      <c r="D1871" s="1">
        <v>291</v>
      </c>
      <c r="E1871" s="3">
        <f>IF(INDEX(C:C, ROW())+INDEX(D:D, ROW())=0, 0, INDEX(C:C, ROW())/(INDEX(C:C, ROW())+INDEX(D:D, ROW())))</f>
        <v>0.89375684556407453</v>
      </c>
      <c r="F1871" s="1" t="s">
        <v>35</v>
      </c>
      <c r="G1871" s="1" t="s">
        <v>24</v>
      </c>
      <c r="H1871" s="1">
        <v>124820</v>
      </c>
      <c r="I1871" s="1">
        <v>261840</v>
      </c>
      <c r="J1871" s="7">
        <v>0.47699999999999998</v>
      </c>
      <c r="K1871" s="1" t="s">
        <v>21</v>
      </c>
      <c r="L1871" s="1" t="s">
        <v>21</v>
      </c>
      <c r="M1871" s="1" t="s">
        <v>29</v>
      </c>
      <c r="N1871" s="1" t="s">
        <v>22</v>
      </c>
    </row>
    <row r="1872" spans="1:14" x14ac:dyDescent="0.25">
      <c r="A1872" s="1">
        <v>1871</v>
      </c>
      <c r="B1872" s="2" t="str">
        <f>HYPERLINK("https://leetcode.com/problems/jump-game-vii/", "Jump Game VII")</f>
        <v>Jump Game VII</v>
      </c>
      <c r="C1872" s="1">
        <v>1800</v>
      </c>
      <c r="D1872" s="1">
        <v>120</v>
      </c>
      <c r="E1872" s="3">
        <f>IF(INDEX(C:C, ROW())+INDEX(D:D, ROW())=0, 0, INDEX(C:C, ROW())/(INDEX(C:C, ROW())+INDEX(D:D, ROW())))</f>
        <v>0.9375</v>
      </c>
      <c r="F1872" s="1" t="s">
        <v>538</v>
      </c>
      <c r="G1872" s="1" t="s">
        <v>24</v>
      </c>
      <c r="H1872" s="1">
        <v>65485</v>
      </c>
      <c r="I1872" s="1">
        <v>248681</v>
      </c>
      <c r="J1872" s="7">
        <v>0.26300000000000001</v>
      </c>
      <c r="K1872" s="1" t="s">
        <v>21</v>
      </c>
      <c r="L1872" s="1" t="s">
        <v>29</v>
      </c>
      <c r="M1872" s="1" t="s">
        <v>29</v>
      </c>
      <c r="N1872" s="1" t="s">
        <v>22</v>
      </c>
    </row>
    <row r="1873" spans="1:14" x14ac:dyDescent="0.25">
      <c r="A1873" s="1">
        <v>1872</v>
      </c>
      <c r="B1873" s="2" t="str">
        <f>HYPERLINK("https://leetcode.com/problems/stone-game-viii/", "Stone Game VIII")</f>
        <v>Stone Game VIII</v>
      </c>
      <c r="C1873" s="1">
        <v>473</v>
      </c>
      <c r="D1873" s="1">
        <v>25</v>
      </c>
      <c r="E1873" s="3">
        <f>IF(INDEX(C:C, ROW())+INDEX(D:D, ROW())=0, 0, INDEX(C:C, ROW())/(INDEX(C:C, ROW())+INDEX(D:D, ROW())))</f>
        <v>0.94979919678714864</v>
      </c>
      <c r="F1873" s="1" t="s">
        <v>352</v>
      </c>
      <c r="G1873" s="1" t="s">
        <v>28</v>
      </c>
      <c r="H1873" s="1">
        <v>12707</v>
      </c>
      <c r="I1873" s="1">
        <v>23572</v>
      </c>
      <c r="J1873" s="7">
        <v>0.53900000000000003</v>
      </c>
      <c r="K1873" s="1" t="s">
        <v>21</v>
      </c>
      <c r="L1873" s="1" t="s">
        <v>29</v>
      </c>
      <c r="M1873" s="1" t="s">
        <v>29</v>
      </c>
      <c r="N1873" s="1" t="s">
        <v>22</v>
      </c>
    </row>
    <row r="1874" spans="1:14" x14ac:dyDescent="0.25">
      <c r="A1874" s="1">
        <v>1873</v>
      </c>
      <c r="B1874" s="2" t="str">
        <f>HYPERLINK("https://leetcode.com/problems/calculate-special-bonus/", "Calculate Special Bonus")</f>
        <v>Calculate Special Bonus</v>
      </c>
      <c r="C1874" s="1">
        <v>1176</v>
      </c>
      <c r="D1874" s="1">
        <v>81</v>
      </c>
      <c r="E1874" s="3">
        <f>IF(INDEX(C:C, ROW())+INDEX(D:D, ROW())=0, 0, INDEX(C:C, ROW())/(INDEX(C:C, ROW())+INDEX(D:D, ROW())))</f>
        <v>0.93556085918854415</v>
      </c>
      <c r="F1874" s="1" t="s">
        <v>297</v>
      </c>
      <c r="G1874" s="1" t="s">
        <v>20</v>
      </c>
      <c r="H1874" s="1">
        <v>335177</v>
      </c>
      <c r="I1874" s="1">
        <v>588179</v>
      </c>
      <c r="J1874" s="7">
        <v>0.56999999999999995</v>
      </c>
      <c r="K1874" s="1" t="s">
        <v>21</v>
      </c>
      <c r="L1874" s="1" t="s">
        <v>21</v>
      </c>
      <c r="M1874" s="1" t="s">
        <v>29</v>
      </c>
      <c r="N1874" s="1" t="s">
        <v>297</v>
      </c>
    </row>
    <row r="1875" spans="1:14" x14ac:dyDescent="0.25">
      <c r="A1875" s="1">
        <v>1874</v>
      </c>
      <c r="B1875" s="2" t="str">
        <f>HYPERLINK("https://leetcode.com/problems/minimize-product-sum-of-two-arrays/", "Minimize Product Sum of Two Arrays")</f>
        <v>Minimize Product Sum of Two Arrays</v>
      </c>
      <c r="C1875" s="1">
        <v>257</v>
      </c>
      <c r="D1875" s="1">
        <v>28</v>
      </c>
      <c r="E1875" s="3">
        <f>IF(INDEX(C:C, ROW())+INDEX(D:D, ROW())=0, 0, INDEX(C:C, ROW())/(INDEX(C:C, ROW())+INDEX(D:D, ROW())))</f>
        <v>0.90175438596491231</v>
      </c>
      <c r="F1875" s="1" t="s">
        <v>169</v>
      </c>
      <c r="G1875" s="1" t="s">
        <v>24</v>
      </c>
      <c r="H1875" s="1">
        <v>25366</v>
      </c>
      <c r="I1875" s="1">
        <v>28218</v>
      </c>
      <c r="J1875" s="7">
        <v>0.89900000000000002</v>
      </c>
      <c r="K1875" s="1" t="s">
        <v>29</v>
      </c>
      <c r="L1875" s="1" t="s">
        <v>21</v>
      </c>
      <c r="M1875" s="1" t="s">
        <v>29</v>
      </c>
      <c r="N1875" s="1" t="s">
        <v>22</v>
      </c>
    </row>
    <row r="1876" spans="1:14" x14ac:dyDescent="0.25">
      <c r="A1876" s="1">
        <v>1875</v>
      </c>
      <c r="B1876" s="2" t="str">
        <f>HYPERLINK("https://leetcode.com/problems/group-employees-of-the-same-salary/", "Group Employees of the Same Salary")</f>
        <v>Group Employees of the Same Salary</v>
      </c>
      <c r="C1876" s="1">
        <v>78</v>
      </c>
      <c r="D1876" s="1">
        <v>6</v>
      </c>
      <c r="E1876" s="3">
        <f>IF(INDEX(C:C, ROW())+INDEX(D:D, ROW())=0, 0, INDEX(C:C, ROW())/(INDEX(C:C, ROW())+INDEX(D:D, ROW())))</f>
        <v>0.9285714285714286</v>
      </c>
      <c r="F1876" s="1" t="s">
        <v>297</v>
      </c>
      <c r="G1876" s="1" t="s">
        <v>24</v>
      </c>
      <c r="H1876" s="1">
        <v>15196</v>
      </c>
      <c r="I1876" s="1">
        <v>23217</v>
      </c>
      <c r="J1876" s="7">
        <v>0.65500000000000003</v>
      </c>
      <c r="K1876" s="1" t="s">
        <v>29</v>
      </c>
      <c r="L1876" s="1" t="s">
        <v>29</v>
      </c>
      <c r="M1876" s="1" t="s">
        <v>29</v>
      </c>
      <c r="N1876" s="1" t="s">
        <v>297</v>
      </c>
    </row>
    <row r="1877" spans="1:14" x14ac:dyDescent="0.25">
      <c r="A1877" s="1">
        <v>1876</v>
      </c>
      <c r="B1877" s="2" t="str">
        <f>HYPERLINK("https://leetcode.com/problems/substrings-of-size-three-with-distinct-characters/", "Substrings of Size Three with Distinct Characters")</f>
        <v>Substrings of Size Three with Distinct Characters</v>
      </c>
      <c r="C1877" s="1">
        <v>1682</v>
      </c>
      <c r="D1877" s="1">
        <v>57</v>
      </c>
      <c r="E1877" s="3">
        <f>IF(INDEX(C:C, ROW())+INDEX(D:D, ROW())=0, 0, INDEX(C:C, ROW())/(INDEX(C:C, ROW())+INDEX(D:D, ROW())))</f>
        <v>0.96722254169062682</v>
      </c>
      <c r="F1877" s="1" t="s">
        <v>548</v>
      </c>
      <c r="G1877" s="1" t="s">
        <v>20</v>
      </c>
      <c r="H1877" s="1">
        <v>206583</v>
      </c>
      <c r="I1877" s="1">
        <v>269882</v>
      </c>
      <c r="J1877" s="7">
        <v>0.76500000000000001</v>
      </c>
      <c r="K1877" s="1" t="s">
        <v>21</v>
      </c>
      <c r="L1877" s="1" t="s">
        <v>29</v>
      </c>
      <c r="M1877" s="1" t="s">
        <v>29</v>
      </c>
      <c r="N1877" s="1" t="s">
        <v>22</v>
      </c>
    </row>
    <row r="1878" spans="1:14" x14ac:dyDescent="0.25">
      <c r="A1878" s="1">
        <v>1877</v>
      </c>
      <c r="B1878" s="2" t="str">
        <f>HYPERLINK("https://leetcode.com/problems/minimize-maximum-pair-sum-in-array/", "Minimize Maximum Pair Sum in Array")</f>
        <v>Minimize Maximum Pair Sum in Array</v>
      </c>
      <c r="C1878" s="1">
        <v>2364</v>
      </c>
      <c r="D1878" s="1">
        <v>546</v>
      </c>
      <c r="E1878" s="3">
        <f>IF(INDEX(C:C, ROW())+INDEX(D:D, ROW())=0, 0, INDEX(C:C, ROW())/(INDEX(C:C, ROW())+INDEX(D:D, ROW())))</f>
        <v>0.81237113402061856</v>
      </c>
      <c r="F1878" s="1" t="s">
        <v>203</v>
      </c>
      <c r="G1878" s="1" t="s">
        <v>24</v>
      </c>
      <c r="H1878" s="1">
        <v>327948</v>
      </c>
      <c r="I1878" s="1">
        <v>393608</v>
      </c>
      <c r="J1878" s="7">
        <v>0.83299999999999996</v>
      </c>
      <c r="K1878" s="1" t="s">
        <v>21</v>
      </c>
      <c r="L1878" s="1" t="s">
        <v>21</v>
      </c>
      <c r="M1878" s="1" t="s">
        <v>29</v>
      </c>
      <c r="N1878" s="1" t="s">
        <v>22</v>
      </c>
    </row>
    <row r="1879" spans="1:14" x14ac:dyDescent="0.25">
      <c r="A1879" s="1">
        <v>1878</v>
      </c>
      <c r="B1879" s="2" t="str">
        <f>HYPERLINK("https://leetcode.com/problems/get-biggest-three-rhombus-sums-in-a-grid/", "Get Biggest Three Rhombus Sums in a Grid")</f>
        <v>Get Biggest Three Rhombus Sums in a Grid</v>
      </c>
      <c r="C1879" s="1">
        <v>235</v>
      </c>
      <c r="D1879" s="1">
        <v>530</v>
      </c>
      <c r="E1879" s="3">
        <f>IF(INDEX(C:C, ROW())+INDEX(D:D, ROW())=0, 0, INDEX(C:C, ROW())/(INDEX(C:C, ROW())+INDEX(D:D, ROW())))</f>
        <v>0.30718954248366015</v>
      </c>
      <c r="F1879" s="1" t="s">
        <v>1077</v>
      </c>
      <c r="G1879" s="1" t="s">
        <v>24</v>
      </c>
      <c r="H1879" s="1">
        <v>20479</v>
      </c>
      <c r="I1879" s="1">
        <v>40877</v>
      </c>
      <c r="J1879" s="7">
        <v>0.501</v>
      </c>
      <c r="K1879" s="1" t="s">
        <v>21</v>
      </c>
      <c r="L1879" s="1" t="s">
        <v>29</v>
      </c>
      <c r="M1879" s="1" t="s">
        <v>29</v>
      </c>
      <c r="N1879" s="1" t="s">
        <v>22</v>
      </c>
    </row>
    <row r="1880" spans="1:14" x14ac:dyDescent="0.25">
      <c r="A1880" s="1">
        <v>1879</v>
      </c>
      <c r="B1880" s="2" t="str">
        <f>HYPERLINK("https://leetcode.com/problems/minimum-xor-sum-of-two-arrays/", "Minimum XOR Sum of Two Arrays")</f>
        <v>Minimum XOR Sum of Two Arrays</v>
      </c>
      <c r="C1880" s="1">
        <v>716</v>
      </c>
      <c r="D1880" s="1">
        <v>13</v>
      </c>
      <c r="E1880" s="3">
        <f>IF(INDEX(C:C, ROW())+INDEX(D:D, ROW())=0, 0, INDEX(C:C, ROW())/(INDEX(C:C, ROW())+INDEX(D:D, ROW())))</f>
        <v>0.98216735253772292</v>
      </c>
      <c r="F1880" s="1" t="s">
        <v>462</v>
      </c>
      <c r="G1880" s="1" t="s">
        <v>28</v>
      </c>
      <c r="H1880" s="1">
        <v>19795</v>
      </c>
      <c r="I1880" s="1">
        <v>39182</v>
      </c>
      <c r="J1880" s="7">
        <v>0.505</v>
      </c>
      <c r="K1880" s="1" t="s">
        <v>21</v>
      </c>
      <c r="L1880" s="1" t="s">
        <v>29</v>
      </c>
      <c r="M1880" s="1" t="s">
        <v>29</v>
      </c>
      <c r="N1880" s="1" t="s">
        <v>22</v>
      </c>
    </row>
    <row r="1881" spans="1:14" x14ac:dyDescent="0.25">
      <c r="A1881" s="1">
        <v>1880</v>
      </c>
      <c r="B1881" s="2" t="str">
        <f>HYPERLINK("https://leetcode.com/problems/check-if-word-equals-summation-of-two-words/", "Check if Word Equals Summation of Two Words")</f>
        <v>Check if Word Equals Summation of Two Words</v>
      </c>
      <c r="C1881" s="1">
        <v>608</v>
      </c>
      <c r="D1881" s="1">
        <v>42</v>
      </c>
      <c r="E1881" s="3">
        <f>IF(INDEX(C:C, ROW())+INDEX(D:D, ROW())=0, 0, INDEX(C:C, ROW())/(INDEX(C:C, ROW())+INDEX(D:D, ROW())))</f>
        <v>0.93538461538461537</v>
      </c>
      <c r="F1881" s="1" t="s">
        <v>146</v>
      </c>
      <c r="G1881" s="1" t="s">
        <v>20</v>
      </c>
      <c r="H1881" s="1">
        <v>81979</v>
      </c>
      <c r="I1881" s="1">
        <v>109080</v>
      </c>
      <c r="J1881" s="7">
        <v>0.752</v>
      </c>
      <c r="K1881" s="1" t="s">
        <v>21</v>
      </c>
      <c r="L1881" s="1" t="s">
        <v>29</v>
      </c>
      <c r="M1881" s="1" t="s">
        <v>29</v>
      </c>
      <c r="N1881" s="1" t="s">
        <v>22</v>
      </c>
    </row>
    <row r="1882" spans="1:14" x14ac:dyDescent="0.25">
      <c r="A1882" s="1">
        <v>1881</v>
      </c>
      <c r="B1882" s="2" t="str">
        <f>HYPERLINK("https://leetcode.com/problems/maximum-value-after-insertion/", "Maximum Value after Insertion")</f>
        <v>Maximum Value after Insertion</v>
      </c>
      <c r="C1882" s="1">
        <v>401</v>
      </c>
      <c r="D1882" s="1">
        <v>65</v>
      </c>
      <c r="E1882" s="3">
        <f>IF(INDEX(C:C, ROW())+INDEX(D:D, ROW())=0, 0, INDEX(C:C, ROW())/(INDEX(C:C, ROW())+INDEX(D:D, ROW())))</f>
        <v>0.86051502145922742</v>
      </c>
      <c r="F1882" s="1" t="s">
        <v>424</v>
      </c>
      <c r="G1882" s="1" t="s">
        <v>24</v>
      </c>
      <c r="H1882" s="1">
        <v>33477</v>
      </c>
      <c r="I1882" s="1">
        <v>85359</v>
      </c>
      <c r="J1882" s="7">
        <v>0.39200000000000002</v>
      </c>
      <c r="K1882" s="1" t="s">
        <v>21</v>
      </c>
      <c r="L1882" s="1" t="s">
        <v>29</v>
      </c>
      <c r="M1882" s="1" t="s">
        <v>29</v>
      </c>
      <c r="N1882" s="1" t="s">
        <v>22</v>
      </c>
    </row>
    <row r="1883" spans="1:14" x14ac:dyDescent="0.25">
      <c r="A1883" s="1">
        <v>1882</v>
      </c>
      <c r="B1883" s="2" t="str">
        <f>HYPERLINK("https://leetcode.com/problems/process-tasks-using-servers/", "Process Tasks Using Servers")</f>
        <v>Process Tasks Using Servers</v>
      </c>
      <c r="C1883" s="1">
        <v>1026</v>
      </c>
      <c r="D1883" s="1">
        <v>288</v>
      </c>
      <c r="E1883" s="3">
        <f>IF(INDEX(C:C, ROW())+INDEX(D:D, ROW())=0, 0, INDEX(C:C, ROW())/(INDEX(C:C, ROW())+INDEX(D:D, ROW())))</f>
        <v>0.78082191780821919</v>
      </c>
      <c r="F1883" s="1" t="s">
        <v>202</v>
      </c>
      <c r="G1883" s="1" t="s">
        <v>24</v>
      </c>
      <c r="H1883" s="1">
        <v>45950</v>
      </c>
      <c r="I1883" s="1">
        <v>109521</v>
      </c>
      <c r="J1883" s="7">
        <v>0.42</v>
      </c>
      <c r="K1883" s="1" t="s">
        <v>21</v>
      </c>
      <c r="L1883" s="1" t="s">
        <v>29</v>
      </c>
      <c r="M1883" s="1" t="s">
        <v>29</v>
      </c>
      <c r="N1883" s="1" t="s">
        <v>22</v>
      </c>
    </row>
    <row r="1884" spans="1:14" x14ac:dyDescent="0.25">
      <c r="A1884" s="1">
        <v>1883</v>
      </c>
      <c r="B1884" s="2" t="str">
        <f>HYPERLINK("https://leetcode.com/problems/minimum-skips-to-arrive-at-meeting-on-time/", "Minimum Skips to Arrive at Meeting On Time")</f>
        <v>Minimum Skips to Arrive at Meeting On Time</v>
      </c>
      <c r="C1884" s="1">
        <v>353</v>
      </c>
      <c r="D1884" s="1">
        <v>54</v>
      </c>
      <c r="E1884" s="3">
        <f>IF(INDEX(C:C, ROW())+INDEX(D:D, ROW())=0, 0, INDEX(C:C, ROW())/(INDEX(C:C, ROW())+INDEX(D:D, ROW())))</f>
        <v>0.86732186732186733</v>
      </c>
      <c r="F1884" s="1" t="s">
        <v>30</v>
      </c>
      <c r="G1884" s="1" t="s">
        <v>28</v>
      </c>
      <c r="H1884" s="1">
        <v>8528</v>
      </c>
      <c r="I1884" s="1">
        <v>21983</v>
      </c>
      <c r="J1884" s="7">
        <v>0.38800000000000001</v>
      </c>
      <c r="K1884" s="1" t="s">
        <v>21</v>
      </c>
      <c r="L1884" s="1" t="s">
        <v>29</v>
      </c>
      <c r="M1884" s="1" t="s">
        <v>29</v>
      </c>
      <c r="N1884" s="1" t="s">
        <v>22</v>
      </c>
    </row>
    <row r="1885" spans="1:14" x14ac:dyDescent="0.25">
      <c r="A1885" s="1">
        <v>1884</v>
      </c>
      <c r="B1885" s="2" t="str">
        <f>HYPERLINK("https://leetcode.com/problems/egg-drop-with-2-eggs-and-n-floors/", "Egg Drop With 2 Eggs and N Floors")</f>
        <v>Egg Drop With 2 Eggs and N Floors</v>
      </c>
      <c r="C1885" s="1">
        <v>1540</v>
      </c>
      <c r="D1885" s="1">
        <v>163</v>
      </c>
      <c r="E1885" s="3">
        <f>IF(INDEX(C:C, ROW())+INDEX(D:D, ROW())=0, 0, INDEX(C:C, ROW())/(INDEX(C:C, ROW())+INDEX(D:D, ROW())))</f>
        <v>0.90428655314151496</v>
      </c>
      <c r="F1885" s="1" t="s">
        <v>250</v>
      </c>
      <c r="G1885" s="1" t="s">
        <v>24</v>
      </c>
      <c r="H1885" s="1">
        <v>63236</v>
      </c>
      <c r="I1885" s="1">
        <v>84800</v>
      </c>
      <c r="J1885" s="7">
        <v>0.746</v>
      </c>
      <c r="K1885" s="1" t="s">
        <v>21</v>
      </c>
      <c r="L1885" s="1" t="s">
        <v>29</v>
      </c>
      <c r="M1885" s="1" t="s">
        <v>29</v>
      </c>
      <c r="N1885" s="1" t="s">
        <v>22</v>
      </c>
    </row>
    <row r="1886" spans="1:14" x14ac:dyDescent="0.25">
      <c r="A1886" s="1">
        <v>1885</v>
      </c>
      <c r="B1886" s="2" t="str">
        <f>HYPERLINK("https://leetcode.com/problems/count-pairs-in-two-arrays/", "Count Pairs in Two Arrays")</f>
        <v>Count Pairs in Two Arrays</v>
      </c>
      <c r="C1886" s="1">
        <v>244</v>
      </c>
      <c r="D1886" s="1">
        <v>23</v>
      </c>
      <c r="E1886" s="3">
        <f>IF(INDEX(C:C, ROW())+INDEX(D:D, ROW())=0, 0, INDEX(C:C, ROW())/(INDEX(C:C, ROW())+INDEX(D:D, ROW())))</f>
        <v>0.91385767790262173</v>
      </c>
      <c r="F1886" s="1" t="s">
        <v>277</v>
      </c>
      <c r="G1886" s="1" t="s">
        <v>24</v>
      </c>
      <c r="H1886" s="1">
        <v>12071</v>
      </c>
      <c r="I1886" s="1">
        <v>19986</v>
      </c>
      <c r="J1886" s="7">
        <v>0.60399999999999998</v>
      </c>
      <c r="K1886" s="1" t="s">
        <v>29</v>
      </c>
      <c r="L1886" s="1" t="s">
        <v>21</v>
      </c>
      <c r="M1886" s="1" t="s">
        <v>29</v>
      </c>
      <c r="N1886" s="1" t="s">
        <v>22</v>
      </c>
    </row>
    <row r="1887" spans="1:14" x14ac:dyDescent="0.25">
      <c r="A1887" s="1">
        <v>1886</v>
      </c>
      <c r="B1887" s="2" t="str">
        <f>HYPERLINK("https://leetcode.com/problems/determine-whether-matrix-can-be-obtained-by-rotation/", "Determine Whether Matrix Can Be Obtained By Rotation")</f>
        <v>Determine Whether Matrix Can Be Obtained By Rotation</v>
      </c>
      <c r="C1887" s="1">
        <v>1585</v>
      </c>
      <c r="D1887" s="1">
        <v>148</v>
      </c>
      <c r="E1887" s="3">
        <f>IF(INDEX(C:C, ROW())+INDEX(D:D, ROW())=0, 0, INDEX(C:C, ROW())/(INDEX(C:C, ROW())+INDEX(D:D, ROW())))</f>
        <v>0.91459896133871899</v>
      </c>
      <c r="F1887" s="1" t="s">
        <v>266</v>
      </c>
      <c r="G1887" s="1" t="s">
        <v>20</v>
      </c>
      <c r="H1887" s="1">
        <v>96623</v>
      </c>
      <c r="I1887" s="1">
        <v>163124</v>
      </c>
      <c r="J1887" s="7">
        <v>0.59199999999999997</v>
      </c>
      <c r="K1887" s="1" t="s">
        <v>21</v>
      </c>
      <c r="L1887" s="1" t="s">
        <v>29</v>
      </c>
      <c r="M1887" s="1" t="s">
        <v>29</v>
      </c>
      <c r="N1887" s="1" t="s">
        <v>22</v>
      </c>
    </row>
    <row r="1888" spans="1:14" x14ac:dyDescent="0.25">
      <c r="A1888" s="1">
        <v>1887</v>
      </c>
      <c r="B1888" s="2" t="str">
        <f>HYPERLINK("https://leetcode.com/problems/reduction-operations-to-make-the-array-elements-equal/", "Reduction Operations to Make the Array Elements Equal")</f>
        <v>Reduction Operations to Make the Array Elements Equal</v>
      </c>
      <c r="C1888" s="1">
        <v>1273</v>
      </c>
      <c r="D1888" s="1">
        <v>51</v>
      </c>
      <c r="E1888" s="3">
        <f>IF(INDEX(C:C, ROW())+INDEX(D:D, ROW())=0, 0, INDEX(C:C, ROW())/(INDEX(C:C, ROW())+INDEX(D:D, ROW())))</f>
        <v>0.96148036253776437</v>
      </c>
      <c r="F1888" s="1" t="s">
        <v>42</v>
      </c>
      <c r="G1888" s="1" t="s">
        <v>24</v>
      </c>
      <c r="H1888" s="1">
        <v>107082</v>
      </c>
      <c r="I1888" s="1">
        <v>147685</v>
      </c>
      <c r="J1888" s="7">
        <v>0.72499999999999998</v>
      </c>
      <c r="K1888" s="1" t="s">
        <v>21</v>
      </c>
      <c r="L1888" s="1" t="s">
        <v>21</v>
      </c>
      <c r="M1888" s="1" t="s">
        <v>29</v>
      </c>
      <c r="N1888" s="1" t="s">
        <v>22</v>
      </c>
    </row>
    <row r="1889" spans="1:14" x14ac:dyDescent="0.25">
      <c r="A1889" s="1">
        <v>1888</v>
      </c>
      <c r="B1889" s="2" t="str">
        <f>HYPERLINK("https://leetcode.com/problems/minimum-number-of-flips-to-make-the-binary-string-alternating/", "Minimum Number of Flips to Make the Binary String Alternating")</f>
        <v>Minimum Number of Flips to Make the Binary String Alternating</v>
      </c>
      <c r="C1889" s="1">
        <v>1294</v>
      </c>
      <c r="D1889" s="1">
        <v>85</v>
      </c>
      <c r="E1889" s="3">
        <f>IF(INDEX(C:C, ROW())+INDEX(D:D, ROW())=0, 0, INDEX(C:C, ROW())/(INDEX(C:C, ROW())+INDEX(D:D, ROW())))</f>
        <v>0.93836113125453224</v>
      </c>
      <c r="F1889" s="1" t="s">
        <v>595</v>
      </c>
      <c r="G1889" s="1" t="s">
        <v>24</v>
      </c>
      <c r="H1889" s="1">
        <v>36524</v>
      </c>
      <c r="I1889" s="1">
        <v>88954</v>
      </c>
      <c r="J1889" s="7">
        <v>0.41099999999999998</v>
      </c>
      <c r="K1889" s="1" t="s">
        <v>21</v>
      </c>
      <c r="L1889" s="1" t="s">
        <v>29</v>
      </c>
      <c r="M1889" s="1" t="s">
        <v>29</v>
      </c>
      <c r="N1889" s="1" t="s">
        <v>22</v>
      </c>
    </row>
    <row r="1890" spans="1:14" x14ac:dyDescent="0.25">
      <c r="A1890" s="1">
        <v>1889</v>
      </c>
      <c r="B1890" s="2" t="str">
        <f>HYPERLINK("https://leetcode.com/problems/minimum-space-wasted-from-packaging/", "Minimum Space Wasted From Packaging")</f>
        <v>Minimum Space Wasted From Packaging</v>
      </c>
      <c r="C1890" s="1">
        <v>423</v>
      </c>
      <c r="D1890" s="1">
        <v>39</v>
      </c>
      <c r="E1890" s="3">
        <f>IF(INDEX(C:C, ROW())+INDEX(D:D, ROW())=0, 0, INDEX(C:C, ROW())/(INDEX(C:C, ROW())+INDEX(D:D, ROW())))</f>
        <v>0.91558441558441561</v>
      </c>
      <c r="F1890" s="1" t="s">
        <v>750</v>
      </c>
      <c r="G1890" s="1" t="s">
        <v>28</v>
      </c>
      <c r="H1890" s="1">
        <v>17499</v>
      </c>
      <c r="I1890" s="1">
        <v>52288</v>
      </c>
      <c r="J1890" s="7">
        <v>0.33500000000000002</v>
      </c>
      <c r="K1890" s="1" t="s">
        <v>21</v>
      </c>
      <c r="L1890" s="1" t="s">
        <v>29</v>
      </c>
      <c r="M1890" s="1" t="s">
        <v>29</v>
      </c>
      <c r="N1890" s="1" t="s">
        <v>22</v>
      </c>
    </row>
    <row r="1891" spans="1:14" x14ac:dyDescent="0.25">
      <c r="A1891" s="1">
        <v>1890</v>
      </c>
      <c r="B1891" s="2" t="str">
        <f>HYPERLINK("https://leetcode.com/problems/the-latest-login-in-2020/", "The Latest Login in 2020")</f>
        <v>The Latest Login in 2020</v>
      </c>
      <c r="C1891" s="1">
        <v>465</v>
      </c>
      <c r="D1891" s="1">
        <v>17</v>
      </c>
      <c r="E1891" s="3">
        <f>IF(INDEX(C:C, ROW())+INDEX(D:D, ROW())=0, 0, INDEX(C:C, ROW())/(INDEX(C:C, ROW())+INDEX(D:D, ROW())))</f>
        <v>0.96473029045643155</v>
      </c>
      <c r="F1891" s="1" t="s">
        <v>297</v>
      </c>
      <c r="G1891" s="1" t="s">
        <v>20</v>
      </c>
      <c r="H1891" s="1">
        <v>139554</v>
      </c>
      <c r="I1891" s="1">
        <v>181187</v>
      </c>
      <c r="J1891" s="7">
        <v>0.77</v>
      </c>
      <c r="K1891" s="1" t="s">
        <v>21</v>
      </c>
      <c r="L1891" s="1" t="s">
        <v>21</v>
      </c>
      <c r="M1891" s="1" t="s">
        <v>29</v>
      </c>
      <c r="N1891" s="1" t="s">
        <v>297</v>
      </c>
    </row>
    <row r="1892" spans="1:14" x14ac:dyDescent="0.25">
      <c r="A1892" s="1">
        <v>1891</v>
      </c>
      <c r="B1892" s="2" t="str">
        <f>HYPERLINK("https://leetcode.com/problems/cutting-ribbons/", "Cutting Ribbons")</f>
        <v>Cutting Ribbons</v>
      </c>
      <c r="C1892" s="1">
        <v>628</v>
      </c>
      <c r="D1892" s="1">
        <v>70</v>
      </c>
      <c r="E1892" s="3">
        <f>IF(INDEX(C:C, ROW())+INDEX(D:D, ROW())=0, 0, INDEX(C:C, ROW())/(INDEX(C:C, ROW())+INDEX(D:D, ROW())))</f>
        <v>0.89971346704871058</v>
      </c>
      <c r="F1892" s="1" t="s">
        <v>35</v>
      </c>
      <c r="G1892" s="1" t="s">
        <v>24</v>
      </c>
      <c r="H1892" s="1">
        <v>87346</v>
      </c>
      <c r="I1892" s="1">
        <v>164795</v>
      </c>
      <c r="J1892" s="7">
        <v>0.53</v>
      </c>
      <c r="K1892" s="1" t="s">
        <v>29</v>
      </c>
      <c r="L1892" s="1" t="s">
        <v>21</v>
      </c>
      <c r="M1892" s="1" t="s">
        <v>29</v>
      </c>
      <c r="N1892" s="1" t="s">
        <v>22</v>
      </c>
    </row>
    <row r="1893" spans="1:14" x14ac:dyDescent="0.25">
      <c r="A1893" s="1">
        <v>1892</v>
      </c>
      <c r="B1893" s="2" t="str">
        <f>HYPERLINK("https://leetcode.com/problems/page-recommendations-ii/", "Page Recommendations II")</f>
        <v>Page Recommendations II</v>
      </c>
      <c r="C1893" s="1">
        <v>91</v>
      </c>
      <c r="D1893" s="1">
        <v>23</v>
      </c>
      <c r="E1893" s="3">
        <f>IF(INDEX(C:C, ROW())+INDEX(D:D, ROW())=0, 0, INDEX(C:C, ROW())/(INDEX(C:C, ROW())+INDEX(D:D, ROW())))</f>
        <v>0.79824561403508776</v>
      </c>
      <c r="F1893" s="1" t="s">
        <v>297</v>
      </c>
      <c r="G1893" s="1" t="s">
        <v>28</v>
      </c>
      <c r="H1893" s="1">
        <v>10350</v>
      </c>
      <c r="I1893" s="1">
        <v>22739</v>
      </c>
      <c r="J1893" s="7">
        <v>0.45500000000000002</v>
      </c>
      <c r="K1893" s="1" t="s">
        <v>29</v>
      </c>
      <c r="L1893" s="1" t="s">
        <v>29</v>
      </c>
      <c r="M1893" s="1" t="s">
        <v>29</v>
      </c>
      <c r="N1893" s="1" t="s">
        <v>297</v>
      </c>
    </row>
    <row r="1894" spans="1:14" x14ac:dyDescent="0.25">
      <c r="A1894" s="1">
        <v>1893</v>
      </c>
      <c r="B1894" s="2" t="str">
        <f>HYPERLINK("https://leetcode.com/problems/check-if-all-the-integers-in-a-range-are-covered/", "Check if All the Integers in a Range Are Covered")</f>
        <v>Check if All the Integers in a Range Are Covered</v>
      </c>
      <c r="C1894" s="1">
        <v>672</v>
      </c>
      <c r="D1894" s="1">
        <v>127</v>
      </c>
      <c r="E1894" s="3">
        <f>IF(INDEX(C:C, ROW())+INDEX(D:D, ROW())=0, 0, INDEX(C:C, ROW())/(INDEX(C:C, ROW())+INDEX(D:D, ROW())))</f>
        <v>0.84105131414267831</v>
      </c>
      <c r="F1894" s="1" t="s">
        <v>39</v>
      </c>
      <c r="G1894" s="1" t="s">
        <v>20</v>
      </c>
      <c r="H1894" s="1">
        <v>66067</v>
      </c>
      <c r="I1894" s="1">
        <v>130023</v>
      </c>
      <c r="J1894" s="7">
        <v>0.50800000000000001</v>
      </c>
      <c r="K1894" s="1" t="s">
        <v>21</v>
      </c>
      <c r="L1894" s="1" t="s">
        <v>29</v>
      </c>
      <c r="M1894" s="1" t="s">
        <v>29</v>
      </c>
      <c r="N1894" s="1" t="s">
        <v>22</v>
      </c>
    </row>
    <row r="1895" spans="1:14" x14ac:dyDescent="0.25">
      <c r="A1895" s="1">
        <v>1894</v>
      </c>
      <c r="B1895" s="2" t="str">
        <f>HYPERLINK("https://leetcode.com/problems/find-the-student-that-will-replace-the-chalk/", "Find the Student that Will Replace the Chalk")</f>
        <v>Find the Student that Will Replace the Chalk</v>
      </c>
      <c r="C1895" s="1">
        <v>1211</v>
      </c>
      <c r="D1895" s="1">
        <v>134</v>
      </c>
      <c r="E1895" s="3">
        <f>IF(INDEX(C:C, ROW())+INDEX(D:D, ROW())=0, 0, INDEX(C:C, ROW())/(INDEX(C:C, ROW())+INDEX(D:D, ROW())))</f>
        <v>0.90037174721189595</v>
      </c>
      <c r="F1895" s="1" t="s">
        <v>651</v>
      </c>
      <c r="G1895" s="1" t="s">
        <v>24</v>
      </c>
      <c r="H1895" s="1">
        <v>202522</v>
      </c>
      <c r="I1895" s="1">
        <v>380873</v>
      </c>
      <c r="J1895" s="7">
        <v>0.53200000000000003</v>
      </c>
      <c r="K1895" s="1" t="s">
        <v>21</v>
      </c>
      <c r="L1895" s="1" t="s">
        <v>21</v>
      </c>
      <c r="M1895" s="1" t="s">
        <v>29</v>
      </c>
      <c r="N1895" s="1" t="s">
        <v>22</v>
      </c>
    </row>
    <row r="1896" spans="1:14" x14ac:dyDescent="0.25">
      <c r="A1896" s="1">
        <v>1895</v>
      </c>
      <c r="B1896" s="2" t="str">
        <f>HYPERLINK("https://leetcode.com/problems/largest-magic-square/", "Largest Magic Square")</f>
        <v>Largest Magic Square</v>
      </c>
      <c r="C1896" s="1">
        <v>609</v>
      </c>
      <c r="D1896" s="1">
        <v>331</v>
      </c>
      <c r="E1896" s="3">
        <f>IF(INDEX(C:C, ROW())+INDEX(D:D, ROW())=0, 0, INDEX(C:C, ROW())/(INDEX(C:C, ROW())+INDEX(D:D, ROW())))</f>
        <v>0.64787234042553188</v>
      </c>
      <c r="F1896" s="1" t="s">
        <v>425</v>
      </c>
      <c r="G1896" s="1" t="s">
        <v>24</v>
      </c>
      <c r="H1896" s="1">
        <v>87949</v>
      </c>
      <c r="I1896" s="1">
        <v>116817</v>
      </c>
      <c r="J1896" s="7">
        <v>0.753</v>
      </c>
      <c r="K1896" s="1" t="s">
        <v>21</v>
      </c>
      <c r="L1896" s="1" t="s">
        <v>21</v>
      </c>
      <c r="M1896" s="1" t="s">
        <v>29</v>
      </c>
      <c r="N1896" s="1" t="s">
        <v>22</v>
      </c>
    </row>
    <row r="1897" spans="1:14" x14ac:dyDescent="0.25">
      <c r="A1897" s="1">
        <v>1896</v>
      </c>
      <c r="B1897" s="2" t="str">
        <f>HYPERLINK("https://leetcode.com/problems/minimum-cost-to-change-the-final-value-of-expression/", "Minimum Cost to Change the Final Value of Expression")</f>
        <v>Minimum Cost to Change the Final Value of Expression</v>
      </c>
      <c r="C1897" s="1">
        <v>248</v>
      </c>
      <c r="D1897" s="1">
        <v>43</v>
      </c>
      <c r="E1897" s="3">
        <f>IF(INDEX(C:C, ROW())+INDEX(D:D, ROW())=0, 0, INDEX(C:C, ROW())/(INDEX(C:C, ROW())+INDEX(D:D, ROW())))</f>
        <v>0.85223367697594499</v>
      </c>
      <c r="F1897" s="1" t="s">
        <v>1067</v>
      </c>
      <c r="G1897" s="1" t="s">
        <v>28</v>
      </c>
      <c r="H1897" s="1">
        <v>5229</v>
      </c>
      <c r="I1897" s="1">
        <v>10227</v>
      </c>
      <c r="J1897" s="7">
        <v>0.51100000000000001</v>
      </c>
      <c r="K1897" s="1" t="s">
        <v>21</v>
      </c>
      <c r="L1897" s="1" t="s">
        <v>29</v>
      </c>
      <c r="M1897" s="1" t="s">
        <v>29</v>
      </c>
      <c r="N1897" s="1" t="s">
        <v>22</v>
      </c>
    </row>
    <row r="1898" spans="1:14" x14ac:dyDescent="0.25">
      <c r="A1898" s="1">
        <v>1897</v>
      </c>
      <c r="B1898" s="2" t="str">
        <f>HYPERLINK("https://leetcode.com/problems/redistribute-characters-to-make-all-strings-equal/", "Redistribute Characters to Make All Strings Equal")</f>
        <v>Redistribute Characters to Make All Strings Equal</v>
      </c>
      <c r="C1898" s="1">
        <v>1162</v>
      </c>
      <c r="D1898" s="1">
        <v>85</v>
      </c>
      <c r="E1898" s="3">
        <f>IF(INDEX(C:C, ROW())+INDEX(D:D, ROW())=0, 0, INDEX(C:C, ROW())/(INDEX(C:C, ROW())+INDEX(D:D, ROW())))</f>
        <v>0.93183640737770645</v>
      </c>
      <c r="F1898" s="1" t="s">
        <v>237</v>
      </c>
      <c r="G1898" s="1" t="s">
        <v>20</v>
      </c>
      <c r="H1898" s="1">
        <v>157718</v>
      </c>
      <c r="I1898" s="1">
        <v>236060</v>
      </c>
      <c r="J1898" s="7">
        <v>0.66800000000000004</v>
      </c>
      <c r="K1898" s="1" t="s">
        <v>21</v>
      </c>
      <c r="L1898" s="1" t="s">
        <v>21</v>
      </c>
      <c r="M1898" s="1" t="s">
        <v>29</v>
      </c>
      <c r="N1898" s="1" t="s">
        <v>22</v>
      </c>
    </row>
    <row r="1899" spans="1:14" x14ac:dyDescent="0.25">
      <c r="A1899" s="1">
        <v>1898</v>
      </c>
      <c r="B1899" s="2" t="str">
        <f>HYPERLINK("https://leetcode.com/problems/maximum-number-of-removable-characters/", "Maximum Number of Removable Characters")</f>
        <v>Maximum Number of Removable Characters</v>
      </c>
      <c r="C1899" s="1">
        <v>1049</v>
      </c>
      <c r="D1899" s="1">
        <v>137</v>
      </c>
      <c r="E1899" s="3">
        <f>IF(INDEX(C:C, ROW())+INDEX(D:D, ROW())=0, 0, INDEX(C:C, ROW())/(INDEX(C:C, ROW())+INDEX(D:D, ROW())))</f>
        <v>0.88448566610455315</v>
      </c>
      <c r="F1899" s="1" t="s">
        <v>702</v>
      </c>
      <c r="G1899" s="1" t="s">
        <v>24</v>
      </c>
      <c r="H1899" s="1">
        <v>42127</v>
      </c>
      <c r="I1899" s="1">
        <v>89921</v>
      </c>
      <c r="J1899" s="7">
        <v>0.46800000000000003</v>
      </c>
      <c r="K1899" s="1" t="s">
        <v>21</v>
      </c>
      <c r="L1899" s="1" t="s">
        <v>29</v>
      </c>
      <c r="M1899" s="1" t="s">
        <v>29</v>
      </c>
      <c r="N1899" s="1" t="s">
        <v>22</v>
      </c>
    </row>
    <row r="1900" spans="1:14" x14ac:dyDescent="0.25">
      <c r="A1900" s="1">
        <v>1899</v>
      </c>
      <c r="B1900" s="2" t="str">
        <f>HYPERLINK("https://leetcode.com/problems/merge-triplets-to-form-target-triplet/", "Merge Triplets to Form Target Triplet")</f>
        <v>Merge Triplets to Form Target Triplet</v>
      </c>
      <c r="C1900" s="1">
        <v>921</v>
      </c>
      <c r="D1900" s="1">
        <v>80</v>
      </c>
      <c r="E1900" s="3">
        <f>IF(INDEX(C:C, ROW())+INDEX(D:D, ROW())=0, 0, INDEX(C:C, ROW())/(INDEX(C:C, ROW())+INDEX(D:D, ROW())))</f>
        <v>0.92007992007992012</v>
      </c>
      <c r="F1900" s="1" t="s">
        <v>96</v>
      </c>
      <c r="G1900" s="1" t="s">
        <v>24</v>
      </c>
      <c r="H1900" s="1">
        <v>114258</v>
      </c>
      <c r="I1900" s="1">
        <v>165999</v>
      </c>
      <c r="J1900" s="7">
        <v>0.68799999999999994</v>
      </c>
      <c r="K1900" s="1" t="s">
        <v>21</v>
      </c>
      <c r="L1900" s="1" t="s">
        <v>29</v>
      </c>
      <c r="M1900" s="1" t="s">
        <v>29</v>
      </c>
      <c r="N1900" s="1" t="s">
        <v>22</v>
      </c>
    </row>
    <row r="1901" spans="1:14" x14ac:dyDescent="0.25">
      <c r="A1901" s="1">
        <v>1900</v>
      </c>
      <c r="B1901" s="2" t="str">
        <f>HYPERLINK("https://leetcode.com/problems/the-earliest-and-latest-rounds-where-players-compete/", "The Earliest and Latest Rounds Where Players Compete")</f>
        <v>The Earliest and Latest Rounds Where Players Compete</v>
      </c>
      <c r="C1901" s="1">
        <v>517</v>
      </c>
      <c r="D1901" s="1">
        <v>76</v>
      </c>
      <c r="E1901" s="3">
        <f>IF(INDEX(C:C, ROW())+INDEX(D:D, ROW())=0, 0, INDEX(C:C, ROW())/(INDEX(C:C, ROW())+INDEX(D:D, ROW())))</f>
        <v>0.87183811129848232</v>
      </c>
      <c r="F1901" s="1" t="s">
        <v>709</v>
      </c>
      <c r="G1901" s="1" t="s">
        <v>28</v>
      </c>
      <c r="H1901" s="1">
        <v>62189</v>
      </c>
      <c r="I1901" s="1">
        <v>85508</v>
      </c>
      <c r="J1901" s="7">
        <v>0.72699999999999998</v>
      </c>
      <c r="K1901" s="1" t="s">
        <v>21</v>
      </c>
      <c r="L1901" s="1" t="s">
        <v>21</v>
      </c>
      <c r="M1901" s="1" t="s">
        <v>29</v>
      </c>
      <c r="N1901" s="1" t="s">
        <v>22</v>
      </c>
    </row>
    <row r="1902" spans="1:14" x14ac:dyDescent="0.25">
      <c r="A1902" s="1">
        <v>1901</v>
      </c>
      <c r="B1902" s="2" t="str">
        <f>HYPERLINK("https://leetcode.com/problems/find-a-peak-element-ii/", "Find a Peak Element II")</f>
        <v>Find a Peak Element II</v>
      </c>
      <c r="C1902" s="1">
        <v>2666</v>
      </c>
      <c r="D1902" s="1">
        <v>162</v>
      </c>
      <c r="E1902" s="3">
        <f>IF(INDEX(C:C, ROW())+INDEX(D:D, ROW())=0, 0, INDEX(C:C, ROW())/(INDEX(C:C, ROW())+INDEX(D:D, ROW())))</f>
        <v>0.94271570014144268</v>
      </c>
      <c r="F1902" s="1" t="s">
        <v>73</v>
      </c>
      <c r="G1902" s="1" t="s">
        <v>24</v>
      </c>
      <c r="H1902" s="1">
        <v>172582</v>
      </c>
      <c r="I1902" s="1">
        <v>317424</v>
      </c>
      <c r="J1902" s="7">
        <v>0.54400000000000004</v>
      </c>
      <c r="K1902" s="1" t="s">
        <v>21</v>
      </c>
      <c r="L1902" s="1" t="s">
        <v>29</v>
      </c>
      <c r="M1902" s="1" t="s">
        <v>29</v>
      </c>
      <c r="N1902" s="1" t="s">
        <v>22</v>
      </c>
    </row>
    <row r="1903" spans="1:14" x14ac:dyDescent="0.25">
      <c r="A1903" s="1">
        <v>1902</v>
      </c>
      <c r="B1903" s="2" t="str">
        <f>HYPERLINK("https://leetcode.com/problems/depth-of-bst-given-insertion-order/", "Depth of BST Given Insertion Order")</f>
        <v>Depth of BST Given Insertion Order</v>
      </c>
      <c r="C1903" s="1">
        <v>111</v>
      </c>
      <c r="D1903" s="1">
        <v>12</v>
      </c>
      <c r="E1903" s="3">
        <f>IF(INDEX(C:C, ROW())+INDEX(D:D, ROW())=0, 0, INDEX(C:C, ROW())/(INDEX(C:C, ROW())+INDEX(D:D, ROW())))</f>
        <v>0.90243902439024393</v>
      </c>
      <c r="F1903" s="1" t="s">
        <v>1170</v>
      </c>
      <c r="G1903" s="1" t="s">
        <v>24</v>
      </c>
      <c r="H1903" s="1">
        <v>2963</v>
      </c>
      <c r="I1903" s="1">
        <v>6971</v>
      </c>
      <c r="J1903" s="7">
        <v>0.42499999999999999</v>
      </c>
      <c r="K1903" s="1" t="s">
        <v>29</v>
      </c>
      <c r="L1903" s="1" t="s">
        <v>29</v>
      </c>
      <c r="M1903" s="1" t="s">
        <v>29</v>
      </c>
      <c r="N1903" s="1" t="s">
        <v>22</v>
      </c>
    </row>
    <row r="1904" spans="1:14" x14ac:dyDescent="0.25">
      <c r="A1904" s="1">
        <v>1903</v>
      </c>
      <c r="B1904" s="2" t="str">
        <f>HYPERLINK("https://leetcode.com/problems/largest-odd-number-in-string/", "Largest Odd Number in String")</f>
        <v>Largest Odd Number in String</v>
      </c>
      <c r="C1904" s="1">
        <v>2551</v>
      </c>
      <c r="D1904" s="1">
        <v>148</v>
      </c>
      <c r="E1904" s="3">
        <f>IF(INDEX(C:C, ROW())+INDEX(D:D, ROW())=0, 0, INDEX(C:C, ROW())/(INDEX(C:C, ROW())+INDEX(D:D, ROW())))</f>
        <v>0.94516487587995557</v>
      </c>
      <c r="F1904" s="1" t="s">
        <v>418</v>
      </c>
      <c r="G1904" s="1" t="s">
        <v>20</v>
      </c>
      <c r="H1904" s="1">
        <v>542395</v>
      </c>
      <c r="I1904" s="1">
        <v>809952</v>
      </c>
      <c r="J1904" s="7">
        <v>0.67</v>
      </c>
      <c r="K1904" s="1" t="s">
        <v>21</v>
      </c>
      <c r="L1904" s="1" t="s">
        <v>21</v>
      </c>
      <c r="M1904" s="1" t="s">
        <v>29</v>
      </c>
      <c r="N1904" s="1" t="s">
        <v>22</v>
      </c>
    </row>
    <row r="1905" spans="1:14" x14ac:dyDescent="0.25">
      <c r="A1905" s="1">
        <v>1904</v>
      </c>
      <c r="B1905" s="2" t="str">
        <f>HYPERLINK("https://leetcode.com/problems/the-number-of-full-rounds-you-have-played/", "The Number of Full Rounds You Have Played")</f>
        <v>The Number of Full Rounds You Have Played</v>
      </c>
      <c r="C1905" s="1">
        <v>230</v>
      </c>
      <c r="D1905" s="1">
        <v>265</v>
      </c>
      <c r="E1905" s="3">
        <f>IF(INDEX(C:C, ROW())+INDEX(D:D, ROW())=0, 0, INDEX(C:C, ROW())/(INDEX(C:C, ROW())+INDEX(D:D, ROW())))</f>
        <v>0.46464646464646464</v>
      </c>
      <c r="F1905" s="1" t="s">
        <v>228</v>
      </c>
      <c r="G1905" s="1" t="s">
        <v>24</v>
      </c>
      <c r="H1905" s="1">
        <v>25504</v>
      </c>
      <c r="I1905" s="1">
        <v>58703</v>
      </c>
      <c r="J1905" s="7">
        <v>0.434</v>
      </c>
      <c r="K1905" s="1" t="s">
        <v>21</v>
      </c>
      <c r="L1905" s="1" t="s">
        <v>29</v>
      </c>
      <c r="M1905" s="1" t="s">
        <v>29</v>
      </c>
      <c r="N1905" s="1" t="s">
        <v>22</v>
      </c>
    </row>
    <row r="1906" spans="1:14" x14ac:dyDescent="0.25">
      <c r="A1906" s="1">
        <v>1905</v>
      </c>
      <c r="B1906" s="2" t="str">
        <f>HYPERLINK("https://leetcode.com/problems/count-sub-islands/", "Count Sub Islands")</f>
        <v>Count Sub Islands</v>
      </c>
      <c r="C1906" s="1">
        <v>2638</v>
      </c>
      <c r="D1906" s="1">
        <v>91</v>
      </c>
      <c r="E1906" s="3">
        <f>IF(INDEX(C:C, ROW())+INDEX(D:D, ROW())=0, 0, INDEX(C:C, ROW())/(INDEX(C:C, ROW())+INDEX(D:D, ROW())))</f>
        <v>0.96665445218028578</v>
      </c>
      <c r="F1906" s="1" t="s">
        <v>40</v>
      </c>
      <c r="G1906" s="1" t="s">
        <v>24</v>
      </c>
      <c r="H1906" s="1">
        <v>219266</v>
      </c>
      <c r="I1906" s="1">
        <v>300444</v>
      </c>
      <c r="J1906" s="7">
        <v>0.73</v>
      </c>
      <c r="K1906" s="1" t="s">
        <v>21</v>
      </c>
      <c r="L1906" s="1" t="s">
        <v>21</v>
      </c>
      <c r="M1906" s="1" t="s">
        <v>29</v>
      </c>
      <c r="N1906" s="1" t="s">
        <v>22</v>
      </c>
    </row>
    <row r="1907" spans="1:14" x14ac:dyDescent="0.25">
      <c r="A1907" s="1">
        <v>1906</v>
      </c>
      <c r="B1907" s="2" t="str">
        <f>HYPERLINK("https://leetcode.com/problems/minimum-absolute-difference-queries/", "Minimum Absolute Difference Queries")</f>
        <v>Minimum Absolute Difference Queries</v>
      </c>
      <c r="C1907" s="1">
        <v>552</v>
      </c>
      <c r="D1907" s="1">
        <v>46</v>
      </c>
      <c r="E1907" s="3">
        <f>IF(INDEX(C:C, ROW())+INDEX(D:D, ROW())=0, 0, INDEX(C:C, ROW())/(INDEX(C:C, ROW())+INDEX(D:D, ROW())))</f>
        <v>0.92307692307692313</v>
      </c>
      <c r="F1907" s="1" t="s">
        <v>37</v>
      </c>
      <c r="G1907" s="1" t="s">
        <v>24</v>
      </c>
      <c r="H1907" s="1">
        <v>13632</v>
      </c>
      <c r="I1907" s="1">
        <v>29873</v>
      </c>
      <c r="J1907" s="7">
        <v>0.45600000000000002</v>
      </c>
      <c r="K1907" s="1" t="s">
        <v>21</v>
      </c>
      <c r="L1907" s="1" t="s">
        <v>29</v>
      </c>
      <c r="M1907" s="1" t="s">
        <v>29</v>
      </c>
      <c r="N1907" s="1" t="s">
        <v>22</v>
      </c>
    </row>
    <row r="1908" spans="1:14" x14ac:dyDescent="0.25">
      <c r="A1908" s="1">
        <v>1907</v>
      </c>
      <c r="B1908" s="2" t="str">
        <f>HYPERLINK("https://leetcode.com/problems/count-salary-categories/", "Count Salary Categories")</f>
        <v>Count Salary Categories</v>
      </c>
      <c r="C1908" s="1">
        <v>716</v>
      </c>
      <c r="D1908" s="1">
        <v>115</v>
      </c>
      <c r="E1908" s="3">
        <f>IF(INDEX(C:C, ROW())+INDEX(D:D, ROW())=0, 0, INDEX(C:C, ROW())/(INDEX(C:C, ROW())+INDEX(D:D, ROW())))</f>
        <v>0.86161251504211789</v>
      </c>
      <c r="F1908" s="1" t="s">
        <v>297</v>
      </c>
      <c r="G1908" s="1" t="s">
        <v>24</v>
      </c>
      <c r="H1908" s="1">
        <v>287899</v>
      </c>
      <c r="I1908" s="1">
        <v>449930</v>
      </c>
      <c r="J1908" s="7">
        <v>0.64</v>
      </c>
      <c r="K1908" s="1" t="s">
        <v>21</v>
      </c>
      <c r="L1908" s="1" t="s">
        <v>21</v>
      </c>
      <c r="M1908" s="1" t="s">
        <v>29</v>
      </c>
      <c r="N1908" s="1" t="s">
        <v>297</v>
      </c>
    </row>
    <row r="1909" spans="1:14" x14ac:dyDescent="0.25">
      <c r="A1909" s="1">
        <v>1908</v>
      </c>
      <c r="B1909" s="2" t="str">
        <f>HYPERLINK("https://leetcode.com/problems/game-of-nim/", "Game of Nim")</f>
        <v>Game of Nim</v>
      </c>
      <c r="C1909" s="1">
        <v>104</v>
      </c>
      <c r="D1909" s="1">
        <v>40</v>
      </c>
      <c r="E1909" s="3">
        <f>IF(INDEX(C:C, ROW())+INDEX(D:D, ROW())=0, 0, INDEX(C:C, ROW())/(INDEX(C:C, ROW())+INDEX(D:D, ROW())))</f>
        <v>0.72222222222222221</v>
      </c>
      <c r="F1909" s="1" t="s">
        <v>1177</v>
      </c>
      <c r="G1909" s="1" t="s">
        <v>24</v>
      </c>
      <c r="H1909" s="1">
        <v>5275</v>
      </c>
      <c r="I1909" s="1">
        <v>8383</v>
      </c>
      <c r="J1909" s="7">
        <v>0.629</v>
      </c>
      <c r="K1909" s="1" t="s">
        <v>29</v>
      </c>
      <c r="L1909" s="1" t="s">
        <v>21</v>
      </c>
      <c r="M1909" s="1" t="s">
        <v>29</v>
      </c>
      <c r="N1909" s="1" t="s">
        <v>22</v>
      </c>
    </row>
    <row r="1910" spans="1:14" x14ac:dyDescent="0.25">
      <c r="A1910" s="1">
        <v>1909</v>
      </c>
      <c r="B1910" s="2" t="str">
        <f>HYPERLINK("https://leetcode.com/problems/remove-one-element-to-make-the-array-strictly-increasing/", "Remove One Element to Make the Array Strictly Increasing")</f>
        <v>Remove One Element to Make the Array Strictly Increasing</v>
      </c>
      <c r="C1910" s="1">
        <v>1316</v>
      </c>
      <c r="D1910" s="1">
        <v>348</v>
      </c>
      <c r="E1910" s="3">
        <f>IF(INDEX(C:C, ROW())+INDEX(D:D, ROW())=0, 0, INDEX(C:C, ROW())/(INDEX(C:C, ROW())+INDEX(D:D, ROW())))</f>
        <v>0.79086538461538458</v>
      </c>
      <c r="F1910" s="1" t="s">
        <v>113</v>
      </c>
      <c r="G1910" s="1" t="s">
        <v>20</v>
      </c>
      <c r="H1910" s="1">
        <v>84815</v>
      </c>
      <c r="I1910" s="1">
        <v>287107</v>
      </c>
      <c r="J1910" s="7">
        <v>0.29499999999999998</v>
      </c>
      <c r="K1910" s="1" t="s">
        <v>21</v>
      </c>
      <c r="L1910" s="1" t="s">
        <v>29</v>
      </c>
      <c r="M1910" s="1" t="s">
        <v>29</v>
      </c>
      <c r="N1910" s="1" t="s">
        <v>22</v>
      </c>
    </row>
    <row r="1911" spans="1:14" x14ac:dyDescent="0.25">
      <c r="A1911" s="1">
        <v>1910</v>
      </c>
      <c r="B1911" s="2" t="str">
        <f>HYPERLINK("https://leetcode.com/problems/remove-all-occurrences-of-a-substring/", "Remove All Occurrences of a Substring")</f>
        <v>Remove All Occurrences of a Substring</v>
      </c>
      <c r="C1911" s="1">
        <v>2599</v>
      </c>
      <c r="D1911" s="1">
        <v>90</v>
      </c>
      <c r="E1911" s="3">
        <f>IF(INDEX(C:C, ROW())+INDEX(D:D, ROW())=0, 0, INDEX(C:C, ROW())/(INDEX(C:C, ROW())+INDEX(D:D, ROW())))</f>
        <v>0.96653030866493117</v>
      </c>
      <c r="F1911" s="1" t="s">
        <v>365</v>
      </c>
      <c r="G1911" s="1" t="s">
        <v>24</v>
      </c>
      <c r="H1911" s="1">
        <v>391271</v>
      </c>
      <c r="I1911" s="1">
        <v>498913</v>
      </c>
      <c r="J1911" s="7">
        <v>0.78400000000000003</v>
      </c>
      <c r="K1911" s="1" t="s">
        <v>21</v>
      </c>
      <c r="L1911" s="1" t="s">
        <v>21</v>
      </c>
      <c r="M1911" s="1" t="s">
        <v>29</v>
      </c>
      <c r="N1911" s="1" t="s">
        <v>22</v>
      </c>
    </row>
    <row r="1912" spans="1:14" x14ac:dyDescent="0.25">
      <c r="A1912" s="1">
        <v>1911</v>
      </c>
      <c r="B1912" s="2" t="str">
        <f>HYPERLINK("https://leetcode.com/problems/maximum-alternating-subsequence-sum/", "Maximum Alternating Subsequence Sum")</f>
        <v>Maximum Alternating Subsequence Sum</v>
      </c>
      <c r="C1912" s="1">
        <v>1428</v>
      </c>
      <c r="D1912" s="1">
        <v>33</v>
      </c>
      <c r="E1912" s="3">
        <f>IF(INDEX(C:C, ROW())+INDEX(D:D, ROW())=0, 0, INDEX(C:C, ROW())/(INDEX(C:C, ROW())+INDEX(D:D, ROW())))</f>
        <v>0.97741273100616022</v>
      </c>
      <c r="F1912" s="1" t="s">
        <v>30</v>
      </c>
      <c r="G1912" s="1" t="s">
        <v>24</v>
      </c>
      <c r="H1912" s="1">
        <v>62519</v>
      </c>
      <c r="I1912" s="1">
        <v>105938</v>
      </c>
      <c r="J1912" s="7">
        <v>0.59</v>
      </c>
      <c r="K1912" s="1" t="s">
        <v>21</v>
      </c>
      <c r="L1912" s="1" t="s">
        <v>29</v>
      </c>
      <c r="M1912" s="1" t="s">
        <v>29</v>
      </c>
      <c r="N1912" s="1" t="s">
        <v>22</v>
      </c>
    </row>
    <row r="1913" spans="1:14" x14ac:dyDescent="0.25">
      <c r="A1913" s="1">
        <v>1912</v>
      </c>
      <c r="B1913" s="2" t="str">
        <f>HYPERLINK("https://leetcode.com/problems/design-movie-rental-system/", "Design Movie Rental System")</f>
        <v>Design Movie Rental System</v>
      </c>
      <c r="C1913" s="1">
        <v>548</v>
      </c>
      <c r="D1913" s="1">
        <v>87</v>
      </c>
      <c r="E1913" s="3">
        <f>IF(INDEX(C:C, ROW())+INDEX(D:D, ROW())=0, 0, INDEX(C:C, ROW())/(INDEX(C:C, ROW())+INDEX(D:D, ROW())))</f>
        <v>0.86299212598425201</v>
      </c>
      <c r="F1913" s="1" t="s">
        <v>881</v>
      </c>
      <c r="G1913" s="1" t="s">
        <v>28</v>
      </c>
      <c r="H1913" s="1">
        <v>72713</v>
      </c>
      <c r="I1913" s="1">
        <v>116237</v>
      </c>
      <c r="J1913" s="7">
        <v>0.626</v>
      </c>
      <c r="K1913" s="1" t="s">
        <v>21</v>
      </c>
      <c r="L1913" s="1" t="s">
        <v>21</v>
      </c>
      <c r="M1913" s="1" t="s">
        <v>29</v>
      </c>
      <c r="N1913" s="1" t="s">
        <v>22</v>
      </c>
    </row>
    <row r="1914" spans="1:14" x14ac:dyDescent="0.25">
      <c r="A1914" s="1">
        <v>1913</v>
      </c>
      <c r="B1914" s="2" t="str">
        <f>HYPERLINK("https://leetcode.com/problems/maximum-product-difference-between-two-pairs/", "Maximum Product Difference Between Two Pairs")</f>
        <v>Maximum Product Difference Between Two Pairs</v>
      </c>
      <c r="C1914" s="1">
        <v>1584</v>
      </c>
      <c r="D1914" s="1">
        <v>69</v>
      </c>
      <c r="E1914" s="3">
        <f>IF(INDEX(C:C, ROW())+INDEX(D:D, ROW())=0, 0, INDEX(C:C, ROW())/(INDEX(C:C, ROW())+INDEX(D:D, ROW())))</f>
        <v>0.95825771324863884</v>
      </c>
      <c r="F1914" s="1" t="s">
        <v>42</v>
      </c>
      <c r="G1914" s="1" t="s">
        <v>20</v>
      </c>
      <c r="H1914" s="1">
        <v>294528</v>
      </c>
      <c r="I1914" s="1">
        <v>354703</v>
      </c>
      <c r="J1914" s="7">
        <v>0.83</v>
      </c>
      <c r="K1914" s="1" t="s">
        <v>21</v>
      </c>
      <c r="L1914" s="1" t="s">
        <v>21</v>
      </c>
      <c r="M1914" s="1" t="s">
        <v>29</v>
      </c>
      <c r="N1914" s="1" t="s">
        <v>22</v>
      </c>
    </row>
    <row r="1915" spans="1:14" x14ac:dyDescent="0.25">
      <c r="A1915" s="1">
        <v>1914</v>
      </c>
      <c r="B1915" s="2" t="str">
        <f>HYPERLINK("https://leetcode.com/problems/cyclically-rotating-a-grid/", "Cyclically Rotating a Grid")</f>
        <v>Cyclically Rotating a Grid</v>
      </c>
      <c r="C1915" s="1">
        <v>270</v>
      </c>
      <c r="D1915" s="1">
        <v>278</v>
      </c>
      <c r="E1915" s="3">
        <f>IF(INDEX(C:C, ROW())+INDEX(D:D, ROW())=0, 0, INDEX(C:C, ROW())/(INDEX(C:C, ROW())+INDEX(D:D, ROW())))</f>
        <v>0.49270072992700731</v>
      </c>
      <c r="F1915" s="1" t="s">
        <v>77</v>
      </c>
      <c r="G1915" s="1" t="s">
        <v>24</v>
      </c>
      <c r="H1915" s="1">
        <v>16052</v>
      </c>
      <c r="I1915" s="1">
        <v>31149</v>
      </c>
      <c r="J1915" s="7">
        <v>0.51500000000000001</v>
      </c>
      <c r="K1915" s="1" t="s">
        <v>21</v>
      </c>
      <c r="L1915" s="1" t="s">
        <v>29</v>
      </c>
      <c r="M1915" s="1" t="s">
        <v>29</v>
      </c>
      <c r="N1915" s="1" t="s">
        <v>22</v>
      </c>
    </row>
    <row r="1916" spans="1:14" x14ac:dyDescent="0.25">
      <c r="A1916" s="1">
        <v>1915</v>
      </c>
      <c r="B1916" s="2" t="str">
        <f>HYPERLINK("https://leetcode.com/problems/number-of-wonderful-substrings/", "Number of Wonderful Substrings")</f>
        <v>Number of Wonderful Substrings</v>
      </c>
      <c r="C1916" s="1">
        <v>1829</v>
      </c>
      <c r="D1916" s="1">
        <v>284</v>
      </c>
      <c r="E1916" s="3">
        <f>IF(INDEX(C:C, ROW())+INDEX(D:D, ROW())=0, 0, INDEX(C:C, ROW())/(INDEX(C:C, ROW())+INDEX(D:D, ROW())))</f>
        <v>0.86559394226218644</v>
      </c>
      <c r="F1916" s="1" t="s">
        <v>388</v>
      </c>
      <c r="G1916" s="1" t="s">
        <v>24</v>
      </c>
      <c r="H1916" s="1">
        <v>89414</v>
      </c>
      <c r="I1916" s="1">
        <v>134233</v>
      </c>
      <c r="J1916" s="7">
        <v>0.66600000000000004</v>
      </c>
      <c r="K1916" s="1" t="s">
        <v>21</v>
      </c>
      <c r="L1916" s="1" t="s">
        <v>21</v>
      </c>
      <c r="M1916" s="1" t="s">
        <v>29</v>
      </c>
      <c r="N1916" s="1" t="s">
        <v>22</v>
      </c>
    </row>
    <row r="1917" spans="1:14" x14ac:dyDescent="0.25">
      <c r="A1917" s="1">
        <v>1916</v>
      </c>
      <c r="B1917" s="2" t="str">
        <f>HYPERLINK("https://leetcode.com/problems/count-ways-to-build-rooms-in-an-ant-colony/", "Count Ways to Build Rooms in an Ant Colony")</f>
        <v>Count Ways to Build Rooms in an Ant Colony</v>
      </c>
      <c r="C1917" s="1">
        <v>524</v>
      </c>
      <c r="D1917" s="1">
        <v>57</v>
      </c>
      <c r="E1917" s="3">
        <f>IF(INDEX(C:C, ROW())+INDEX(D:D, ROW())=0, 0, INDEX(C:C, ROW())/(INDEX(C:C, ROW())+INDEX(D:D, ROW())))</f>
        <v>0.90189328743545616</v>
      </c>
      <c r="F1917" s="1" t="s">
        <v>900</v>
      </c>
      <c r="G1917" s="1" t="s">
        <v>28</v>
      </c>
      <c r="H1917" s="1">
        <v>10856</v>
      </c>
      <c r="I1917" s="1">
        <v>21265</v>
      </c>
      <c r="J1917" s="7">
        <v>0.51100000000000001</v>
      </c>
      <c r="K1917" s="1" t="s">
        <v>21</v>
      </c>
      <c r="L1917" s="1" t="s">
        <v>29</v>
      </c>
      <c r="M1917" s="1" t="s">
        <v>29</v>
      </c>
      <c r="N1917" s="1" t="s">
        <v>22</v>
      </c>
    </row>
    <row r="1918" spans="1:14" x14ac:dyDescent="0.25">
      <c r="A1918" s="1">
        <v>1917</v>
      </c>
      <c r="B1918" s="2" t="str">
        <f>HYPERLINK("https://leetcode.com/problems/leetcodify-friends-recommendations/", "Leetcodify Friends Recommendations")</f>
        <v>Leetcodify Friends Recommendations</v>
      </c>
      <c r="C1918" s="1">
        <v>68</v>
      </c>
      <c r="D1918" s="1">
        <v>61</v>
      </c>
      <c r="E1918" s="3">
        <f>IF(INDEX(C:C, ROW())+INDEX(D:D, ROW())=0, 0, INDEX(C:C, ROW())/(INDEX(C:C, ROW())+INDEX(D:D, ROW())))</f>
        <v>0.52713178294573648</v>
      </c>
      <c r="F1918" s="1" t="s">
        <v>297</v>
      </c>
      <c r="G1918" s="1" t="s">
        <v>28</v>
      </c>
      <c r="H1918" s="1">
        <v>8823</v>
      </c>
      <c r="I1918" s="1">
        <v>30839</v>
      </c>
      <c r="J1918" s="7">
        <v>0.28599999999999998</v>
      </c>
      <c r="K1918" s="1" t="s">
        <v>29</v>
      </c>
      <c r="L1918" s="1" t="s">
        <v>29</v>
      </c>
      <c r="M1918" s="1" t="s">
        <v>29</v>
      </c>
      <c r="N1918" s="1" t="s">
        <v>297</v>
      </c>
    </row>
    <row r="1919" spans="1:14" x14ac:dyDescent="0.25">
      <c r="A1919" s="1">
        <v>1918</v>
      </c>
      <c r="B1919" s="2" t="str">
        <f>HYPERLINK("https://leetcode.com/problems/kth-smallest-subarray-sum/", "Kth Smallest Subarray Sum")</f>
        <v>Kth Smallest Subarray Sum</v>
      </c>
      <c r="C1919" s="1">
        <v>225</v>
      </c>
      <c r="D1919" s="1">
        <v>14</v>
      </c>
      <c r="E1919" s="3">
        <f>IF(INDEX(C:C, ROW())+INDEX(D:D, ROW())=0, 0, INDEX(C:C, ROW())/(INDEX(C:C, ROW())+INDEX(D:D, ROW())))</f>
        <v>0.94142259414225937</v>
      </c>
      <c r="F1919" s="1" t="s">
        <v>852</v>
      </c>
      <c r="G1919" s="1" t="s">
        <v>24</v>
      </c>
      <c r="H1919" s="1">
        <v>5820</v>
      </c>
      <c r="I1919" s="1">
        <v>10914</v>
      </c>
      <c r="J1919" s="7">
        <v>0.53300000000000003</v>
      </c>
      <c r="K1919" s="1" t="s">
        <v>29</v>
      </c>
      <c r="L1919" s="1" t="s">
        <v>29</v>
      </c>
      <c r="M1919" s="1" t="s">
        <v>29</v>
      </c>
      <c r="N1919" s="1" t="s">
        <v>22</v>
      </c>
    </row>
    <row r="1920" spans="1:14" x14ac:dyDescent="0.25">
      <c r="A1920" s="1">
        <v>1919</v>
      </c>
      <c r="B1920" s="2" t="str">
        <f>HYPERLINK("https://leetcode.com/problems/leetcodify-similar-friends/", "Leetcodify Similar Friends")</f>
        <v>Leetcodify Similar Friends</v>
      </c>
      <c r="C1920" s="1">
        <v>61</v>
      </c>
      <c r="D1920" s="1">
        <v>6</v>
      </c>
      <c r="E1920" s="3">
        <f>IF(INDEX(C:C, ROW())+INDEX(D:D, ROW())=0, 0, INDEX(C:C, ROW())/(INDEX(C:C, ROW())+INDEX(D:D, ROW())))</f>
        <v>0.91044776119402981</v>
      </c>
      <c r="F1920" s="1" t="s">
        <v>297</v>
      </c>
      <c r="G1920" s="1" t="s">
        <v>28</v>
      </c>
      <c r="H1920" s="1">
        <v>7686</v>
      </c>
      <c r="I1920" s="1">
        <v>17826</v>
      </c>
      <c r="J1920" s="7">
        <v>0.43099999999999999</v>
      </c>
      <c r="K1920" s="1" t="s">
        <v>29</v>
      </c>
      <c r="L1920" s="1" t="s">
        <v>29</v>
      </c>
      <c r="M1920" s="1" t="s">
        <v>29</v>
      </c>
      <c r="N1920" s="1" t="s">
        <v>297</v>
      </c>
    </row>
    <row r="1921" spans="1:14" x14ac:dyDescent="0.25">
      <c r="A1921" s="1">
        <v>1920</v>
      </c>
      <c r="B1921" s="2" t="str">
        <f>HYPERLINK("https://leetcode.com/problems/build-array-from-permutation/", "Build Array from Permutation")</f>
        <v>Build Array from Permutation</v>
      </c>
      <c r="C1921" s="1">
        <v>4018</v>
      </c>
      <c r="D1921" s="1">
        <v>488</v>
      </c>
      <c r="E1921" s="3">
        <f>IF(INDEX(C:C, ROW())+INDEX(D:D, ROW())=0, 0, INDEX(C:C, ROW())/(INDEX(C:C, ROW())+INDEX(D:D, ROW())))</f>
        <v>0.89169995561473592</v>
      </c>
      <c r="F1921" s="1" t="s">
        <v>306</v>
      </c>
      <c r="G1921" s="1" t="s">
        <v>20</v>
      </c>
      <c r="H1921" s="1">
        <v>847320</v>
      </c>
      <c r="I1921" s="1">
        <v>930285</v>
      </c>
      <c r="J1921" s="7">
        <v>0.91100000000000003</v>
      </c>
      <c r="K1921" s="1" t="s">
        <v>21</v>
      </c>
      <c r="L1921" s="1" t="s">
        <v>21</v>
      </c>
      <c r="M1921" s="1" t="s">
        <v>29</v>
      </c>
      <c r="N1921" s="1" t="s">
        <v>22</v>
      </c>
    </row>
    <row r="1922" spans="1:14" x14ac:dyDescent="0.25">
      <c r="A1922" s="1">
        <v>1921</v>
      </c>
      <c r="B1922" s="2" t="str">
        <f>HYPERLINK("https://leetcode.com/problems/eliminate-maximum-number-of-monsters/", "Eliminate Maximum Number of Monsters")</f>
        <v>Eliminate Maximum Number of Monsters</v>
      </c>
      <c r="C1922" s="1">
        <v>1578</v>
      </c>
      <c r="D1922" s="1">
        <v>237</v>
      </c>
      <c r="E1922" s="3">
        <f>IF(INDEX(C:C, ROW())+INDEX(D:D, ROW())=0, 0, INDEX(C:C, ROW())/(INDEX(C:C, ROW())+INDEX(D:D, ROW())))</f>
        <v>0.86942148760330573</v>
      </c>
      <c r="F1922" s="1" t="s">
        <v>169</v>
      </c>
      <c r="G1922" s="1" t="s">
        <v>24</v>
      </c>
      <c r="H1922" s="1">
        <v>122395</v>
      </c>
      <c r="I1922" s="1">
        <v>239926</v>
      </c>
      <c r="J1922" s="7">
        <v>0.51</v>
      </c>
      <c r="K1922" s="1" t="s">
        <v>21</v>
      </c>
      <c r="L1922" s="1" t="s">
        <v>21</v>
      </c>
      <c r="M1922" s="1" t="s">
        <v>29</v>
      </c>
      <c r="N1922" s="1" t="s">
        <v>22</v>
      </c>
    </row>
    <row r="1923" spans="1:14" x14ac:dyDescent="0.25">
      <c r="A1923" s="1">
        <v>1922</v>
      </c>
      <c r="B1923" s="2" t="str">
        <f>HYPERLINK("https://leetcode.com/problems/count-good-numbers/", "Count Good Numbers")</f>
        <v>Count Good Numbers</v>
      </c>
      <c r="C1923" s="1">
        <v>2399</v>
      </c>
      <c r="D1923" s="1">
        <v>593</v>
      </c>
      <c r="E1923" s="3">
        <f>IF(INDEX(C:C, ROW())+INDEX(D:D, ROW())=0, 0, INDEX(C:C, ROW())/(INDEX(C:C, ROW())+INDEX(D:D, ROW())))</f>
        <v>0.80180481283422456</v>
      </c>
      <c r="F1923" s="1" t="s">
        <v>116</v>
      </c>
      <c r="G1923" s="1" t="s">
        <v>24</v>
      </c>
      <c r="H1923" s="1">
        <v>268442</v>
      </c>
      <c r="I1923" s="1">
        <v>467925</v>
      </c>
      <c r="J1923" s="7">
        <v>0.57399999999999995</v>
      </c>
      <c r="K1923" s="1" t="s">
        <v>21</v>
      </c>
      <c r="L1923" s="1" t="s">
        <v>21</v>
      </c>
      <c r="M1923" s="1" t="s">
        <v>29</v>
      </c>
      <c r="N1923" s="1" t="s">
        <v>22</v>
      </c>
    </row>
    <row r="1924" spans="1:14" x14ac:dyDescent="0.25">
      <c r="A1924" s="1">
        <v>1923</v>
      </c>
      <c r="B1924" s="2" t="str">
        <f>HYPERLINK("https://leetcode.com/problems/longest-common-subpath/", "Longest Common Subpath")</f>
        <v>Longest Common Subpath</v>
      </c>
      <c r="C1924" s="1">
        <v>511</v>
      </c>
      <c r="D1924" s="1">
        <v>39</v>
      </c>
      <c r="E1924" s="3">
        <f>IF(INDEX(C:C, ROW())+INDEX(D:D, ROW())=0, 0, INDEX(C:C, ROW())/(INDEX(C:C, ROW())+INDEX(D:D, ROW())))</f>
        <v>0.92909090909090908</v>
      </c>
      <c r="F1924" s="1" t="s">
        <v>915</v>
      </c>
      <c r="G1924" s="1" t="s">
        <v>28</v>
      </c>
      <c r="H1924" s="1">
        <v>9943</v>
      </c>
      <c r="I1924" s="1">
        <v>33889</v>
      </c>
      <c r="J1924" s="7">
        <v>0.29299999999999998</v>
      </c>
      <c r="K1924" s="1" t="s">
        <v>21</v>
      </c>
      <c r="L1924" s="1" t="s">
        <v>29</v>
      </c>
      <c r="M1924" s="1" t="s">
        <v>29</v>
      </c>
      <c r="N1924" s="1" t="s">
        <v>22</v>
      </c>
    </row>
    <row r="1925" spans="1:14" x14ac:dyDescent="0.25">
      <c r="A1925" s="1">
        <v>1924</v>
      </c>
      <c r="B1925" s="2" t="str">
        <f>HYPERLINK("https://leetcode.com/problems/erect-the-fence-ii/", "Erect the Fence II")</f>
        <v>Erect the Fence II</v>
      </c>
      <c r="C1925" s="1">
        <v>15</v>
      </c>
      <c r="D1925" s="1">
        <v>44</v>
      </c>
      <c r="E1925" s="3">
        <f>IF(INDEX(C:C, ROW())+INDEX(D:D, ROW())=0, 0, INDEX(C:C, ROW())/(INDEX(C:C, ROW())+INDEX(D:D, ROW())))</f>
        <v>0.25423728813559321</v>
      </c>
      <c r="F1925" s="1" t="s">
        <v>397</v>
      </c>
      <c r="G1925" s="1" t="s">
        <v>28</v>
      </c>
      <c r="H1925" s="1">
        <v>967</v>
      </c>
      <c r="I1925" s="1">
        <v>1884</v>
      </c>
      <c r="J1925" s="7">
        <v>0.51300000000000001</v>
      </c>
      <c r="K1925" s="1" t="s">
        <v>29</v>
      </c>
      <c r="L1925" s="1" t="s">
        <v>29</v>
      </c>
      <c r="M1925" s="1" t="s">
        <v>29</v>
      </c>
      <c r="N1925" s="1" t="s">
        <v>22</v>
      </c>
    </row>
    <row r="1926" spans="1:14" x14ac:dyDescent="0.25">
      <c r="A1926" s="1">
        <v>1925</v>
      </c>
      <c r="B1926" s="2" t="str">
        <f>HYPERLINK("https://leetcode.com/problems/count-square-sum-triples/", "Count Square Sum Triples")</f>
        <v>Count Square Sum Triples</v>
      </c>
      <c r="C1926" s="1">
        <v>736</v>
      </c>
      <c r="D1926" s="1">
        <v>64</v>
      </c>
      <c r="E1926" s="3">
        <f>IF(INDEX(C:C, ROW())+INDEX(D:D, ROW())=0, 0, INDEX(C:C, ROW())/(INDEX(C:C, ROW())+INDEX(D:D, ROW())))</f>
        <v>0.92</v>
      </c>
      <c r="F1926" s="1" t="s">
        <v>602</v>
      </c>
      <c r="G1926" s="1" t="s">
        <v>20</v>
      </c>
      <c r="H1926" s="1">
        <v>183273</v>
      </c>
      <c r="I1926" s="1">
        <v>237558</v>
      </c>
      <c r="J1926" s="7">
        <v>0.77100000000000002</v>
      </c>
      <c r="K1926" s="1" t="s">
        <v>21</v>
      </c>
      <c r="L1926" s="1" t="s">
        <v>21</v>
      </c>
      <c r="M1926" s="1" t="s">
        <v>29</v>
      </c>
      <c r="N1926" s="1" t="s">
        <v>22</v>
      </c>
    </row>
    <row r="1927" spans="1:14" x14ac:dyDescent="0.25">
      <c r="A1927" s="1">
        <v>1926</v>
      </c>
      <c r="B1927" s="2" t="str">
        <f>HYPERLINK("https://leetcode.com/problems/nearest-exit-from-entrance-in-maze/", "Nearest Exit from Entrance in Maze")</f>
        <v>Nearest Exit from Entrance in Maze</v>
      </c>
      <c r="C1927" s="1">
        <v>2613</v>
      </c>
      <c r="D1927" s="1">
        <v>126</v>
      </c>
      <c r="E1927" s="3">
        <f>IF(INDEX(C:C, ROW())+INDEX(D:D, ROW())=0, 0, INDEX(C:C, ROW())/(INDEX(C:C, ROW())+INDEX(D:D, ROW())))</f>
        <v>0.95399780941949619</v>
      </c>
      <c r="F1927" s="1" t="s">
        <v>86</v>
      </c>
      <c r="G1927" s="1" t="s">
        <v>24</v>
      </c>
      <c r="H1927" s="1">
        <v>270686</v>
      </c>
      <c r="I1927" s="1">
        <v>560164</v>
      </c>
      <c r="J1927" s="7">
        <v>0.48299999999999998</v>
      </c>
      <c r="K1927" s="1" t="s">
        <v>21</v>
      </c>
      <c r="L1927" s="1" t="s">
        <v>21</v>
      </c>
      <c r="M1927" s="1" t="s">
        <v>29</v>
      </c>
      <c r="N1927" s="1" t="s">
        <v>22</v>
      </c>
    </row>
    <row r="1928" spans="1:14" x14ac:dyDescent="0.25">
      <c r="A1928" s="1">
        <v>1927</v>
      </c>
      <c r="B1928" s="2" t="str">
        <f>HYPERLINK("https://leetcode.com/problems/sum-game/", "Sum Game")</f>
        <v>Sum Game</v>
      </c>
      <c r="C1928" s="1">
        <v>541</v>
      </c>
      <c r="D1928" s="1">
        <v>91</v>
      </c>
      <c r="E1928" s="3">
        <f>IF(INDEX(C:C, ROW())+INDEX(D:D, ROW())=0, 0, INDEX(C:C, ROW())/(INDEX(C:C, ROW())+INDEX(D:D, ROW())))</f>
        <v>0.85601265822784811</v>
      </c>
      <c r="F1928" s="1" t="s">
        <v>556</v>
      </c>
      <c r="G1928" s="1" t="s">
        <v>24</v>
      </c>
      <c r="H1928" s="1">
        <v>16469</v>
      </c>
      <c r="I1928" s="1">
        <v>33252</v>
      </c>
      <c r="J1928" s="7">
        <v>0.495</v>
      </c>
      <c r="K1928" s="1" t="s">
        <v>21</v>
      </c>
      <c r="L1928" s="1" t="s">
        <v>29</v>
      </c>
      <c r="M1928" s="1" t="s">
        <v>29</v>
      </c>
      <c r="N1928" s="1" t="s">
        <v>22</v>
      </c>
    </row>
    <row r="1929" spans="1:14" x14ac:dyDescent="0.25">
      <c r="A1929" s="1">
        <v>1928</v>
      </c>
      <c r="B1929" s="2" t="str">
        <f>HYPERLINK("https://leetcode.com/problems/minimum-cost-to-reach-destination-in-time/", "Minimum Cost to Reach Destination in Time")</f>
        <v>Minimum Cost to Reach Destination in Time</v>
      </c>
      <c r="C1929" s="1">
        <v>958</v>
      </c>
      <c r="D1929" s="1">
        <v>23</v>
      </c>
      <c r="E1929" s="3">
        <f>IF(INDEX(C:C, ROW())+INDEX(D:D, ROW())=0, 0, INDEX(C:C, ROW())/(INDEX(C:C, ROW())+INDEX(D:D, ROW())))</f>
        <v>0.97655453618756372</v>
      </c>
      <c r="F1929" s="1" t="s">
        <v>723</v>
      </c>
      <c r="G1929" s="1" t="s">
        <v>28</v>
      </c>
      <c r="H1929" s="1">
        <v>35479</v>
      </c>
      <c r="I1929" s="1">
        <v>86287</v>
      </c>
      <c r="J1929" s="7">
        <v>0.41099999999999998</v>
      </c>
      <c r="K1929" s="1" t="s">
        <v>21</v>
      </c>
      <c r="L1929" s="1" t="s">
        <v>29</v>
      </c>
      <c r="M1929" s="1" t="s">
        <v>29</v>
      </c>
      <c r="N1929" s="1" t="s">
        <v>22</v>
      </c>
    </row>
    <row r="1930" spans="1:14" x14ac:dyDescent="0.25">
      <c r="A1930" s="1">
        <v>1929</v>
      </c>
      <c r="B1930" s="2" t="str">
        <f>HYPERLINK("https://leetcode.com/problems/concatenation-of-array/", "Concatenation of Array")</f>
        <v>Concatenation of Array</v>
      </c>
      <c r="C1930" s="1">
        <v>4103</v>
      </c>
      <c r="D1930" s="1">
        <v>448</v>
      </c>
      <c r="E1930" s="3">
        <f>IF(INDEX(C:C, ROW())+INDEX(D:D, ROW())=0, 0, INDEX(C:C, ROW())/(INDEX(C:C, ROW())+INDEX(D:D, ROW())))</f>
        <v>0.90156009668204795</v>
      </c>
      <c r="F1930" s="1" t="s">
        <v>306</v>
      </c>
      <c r="G1930" s="1" t="s">
        <v>20</v>
      </c>
      <c r="H1930" s="1">
        <v>1348627</v>
      </c>
      <c r="I1930" s="1">
        <v>1490103</v>
      </c>
      <c r="J1930" s="7">
        <v>0.90500000000000003</v>
      </c>
      <c r="K1930" s="1" t="s">
        <v>21</v>
      </c>
      <c r="L1930" s="1" t="s">
        <v>29</v>
      </c>
      <c r="M1930" s="1" t="s">
        <v>29</v>
      </c>
      <c r="N1930" s="1" t="s">
        <v>22</v>
      </c>
    </row>
    <row r="1931" spans="1:14" x14ac:dyDescent="0.25">
      <c r="A1931" s="1">
        <v>1930</v>
      </c>
      <c r="B1931" s="2" t="str">
        <f>HYPERLINK("https://leetcode.com/problems/unique-length-3-palindromic-subsequences/", "Unique Length-3 Palindromic Subsequences")</f>
        <v>Unique Length-3 Palindromic Subsequences</v>
      </c>
      <c r="C1931" s="1">
        <v>2857</v>
      </c>
      <c r="D1931" s="1">
        <v>109</v>
      </c>
      <c r="E1931" s="3">
        <f>IF(INDEX(C:C, ROW())+INDEX(D:D, ROW())=0, 0, INDEX(C:C, ROW())/(INDEX(C:C, ROW())+INDEX(D:D, ROW())))</f>
        <v>0.96325016857720835</v>
      </c>
      <c r="F1931" s="1" t="s">
        <v>388</v>
      </c>
      <c r="G1931" s="1" t="s">
        <v>24</v>
      </c>
      <c r="H1931" s="1">
        <v>365279</v>
      </c>
      <c r="I1931" s="1">
        <v>495033</v>
      </c>
      <c r="J1931" s="7">
        <v>0.73799999999999999</v>
      </c>
      <c r="K1931" s="1" t="s">
        <v>21</v>
      </c>
      <c r="L1931" s="1" t="s">
        <v>21</v>
      </c>
      <c r="M1931" s="1" t="s">
        <v>29</v>
      </c>
      <c r="N1931" s="1" t="s">
        <v>22</v>
      </c>
    </row>
    <row r="1932" spans="1:14" x14ac:dyDescent="0.25">
      <c r="A1932" s="1">
        <v>1931</v>
      </c>
      <c r="B1932" s="2" t="str">
        <f>HYPERLINK("https://leetcode.com/problems/painting-a-grid-with-three-different-colors/", "Painting a Grid With Three Different Colors")</f>
        <v>Painting a Grid With Three Different Colors</v>
      </c>
      <c r="C1932" s="1">
        <v>934</v>
      </c>
      <c r="D1932" s="1">
        <v>58</v>
      </c>
      <c r="E1932" s="3">
        <f>IF(INDEX(C:C, ROW())+INDEX(D:D, ROW())=0, 0, INDEX(C:C, ROW())/(INDEX(C:C, ROW())+INDEX(D:D, ROW())))</f>
        <v>0.94153225806451613</v>
      </c>
      <c r="F1932" s="1" t="s">
        <v>251</v>
      </c>
      <c r="G1932" s="1" t="s">
        <v>28</v>
      </c>
      <c r="H1932" s="1">
        <v>75300</v>
      </c>
      <c r="I1932" s="1">
        <v>97437</v>
      </c>
      <c r="J1932" s="7">
        <v>0.77300000000000002</v>
      </c>
      <c r="K1932" s="1" t="s">
        <v>21</v>
      </c>
      <c r="L1932" s="1" t="s">
        <v>21</v>
      </c>
      <c r="M1932" s="1" t="s">
        <v>29</v>
      </c>
      <c r="N1932" s="1" t="s">
        <v>22</v>
      </c>
    </row>
    <row r="1933" spans="1:14" x14ac:dyDescent="0.25">
      <c r="A1933" s="1">
        <v>1932</v>
      </c>
      <c r="B1933" s="2" t="str">
        <f>HYPERLINK("https://leetcode.com/problems/merge-bsts-to-create-single-bst/", "Merge BSTs to Create Single BST")</f>
        <v>Merge BSTs to Create Single BST</v>
      </c>
      <c r="C1933" s="1">
        <v>654</v>
      </c>
      <c r="D1933" s="1">
        <v>47</v>
      </c>
      <c r="E1933" s="3">
        <f>IF(INDEX(C:C, ROW())+INDEX(D:D, ROW())=0, 0, INDEX(C:C, ROW())/(INDEX(C:C, ROW())+INDEX(D:D, ROW())))</f>
        <v>0.93295292439372324</v>
      </c>
      <c r="F1933" s="1" t="s">
        <v>821</v>
      </c>
      <c r="G1933" s="1" t="s">
        <v>28</v>
      </c>
      <c r="H1933" s="1">
        <v>15140</v>
      </c>
      <c r="I1933" s="1">
        <v>39858</v>
      </c>
      <c r="J1933" s="7">
        <v>0.38</v>
      </c>
      <c r="K1933" s="1" t="s">
        <v>21</v>
      </c>
      <c r="L1933" s="1" t="s">
        <v>29</v>
      </c>
      <c r="M1933" s="1" t="s">
        <v>29</v>
      </c>
      <c r="N1933" s="1" t="s">
        <v>22</v>
      </c>
    </row>
    <row r="1934" spans="1:14" x14ac:dyDescent="0.25">
      <c r="A1934" s="1">
        <v>1933</v>
      </c>
      <c r="B1934" s="2" t="str">
        <f>HYPERLINK("https://leetcode.com/problems/check-if-string-is-decomposable-into-value-equal-substrings/", "Check if String Is Decomposable Into Value-Equal Substrings")</f>
        <v>Check if String Is Decomposable Into Value-Equal Substrings</v>
      </c>
      <c r="C1934" s="1">
        <v>61</v>
      </c>
      <c r="D1934" s="1">
        <v>15</v>
      </c>
      <c r="E1934" s="3">
        <f>IF(INDEX(C:C, ROW())+INDEX(D:D, ROW())=0, 0, INDEX(C:C, ROW())/(INDEX(C:C, ROW())+INDEX(D:D, ROW())))</f>
        <v>0.80263157894736847</v>
      </c>
      <c r="F1934" s="1" t="s">
        <v>146</v>
      </c>
      <c r="G1934" s="1" t="s">
        <v>20</v>
      </c>
      <c r="H1934" s="1">
        <v>4742</v>
      </c>
      <c r="I1934" s="1">
        <v>9321</v>
      </c>
      <c r="J1934" s="7">
        <v>0.50900000000000001</v>
      </c>
      <c r="K1934" s="1" t="s">
        <v>29</v>
      </c>
      <c r="L1934" s="1" t="s">
        <v>29</v>
      </c>
      <c r="M1934" s="1" t="s">
        <v>29</v>
      </c>
      <c r="N1934" s="1" t="s">
        <v>22</v>
      </c>
    </row>
    <row r="1935" spans="1:14" x14ac:dyDescent="0.25">
      <c r="A1935" s="1">
        <v>1934</v>
      </c>
      <c r="B1935" s="2" t="str">
        <f>HYPERLINK("https://leetcode.com/problems/confirmation-rate/", "Confirmation Rate")</f>
        <v>Confirmation Rate</v>
      </c>
      <c r="C1935" s="1">
        <v>1549</v>
      </c>
      <c r="D1935" s="1">
        <v>132</v>
      </c>
      <c r="E1935" s="3">
        <f>IF(INDEX(C:C, ROW())+INDEX(D:D, ROW())=0, 0, INDEX(C:C, ROW())/(INDEX(C:C, ROW())+INDEX(D:D, ROW())))</f>
        <v>0.92147531231409874</v>
      </c>
      <c r="F1935" s="1" t="s">
        <v>297</v>
      </c>
      <c r="G1935" s="1" t="s">
        <v>24</v>
      </c>
      <c r="H1935" s="1">
        <v>575005</v>
      </c>
      <c r="I1935" s="1">
        <v>932591</v>
      </c>
      <c r="J1935" s="7">
        <v>0.61699999999999999</v>
      </c>
      <c r="K1935" s="1" t="s">
        <v>21</v>
      </c>
      <c r="L1935" s="1" t="s">
        <v>29</v>
      </c>
      <c r="M1935" s="1" t="s">
        <v>29</v>
      </c>
      <c r="N1935" s="1" t="s">
        <v>297</v>
      </c>
    </row>
    <row r="1936" spans="1:14" x14ac:dyDescent="0.25">
      <c r="A1936" s="1">
        <v>1935</v>
      </c>
      <c r="B1936" s="2" t="str">
        <f>HYPERLINK("https://leetcode.com/problems/maximum-number-of-words-you-can-type/", "Maximum Number of Words You Can Type")</f>
        <v>Maximum Number of Words You Can Type</v>
      </c>
      <c r="C1936" s="1">
        <v>994</v>
      </c>
      <c r="D1936" s="1">
        <v>40</v>
      </c>
      <c r="E1936" s="3">
        <f>IF(INDEX(C:C, ROW())+INDEX(D:D, ROW())=0, 0, INDEX(C:C, ROW())/(INDEX(C:C, ROW())+INDEX(D:D, ROW())))</f>
        <v>0.96131528046421666</v>
      </c>
      <c r="F1936" s="1" t="s">
        <v>131</v>
      </c>
      <c r="G1936" s="1" t="s">
        <v>20</v>
      </c>
      <c r="H1936" s="1">
        <v>229636</v>
      </c>
      <c r="I1936" s="1">
        <v>276855</v>
      </c>
      <c r="J1936" s="7">
        <v>0.82899999999999996</v>
      </c>
      <c r="K1936" s="1" t="s">
        <v>21</v>
      </c>
      <c r="L1936" s="1" t="s">
        <v>21</v>
      </c>
      <c r="M1936" s="1" t="s">
        <v>29</v>
      </c>
      <c r="N1936" s="1" t="s">
        <v>22</v>
      </c>
    </row>
    <row r="1937" spans="1:14" x14ac:dyDescent="0.25">
      <c r="A1937" s="1">
        <v>1936</v>
      </c>
      <c r="B1937" s="2" t="str">
        <f>HYPERLINK("https://leetcode.com/problems/add-minimum-number-of-rungs/", "Add Minimum Number of Rungs")</f>
        <v>Add Minimum Number of Rungs</v>
      </c>
      <c r="C1937" s="1">
        <v>394</v>
      </c>
      <c r="D1937" s="1">
        <v>31</v>
      </c>
      <c r="E1937" s="3">
        <f>IF(INDEX(C:C, ROW())+INDEX(D:D, ROW())=0, 0, INDEX(C:C, ROW())/(INDEX(C:C, ROW())+INDEX(D:D, ROW())))</f>
        <v>0.92705882352941171</v>
      </c>
      <c r="F1937" s="1" t="s">
        <v>96</v>
      </c>
      <c r="G1937" s="1" t="s">
        <v>24</v>
      </c>
      <c r="H1937" s="1">
        <v>34934</v>
      </c>
      <c r="I1937" s="1">
        <v>79826</v>
      </c>
      <c r="J1937" s="7">
        <v>0.438</v>
      </c>
      <c r="K1937" s="1" t="s">
        <v>21</v>
      </c>
      <c r="L1937" s="1" t="s">
        <v>29</v>
      </c>
      <c r="M1937" s="1" t="s">
        <v>29</v>
      </c>
      <c r="N1937" s="1" t="s">
        <v>22</v>
      </c>
    </row>
    <row r="1938" spans="1:14" x14ac:dyDescent="0.25">
      <c r="A1938" s="1">
        <v>1937</v>
      </c>
      <c r="B1938" s="2" t="str">
        <f>HYPERLINK("https://leetcode.com/problems/maximum-number-of-points-with-cost/", "Maximum Number of Points with Cost")</f>
        <v>Maximum Number of Points with Cost</v>
      </c>
      <c r="C1938" s="1">
        <v>3257</v>
      </c>
      <c r="D1938" s="1">
        <v>241</v>
      </c>
      <c r="E1938" s="3">
        <f>IF(INDEX(C:C, ROW())+INDEX(D:D, ROW())=0, 0, INDEX(C:C, ROW())/(INDEX(C:C, ROW())+INDEX(D:D, ROW())))</f>
        <v>0.93110348770726126</v>
      </c>
      <c r="F1938" s="1" t="s">
        <v>94</v>
      </c>
      <c r="G1938" s="1" t="s">
        <v>24</v>
      </c>
      <c r="H1938" s="1">
        <v>157452</v>
      </c>
      <c r="I1938" s="1">
        <v>376422</v>
      </c>
      <c r="J1938" s="7">
        <v>0.41799999999999998</v>
      </c>
      <c r="K1938" s="1" t="s">
        <v>21</v>
      </c>
      <c r="L1938" s="1" t="s">
        <v>21</v>
      </c>
      <c r="M1938" s="1" t="s">
        <v>29</v>
      </c>
      <c r="N1938" s="1" t="s">
        <v>22</v>
      </c>
    </row>
    <row r="1939" spans="1:14" x14ac:dyDescent="0.25">
      <c r="A1939" s="1">
        <v>1938</v>
      </c>
      <c r="B1939" s="2" t="str">
        <f>HYPERLINK("https://leetcode.com/problems/maximum-genetic-difference-query/", "Maximum Genetic Difference Query")</f>
        <v>Maximum Genetic Difference Query</v>
      </c>
      <c r="C1939" s="1">
        <v>415</v>
      </c>
      <c r="D1939" s="1">
        <v>24</v>
      </c>
      <c r="E1939" s="3">
        <f>IF(INDEX(C:C, ROW())+INDEX(D:D, ROW())=0, 0, INDEX(C:C, ROW())/(INDEX(C:C, ROW())+INDEX(D:D, ROW())))</f>
        <v>0.9453302961275627</v>
      </c>
      <c r="F1939" s="1" t="s">
        <v>970</v>
      </c>
      <c r="G1939" s="1" t="s">
        <v>28</v>
      </c>
      <c r="H1939" s="1">
        <v>7723</v>
      </c>
      <c r="I1939" s="1">
        <v>16619</v>
      </c>
      <c r="J1939" s="7">
        <v>0.46500000000000002</v>
      </c>
      <c r="K1939" s="1" t="s">
        <v>21</v>
      </c>
      <c r="L1939" s="1" t="s">
        <v>29</v>
      </c>
      <c r="M1939" s="1" t="s">
        <v>29</v>
      </c>
      <c r="N1939" s="1" t="s">
        <v>22</v>
      </c>
    </row>
    <row r="1940" spans="1:14" x14ac:dyDescent="0.25">
      <c r="A1940" s="1">
        <v>1939</v>
      </c>
      <c r="B1940" s="2" t="str">
        <f>HYPERLINK("https://leetcode.com/problems/users-that-actively-request-confirmation-messages/", "Users That Actively Request Confirmation Messages")</f>
        <v>Users That Actively Request Confirmation Messages</v>
      </c>
      <c r="C1940" s="1">
        <v>67</v>
      </c>
      <c r="D1940" s="1">
        <v>49</v>
      </c>
      <c r="E1940" s="3">
        <f>IF(INDEX(C:C, ROW())+INDEX(D:D, ROW())=0, 0, INDEX(C:C, ROW())/(INDEX(C:C, ROW())+INDEX(D:D, ROW())))</f>
        <v>0.57758620689655171</v>
      </c>
      <c r="F1940" s="1" t="s">
        <v>297</v>
      </c>
      <c r="G1940" s="1" t="s">
        <v>20</v>
      </c>
      <c r="H1940" s="1">
        <v>14356</v>
      </c>
      <c r="I1940" s="1">
        <v>25296</v>
      </c>
      <c r="J1940" s="7">
        <v>0.56799999999999995</v>
      </c>
      <c r="K1940" s="1" t="s">
        <v>29</v>
      </c>
      <c r="L1940" s="1" t="s">
        <v>29</v>
      </c>
      <c r="M1940" s="1" t="s">
        <v>29</v>
      </c>
      <c r="N1940" s="1" t="s">
        <v>297</v>
      </c>
    </row>
    <row r="1941" spans="1:14" x14ac:dyDescent="0.25">
      <c r="A1941" s="1">
        <v>1940</v>
      </c>
      <c r="B1941" s="2" t="str">
        <f>HYPERLINK("https://leetcode.com/problems/longest-common-subsequence-between-sorted-arrays/", "Longest Common Subsequence Between Sorted Arrays")</f>
        <v>Longest Common Subsequence Between Sorted Arrays</v>
      </c>
      <c r="C1941" s="1">
        <v>191</v>
      </c>
      <c r="D1941" s="1">
        <v>7</v>
      </c>
      <c r="E1941" s="3">
        <f>IF(INDEX(C:C, ROW())+INDEX(D:D, ROW())=0, 0, INDEX(C:C, ROW())/(INDEX(C:C, ROW())+INDEX(D:D, ROW())))</f>
        <v>0.96464646464646464</v>
      </c>
      <c r="F1941" s="1" t="s">
        <v>294</v>
      </c>
      <c r="G1941" s="1" t="s">
        <v>24</v>
      </c>
      <c r="H1941" s="1">
        <v>14866</v>
      </c>
      <c r="I1941" s="1">
        <v>18287</v>
      </c>
      <c r="J1941" s="7">
        <v>0.81299999999999994</v>
      </c>
      <c r="K1941" s="1" t="s">
        <v>29</v>
      </c>
      <c r="L1941" s="1" t="s">
        <v>21</v>
      </c>
      <c r="M1941" s="1" t="s">
        <v>29</v>
      </c>
      <c r="N1941" s="1" t="s">
        <v>22</v>
      </c>
    </row>
    <row r="1942" spans="1:14" x14ac:dyDescent="0.25">
      <c r="A1942" s="1">
        <v>1941</v>
      </c>
      <c r="B1942" s="2" t="str">
        <f>HYPERLINK("https://leetcode.com/problems/check-if-all-characters-have-equal-number-of-occurrences/", "Check if All Characters Have Equal Number of Occurrences")</f>
        <v>Check if All Characters Have Equal Number of Occurrences</v>
      </c>
      <c r="C1942" s="1">
        <v>1034</v>
      </c>
      <c r="D1942" s="1">
        <v>29</v>
      </c>
      <c r="E1942" s="3">
        <f>IF(INDEX(C:C, ROW())+INDEX(D:D, ROW())=0, 0, INDEX(C:C, ROW())/(INDEX(C:C, ROW())+INDEX(D:D, ROW())))</f>
        <v>0.97271872060206965</v>
      </c>
      <c r="F1942" s="1" t="s">
        <v>237</v>
      </c>
      <c r="G1942" s="1" t="s">
        <v>20</v>
      </c>
      <c r="H1942" s="1">
        <v>173471</v>
      </c>
      <c r="I1942" s="1">
        <v>218601</v>
      </c>
      <c r="J1942" s="7">
        <v>0.79400000000000004</v>
      </c>
      <c r="K1942" s="1" t="s">
        <v>21</v>
      </c>
      <c r="L1942" s="1" t="s">
        <v>29</v>
      </c>
      <c r="M1942" s="1" t="s">
        <v>29</v>
      </c>
      <c r="N1942" s="1" t="s">
        <v>22</v>
      </c>
    </row>
    <row r="1943" spans="1:14" x14ac:dyDescent="0.25">
      <c r="A1943" s="1">
        <v>1942</v>
      </c>
      <c r="B1943" s="2" t="str">
        <f>HYPERLINK("https://leetcode.com/problems/the-number-of-the-smallest-unoccupied-chair/", "The Number of the Smallest Unoccupied Chair")</f>
        <v>The Number of the Smallest Unoccupied Chair</v>
      </c>
      <c r="C1943" s="1">
        <v>1449</v>
      </c>
      <c r="D1943" s="1">
        <v>78</v>
      </c>
      <c r="E1943" s="3">
        <f>IF(INDEX(C:C, ROW())+INDEX(D:D, ROW())=0, 0, INDEX(C:C, ROW())/(INDEX(C:C, ROW())+INDEX(D:D, ROW())))</f>
        <v>0.94891944990176813</v>
      </c>
      <c r="F1943" s="1" t="s">
        <v>603</v>
      </c>
      <c r="G1943" s="1" t="s">
        <v>24</v>
      </c>
      <c r="H1943" s="1">
        <v>127553</v>
      </c>
      <c r="I1943" s="1">
        <v>211252</v>
      </c>
      <c r="J1943" s="7">
        <v>0.60399999999999998</v>
      </c>
      <c r="K1943" s="1" t="s">
        <v>21</v>
      </c>
      <c r="L1943" s="1" t="s">
        <v>21</v>
      </c>
      <c r="M1943" s="1" t="s">
        <v>29</v>
      </c>
      <c r="N1943" s="1" t="s">
        <v>22</v>
      </c>
    </row>
    <row r="1944" spans="1:14" x14ac:dyDescent="0.25">
      <c r="A1944" s="1">
        <v>1943</v>
      </c>
      <c r="B1944" s="2" t="str">
        <f>HYPERLINK("https://leetcode.com/problems/describe-the-painting/", "Describe the Painting")</f>
        <v>Describe the Painting</v>
      </c>
      <c r="C1944" s="1">
        <v>550</v>
      </c>
      <c r="D1944" s="1">
        <v>50</v>
      </c>
      <c r="E1944" s="3">
        <f>IF(INDEX(C:C, ROW())+INDEX(D:D, ROW())=0, 0, INDEX(C:C, ROW())/(INDEX(C:C, ROW())+INDEX(D:D, ROW())))</f>
        <v>0.91666666666666663</v>
      </c>
      <c r="F1944" s="1" t="s">
        <v>878</v>
      </c>
      <c r="G1944" s="1" t="s">
        <v>24</v>
      </c>
      <c r="H1944" s="1">
        <v>19221</v>
      </c>
      <c r="I1944" s="1">
        <v>37008</v>
      </c>
      <c r="J1944" s="7">
        <v>0.51900000000000002</v>
      </c>
      <c r="K1944" s="1" t="s">
        <v>21</v>
      </c>
      <c r="L1944" s="1" t="s">
        <v>29</v>
      </c>
      <c r="M1944" s="1" t="s">
        <v>29</v>
      </c>
      <c r="N1944" s="1" t="s">
        <v>22</v>
      </c>
    </row>
    <row r="1945" spans="1:14" x14ac:dyDescent="0.25">
      <c r="A1945" s="1">
        <v>1944</v>
      </c>
      <c r="B1945" s="2" t="str">
        <f>HYPERLINK("https://leetcode.com/problems/number-of-visible-people-in-a-queue/", "Number of Visible People in a Queue")</f>
        <v>Number of Visible People in a Queue</v>
      </c>
      <c r="C1945" s="1">
        <v>2159</v>
      </c>
      <c r="D1945" s="1">
        <v>67</v>
      </c>
      <c r="E1945" s="3">
        <f>IF(INDEX(C:C, ROW())+INDEX(D:D, ROW())=0, 0, INDEX(C:C, ROW())/(INDEX(C:C, ROW())+INDEX(D:D, ROW())))</f>
        <v>0.96990116801437554</v>
      </c>
      <c r="F1945" s="1" t="s">
        <v>61</v>
      </c>
      <c r="G1945" s="1" t="s">
        <v>28</v>
      </c>
      <c r="H1945" s="1">
        <v>115442</v>
      </c>
      <c r="I1945" s="1">
        <v>159580</v>
      </c>
      <c r="J1945" s="7">
        <v>0.72299999999999998</v>
      </c>
      <c r="K1945" s="1" t="s">
        <v>21</v>
      </c>
      <c r="L1945" s="1" t="s">
        <v>29</v>
      </c>
      <c r="M1945" s="1" t="s">
        <v>29</v>
      </c>
      <c r="N1945" s="1" t="s">
        <v>22</v>
      </c>
    </row>
    <row r="1946" spans="1:14" x14ac:dyDescent="0.25">
      <c r="A1946" s="1">
        <v>1945</v>
      </c>
      <c r="B1946" s="2" t="str">
        <f>HYPERLINK("https://leetcode.com/problems/sum-of-digits-of-string-after-convert/", "Sum of Digits of String After Convert")</f>
        <v>Sum of Digits of String After Convert</v>
      </c>
      <c r="C1946" s="1">
        <v>1197</v>
      </c>
      <c r="D1946" s="1">
        <v>104</v>
      </c>
      <c r="E1946" s="3">
        <f>IF(INDEX(C:C, ROW())+INDEX(D:D, ROW())=0, 0, INDEX(C:C, ROW())/(INDEX(C:C, ROW())+INDEX(D:D, ROW())))</f>
        <v>0.92006149116064562</v>
      </c>
      <c r="F1946" s="1" t="s">
        <v>414</v>
      </c>
      <c r="G1946" s="1" t="s">
        <v>20</v>
      </c>
      <c r="H1946" s="1">
        <v>235870</v>
      </c>
      <c r="I1946" s="1">
        <v>315373</v>
      </c>
      <c r="J1946" s="7">
        <v>0.748</v>
      </c>
      <c r="K1946" s="1" t="s">
        <v>21</v>
      </c>
      <c r="L1946" s="1" t="s">
        <v>21</v>
      </c>
      <c r="M1946" s="1" t="s">
        <v>29</v>
      </c>
      <c r="N1946" s="1" t="s">
        <v>22</v>
      </c>
    </row>
    <row r="1947" spans="1:14" x14ac:dyDescent="0.25">
      <c r="A1947" s="1">
        <v>1946</v>
      </c>
      <c r="B1947" s="2" t="str">
        <f>HYPERLINK("https://leetcode.com/problems/largest-number-after-mutating-substring/", "Largest Number After Mutating Substring")</f>
        <v>Largest Number After Mutating Substring</v>
      </c>
      <c r="C1947" s="1">
        <v>236</v>
      </c>
      <c r="D1947" s="1">
        <v>232</v>
      </c>
      <c r="E1947" s="3">
        <f>IF(INDEX(C:C, ROW())+INDEX(D:D, ROW())=0, 0, INDEX(C:C, ROW())/(INDEX(C:C, ROW())+INDEX(D:D, ROW())))</f>
        <v>0.50427350427350426</v>
      </c>
      <c r="F1947" s="1" t="s">
        <v>706</v>
      </c>
      <c r="G1947" s="1" t="s">
        <v>24</v>
      </c>
      <c r="H1947" s="1">
        <v>26163</v>
      </c>
      <c r="I1947" s="1">
        <v>69121</v>
      </c>
      <c r="J1947" s="7">
        <v>0.379</v>
      </c>
      <c r="K1947" s="1" t="s">
        <v>21</v>
      </c>
      <c r="L1947" s="1" t="s">
        <v>29</v>
      </c>
      <c r="M1947" s="1" t="s">
        <v>29</v>
      </c>
      <c r="N1947" s="1" t="s">
        <v>22</v>
      </c>
    </row>
    <row r="1948" spans="1:14" x14ac:dyDescent="0.25">
      <c r="A1948" s="1">
        <v>1947</v>
      </c>
      <c r="B1948" s="2" t="str">
        <f>HYPERLINK("https://leetcode.com/problems/maximum-compatibility-score-sum/", "Maximum Compatibility Score Sum")</f>
        <v>Maximum Compatibility Score Sum</v>
      </c>
      <c r="C1948" s="1">
        <v>832</v>
      </c>
      <c r="D1948" s="1">
        <v>32</v>
      </c>
      <c r="E1948" s="3">
        <f>IF(INDEX(C:C, ROW())+INDEX(D:D, ROW())=0, 0, INDEX(C:C, ROW())/(INDEX(C:C, ROW())+INDEX(D:D, ROW())))</f>
        <v>0.96296296296296291</v>
      </c>
      <c r="F1948" s="1" t="s">
        <v>309</v>
      </c>
      <c r="G1948" s="1" t="s">
        <v>24</v>
      </c>
      <c r="H1948" s="1">
        <v>33360</v>
      </c>
      <c r="I1948" s="1">
        <v>51854</v>
      </c>
      <c r="J1948" s="7">
        <v>0.64300000000000002</v>
      </c>
      <c r="K1948" s="1" t="s">
        <v>21</v>
      </c>
      <c r="L1948" s="1" t="s">
        <v>29</v>
      </c>
      <c r="M1948" s="1" t="s">
        <v>29</v>
      </c>
      <c r="N1948" s="1" t="s">
        <v>22</v>
      </c>
    </row>
    <row r="1949" spans="1:14" x14ac:dyDescent="0.25">
      <c r="A1949" s="1">
        <v>1948</v>
      </c>
      <c r="B1949" s="2" t="str">
        <f>HYPERLINK("https://leetcode.com/problems/delete-duplicate-folders-in-system/", "Delete Duplicate Folders in System")</f>
        <v>Delete Duplicate Folders in System</v>
      </c>
      <c r="C1949" s="1">
        <v>618</v>
      </c>
      <c r="D1949" s="1">
        <v>142</v>
      </c>
      <c r="E1949" s="3">
        <f>IF(INDEX(C:C, ROW())+INDEX(D:D, ROW())=0, 0, INDEX(C:C, ROW())/(INDEX(C:C, ROW())+INDEX(D:D, ROW())))</f>
        <v>0.81315789473684208</v>
      </c>
      <c r="F1949" s="1" t="s">
        <v>839</v>
      </c>
      <c r="G1949" s="1" t="s">
        <v>28</v>
      </c>
      <c r="H1949" s="1">
        <v>67775</v>
      </c>
      <c r="I1949" s="1">
        <v>87216</v>
      </c>
      <c r="J1949" s="7">
        <v>0.77700000000000002</v>
      </c>
      <c r="K1949" s="1" t="s">
        <v>21</v>
      </c>
      <c r="L1949" s="1" t="s">
        <v>21</v>
      </c>
      <c r="M1949" s="1" t="s">
        <v>29</v>
      </c>
      <c r="N1949" s="1" t="s">
        <v>22</v>
      </c>
    </row>
    <row r="1950" spans="1:14" x14ac:dyDescent="0.25">
      <c r="A1950" s="1">
        <v>1949</v>
      </c>
      <c r="B1950" s="2" t="str">
        <f>HYPERLINK("https://leetcode.com/problems/strong-friendship/", "Strong Friendship")</f>
        <v>Strong Friendship</v>
      </c>
      <c r="C1950" s="1">
        <v>167</v>
      </c>
      <c r="D1950" s="1">
        <v>86</v>
      </c>
      <c r="E1950" s="3">
        <f>IF(INDEX(C:C, ROW())+INDEX(D:D, ROW())=0, 0, INDEX(C:C, ROW())/(INDEX(C:C, ROW())+INDEX(D:D, ROW())))</f>
        <v>0.66007905138339917</v>
      </c>
      <c r="F1950" s="1" t="s">
        <v>297</v>
      </c>
      <c r="G1950" s="1" t="s">
        <v>24</v>
      </c>
      <c r="H1950" s="1">
        <v>16271</v>
      </c>
      <c r="I1950" s="1">
        <v>29910</v>
      </c>
      <c r="J1950" s="7">
        <v>0.54400000000000004</v>
      </c>
      <c r="K1950" s="1" t="s">
        <v>29</v>
      </c>
      <c r="L1950" s="1" t="s">
        <v>29</v>
      </c>
      <c r="M1950" s="1" t="s">
        <v>29</v>
      </c>
      <c r="N1950" s="1" t="s">
        <v>297</v>
      </c>
    </row>
    <row r="1951" spans="1:14" x14ac:dyDescent="0.25">
      <c r="A1951" s="1">
        <v>1950</v>
      </c>
      <c r="B1951" s="2" t="str">
        <f>HYPERLINK("https://leetcode.com/problems/maximum-of-minimum-values-in-all-subarrays/", "Maximum of Minimum Values in All Subarrays")</f>
        <v>Maximum of Minimum Values in All Subarrays</v>
      </c>
      <c r="C1951" s="1">
        <v>146</v>
      </c>
      <c r="D1951" s="1">
        <v>56</v>
      </c>
      <c r="E1951" s="3">
        <f>IF(INDEX(C:C, ROW())+INDEX(D:D, ROW())=0, 0, INDEX(C:C, ROW())/(INDEX(C:C, ROW())+INDEX(D:D, ROW())))</f>
        <v>0.72277227722772275</v>
      </c>
      <c r="F1951" s="1" t="s">
        <v>61</v>
      </c>
      <c r="G1951" s="1" t="s">
        <v>24</v>
      </c>
      <c r="H1951" s="1">
        <v>3563</v>
      </c>
      <c r="I1951" s="1">
        <v>7425</v>
      </c>
      <c r="J1951" s="7">
        <v>0.48</v>
      </c>
      <c r="K1951" s="1" t="s">
        <v>29</v>
      </c>
      <c r="L1951" s="1" t="s">
        <v>29</v>
      </c>
      <c r="M1951" s="1" t="s">
        <v>29</v>
      </c>
      <c r="N1951" s="1" t="s">
        <v>22</v>
      </c>
    </row>
    <row r="1952" spans="1:14" x14ac:dyDescent="0.25">
      <c r="A1952" s="1">
        <v>1951</v>
      </c>
      <c r="B1952" s="2" t="str">
        <f>HYPERLINK("https://leetcode.com/problems/all-the-pairs-with-the-maximum-number-of-common-followers/", "All the Pairs With the Maximum Number of Common Followers")</f>
        <v>All the Pairs With the Maximum Number of Common Followers</v>
      </c>
      <c r="C1952" s="1">
        <v>99</v>
      </c>
      <c r="D1952" s="1">
        <v>7</v>
      </c>
      <c r="E1952" s="3">
        <f>IF(INDEX(C:C, ROW())+INDEX(D:D, ROW())=0, 0, INDEX(C:C, ROW())/(INDEX(C:C, ROW())+INDEX(D:D, ROW())))</f>
        <v>0.93396226415094341</v>
      </c>
      <c r="F1952" s="1" t="s">
        <v>297</v>
      </c>
      <c r="G1952" s="1" t="s">
        <v>24</v>
      </c>
      <c r="H1952" s="1">
        <v>14222</v>
      </c>
      <c r="I1952" s="1">
        <v>20448</v>
      </c>
      <c r="J1952" s="7">
        <v>0.69599999999999995</v>
      </c>
      <c r="K1952" s="1" t="s">
        <v>29</v>
      </c>
      <c r="L1952" s="1" t="s">
        <v>29</v>
      </c>
      <c r="M1952" s="1" t="s">
        <v>29</v>
      </c>
      <c r="N1952" s="1" t="s">
        <v>297</v>
      </c>
    </row>
    <row r="1953" spans="1:14" x14ac:dyDescent="0.25">
      <c r="A1953" s="1">
        <v>1952</v>
      </c>
      <c r="B1953" s="2" t="str">
        <f>HYPERLINK("https://leetcode.com/problems/three-divisors/", "Three Divisors")</f>
        <v>Three Divisors</v>
      </c>
      <c r="C1953" s="1">
        <v>632</v>
      </c>
      <c r="D1953" s="1">
        <v>35</v>
      </c>
      <c r="E1953" s="3">
        <f>IF(INDEX(C:C, ROW())+INDEX(D:D, ROW())=0, 0, INDEX(C:C, ROW())/(INDEX(C:C, ROW())+INDEX(D:D, ROW())))</f>
        <v>0.94752623688155924</v>
      </c>
      <c r="F1953" s="1" t="s">
        <v>812</v>
      </c>
      <c r="G1953" s="1" t="s">
        <v>20</v>
      </c>
      <c r="H1953" s="1">
        <v>131083</v>
      </c>
      <c r="I1953" s="1">
        <v>205109</v>
      </c>
      <c r="J1953" s="7">
        <v>0.63900000000000001</v>
      </c>
      <c r="K1953" s="1" t="s">
        <v>21</v>
      </c>
      <c r="L1953" s="1" t="s">
        <v>29</v>
      </c>
      <c r="M1953" s="1" t="s">
        <v>29</v>
      </c>
      <c r="N1953" s="1" t="s">
        <v>22</v>
      </c>
    </row>
    <row r="1954" spans="1:14" x14ac:dyDescent="0.25">
      <c r="A1954" s="1">
        <v>1953</v>
      </c>
      <c r="B1954" s="2" t="str">
        <f>HYPERLINK("https://leetcode.com/problems/maximum-number-of-weeks-for-which-you-can-work/", "Maximum Number of Weeks for Which You Can Work")</f>
        <v>Maximum Number of Weeks for Which You Can Work</v>
      </c>
      <c r="C1954" s="1">
        <v>694</v>
      </c>
      <c r="D1954" s="1">
        <v>163</v>
      </c>
      <c r="E1954" s="3">
        <f>IF(INDEX(C:C, ROW())+INDEX(D:D, ROW())=0, 0, INDEX(C:C, ROW())/(INDEX(C:C, ROW())+INDEX(D:D, ROW())))</f>
        <v>0.80980163360560098</v>
      </c>
      <c r="F1954" s="1" t="s">
        <v>96</v>
      </c>
      <c r="G1954" s="1" t="s">
        <v>24</v>
      </c>
      <c r="H1954" s="1">
        <v>30225</v>
      </c>
      <c r="I1954" s="1">
        <v>71451</v>
      </c>
      <c r="J1954" s="7">
        <v>0.42299999999999999</v>
      </c>
      <c r="K1954" s="1" t="s">
        <v>21</v>
      </c>
      <c r="L1954" s="1" t="s">
        <v>29</v>
      </c>
      <c r="M1954" s="1" t="s">
        <v>29</v>
      </c>
      <c r="N1954" s="1" t="s">
        <v>22</v>
      </c>
    </row>
    <row r="1955" spans="1:14" x14ac:dyDescent="0.25">
      <c r="A1955" s="1">
        <v>1954</v>
      </c>
      <c r="B1955" s="2" t="str">
        <f>HYPERLINK("https://leetcode.com/problems/minimum-garden-perimeter-to-collect-enough-apples/", "Minimum Garden Perimeter to Collect Enough Apples")</f>
        <v>Minimum Garden Perimeter to Collect Enough Apples</v>
      </c>
      <c r="C1955" s="1">
        <v>407</v>
      </c>
      <c r="D1955" s="1">
        <v>99</v>
      </c>
      <c r="E1955" s="3">
        <f>IF(INDEX(C:C, ROW())+INDEX(D:D, ROW())=0, 0, INDEX(C:C, ROW())/(INDEX(C:C, ROW())+INDEX(D:D, ROW())))</f>
        <v>0.80434782608695654</v>
      </c>
      <c r="F1955" s="1" t="s">
        <v>139</v>
      </c>
      <c r="G1955" s="1" t="s">
        <v>24</v>
      </c>
      <c r="H1955" s="1">
        <v>21105</v>
      </c>
      <c r="I1955" s="1">
        <v>38051</v>
      </c>
      <c r="J1955" s="7">
        <v>0.55500000000000005</v>
      </c>
      <c r="K1955" s="1" t="s">
        <v>21</v>
      </c>
      <c r="L1955" s="1" t="s">
        <v>29</v>
      </c>
      <c r="M1955" s="1" t="s">
        <v>29</v>
      </c>
      <c r="N1955" s="1" t="s">
        <v>22</v>
      </c>
    </row>
    <row r="1956" spans="1:14" x14ac:dyDescent="0.25">
      <c r="A1956" s="1">
        <v>1955</v>
      </c>
      <c r="B1956" s="2" t="str">
        <f>HYPERLINK("https://leetcode.com/problems/count-number-of-special-subsequences/", "Count Number of Special Subsequences")</f>
        <v>Count Number of Special Subsequences</v>
      </c>
      <c r="C1956" s="1">
        <v>548</v>
      </c>
      <c r="D1956" s="1">
        <v>11</v>
      </c>
      <c r="E1956" s="3">
        <f>IF(INDEX(C:C, ROW())+INDEX(D:D, ROW())=0, 0, INDEX(C:C, ROW())/(INDEX(C:C, ROW())+INDEX(D:D, ROW())))</f>
        <v>0.98032200357781751</v>
      </c>
      <c r="F1956" s="1" t="s">
        <v>30</v>
      </c>
      <c r="G1956" s="1" t="s">
        <v>28</v>
      </c>
      <c r="H1956" s="1">
        <v>15176</v>
      </c>
      <c r="I1956" s="1">
        <v>28795</v>
      </c>
      <c r="J1956" s="7">
        <v>0.52700000000000002</v>
      </c>
      <c r="K1956" s="1" t="s">
        <v>21</v>
      </c>
      <c r="L1956" s="1" t="s">
        <v>29</v>
      </c>
      <c r="M1956" s="1" t="s">
        <v>29</v>
      </c>
      <c r="N1956" s="1" t="s">
        <v>22</v>
      </c>
    </row>
    <row r="1957" spans="1:14" x14ac:dyDescent="0.25">
      <c r="A1957" s="1">
        <v>1956</v>
      </c>
      <c r="B1957" s="2" t="str">
        <f>HYPERLINK("https://leetcode.com/problems/minimum-time-for-k-virus-variants-to-spread/", "Minimum Time For K Virus Variants to Spread")</f>
        <v>Minimum Time For K Virus Variants to Spread</v>
      </c>
      <c r="C1957" s="1">
        <v>32</v>
      </c>
      <c r="D1957" s="1">
        <v>7</v>
      </c>
      <c r="E1957" s="3">
        <f>IF(INDEX(C:C, ROW())+INDEX(D:D, ROW())=0, 0, INDEX(C:C, ROW())/(INDEX(C:C, ROW())+INDEX(D:D, ROW())))</f>
        <v>0.82051282051282048</v>
      </c>
      <c r="F1957" s="1" t="s">
        <v>1299</v>
      </c>
      <c r="G1957" s="1" t="s">
        <v>28</v>
      </c>
      <c r="H1957" s="1">
        <v>1348</v>
      </c>
      <c r="I1957" s="1">
        <v>2648</v>
      </c>
      <c r="J1957" s="7">
        <v>0.50900000000000001</v>
      </c>
      <c r="K1957" s="1" t="s">
        <v>29</v>
      </c>
      <c r="L1957" s="1" t="s">
        <v>29</v>
      </c>
      <c r="M1957" s="1" t="s">
        <v>29</v>
      </c>
      <c r="N1957" s="1" t="s">
        <v>22</v>
      </c>
    </row>
    <row r="1958" spans="1:14" x14ac:dyDescent="0.25">
      <c r="A1958" s="1">
        <v>1957</v>
      </c>
      <c r="B1958" s="2" t="str">
        <f>HYPERLINK("https://leetcode.com/problems/delete-characters-to-make-fancy-string/", "Delete Characters to Make Fancy String")</f>
        <v>Delete Characters to Make Fancy String</v>
      </c>
      <c r="C1958" s="1">
        <v>1175</v>
      </c>
      <c r="D1958" s="1">
        <v>54</v>
      </c>
      <c r="E1958" s="3">
        <f>IF(INDEX(C:C, ROW())+INDEX(D:D, ROW())=0, 0, INDEX(C:C, ROW())/(INDEX(C:C, ROW())+INDEX(D:D, ROW())))</f>
        <v>0.95606183889340923</v>
      </c>
      <c r="F1958" s="1" t="s">
        <v>146</v>
      </c>
      <c r="G1958" s="1" t="s">
        <v>20</v>
      </c>
      <c r="H1958" s="1">
        <v>339767</v>
      </c>
      <c r="I1958" s="1">
        <v>458453</v>
      </c>
      <c r="J1958" s="7">
        <v>0.74099999999999999</v>
      </c>
      <c r="K1958" s="1" t="s">
        <v>21</v>
      </c>
      <c r="L1958" s="1" t="s">
        <v>21</v>
      </c>
      <c r="M1958" s="1" t="s">
        <v>29</v>
      </c>
      <c r="N1958" s="1" t="s">
        <v>22</v>
      </c>
    </row>
    <row r="1959" spans="1:14" x14ac:dyDescent="0.25">
      <c r="A1959" s="1">
        <v>1958</v>
      </c>
      <c r="B1959" s="2" t="str">
        <f>HYPERLINK("https://leetcode.com/problems/check-if-move-is-legal/", "Check if Move is Legal")</f>
        <v>Check if Move is Legal</v>
      </c>
      <c r="C1959" s="1">
        <v>180</v>
      </c>
      <c r="D1959" s="1">
        <v>283</v>
      </c>
      <c r="E1959" s="3">
        <f>IF(INDEX(C:C, ROW())+INDEX(D:D, ROW())=0, 0, INDEX(C:C, ROW())/(INDEX(C:C, ROW())+INDEX(D:D, ROW())))</f>
        <v>0.38876889848812096</v>
      </c>
      <c r="F1959" s="1" t="s">
        <v>982</v>
      </c>
      <c r="G1959" s="1" t="s">
        <v>24</v>
      </c>
      <c r="H1959" s="1">
        <v>18063</v>
      </c>
      <c r="I1959" s="1">
        <v>36121</v>
      </c>
      <c r="J1959" s="7">
        <v>0.5</v>
      </c>
      <c r="K1959" s="1" t="s">
        <v>21</v>
      </c>
      <c r="L1959" s="1" t="s">
        <v>29</v>
      </c>
      <c r="M1959" s="1" t="s">
        <v>29</v>
      </c>
      <c r="N1959" s="1" t="s">
        <v>22</v>
      </c>
    </row>
    <row r="1960" spans="1:14" x14ac:dyDescent="0.25">
      <c r="A1960" s="1">
        <v>1959</v>
      </c>
      <c r="B1960" s="2" t="str">
        <f>HYPERLINK("https://leetcode.com/problems/minimum-total-space-wasted-with-k-resizing-operations/", "Minimum Total Space Wasted With K Resizing Operations")</f>
        <v>Minimum Total Space Wasted With K Resizing Operations</v>
      </c>
      <c r="C1960" s="1">
        <v>592</v>
      </c>
      <c r="D1960" s="1">
        <v>63</v>
      </c>
      <c r="E1960" s="3">
        <f>IF(INDEX(C:C, ROW())+INDEX(D:D, ROW())=0, 0, INDEX(C:C, ROW())/(INDEX(C:C, ROW())+INDEX(D:D, ROW())))</f>
        <v>0.90381679389312974</v>
      </c>
      <c r="F1960" s="1" t="s">
        <v>407</v>
      </c>
      <c r="G1960" s="1" t="s">
        <v>24</v>
      </c>
      <c r="H1960" s="1">
        <v>10925</v>
      </c>
      <c r="I1960" s="1">
        <v>24896</v>
      </c>
      <c r="J1960" s="7">
        <v>0.439</v>
      </c>
      <c r="K1960" s="1" t="s">
        <v>21</v>
      </c>
      <c r="L1960" s="1" t="s">
        <v>29</v>
      </c>
      <c r="M1960" s="1" t="s">
        <v>29</v>
      </c>
      <c r="N1960" s="1" t="s">
        <v>22</v>
      </c>
    </row>
    <row r="1961" spans="1:14" x14ac:dyDescent="0.25">
      <c r="A1961" s="1">
        <v>1960</v>
      </c>
      <c r="B1961" s="2" t="str">
        <f>HYPERLINK("https://leetcode.com/problems/maximum-product-of-the-length-of-two-palindromic-substrings/", "Maximum Product of the Length of Two Palindromic Substrings")</f>
        <v>Maximum Product of the Length of Two Palindromic Substrings</v>
      </c>
      <c r="C1961" s="1">
        <v>255</v>
      </c>
      <c r="D1961" s="1">
        <v>43</v>
      </c>
      <c r="E1961" s="3">
        <f>IF(INDEX(C:C, ROW())+INDEX(D:D, ROW())=0, 0, INDEX(C:C, ROW())/(INDEX(C:C, ROW())+INDEX(D:D, ROW())))</f>
        <v>0.85570469798657722</v>
      </c>
      <c r="F1961" s="1" t="s">
        <v>1062</v>
      </c>
      <c r="G1961" s="1" t="s">
        <v>28</v>
      </c>
      <c r="H1961" s="1">
        <v>4892</v>
      </c>
      <c r="I1961" s="1">
        <v>15815</v>
      </c>
      <c r="J1961" s="7">
        <v>0.309</v>
      </c>
      <c r="K1961" s="1" t="s">
        <v>21</v>
      </c>
      <c r="L1961" s="1" t="s">
        <v>29</v>
      </c>
      <c r="M1961" s="1" t="s">
        <v>29</v>
      </c>
      <c r="N1961" s="1" t="s">
        <v>22</v>
      </c>
    </row>
    <row r="1962" spans="1:14" x14ac:dyDescent="0.25">
      <c r="A1962" s="1">
        <v>1961</v>
      </c>
      <c r="B1962" s="2" t="str">
        <f>HYPERLINK("https://leetcode.com/problems/check-if-string-is-a-prefix-of-array/", "Check If String Is a Prefix of Array")</f>
        <v>Check If String Is a Prefix of Array</v>
      </c>
      <c r="C1962" s="1">
        <v>554</v>
      </c>
      <c r="D1962" s="1">
        <v>109</v>
      </c>
      <c r="E1962" s="3">
        <f>IF(INDEX(C:C, ROW())+INDEX(D:D, ROW())=0, 0, INDEX(C:C, ROW())/(INDEX(C:C, ROW())+INDEX(D:D, ROW())))</f>
        <v>0.83559577677224739</v>
      </c>
      <c r="F1962" s="1" t="s">
        <v>360</v>
      </c>
      <c r="G1962" s="1" t="s">
        <v>20</v>
      </c>
      <c r="H1962" s="1">
        <v>83371</v>
      </c>
      <c r="I1962" s="1">
        <v>158077</v>
      </c>
      <c r="J1962" s="7">
        <v>0.52700000000000002</v>
      </c>
      <c r="K1962" s="1" t="s">
        <v>21</v>
      </c>
      <c r="L1962" s="1" t="s">
        <v>29</v>
      </c>
      <c r="M1962" s="1" t="s">
        <v>29</v>
      </c>
      <c r="N1962" s="1" t="s">
        <v>22</v>
      </c>
    </row>
    <row r="1963" spans="1:14" x14ac:dyDescent="0.25">
      <c r="A1963" s="1">
        <v>1962</v>
      </c>
      <c r="B1963" s="2" t="str">
        <f>HYPERLINK("https://leetcode.com/problems/remove-stones-to-minimize-the-total/", "Remove Stones to Minimize the Total")</f>
        <v>Remove Stones to Minimize the Total</v>
      </c>
      <c r="C1963" s="1">
        <v>1958</v>
      </c>
      <c r="D1963" s="1">
        <v>182</v>
      </c>
      <c r="E1963" s="3">
        <f>IF(INDEX(C:C, ROW())+INDEX(D:D, ROW())=0, 0, INDEX(C:C, ROW())/(INDEX(C:C, ROW())+INDEX(D:D, ROW())))</f>
        <v>0.91495327102803736</v>
      </c>
      <c r="F1963" s="1" t="s">
        <v>221</v>
      </c>
      <c r="G1963" s="1" t="s">
        <v>24</v>
      </c>
      <c r="H1963" s="1">
        <v>147035</v>
      </c>
      <c r="I1963" s="1">
        <v>224541</v>
      </c>
      <c r="J1963" s="7">
        <v>0.65500000000000003</v>
      </c>
      <c r="K1963" s="1" t="s">
        <v>21</v>
      </c>
      <c r="L1963" s="1" t="s">
        <v>21</v>
      </c>
      <c r="M1963" s="1" t="s">
        <v>29</v>
      </c>
      <c r="N1963" s="1" t="s">
        <v>22</v>
      </c>
    </row>
    <row r="1964" spans="1:14" x14ac:dyDescent="0.25">
      <c r="A1964" s="1">
        <v>1963</v>
      </c>
      <c r="B1964" s="2" t="str">
        <f>HYPERLINK("https://leetcode.com/problems/minimum-number-of-swaps-to-make-the-string-balanced/", "Minimum Number of Swaps to Make the String Balanced")</f>
        <v>Minimum Number of Swaps to Make the String Balanced</v>
      </c>
      <c r="C1964" s="1">
        <v>2561</v>
      </c>
      <c r="D1964" s="1">
        <v>150</v>
      </c>
      <c r="E1964" s="3">
        <f>IF(INDEX(C:C, ROW())+INDEX(D:D, ROW())=0, 0, INDEX(C:C, ROW())/(INDEX(C:C, ROW())+INDEX(D:D, ROW())))</f>
        <v>0.94466986351899673</v>
      </c>
      <c r="F1964" s="1" t="s">
        <v>416</v>
      </c>
      <c r="G1964" s="1" t="s">
        <v>24</v>
      </c>
      <c r="H1964" s="1">
        <v>242360</v>
      </c>
      <c r="I1964" s="1">
        <v>310148</v>
      </c>
      <c r="J1964" s="7">
        <v>0.78100000000000003</v>
      </c>
      <c r="K1964" s="1" t="s">
        <v>21</v>
      </c>
      <c r="L1964" s="1" t="s">
        <v>21</v>
      </c>
      <c r="M1964" s="1" t="s">
        <v>29</v>
      </c>
      <c r="N1964" s="1" t="s">
        <v>22</v>
      </c>
    </row>
    <row r="1965" spans="1:14" x14ac:dyDescent="0.25">
      <c r="A1965" s="1">
        <v>1964</v>
      </c>
      <c r="B1965" s="2" t="str">
        <f>HYPERLINK("https://leetcode.com/problems/find-the-longest-valid-obstacle-course-at-each-position/", "Find the Longest Valid Obstacle Course at Each Position")</f>
        <v>Find the Longest Valid Obstacle Course at Each Position</v>
      </c>
      <c r="C1965" s="1">
        <v>1889</v>
      </c>
      <c r="D1965" s="1">
        <v>74</v>
      </c>
      <c r="E1965" s="3">
        <f>IF(INDEX(C:C, ROW())+INDEX(D:D, ROW())=0, 0, INDEX(C:C, ROW())/(INDEX(C:C, ROW())+INDEX(D:D, ROW())))</f>
        <v>0.9623025980641875</v>
      </c>
      <c r="F1965" s="1" t="s">
        <v>520</v>
      </c>
      <c r="G1965" s="1" t="s">
        <v>28</v>
      </c>
      <c r="H1965" s="1">
        <v>68098</v>
      </c>
      <c r="I1965" s="1">
        <v>108846</v>
      </c>
      <c r="J1965" s="7">
        <v>0.626</v>
      </c>
      <c r="K1965" s="1" t="s">
        <v>21</v>
      </c>
      <c r="L1965" s="1" t="s">
        <v>21</v>
      </c>
      <c r="M1965" s="1" t="s">
        <v>29</v>
      </c>
      <c r="N1965" s="1" t="s">
        <v>22</v>
      </c>
    </row>
    <row r="1966" spans="1:14" x14ac:dyDescent="0.25">
      <c r="A1966" s="1">
        <v>1965</v>
      </c>
      <c r="B1966" s="2" t="str">
        <f>HYPERLINK("https://leetcode.com/problems/employees-with-missing-information/", "Employees With Missing Information")</f>
        <v>Employees With Missing Information</v>
      </c>
      <c r="C1966" s="1">
        <v>790</v>
      </c>
      <c r="D1966" s="1">
        <v>41</v>
      </c>
      <c r="E1966" s="3">
        <f>IF(INDEX(C:C, ROW())+INDEX(D:D, ROW())=0, 0, INDEX(C:C, ROW())/(INDEX(C:C, ROW())+INDEX(D:D, ROW())))</f>
        <v>0.95066185318892904</v>
      </c>
      <c r="F1966" s="1" t="s">
        <v>297</v>
      </c>
      <c r="G1966" s="1" t="s">
        <v>20</v>
      </c>
      <c r="H1966" s="1">
        <v>174958</v>
      </c>
      <c r="I1966" s="1">
        <v>239529</v>
      </c>
      <c r="J1966" s="7">
        <v>0.73</v>
      </c>
      <c r="K1966" s="1" t="s">
        <v>21</v>
      </c>
      <c r="L1966" s="1" t="s">
        <v>21</v>
      </c>
      <c r="M1966" s="1" t="s">
        <v>29</v>
      </c>
      <c r="N1966" s="1" t="s">
        <v>297</v>
      </c>
    </row>
    <row r="1967" spans="1:14" x14ac:dyDescent="0.25">
      <c r="A1967" s="1">
        <v>1966</v>
      </c>
      <c r="B1967" s="2" t="str">
        <f>HYPERLINK("https://leetcode.com/problems/binary-searchable-numbers-in-an-unsorted-array/", "Binary Searchable Numbers in an Unsorted Array")</f>
        <v>Binary Searchable Numbers in an Unsorted Array</v>
      </c>
      <c r="C1967" s="1">
        <v>79</v>
      </c>
      <c r="D1967" s="1">
        <v>13</v>
      </c>
      <c r="E1967" s="3">
        <f>IF(INDEX(C:C, ROW())+INDEX(D:D, ROW())=0, 0, INDEX(C:C, ROW())/(INDEX(C:C, ROW())+INDEX(D:D, ROW())))</f>
        <v>0.85869565217391308</v>
      </c>
      <c r="F1967" s="1" t="s">
        <v>1060</v>
      </c>
      <c r="G1967" s="1" t="s">
        <v>24</v>
      </c>
      <c r="H1967" s="1">
        <v>3715</v>
      </c>
      <c r="I1967" s="1">
        <v>5866</v>
      </c>
      <c r="J1967" s="7">
        <v>0.63300000000000001</v>
      </c>
      <c r="K1967" s="1" t="s">
        <v>29</v>
      </c>
      <c r="L1967" s="1" t="s">
        <v>29</v>
      </c>
      <c r="M1967" s="1" t="s">
        <v>29</v>
      </c>
      <c r="N1967" s="1" t="s">
        <v>22</v>
      </c>
    </row>
    <row r="1968" spans="1:14" x14ac:dyDescent="0.25">
      <c r="A1968" s="1">
        <v>1967</v>
      </c>
      <c r="B1968" s="2" t="str">
        <f>HYPERLINK("https://leetcode.com/problems/number-of-strings-that-appear-as-substrings-in-word/", "Number of Strings That Appear as Substrings in Word")</f>
        <v>Number of Strings That Appear as Substrings in Word</v>
      </c>
      <c r="C1968" s="1">
        <v>756</v>
      </c>
      <c r="D1968" s="1">
        <v>42</v>
      </c>
      <c r="E1968" s="3">
        <f>IF(INDEX(C:C, ROW())+INDEX(D:D, ROW())=0, 0, INDEX(C:C, ROW())/(INDEX(C:C, ROW())+INDEX(D:D, ROW())))</f>
        <v>0.94736842105263153</v>
      </c>
      <c r="F1968" s="1" t="s">
        <v>369</v>
      </c>
      <c r="G1968" s="1" t="s">
        <v>20</v>
      </c>
      <c r="H1968" s="1">
        <v>103537</v>
      </c>
      <c r="I1968" s="1">
        <v>125602</v>
      </c>
      <c r="J1968" s="7">
        <v>0.82399999999999995</v>
      </c>
      <c r="K1968" s="1" t="s">
        <v>21</v>
      </c>
      <c r="L1968" s="1" t="s">
        <v>29</v>
      </c>
      <c r="M1968" s="1" t="s">
        <v>29</v>
      </c>
      <c r="N1968" s="1" t="s">
        <v>22</v>
      </c>
    </row>
    <row r="1969" spans="1:14" x14ac:dyDescent="0.25">
      <c r="A1969" s="1">
        <v>1968</v>
      </c>
      <c r="B1969" s="2" t="str">
        <f>HYPERLINK("https://leetcode.com/problems/array-with-elements-not-equal-to-average-of-neighbors/", "Array With Elements Not Equal to Average of Neighbors")</f>
        <v>Array With Elements Not Equal to Average of Neighbors</v>
      </c>
      <c r="C1969" s="1">
        <v>659</v>
      </c>
      <c r="D1969" s="1">
        <v>58</v>
      </c>
      <c r="E1969" s="3">
        <f>IF(INDEX(C:C, ROW())+INDEX(D:D, ROW())=0, 0, INDEX(C:C, ROW())/(INDEX(C:C, ROW())+INDEX(D:D, ROW())))</f>
        <v>0.9191073919107392</v>
      </c>
      <c r="F1969" s="1" t="s">
        <v>169</v>
      </c>
      <c r="G1969" s="1" t="s">
        <v>24</v>
      </c>
      <c r="H1969" s="1">
        <v>48893</v>
      </c>
      <c r="I1969" s="1">
        <v>96631</v>
      </c>
      <c r="J1969" s="7">
        <v>0.50600000000000001</v>
      </c>
      <c r="K1969" s="1" t="s">
        <v>21</v>
      </c>
      <c r="L1969" s="1" t="s">
        <v>29</v>
      </c>
      <c r="M1969" s="1" t="s">
        <v>29</v>
      </c>
      <c r="N1969" s="1" t="s">
        <v>22</v>
      </c>
    </row>
    <row r="1970" spans="1:14" x14ac:dyDescent="0.25">
      <c r="A1970" s="1">
        <v>1969</v>
      </c>
      <c r="B1970" s="2" t="str">
        <f>HYPERLINK("https://leetcode.com/problems/minimum-non-zero-product-of-the-array-elements/", "Minimum Non-Zero Product of the Array Elements")</f>
        <v>Minimum Non-Zero Product of the Array Elements</v>
      </c>
      <c r="C1970" s="1">
        <v>282</v>
      </c>
      <c r="D1970" s="1">
        <v>399</v>
      </c>
      <c r="E1970" s="3">
        <f>IF(INDEX(C:C, ROW())+INDEX(D:D, ROW())=0, 0, INDEX(C:C, ROW())/(INDEX(C:C, ROW())+INDEX(D:D, ROW())))</f>
        <v>0.41409691629955947</v>
      </c>
      <c r="F1970" s="1" t="s">
        <v>1052</v>
      </c>
      <c r="G1970" s="1" t="s">
        <v>24</v>
      </c>
      <c r="H1970" s="1">
        <v>15711</v>
      </c>
      <c r="I1970" s="1">
        <v>41999</v>
      </c>
      <c r="J1970" s="7">
        <v>0.374</v>
      </c>
      <c r="K1970" s="1" t="s">
        <v>21</v>
      </c>
      <c r="L1970" s="1" t="s">
        <v>29</v>
      </c>
      <c r="M1970" s="1" t="s">
        <v>29</v>
      </c>
      <c r="N1970" s="1" t="s">
        <v>22</v>
      </c>
    </row>
    <row r="1971" spans="1:14" x14ac:dyDescent="0.25">
      <c r="A1971" s="1">
        <v>1970</v>
      </c>
      <c r="B1971" s="2" t="str">
        <f>HYPERLINK("https://leetcode.com/problems/last-day-where-you-can-still-cross/", "Last Day Where You Can Still Cross")</f>
        <v>Last Day Where You Can Still Cross</v>
      </c>
      <c r="C1971" s="1">
        <v>2374</v>
      </c>
      <c r="D1971" s="1">
        <v>48</v>
      </c>
      <c r="E1971" s="3">
        <f>IF(INDEX(C:C, ROW())+INDEX(D:D, ROW())=0, 0, INDEX(C:C, ROW())/(INDEX(C:C, ROW())+INDEX(D:D, ROW())))</f>
        <v>0.98018166804293971</v>
      </c>
      <c r="F1971" s="1" t="s">
        <v>445</v>
      </c>
      <c r="G1971" s="1" t="s">
        <v>28</v>
      </c>
      <c r="H1971" s="1">
        <v>129043</v>
      </c>
      <c r="I1971" s="1">
        <v>187978</v>
      </c>
      <c r="J1971" s="7">
        <v>0.68600000000000005</v>
      </c>
      <c r="K1971" s="1" t="s">
        <v>21</v>
      </c>
      <c r="L1971" s="1" t="s">
        <v>21</v>
      </c>
      <c r="M1971" s="1" t="s">
        <v>29</v>
      </c>
      <c r="N1971" s="1" t="s">
        <v>22</v>
      </c>
    </row>
    <row r="1972" spans="1:14" x14ac:dyDescent="0.25">
      <c r="A1972" s="1">
        <v>1971</v>
      </c>
      <c r="B1972" s="2" t="str">
        <f>HYPERLINK("https://leetcode.com/problems/find-if-path-exists-in-graph/", "Find if Path Exists in Graph")</f>
        <v>Find if Path Exists in Graph</v>
      </c>
      <c r="C1972" s="1">
        <v>4284</v>
      </c>
      <c r="D1972" s="1">
        <v>252</v>
      </c>
      <c r="E1972" s="3">
        <f>IF(INDEX(C:C, ROW())+INDEX(D:D, ROW())=0, 0, INDEX(C:C, ROW())/(INDEX(C:C, ROW())+INDEX(D:D, ROW())))</f>
        <v>0.94444444444444442</v>
      </c>
      <c r="F1972" s="1" t="s">
        <v>122</v>
      </c>
      <c r="G1972" s="1" t="s">
        <v>20</v>
      </c>
      <c r="H1972" s="1">
        <v>660543</v>
      </c>
      <c r="I1972" s="1">
        <v>1206524</v>
      </c>
      <c r="J1972" s="7">
        <v>0.54700000000000004</v>
      </c>
      <c r="K1972" s="1" t="s">
        <v>21</v>
      </c>
      <c r="L1972" s="1" t="s">
        <v>21</v>
      </c>
      <c r="M1972" s="1" t="s">
        <v>29</v>
      </c>
      <c r="N1972" s="1" t="s">
        <v>22</v>
      </c>
    </row>
    <row r="1973" spans="1:14" x14ac:dyDescent="0.25">
      <c r="A1973" s="1">
        <v>1972</v>
      </c>
      <c r="B1973" s="2" t="str">
        <f>HYPERLINK("https://leetcode.com/problems/first-and-last-call-on-the-same-day/", "First and Last Call On the Same Day")</f>
        <v>First and Last Call On the Same Day</v>
      </c>
      <c r="C1973" s="1">
        <v>139</v>
      </c>
      <c r="D1973" s="1">
        <v>44</v>
      </c>
      <c r="E1973" s="3">
        <f>IF(INDEX(C:C, ROW())+INDEX(D:D, ROW())=0, 0, INDEX(C:C, ROW())/(INDEX(C:C, ROW())+INDEX(D:D, ROW())))</f>
        <v>0.7595628415300546</v>
      </c>
      <c r="F1973" s="1" t="s">
        <v>297</v>
      </c>
      <c r="G1973" s="1" t="s">
        <v>28</v>
      </c>
      <c r="H1973" s="1">
        <v>12254</v>
      </c>
      <c r="I1973" s="1">
        <v>24003</v>
      </c>
      <c r="J1973" s="7">
        <v>0.51100000000000001</v>
      </c>
      <c r="K1973" s="1" t="s">
        <v>29</v>
      </c>
      <c r="L1973" s="1" t="s">
        <v>21</v>
      </c>
      <c r="M1973" s="1" t="s">
        <v>29</v>
      </c>
      <c r="N1973" s="1" t="s">
        <v>297</v>
      </c>
    </row>
    <row r="1974" spans="1:14" x14ac:dyDescent="0.25">
      <c r="A1974" s="1">
        <v>1973</v>
      </c>
      <c r="B1974" s="2" t="str">
        <f>HYPERLINK("https://leetcode.com/problems/count-nodes-equal-to-sum-of-descendants/", "Count Nodes Equal to Sum of Descendants")</f>
        <v>Count Nodes Equal to Sum of Descendants</v>
      </c>
      <c r="C1974" s="1">
        <v>184</v>
      </c>
      <c r="D1974" s="1">
        <v>10</v>
      </c>
      <c r="E1974" s="3">
        <f>IF(INDEX(C:C, ROW())+INDEX(D:D, ROW())=0, 0, INDEX(C:C, ROW())/(INDEX(C:C, ROW())+INDEX(D:D, ROW())))</f>
        <v>0.94845360824742264</v>
      </c>
      <c r="F1974" s="1" t="s">
        <v>67</v>
      </c>
      <c r="G1974" s="1" t="s">
        <v>24</v>
      </c>
      <c r="H1974" s="1">
        <v>15789</v>
      </c>
      <c r="I1974" s="1">
        <v>20413</v>
      </c>
      <c r="J1974" s="7">
        <v>0.77300000000000002</v>
      </c>
      <c r="K1974" s="1" t="s">
        <v>29</v>
      </c>
      <c r="L1974" s="1" t="s">
        <v>21</v>
      </c>
      <c r="M1974" s="1" t="s">
        <v>29</v>
      </c>
      <c r="N1974" s="1" t="s">
        <v>22</v>
      </c>
    </row>
    <row r="1975" spans="1:14" x14ac:dyDescent="0.25">
      <c r="A1975" s="1">
        <v>1974</v>
      </c>
      <c r="B1975" s="2" t="str">
        <f>HYPERLINK("https://leetcode.com/problems/minimum-time-to-type-word-using-special-typewriter/", "Minimum Time to Type Word Using Special Typewriter")</f>
        <v>Minimum Time to Type Word Using Special Typewriter</v>
      </c>
      <c r="C1975" s="1">
        <v>778</v>
      </c>
      <c r="D1975" s="1">
        <v>38</v>
      </c>
      <c r="E1975" s="3">
        <f>IF(INDEX(C:C, ROW())+INDEX(D:D, ROW())=0, 0, INDEX(C:C, ROW())/(INDEX(C:C, ROW())+INDEX(D:D, ROW())))</f>
        <v>0.95343137254901966</v>
      </c>
      <c r="F1975" s="1" t="s">
        <v>424</v>
      </c>
      <c r="G1975" s="1" t="s">
        <v>20</v>
      </c>
      <c r="H1975" s="1">
        <v>65490</v>
      </c>
      <c r="I1975" s="1">
        <v>83550</v>
      </c>
      <c r="J1975" s="7">
        <v>0.78400000000000003</v>
      </c>
      <c r="K1975" s="1" t="s">
        <v>21</v>
      </c>
      <c r="L1975" s="1" t="s">
        <v>29</v>
      </c>
      <c r="M1975" s="1" t="s">
        <v>29</v>
      </c>
      <c r="N1975" s="1" t="s">
        <v>22</v>
      </c>
    </row>
    <row r="1976" spans="1:14" x14ac:dyDescent="0.25">
      <c r="A1976" s="1">
        <v>1975</v>
      </c>
      <c r="B1976" s="2" t="str">
        <f>HYPERLINK("https://leetcode.com/problems/maximum-matrix-sum/", "Maximum Matrix Sum")</f>
        <v>Maximum Matrix Sum</v>
      </c>
      <c r="C1976" s="1">
        <v>1615</v>
      </c>
      <c r="D1976" s="1">
        <v>74</v>
      </c>
      <c r="E1976" s="3">
        <f>IF(INDEX(C:C, ROW())+INDEX(D:D, ROW())=0, 0, INDEX(C:C, ROW())/(INDEX(C:C, ROW())+INDEX(D:D, ROW())))</f>
        <v>0.95618709295441084</v>
      </c>
      <c r="F1976" s="1" t="s">
        <v>405</v>
      </c>
      <c r="G1976" s="1" t="s">
        <v>24</v>
      </c>
      <c r="H1976" s="1">
        <v>233727</v>
      </c>
      <c r="I1976" s="1">
        <v>345931</v>
      </c>
      <c r="J1976" s="7">
        <v>0.67600000000000005</v>
      </c>
      <c r="K1976" s="1" t="s">
        <v>21</v>
      </c>
      <c r="L1976" s="1" t="s">
        <v>21</v>
      </c>
      <c r="M1976" s="1" t="s">
        <v>29</v>
      </c>
      <c r="N1976" s="1" t="s">
        <v>22</v>
      </c>
    </row>
    <row r="1977" spans="1:14" x14ac:dyDescent="0.25">
      <c r="A1977" s="1">
        <v>1976</v>
      </c>
      <c r="B1977" s="2" t="str">
        <f>HYPERLINK("https://leetcode.com/problems/number-of-ways-to-arrive-at-destination/", "Number of Ways to Arrive at Destination")</f>
        <v>Number of Ways to Arrive at Destination</v>
      </c>
      <c r="C1977" s="1">
        <v>3843</v>
      </c>
      <c r="D1977" s="1">
        <v>226</v>
      </c>
      <c r="E1977" s="3">
        <f>IF(INDEX(C:C, ROW())+INDEX(D:D, ROW())=0, 0, INDEX(C:C, ROW())/(INDEX(C:C, ROW())+INDEX(D:D, ROW())))</f>
        <v>0.94445809781273038</v>
      </c>
      <c r="F1977" s="1" t="s">
        <v>321</v>
      </c>
      <c r="G1977" s="1" t="s">
        <v>24</v>
      </c>
      <c r="H1977" s="1">
        <v>246314</v>
      </c>
      <c r="I1977" s="1">
        <v>659935</v>
      </c>
      <c r="J1977" s="7">
        <v>0.373</v>
      </c>
      <c r="K1977" s="1" t="s">
        <v>21</v>
      </c>
      <c r="L1977" s="1" t="s">
        <v>21</v>
      </c>
      <c r="M1977" s="1" t="s">
        <v>29</v>
      </c>
      <c r="N1977" s="1" t="s">
        <v>22</v>
      </c>
    </row>
    <row r="1978" spans="1:14" x14ac:dyDescent="0.25">
      <c r="A1978" s="1">
        <v>1977</v>
      </c>
      <c r="B1978" s="2" t="str">
        <f>HYPERLINK("https://leetcode.com/problems/number-of-ways-to-separate-numbers/", "Number of Ways to Separate Numbers")</f>
        <v>Number of Ways to Separate Numbers</v>
      </c>
      <c r="C1978" s="1">
        <v>536</v>
      </c>
      <c r="D1978" s="1">
        <v>61</v>
      </c>
      <c r="E1978" s="3">
        <f>IF(INDEX(C:C, ROW())+INDEX(D:D, ROW())=0, 0, INDEX(C:C, ROW())/(INDEX(C:C, ROW())+INDEX(D:D, ROW())))</f>
        <v>0.89782244556113899</v>
      </c>
      <c r="F1978" s="1" t="s">
        <v>892</v>
      </c>
      <c r="G1978" s="1" t="s">
        <v>28</v>
      </c>
      <c r="H1978" s="1">
        <v>8451</v>
      </c>
      <c r="I1978" s="1">
        <v>39073</v>
      </c>
      <c r="J1978" s="7">
        <v>0.216</v>
      </c>
      <c r="K1978" s="1" t="s">
        <v>21</v>
      </c>
      <c r="L1978" s="1" t="s">
        <v>29</v>
      </c>
      <c r="M1978" s="1" t="s">
        <v>29</v>
      </c>
      <c r="N1978" s="1" t="s">
        <v>22</v>
      </c>
    </row>
    <row r="1979" spans="1:14" x14ac:dyDescent="0.25">
      <c r="A1979" s="1">
        <v>1978</v>
      </c>
      <c r="B1979" s="2" t="str">
        <f>HYPERLINK("https://leetcode.com/problems/employees-whose-manager-left-the-company/", "Employees Whose Manager Left the Company")</f>
        <v>Employees Whose Manager Left the Company</v>
      </c>
      <c r="C1979" s="1">
        <v>607</v>
      </c>
      <c r="D1979" s="1">
        <v>54</v>
      </c>
      <c r="E1979" s="3">
        <f>IF(INDEX(C:C, ROW())+INDEX(D:D, ROW())=0, 0, INDEX(C:C, ROW())/(INDEX(C:C, ROW())+INDEX(D:D, ROW())))</f>
        <v>0.91830559757942509</v>
      </c>
      <c r="F1979" s="1" t="s">
        <v>297</v>
      </c>
      <c r="G1979" s="1" t="s">
        <v>20</v>
      </c>
      <c r="H1979" s="1">
        <v>341405</v>
      </c>
      <c r="I1979" s="1">
        <v>702015</v>
      </c>
      <c r="J1979" s="7">
        <v>0.48599999999999999</v>
      </c>
      <c r="K1979" s="1" t="s">
        <v>21</v>
      </c>
      <c r="L1979" s="1" t="s">
        <v>29</v>
      </c>
      <c r="M1979" s="1" t="s">
        <v>29</v>
      </c>
      <c r="N1979" s="1" t="s">
        <v>297</v>
      </c>
    </row>
    <row r="1980" spans="1:14" x14ac:dyDescent="0.25">
      <c r="A1980" s="1">
        <v>1979</v>
      </c>
      <c r="B1980" s="2" t="str">
        <f>HYPERLINK("https://leetcode.com/problems/find-greatest-common-divisor-of-array/", "Find Greatest Common Divisor of Array")</f>
        <v>Find Greatest Common Divisor of Array</v>
      </c>
      <c r="C1980" s="1">
        <v>1293</v>
      </c>
      <c r="D1980" s="1">
        <v>54</v>
      </c>
      <c r="E1980" s="3">
        <f>IF(INDEX(C:C, ROW())+INDEX(D:D, ROW())=0, 0, INDEX(C:C, ROW())/(INDEX(C:C, ROW())+INDEX(D:D, ROW())))</f>
        <v>0.95991091314031185</v>
      </c>
      <c r="F1980" s="1" t="s">
        <v>640</v>
      </c>
      <c r="G1980" s="1" t="s">
        <v>20</v>
      </c>
      <c r="H1980" s="1">
        <v>236406</v>
      </c>
      <c r="I1980" s="1">
        <v>296630</v>
      </c>
      <c r="J1980" s="7">
        <v>0.79700000000000004</v>
      </c>
      <c r="K1980" s="1" t="s">
        <v>21</v>
      </c>
      <c r="L1980" s="1" t="s">
        <v>29</v>
      </c>
      <c r="M1980" s="1" t="s">
        <v>29</v>
      </c>
      <c r="N1980" s="1" t="s">
        <v>22</v>
      </c>
    </row>
    <row r="1981" spans="1:14" x14ac:dyDescent="0.25">
      <c r="A1981" s="1">
        <v>1980</v>
      </c>
      <c r="B1981" s="2" t="str">
        <f>HYPERLINK("https://leetcode.com/problems/find-unique-binary-string/", "Find Unique Binary String")</f>
        <v>Find Unique Binary String</v>
      </c>
      <c r="C1981" s="1">
        <v>2561</v>
      </c>
      <c r="D1981" s="1">
        <v>89</v>
      </c>
      <c r="E1981" s="3">
        <f>IF(INDEX(C:C, ROW())+INDEX(D:D, ROW())=0, 0, INDEX(C:C, ROW())/(INDEX(C:C, ROW())+INDEX(D:D, ROW())))</f>
        <v>0.96641509433962269</v>
      </c>
      <c r="F1981" s="1" t="s">
        <v>417</v>
      </c>
      <c r="G1981" s="1" t="s">
        <v>24</v>
      </c>
      <c r="H1981" s="1">
        <v>302153</v>
      </c>
      <c r="I1981" s="1">
        <v>380335</v>
      </c>
      <c r="J1981" s="7">
        <v>0.79400000000000004</v>
      </c>
      <c r="K1981" s="1" t="s">
        <v>21</v>
      </c>
      <c r="L1981" s="1" t="s">
        <v>21</v>
      </c>
      <c r="M1981" s="1" t="s">
        <v>29</v>
      </c>
      <c r="N1981" s="1" t="s">
        <v>22</v>
      </c>
    </row>
    <row r="1982" spans="1:14" x14ac:dyDescent="0.25">
      <c r="A1982" s="1">
        <v>1981</v>
      </c>
      <c r="B1982" s="2" t="str">
        <f>HYPERLINK("https://leetcode.com/problems/minimize-the-difference-between-target-and-chosen-elements/", "Minimize the Difference Between Target and Chosen Elements")</f>
        <v>Minimize the Difference Between Target and Chosen Elements</v>
      </c>
      <c r="C1982" s="1">
        <v>1060</v>
      </c>
      <c r="D1982" s="1">
        <v>145</v>
      </c>
      <c r="E1982" s="3">
        <f>IF(INDEX(C:C, ROW())+INDEX(D:D, ROW())=0, 0, INDEX(C:C, ROW())/(INDEX(C:C, ROW())+INDEX(D:D, ROW())))</f>
        <v>0.8796680497925311</v>
      </c>
      <c r="F1982" s="1" t="s">
        <v>94</v>
      </c>
      <c r="G1982" s="1" t="s">
        <v>24</v>
      </c>
      <c r="H1982" s="1">
        <v>38132</v>
      </c>
      <c r="I1982" s="1">
        <v>103950</v>
      </c>
      <c r="J1982" s="7">
        <v>0.36699999999999999</v>
      </c>
      <c r="K1982" s="1" t="s">
        <v>21</v>
      </c>
      <c r="L1982" s="1" t="s">
        <v>29</v>
      </c>
      <c r="M1982" s="1" t="s">
        <v>29</v>
      </c>
      <c r="N1982" s="1" t="s">
        <v>22</v>
      </c>
    </row>
    <row r="1983" spans="1:14" x14ac:dyDescent="0.25">
      <c r="A1983" s="1">
        <v>1982</v>
      </c>
      <c r="B1983" s="2" t="str">
        <f>HYPERLINK("https://leetcode.com/problems/find-array-given-subset-sums/", "Find Array Given Subset Sums")</f>
        <v>Find Array Given Subset Sums</v>
      </c>
      <c r="C1983" s="1">
        <v>632</v>
      </c>
      <c r="D1983" s="1">
        <v>44</v>
      </c>
      <c r="E1983" s="3">
        <f>IF(INDEX(C:C, ROW())+INDEX(D:D, ROW())=0, 0, INDEX(C:C, ROW())/(INDEX(C:C, ROW())+INDEX(D:D, ROW())))</f>
        <v>0.9349112426035503</v>
      </c>
      <c r="F1983" s="1" t="s">
        <v>830</v>
      </c>
      <c r="G1983" s="1" t="s">
        <v>28</v>
      </c>
      <c r="H1983" s="1">
        <v>7676</v>
      </c>
      <c r="I1983" s="1">
        <v>15512</v>
      </c>
      <c r="J1983" s="7">
        <v>0.495</v>
      </c>
      <c r="K1983" s="1" t="s">
        <v>21</v>
      </c>
      <c r="L1983" s="1" t="s">
        <v>29</v>
      </c>
      <c r="M1983" s="1" t="s">
        <v>29</v>
      </c>
      <c r="N1983" s="1" t="s">
        <v>22</v>
      </c>
    </row>
    <row r="1984" spans="1:14" x14ac:dyDescent="0.25">
      <c r="A1984" s="1">
        <v>1983</v>
      </c>
      <c r="B1984" s="2" t="str">
        <f>HYPERLINK("https://leetcode.com/problems/widest-pair-of-indices-with-equal-range-sum/", "Widest Pair of Indices With Equal Range Sum")</f>
        <v>Widest Pair of Indices With Equal Range Sum</v>
      </c>
      <c r="C1984" s="1">
        <v>104</v>
      </c>
      <c r="D1984" s="1">
        <v>3</v>
      </c>
      <c r="E1984" s="3">
        <f>IF(INDEX(C:C, ROW())+INDEX(D:D, ROW())=0, 0, INDEX(C:C, ROW())/(INDEX(C:C, ROW())+INDEX(D:D, ROW())))</f>
        <v>0.9719626168224299</v>
      </c>
      <c r="F1984" s="1" t="s">
        <v>39</v>
      </c>
      <c r="G1984" s="1" t="s">
        <v>24</v>
      </c>
      <c r="H1984" s="1">
        <v>3548</v>
      </c>
      <c r="I1984" s="1">
        <v>6568</v>
      </c>
      <c r="J1984" s="7">
        <v>0.54</v>
      </c>
      <c r="K1984" s="1" t="s">
        <v>29</v>
      </c>
      <c r="L1984" s="1" t="s">
        <v>29</v>
      </c>
      <c r="M1984" s="1" t="s">
        <v>29</v>
      </c>
      <c r="N1984" s="1" t="s">
        <v>22</v>
      </c>
    </row>
    <row r="1985" spans="1:14" x14ac:dyDescent="0.25">
      <c r="A1985" s="1">
        <v>1984</v>
      </c>
      <c r="B1985" s="2" t="str">
        <f>HYPERLINK("https://leetcode.com/problems/minimum-difference-between-highest-and-lowest-of-k-scores/", "Minimum Difference Between Highest and Lowest of K Scores")</f>
        <v>Minimum Difference Between Highest and Lowest of K Scores</v>
      </c>
      <c r="C1985" s="1">
        <v>1449</v>
      </c>
      <c r="D1985" s="1">
        <v>374</v>
      </c>
      <c r="E1985" s="3">
        <f>IF(INDEX(C:C, ROW())+INDEX(D:D, ROW())=0, 0, INDEX(C:C, ROW())/(INDEX(C:C, ROW())+INDEX(D:D, ROW())))</f>
        <v>0.79484366428963249</v>
      </c>
      <c r="F1985" s="1" t="s">
        <v>604</v>
      </c>
      <c r="G1985" s="1" t="s">
        <v>20</v>
      </c>
      <c r="H1985" s="1">
        <v>246663</v>
      </c>
      <c r="I1985" s="1">
        <v>372670</v>
      </c>
      <c r="J1985" s="7">
        <v>0.66200000000000003</v>
      </c>
      <c r="K1985" s="1" t="s">
        <v>21</v>
      </c>
      <c r="L1985" s="1" t="s">
        <v>21</v>
      </c>
      <c r="M1985" s="1" t="s">
        <v>29</v>
      </c>
      <c r="N1985" s="1" t="s">
        <v>22</v>
      </c>
    </row>
    <row r="1986" spans="1:14" x14ac:dyDescent="0.25">
      <c r="A1986" s="1">
        <v>1985</v>
      </c>
      <c r="B1986" s="2" t="str">
        <f>HYPERLINK("https://leetcode.com/problems/find-the-kth-largest-integer-in-the-array/", "Find the Kth Largest Integer in the Array")</f>
        <v>Find the Kth Largest Integer in the Array</v>
      </c>
      <c r="C1986" s="1">
        <v>1363</v>
      </c>
      <c r="D1986" s="1">
        <v>160</v>
      </c>
      <c r="E1986" s="3">
        <f>IF(INDEX(C:C, ROW())+INDEX(D:D, ROW())=0, 0, INDEX(C:C, ROW())/(INDEX(C:C, ROW())+INDEX(D:D, ROW())))</f>
        <v>0.89494418910045959</v>
      </c>
      <c r="F1986" s="1" t="s">
        <v>621</v>
      </c>
      <c r="G1986" s="1" t="s">
        <v>24</v>
      </c>
      <c r="H1986" s="1">
        <v>99921</v>
      </c>
      <c r="I1986" s="1">
        <v>209922</v>
      </c>
      <c r="J1986" s="7">
        <v>0.47599999999999998</v>
      </c>
      <c r="K1986" s="1" t="s">
        <v>21</v>
      </c>
      <c r="L1986" s="1" t="s">
        <v>29</v>
      </c>
      <c r="M1986" s="1" t="s">
        <v>29</v>
      </c>
      <c r="N1986" s="1" t="s">
        <v>22</v>
      </c>
    </row>
    <row r="1987" spans="1:14" x14ac:dyDescent="0.25">
      <c r="A1987" s="1">
        <v>1986</v>
      </c>
      <c r="B1987" s="2" t="str">
        <f>HYPERLINK("https://leetcode.com/problems/minimum-number-of-work-sessions-to-finish-the-tasks/", "Minimum Number of Work Sessions to Finish the Tasks")</f>
        <v>Minimum Number of Work Sessions to Finish the Tasks</v>
      </c>
      <c r="C1987" s="1">
        <v>1185</v>
      </c>
      <c r="D1987" s="1">
        <v>71</v>
      </c>
      <c r="E1987" s="3">
        <f>IF(INDEX(C:C, ROW())+INDEX(D:D, ROW())=0, 0, INDEX(C:C, ROW())/(INDEX(C:C, ROW())+INDEX(D:D, ROW())))</f>
        <v>0.94347133757961787</v>
      </c>
      <c r="F1987" s="1" t="s">
        <v>309</v>
      </c>
      <c r="G1987" s="1" t="s">
        <v>24</v>
      </c>
      <c r="H1987" s="1">
        <v>34048</v>
      </c>
      <c r="I1987" s="1">
        <v>98534</v>
      </c>
      <c r="J1987" s="7">
        <v>0.34599999999999997</v>
      </c>
      <c r="K1987" s="1" t="s">
        <v>21</v>
      </c>
      <c r="L1987" s="1" t="s">
        <v>29</v>
      </c>
      <c r="M1987" s="1" t="s">
        <v>29</v>
      </c>
      <c r="N1987" s="1" t="s">
        <v>22</v>
      </c>
    </row>
    <row r="1988" spans="1:14" x14ac:dyDescent="0.25">
      <c r="A1988" s="1">
        <v>1987</v>
      </c>
      <c r="B1988" s="2" t="str">
        <f>HYPERLINK("https://leetcode.com/problems/number-of-unique-good-subsequences/", "Number of Unique Good Subsequences")</f>
        <v>Number of Unique Good Subsequences</v>
      </c>
      <c r="C1988" s="1">
        <v>744</v>
      </c>
      <c r="D1988" s="1">
        <v>17</v>
      </c>
      <c r="E1988" s="3">
        <f>IF(INDEX(C:C, ROW())+INDEX(D:D, ROW())=0, 0, INDEX(C:C, ROW())/(INDEX(C:C, ROW())+INDEX(D:D, ROW())))</f>
        <v>0.9776609724047306</v>
      </c>
      <c r="F1988" s="1" t="s">
        <v>82</v>
      </c>
      <c r="G1988" s="1" t="s">
        <v>28</v>
      </c>
      <c r="H1988" s="1">
        <v>16643</v>
      </c>
      <c r="I1988" s="1">
        <v>31653</v>
      </c>
      <c r="J1988" s="7">
        <v>0.52600000000000002</v>
      </c>
      <c r="K1988" s="1" t="s">
        <v>21</v>
      </c>
      <c r="L1988" s="1" t="s">
        <v>29</v>
      </c>
      <c r="M1988" s="1" t="s">
        <v>29</v>
      </c>
      <c r="N1988" s="1" t="s">
        <v>22</v>
      </c>
    </row>
    <row r="1989" spans="1:14" x14ac:dyDescent="0.25">
      <c r="A1989" s="1">
        <v>1988</v>
      </c>
      <c r="B1989" s="2" t="str">
        <f>HYPERLINK("https://leetcode.com/problems/find-cutoff-score-for-each-school/", "Find Cutoff Score for Each School")</f>
        <v>Find Cutoff Score for Each School</v>
      </c>
      <c r="C1989" s="1">
        <v>81</v>
      </c>
      <c r="D1989" s="1">
        <v>161</v>
      </c>
      <c r="E1989" s="3">
        <f>IF(INDEX(C:C, ROW())+INDEX(D:D, ROW())=0, 0, INDEX(C:C, ROW())/(INDEX(C:C, ROW())+INDEX(D:D, ROW())))</f>
        <v>0.33471074380165289</v>
      </c>
      <c r="F1989" s="1" t="s">
        <v>297</v>
      </c>
      <c r="G1989" s="1" t="s">
        <v>24</v>
      </c>
      <c r="H1989" s="1">
        <v>13838</v>
      </c>
      <c r="I1989" s="1">
        <v>20683</v>
      </c>
      <c r="J1989" s="7">
        <v>0.66900000000000004</v>
      </c>
      <c r="K1989" s="1" t="s">
        <v>29</v>
      </c>
      <c r="L1989" s="1" t="s">
        <v>21</v>
      </c>
      <c r="M1989" s="1" t="s">
        <v>29</v>
      </c>
      <c r="N1989" s="1" t="s">
        <v>297</v>
      </c>
    </row>
    <row r="1990" spans="1:14" x14ac:dyDescent="0.25">
      <c r="A1990" s="1">
        <v>1989</v>
      </c>
      <c r="B1990" s="2" t="str">
        <f>HYPERLINK("https://leetcode.com/problems/maximum-number-of-people-that-can-be-caught-in-tag/", "Maximum Number of People That Can Be Caught in Tag")</f>
        <v>Maximum Number of People That Can Be Caught in Tag</v>
      </c>
      <c r="C1990" s="1">
        <v>76</v>
      </c>
      <c r="D1990" s="1">
        <v>11</v>
      </c>
      <c r="E1990" s="3">
        <f>IF(INDEX(C:C, ROW())+INDEX(D:D, ROW())=0, 0, INDEX(C:C, ROW())/(INDEX(C:C, ROW())+INDEX(D:D, ROW())))</f>
        <v>0.87356321839080464</v>
      </c>
      <c r="F1990" s="1" t="s">
        <v>32</v>
      </c>
      <c r="G1990" s="1" t="s">
        <v>24</v>
      </c>
      <c r="H1990" s="1">
        <v>2762</v>
      </c>
      <c r="I1990" s="1">
        <v>5598</v>
      </c>
      <c r="J1990" s="7">
        <v>0.49299999999999999</v>
      </c>
      <c r="K1990" s="1" t="s">
        <v>29</v>
      </c>
      <c r="L1990" s="1" t="s">
        <v>29</v>
      </c>
      <c r="M1990" s="1" t="s">
        <v>29</v>
      </c>
      <c r="N1990" s="1" t="s">
        <v>22</v>
      </c>
    </row>
    <row r="1991" spans="1:14" x14ac:dyDescent="0.25">
      <c r="A1991" s="1">
        <v>1990</v>
      </c>
      <c r="B1991" s="2" t="str">
        <f>HYPERLINK("https://leetcode.com/problems/count-the-number-of-experiments/", "Count the Number of Experiments")</f>
        <v>Count the Number of Experiments</v>
      </c>
      <c r="C1991" s="1">
        <v>26</v>
      </c>
      <c r="D1991" s="1">
        <v>203</v>
      </c>
      <c r="E1991" s="3">
        <f>IF(INDEX(C:C, ROW())+INDEX(D:D, ROW())=0, 0, INDEX(C:C, ROW())/(INDEX(C:C, ROW())+INDEX(D:D, ROW())))</f>
        <v>0.11353711790393013</v>
      </c>
      <c r="F1991" s="1" t="s">
        <v>297</v>
      </c>
      <c r="G1991" s="1" t="s">
        <v>24</v>
      </c>
      <c r="H1991" s="1">
        <v>9702</v>
      </c>
      <c r="I1991" s="1">
        <v>19911</v>
      </c>
      <c r="J1991" s="7">
        <v>0.48699999999999999</v>
      </c>
      <c r="K1991" s="1" t="s">
        <v>29</v>
      </c>
      <c r="L1991" s="1" t="s">
        <v>29</v>
      </c>
      <c r="M1991" s="1" t="s">
        <v>29</v>
      </c>
      <c r="N1991" s="1" t="s">
        <v>297</v>
      </c>
    </row>
    <row r="1992" spans="1:14" x14ac:dyDescent="0.25">
      <c r="A1992" s="1">
        <v>1991</v>
      </c>
      <c r="B1992" s="2" t="str">
        <f>HYPERLINK("https://leetcode.com/problems/find-the-middle-index-in-array/", "Find the Middle Index in Array")</f>
        <v>Find the Middle Index in Array</v>
      </c>
      <c r="C1992" s="1">
        <v>1553</v>
      </c>
      <c r="D1992" s="1">
        <v>80</v>
      </c>
      <c r="E1992" s="3">
        <f>IF(INDEX(C:C, ROW())+INDEX(D:D, ROW())=0, 0, INDEX(C:C, ROW())/(INDEX(C:C, ROW())+INDEX(D:D, ROW())))</f>
        <v>0.95101041028781386</v>
      </c>
      <c r="F1992" s="1" t="s">
        <v>37</v>
      </c>
      <c r="G1992" s="1" t="s">
        <v>20</v>
      </c>
      <c r="H1992" s="1">
        <v>159084</v>
      </c>
      <c r="I1992" s="1">
        <v>230113</v>
      </c>
      <c r="J1992" s="7">
        <v>0.69099999999999995</v>
      </c>
      <c r="K1992" s="1" t="s">
        <v>21</v>
      </c>
      <c r="L1992" s="1" t="s">
        <v>29</v>
      </c>
      <c r="M1992" s="1" t="s">
        <v>29</v>
      </c>
      <c r="N1992" s="1" t="s">
        <v>22</v>
      </c>
    </row>
    <row r="1993" spans="1:14" x14ac:dyDescent="0.25">
      <c r="A1993" s="1">
        <v>1992</v>
      </c>
      <c r="B1993" s="2" t="str">
        <f>HYPERLINK("https://leetcode.com/problems/find-all-groups-of-farmland/", "Find All Groups of Farmland")</f>
        <v>Find All Groups of Farmland</v>
      </c>
      <c r="C1993" s="1">
        <v>1440</v>
      </c>
      <c r="D1993" s="1">
        <v>91</v>
      </c>
      <c r="E1993" s="3">
        <f>IF(INDEX(C:C, ROW())+INDEX(D:D, ROW())=0, 0, INDEX(C:C, ROW())/(INDEX(C:C, ROW())+INDEX(D:D, ROW())))</f>
        <v>0.94056172436316132</v>
      </c>
      <c r="F1993" s="1" t="s">
        <v>143</v>
      </c>
      <c r="G1993" s="1" t="s">
        <v>24</v>
      </c>
      <c r="H1993" s="1">
        <v>141377</v>
      </c>
      <c r="I1993" s="1">
        <v>187294</v>
      </c>
      <c r="J1993" s="7">
        <v>0.755</v>
      </c>
      <c r="K1993" s="1" t="s">
        <v>21</v>
      </c>
      <c r="L1993" s="1" t="s">
        <v>21</v>
      </c>
      <c r="M1993" s="1" t="s">
        <v>29</v>
      </c>
      <c r="N1993" s="1" t="s">
        <v>22</v>
      </c>
    </row>
    <row r="1994" spans="1:14" x14ac:dyDescent="0.25">
      <c r="A1994" s="1">
        <v>1993</v>
      </c>
      <c r="B1994" s="2" t="str">
        <f>HYPERLINK("https://leetcode.com/problems/operations-on-tree/", "Operations on Tree")</f>
        <v>Operations on Tree</v>
      </c>
      <c r="C1994" s="1">
        <v>518</v>
      </c>
      <c r="D1994" s="1">
        <v>85</v>
      </c>
      <c r="E1994" s="3">
        <f>IF(INDEX(C:C, ROW())+INDEX(D:D, ROW())=0, 0, INDEX(C:C, ROW())/(INDEX(C:C, ROW())+INDEX(D:D, ROW())))</f>
        <v>0.85903814262023215</v>
      </c>
      <c r="F1994" s="1" t="s">
        <v>910</v>
      </c>
      <c r="G1994" s="1" t="s">
        <v>24</v>
      </c>
      <c r="H1994" s="1">
        <v>24262</v>
      </c>
      <c r="I1994" s="1">
        <v>53857</v>
      </c>
      <c r="J1994" s="7">
        <v>0.45</v>
      </c>
      <c r="K1994" s="1" t="s">
        <v>21</v>
      </c>
      <c r="L1994" s="1" t="s">
        <v>29</v>
      </c>
      <c r="M1994" s="1" t="s">
        <v>29</v>
      </c>
      <c r="N1994" s="1" t="s">
        <v>22</v>
      </c>
    </row>
    <row r="1995" spans="1:14" x14ac:dyDescent="0.25">
      <c r="A1995" s="1">
        <v>1994</v>
      </c>
      <c r="B1995" s="2" t="str">
        <f>HYPERLINK("https://leetcode.com/problems/the-number-of-good-subsets/", "The Number of Good Subsets")</f>
        <v>The Number of Good Subsets</v>
      </c>
      <c r="C1995" s="1">
        <v>507</v>
      </c>
      <c r="D1995" s="1">
        <v>17</v>
      </c>
      <c r="E1995" s="3">
        <f>IF(INDEX(C:C, ROW())+INDEX(D:D, ROW())=0, 0, INDEX(C:C, ROW())/(INDEX(C:C, ROW())+INDEX(D:D, ROW())))</f>
        <v>0.96755725190839692</v>
      </c>
      <c r="F1995" s="1" t="s">
        <v>916</v>
      </c>
      <c r="G1995" s="1" t="s">
        <v>28</v>
      </c>
      <c r="H1995" s="1">
        <v>11111</v>
      </c>
      <c r="I1995" s="1">
        <v>29958</v>
      </c>
      <c r="J1995" s="7">
        <v>0.371</v>
      </c>
      <c r="K1995" s="1" t="s">
        <v>21</v>
      </c>
      <c r="L1995" s="1" t="s">
        <v>29</v>
      </c>
      <c r="M1995" s="1" t="s">
        <v>29</v>
      </c>
      <c r="N1995" s="1" t="s">
        <v>22</v>
      </c>
    </row>
    <row r="1996" spans="1:14" x14ac:dyDescent="0.25">
      <c r="A1996" s="1">
        <v>1995</v>
      </c>
      <c r="B1996" s="2" t="str">
        <f>HYPERLINK("https://leetcode.com/problems/count-special-quadruplets/", "Count Special Quadruplets")</f>
        <v>Count Special Quadruplets</v>
      </c>
      <c r="C1996" s="1">
        <v>703</v>
      </c>
      <c r="D1996" s="1">
        <v>244</v>
      </c>
      <c r="E1996" s="3">
        <f>IF(INDEX(C:C, ROW())+INDEX(D:D, ROW())=0, 0, INDEX(C:C, ROW())/(INDEX(C:C, ROW())+INDEX(D:D, ROW())))</f>
        <v>0.74234424498416052</v>
      </c>
      <c r="F1996" s="1" t="s">
        <v>804</v>
      </c>
      <c r="G1996" s="1" t="s">
        <v>20</v>
      </c>
      <c r="H1996" s="1">
        <v>61221</v>
      </c>
      <c r="I1996" s="1">
        <v>95043</v>
      </c>
      <c r="J1996" s="7">
        <v>0.64400000000000002</v>
      </c>
      <c r="K1996" s="1" t="s">
        <v>21</v>
      </c>
      <c r="L1996" s="1" t="s">
        <v>29</v>
      </c>
      <c r="M1996" s="1" t="s">
        <v>29</v>
      </c>
      <c r="N1996" s="1" t="s">
        <v>22</v>
      </c>
    </row>
    <row r="1997" spans="1:14" x14ac:dyDescent="0.25">
      <c r="A1997" s="1">
        <v>1996</v>
      </c>
      <c r="B1997" s="2" t="str">
        <f>HYPERLINK("https://leetcode.com/problems/the-number-of-weak-characters-in-the-game/", "The Number of Weak Characters in the Game")</f>
        <v>The Number of Weak Characters in the Game</v>
      </c>
      <c r="C1997" s="1">
        <v>3095</v>
      </c>
      <c r="D1997" s="1">
        <v>100</v>
      </c>
      <c r="E1997" s="3">
        <f>IF(INDEX(C:C, ROW())+INDEX(D:D, ROW())=0, 0, INDEX(C:C, ROW())/(INDEX(C:C, ROW())+INDEX(D:D, ROW())))</f>
        <v>0.96870109546165883</v>
      </c>
      <c r="F1997" s="1" t="s">
        <v>335</v>
      </c>
      <c r="G1997" s="1" t="s">
        <v>24</v>
      </c>
      <c r="H1997" s="1">
        <v>117326</v>
      </c>
      <c r="I1997" s="1">
        <v>263747</v>
      </c>
      <c r="J1997" s="7">
        <v>0.44500000000000001</v>
      </c>
      <c r="K1997" s="1" t="s">
        <v>21</v>
      </c>
      <c r="L1997" s="1" t="s">
        <v>21</v>
      </c>
      <c r="M1997" s="1" t="s">
        <v>29</v>
      </c>
      <c r="N1997" s="1" t="s">
        <v>22</v>
      </c>
    </row>
    <row r="1998" spans="1:14" x14ac:dyDescent="0.25">
      <c r="A1998" s="1">
        <v>1997</v>
      </c>
      <c r="B1998" s="2" t="str">
        <f>HYPERLINK("https://leetcode.com/problems/first-day-where-you-have-been-in-all-the-rooms/", "First Day Where You Have Been in All the Rooms")</f>
        <v>First Day Where You Have Been in All the Rooms</v>
      </c>
      <c r="C1998" s="1">
        <v>510</v>
      </c>
      <c r="D1998" s="1">
        <v>104</v>
      </c>
      <c r="E1998" s="3">
        <f>IF(INDEX(C:C, ROW())+INDEX(D:D, ROW())=0, 0, INDEX(C:C, ROW())/(INDEX(C:C, ROW())+INDEX(D:D, ROW())))</f>
        <v>0.83061889250814336</v>
      </c>
      <c r="F1998" s="1" t="s">
        <v>30</v>
      </c>
      <c r="G1998" s="1" t="s">
        <v>24</v>
      </c>
      <c r="H1998" s="1">
        <v>15586</v>
      </c>
      <c r="I1998" s="1">
        <v>38553</v>
      </c>
      <c r="J1998" s="7">
        <v>0.40400000000000003</v>
      </c>
      <c r="K1998" s="1" t="s">
        <v>21</v>
      </c>
      <c r="L1998" s="1" t="s">
        <v>29</v>
      </c>
      <c r="M1998" s="1" t="s">
        <v>29</v>
      </c>
      <c r="N1998" s="1" t="s">
        <v>22</v>
      </c>
    </row>
    <row r="1999" spans="1:14" x14ac:dyDescent="0.25">
      <c r="A1999" s="1">
        <v>1998</v>
      </c>
      <c r="B1999" s="2" t="str">
        <f>HYPERLINK("https://leetcode.com/problems/gcd-sort-of-an-array/", "GCD Sort of an Array")</f>
        <v>GCD Sort of an Array</v>
      </c>
      <c r="C1999" s="1">
        <v>531</v>
      </c>
      <c r="D1999" s="1">
        <v>15</v>
      </c>
      <c r="E1999" s="3">
        <f>IF(INDEX(C:C, ROW())+INDEX(D:D, ROW())=0, 0, INDEX(C:C, ROW())/(INDEX(C:C, ROW())+INDEX(D:D, ROW())))</f>
        <v>0.97252747252747251</v>
      </c>
      <c r="F1999" s="1" t="s">
        <v>895</v>
      </c>
      <c r="G1999" s="1" t="s">
        <v>28</v>
      </c>
      <c r="H1999" s="1">
        <v>13737</v>
      </c>
      <c r="I1999" s="1">
        <v>28336</v>
      </c>
      <c r="J1999" s="7">
        <v>0.48499999999999999</v>
      </c>
      <c r="K1999" s="1" t="s">
        <v>21</v>
      </c>
      <c r="L1999" s="1" t="s">
        <v>29</v>
      </c>
      <c r="M1999" s="1" t="s">
        <v>29</v>
      </c>
      <c r="N1999" s="1" t="s">
        <v>22</v>
      </c>
    </row>
    <row r="2000" spans="1:14" x14ac:dyDescent="0.25">
      <c r="A2000" s="1">
        <v>1999</v>
      </c>
      <c r="B2000" s="2" t="str">
        <f>HYPERLINK("https://leetcode.com/problems/smallest-greater-multiple-made-of-two-digits/", "Smallest Greater Multiple Made of Two Digits")</f>
        <v>Smallest Greater Multiple Made of Two Digits</v>
      </c>
      <c r="C2000" s="1">
        <v>32</v>
      </c>
      <c r="D2000" s="1">
        <v>11</v>
      </c>
      <c r="E2000" s="3">
        <f>IF(INDEX(C:C, ROW())+INDEX(D:D, ROW())=0, 0, INDEX(C:C, ROW())/(INDEX(C:C, ROW())+INDEX(D:D, ROW())))</f>
        <v>0.7441860465116279</v>
      </c>
      <c r="F2000" s="1" t="s">
        <v>602</v>
      </c>
      <c r="G2000" s="1" t="s">
        <v>24</v>
      </c>
      <c r="H2000" s="1">
        <v>2610</v>
      </c>
      <c r="I2000" s="1">
        <v>5405</v>
      </c>
      <c r="J2000" s="7">
        <v>0.48299999999999998</v>
      </c>
      <c r="K2000" s="1" t="s">
        <v>29</v>
      </c>
      <c r="L2000" s="1" t="s">
        <v>29</v>
      </c>
      <c r="M2000" s="1" t="s">
        <v>29</v>
      </c>
      <c r="N2000" s="1" t="s">
        <v>22</v>
      </c>
    </row>
    <row r="2001" spans="1:14" x14ac:dyDescent="0.25">
      <c r="A2001" s="1">
        <v>2000</v>
      </c>
      <c r="B2001" s="2" t="str">
        <f>HYPERLINK("https://leetcode.com/problems/reverse-prefix-of-word/", "Reverse Prefix of Word")</f>
        <v>Reverse Prefix of Word</v>
      </c>
      <c r="C2001" s="1">
        <v>1499</v>
      </c>
      <c r="D2001" s="1">
        <v>46</v>
      </c>
      <c r="E2001" s="3">
        <f>IF(INDEX(C:C, ROW())+INDEX(D:D, ROW())=0, 0, INDEX(C:C, ROW())/(INDEX(C:C, ROW())+INDEX(D:D, ROW())))</f>
        <v>0.9702265372168285</v>
      </c>
      <c r="F2001" s="1" t="s">
        <v>590</v>
      </c>
      <c r="G2001" s="1" t="s">
        <v>20</v>
      </c>
      <c r="H2001" s="1">
        <v>373997</v>
      </c>
      <c r="I2001" s="1">
        <v>432579</v>
      </c>
      <c r="J2001" s="7">
        <v>0.86499999999999999</v>
      </c>
      <c r="K2001" s="1" t="s">
        <v>21</v>
      </c>
      <c r="L2001" s="1" t="s">
        <v>21</v>
      </c>
      <c r="M2001" s="1" t="s">
        <v>29</v>
      </c>
      <c r="N2001" s="1" t="s">
        <v>22</v>
      </c>
    </row>
    <row r="2002" spans="1:14" x14ac:dyDescent="0.25">
      <c r="A2002" s="1">
        <v>2001</v>
      </c>
      <c r="B2002" s="2" t="str">
        <f>HYPERLINK("https://leetcode.com/problems/number-of-pairs-of-interchangeable-rectangles/", "Number of Pairs of Interchangeable Rectangles")</f>
        <v>Number of Pairs of Interchangeable Rectangles</v>
      </c>
      <c r="C2002" s="1">
        <v>579</v>
      </c>
      <c r="D2002" s="1">
        <v>49</v>
      </c>
      <c r="E2002" s="3">
        <f>IF(INDEX(C:C, ROW())+INDEX(D:D, ROW())=0, 0, INDEX(C:C, ROW())/(INDEX(C:C, ROW())+INDEX(D:D, ROW())))</f>
        <v>0.92197452229299359</v>
      </c>
      <c r="F2002" s="1" t="s">
        <v>518</v>
      </c>
      <c r="G2002" s="1" t="s">
        <v>24</v>
      </c>
      <c r="H2002" s="1">
        <v>58312</v>
      </c>
      <c r="I2002" s="1">
        <v>111268</v>
      </c>
      <c r="J2002" s="7">
        <v>0.52400000000000002</v>
      </c>
      <c r="K2002" s="1" t="s">
        <v>21</v>
      </c>
      <c r="L2002" s="1" t="s">
        <v>29</v>
      </c>
      <c r="M2002" s="1" t="s">
        <v>29</v>
      </c>
      <c r="N2002" s="1" t="s">
        <v>22</v>
      </c>
    </row>
    <row r="2003" spans="1:14" x14ac:dyDescent="0.25">
      <c r="A2003" s="1">
        <v>2002</v>
      </c>
      <c r="B2003" s="2" t="str">
        <f>HYPERLINK("https://leetcode.com/problems/maximum-product-of-the-length-of-two-palindromic-subsequences/", "Maximum Product of the Length of Two Palindromic Subsequences")</f>
        <v>Maximum Product of the Length of Two Palindromic Subsequences</v>
      </c>
      <c r="C2003" s="1">
        <v>1013</v>
      </c>
      <c r="D2003" s="1">
        <v>91</v>
      </c>
      <c r="E2003" s="3">
        <f>IF(INDEX(C:C, ROW())+INDEX(D:D, ROW())=0, 0, INDEX(C:C, ROW())/(INDEX(C:C, ROW())+INDEX(D:D, ROW())))</f>
        <v>0.91757246376811596</v>
      </c>
      <c r="F2003" s="1" t="s">
        <v>712</v>
      </c>
      <c r="G2003" s="1" t="s">
        <v>24</v>
      </c>
      <c r="H2003" s="1">
        <v>38848</v>
      </c>
      <c r="I2003" s="1">
        <v>62284</v>
      </c>
      <c r="J2003" s="7">
        <v>0.624</v>
      </c>
      <c r="K2003" s="1" t="s">
        <v>21</v>
      </c>
      <c r="L2003" s="1" t="s">
        <v>29</v>
      </c>
      <c r="M2003" s="1" t="s">
        <v>29</v>
      </c>
      <c r="N2003" s="1" t="s">
        <v>22</v>
      </c>
    </row>
    <row r="2004" spans="1:14" x14ac:dyDescent="0.25">
      <c r="A2004" s="1">
        <v>2003</v>
      </c>
      <c r="B2004" s="2" t="str">
        <f>HYPERLINK("https://leetcode.com/problems/smallest-missing-genetic-value-in-each-subtree/", "Smallest Missing Genetic Value in Each Subtree")</f>
        <v>Smallest Missing Genetic Value in Each Subtree</v>
      </c>
      <c r="C2004" s="1">
        <v>487</v>
      </c>
      <c r="D2004" s="1">
        <v>23</v>
      </c>
      <c r="E2004" s="3">
        <f>IF(INDEX(C:C, ROW())+INDEX(D:D, ROW())=0, 0, INDEX(C:C, ROW())/(INDEX(C:C, ROW())+INDEX(D:D, ROW())))</f>
        <v>0.95490196078431377</v>
      </c>
      <c r="F2004" s="1" t="s">
        <v>930</v>
      </c>
      <c r="G2004" s="1" t="s">
        <v>28</v>
      </c>
      <c r="H2004" s="1">
        <v>11032</v>
      </c>
      <c r="I2004" s="1">
        <v>23121</v>
      </c>
      <c r="J2004" s="7">
        <v>0.47699999999999998</v>
      </c>
      <c r="K2004" s="1" t="s">
        <v>21</v>
      </c>
      <c r="L2004" s="1" t="s">
        <v>29</v>
      </c>
      <c r="M2004" s="1" t="s">
        <v>29</v>
      </c>
      <c r="N2004" s="1" t="s">
        <v>22</v>
      </c>
    </row>
    <row r="2005" spans="1:14" x14ac:dyDescent="0.25">
      <c r="A2005" s="1">
        <v>2004</v>
      </c>
      <c r="B2005" s="2" t="str">
        <f>HYPERLINK("https://leetcode.com/problems/the-number-of-seniors-and-juniors-to-join-the-company/", "The Number of Seniors and Juniors to Join the Company")</f>
        <v>The Number of Seniors and Juniors to Join the Company</v>
      </c>
      <c r="C2005" s="1">
        <v>119</v>
      </c>
      <c r="D2005" s="1">
        <v>15</v>
      </c>
      <c r="E2005" s="3">
        <f>IF(INDEX(C:C, ROW())+INDEX(D:D, ROW())=0, 0, INDEX(C:C, ROW())/(INDEX(C:C, ROW())+INDEX(D:D, ROW())))</f>
        <v>0.88805970149253732</v>
      </c>
      <c r="F2005" s="1" t="s">
        <v>297</v>
      </c>
      <c r="G2005" s="1" t="s">
        <v>28</v>
      </c>
      <c r="H2005" s="1">
        <v>10721</v>
      </c>
      <c r="I2005" s="1">
        <v>23351</v>
      </c>
      <c r="J2005" s="7">
        <v>0.45900000000000002</v>
      </c>
      <c r="K2005" s="1" t="s">
        <v>29</v>
      </c>
      <c r="L2005" s="1" t="s">
        <v>21</v>
      </c>
      <c r="M2005" s="1" t="s">
        <v>29</v>
      </c>
      <c r="N2005" s="1" t="s">
        <v>297</v>
      </c>
    </row>
    <row r="2006" spans="1:14" x14ac:dyDescent="0.25">
      <c r="A2006" s="1">
        <v>2005</v>
      </c>
      <c r="B2006" s="2" t="str">
        <f>HYPERLINK("https://leetcode.com/problems/subtree-removal-game-with-fibonacci-tree/", "Subtree Removal Game with Fibonacci Tree")</f>
        <v>Subtree Removal Game with Fibonacci Tree</v>
      </c>
      <c r="C2006" s="1">
        <v>16</v>
      </c>
      <c r="D2006" s="1">
        <v>50</v>
      </c>
      <c r="E2006" s="3">
        <f>IF(INDEX(C:C, ROW())+INDEX(D:D, ROW())=0, 0, INDEX(C:C, ROW())/(INDEX(C:C, ROW())+INDEX(D:D, ROW())))</f>
        <v>0.24242424242424243</v>
      </c>
      <c r="F2006" s="1" t="s">
        <v>1321</v>
      </c>
      <c r="G2006" s="1" t="s">
        <v>28</v>
      </c>
      <c r="H2006" s="1">
        <v>905</v>
      </c>
      <c r="I2006" s="1">
        <v>1564</v>
      </c>
      <c r="J2006" s="7">
        <v>0.57899999999999996</v>
      </c>
      <c r="K2006" s="1" t="s">
        <v>29</v>
      </c>
      <c r="L2006" s="1" t="s">
        <v>29</v>
      </c>
      <c r="M2006" s="1" t="s">
        <v>29</v>
      </c>
      <c r="N2006" s="1" t="s">
        <v>22</v>
      </c>
    </row>
    <row r="2007" spans="1:14" x14ac:dyDescent="0.25">
      <c r="A2007" s="1">
        <v>2006</v>
      </c>
      <c r="B2007" s="2" t="str">
        <f>HYPERLINK("https://leetcode.com/problems/count-number-of-pairs-with-absolute-difference-k/", "Count Number of Pairs With Absolute Difference K")</f>
        <v>Count Number of Pairs With Absolute Difference K</v>
      </c>
      <c r="C2007" s="1">
        <v>1793</v>
      </c>
      <c r="D2007" s="1">
        <v>49</v>
      </c>
      <c r="E2007" s="3">
        <f>IF(INDEX(C:C, ROW())+INDEX(D:D, ROW())=0, 0, INDEX(C:C, ROW())/(INDEX(C:C, ROW())+INDEX(D:D, ROW())))</f>
        <v>0.97339847991313788</v>
      </c>
      <c r="F2007" s="1" t="s">
        <v>294</v>
      </c>
      <c r="G2007" s="1" t="s">
        <v>20</v>
      </c>
      <c r="H2007" s="1">
        <v>229691</v>
      </c>
      <c r="I2007" s="1">
        <v>269222</v>
      </c>
      <c r="J2007" s="7">
        <v>0.85299999999999998</v>
      </c>
      <c r="K2007" s="1" t="s">
        <v>21</v>
      </c>
      <c r="L2007" s="1" t="s">
        <v>29</v>
      </c>
      <c r="M2007" s="1" t="s">
        <v>29</v>
      </c>
      <c r="N2007" s="1" t="s">
        <v>22</v>
      </c>
    </row>
    <row r="2008" spans="1:14" x14ac:dyDescent="0.25">
      <c r="A2008" s="1">
        <v>2007</v>
      </c>
      <c r="B2008" s="2" t="str">
        <f>HYPERLINK("https://leetcode.com/problems/find-original-array-from-doubled-array/", "Find Original Array From Doubled Array")</f>
        <v>Find Original Array From Doubled Array</v>
      </c>
      <c r="C2008" s="1">
        <v>2562</v>
      </c>
      <c r="D2008" s="1">
        <v>120</v>
      </c>
      <c r="E2008" s="3">
        <f>IF(INDEX(C:C, ROW())+INDEX(D:D, ROW())=0, 0, INDEX(C:C, ROW())/(INDEX(C:C, ROW())+INDEX(D:D, ROW())))</f>
        <v>0.95525727069351229</v>
      </c>
      <c r="F2008" s="1" t="s">
        <v>333</v>
      </c>
      <c r="G2008" s="1" t="s">
        <v>24</v>
      </c>
      <c r="H2008" s="1">
        <v>153987</v>
      </c>
      <c r="I2008" s="1">
        <v>377915</v>
      </c>
      <c r="J2008" s="7">
        <v>0.40699999999999997</v>
      </c>
      <c r="K2008" s="1" t="s">
        <v>21</v>
      </c>
      <c r="L2008" s="1" t="s">
        <v>21</v>
      </c>
      <c r="M2008" s="1" t="s">
        <v>29</v>
      </c>
      <c r="N2008" s="1" t="s">
        <v>22</v>
      </c>
    </row>
    <row r="2009" spans="1:14" x14ac:dyDescent="0.25">
      <c r="A2009" s="1">
        <v>2008</v>
      </c>
      <c r="B2009" s="2" t="str">
        <f>HYPERLINK("https://leetcode.com/problems/maximum-earnings-from-taxi/", "Maximum Earnings From Taxi")</f>
        <v>Maximum Earnings From Taxi</v>
      </c>
      <c r="C2009" s="1">
        <v>1407</v>
      </c>
      <c r="D2009" s="1">
        <v>26</v>
      </c>
      <c r="E2009" s="3">
        <f>IF(INDEX(C:C, ROW())+INDEX(D:D, ROW())=0, 0, INDEX(C:C, ROW())/(INDEX(C:C, ROW())+INDEX(D:D, ROW())))</f>
        <v>0.98185624563852059</v>
      </c>
      <c r="F2009" s="1" t="s">
        <v>612</v>
      </c>
      <c r="G2009" s="1" t="s">
        <v>24</v>
      </c>
      <c r="H2009" s="1">
        <v>47894</v>
      </c>
      <c r="I2009" s="1">
        <v>103614</v>
      </c>
      <c r="J2009" s="7">
        <v>0.46200000000000002</v>
      </c>
      <c r="K2009" s="1" t="s">
        <v>21</v>
      </c>
      <c r="L2009" s="1" t="s">
        <v>29</v>
      </c>
      <c r="M2009" s="1" t="s">
        <v>29</v>
      </c>
      <c r="N2009" s="1" t="s">
        <v>22</v>
      </c>
    </row>
    <row r="2010" spans="1:14" x14ac:dyDescent="0.25">
      <c r="A2010" s="1">
        <v>2009</v>
      </c>
      <c r="B2010" s="2" t="str">
        <f>HYPERLINK("https://leetcode.com/problems/minimum-number-of-operations-to-make-array-continuous/", "Minimum Number of Operations to Make Array Continuous")</f>
        <v>Minimum Number of Operations to Make Array Continuous</v>
      </c>
      <c r="C2010" s="1">
        <v>1989</v>
      </c>
      <c r="D2010" s="1">
        <v>53</v>
      </c>
      <c r="E2010" s="3">
        <f>IF(INDEX(C:C, ROW())+INDEX(D:D, ROW())=0, 0, INDEX(C:C, ROW())/(INDEX(C:C, ROW())+INDEX(D:D, ROW())))</f>
        <v>0.97404505386875617</v>
      </c>
      <c r="F2010" s="1" t="s">
        <v>503</v>
      </c>
      <c r="G2010" s="1" t="s">
        <v>28</v>
      </c>
      <c r="H2010" s="1">
        <v>86164</v>
      </c>
      <c r="I2010" s="1">
        <v>165306</v>
      </c>
      <c r="J2010" s="7">
        <v>0.52100000000000002</v>
      </c>
      <c r="K2010" s="1" t="s">
        <v>21</v>
      </c>
      <c r="L2010" s="1" t="s">
        <v>21</v>
      </c>
      <c r="M2010" s="1" t="s">
        <v>29</v>
      </c>
      <c r="N2010" s="1" t="s">
        <v>22</v>
      </c>
    </row>
    <row r="2011" spans="1:14" x14ac:dyDescent="0.25">
      <c r="A2011" s="1">
        <v>2010</v>
      </c>
      <c r="B2011" s="2" t="str">
        <f>HYPERLINK("https://leetcode.com/problems/the-number-of-seniors-and-juniors-to-join-the-company-ii/", "The Number of Seniors and Juniors to Join the Company II")</f>
        <v>The Number of Seniors and Juniors to Join the Company II</v>
      </c>
      <c r="C2011" s="1">
        <v>41</v>
      </c>
      <c r="D2011" s="1">
        <v>10</v>
      </c>
      <c r="E2011" s="3">
        <f>IF(INDEX(C:C, ROW())+INDEX(D:D, ROW())=0, 0, INDEX(C:C, ROW())/(INDEX(C:C, ROW())+INDEX(D:D, ROW())))</f>
        <v>0.80392156862745101</v>
      </c>
      <c r="F2011" s="1" t="s">
        <v>297</v>
      </c>
      <c r="G2011" s="1" t="s">
        <v>28</v>
      </c>
      <c r="H2011" s="1">
        <v>7262</v>
      </c>
      <c r="I2011" s="1">
        <v>11049</v>
      </c>
      <c r="J2011" s="7">
        <v>0.65700000000000003</v>
      </c>
      <c r="K2011" s="1" t="s">
        <v>29</v>
      </c>
      <c r="L2011" s="1" t="s">
        <v>29</v>
      </c>
      <c r="M2011" s="1" t="s">
        <v>29</v>
      </c>
      <c r="N2011" s="1" t="s">
        <v>297</v>
      </c>
    </row>
    <row r="2012" spans="1:14" x14ac:dyDescent="0.25">
      <c r="A2012" s="1">
        <v>2011</v>
      </c>
      <c r="B2012" s="2" t="str">
        <f>HYPERLINK("https://leetcode.com/problems/final-value-of-variable-after-performing-operations/", "Final Value of Variable After Performing Operations")</f>
        <v>Final Value of Variable After Performing Operations</v>
      </c>
      <c r="C2012" s="1">
        <v>2017</v>
      </c>
      <c r="D2012" s="1">
        <v>216</v>
      </c>
      <c r="E2012" s="3">
        <f>IF(INDEX(C:C, ROW())+INDEX(D:D, ROW())=0, 0, INDEX(C:C, ROW())/(INDEX(C:C, ROW())+INDEX(D:D, ROW())))</f>
        <v>0.90326914464845498</v>
      </c>
      <c r="F2012" s="1" t="s">
        <v>285</v>
      </c>
      <c r="G2012" s="1" t="s">
        <v>20</v>
      </c>
      <c r="H2012" s="1">
        <v>641996</v>
      </c>
      <c r="I2012" s="1">
        <v>708948</v>
      </c>
      <c r="J2012" s="7">
        <v>0.90600000000000003</v>
      </c>
      <c r="K2012" s="1" t="s">
        <v>21</v>
      </c>
      <c r="L2012" s="1" t="s">
        <v>21</v>
      </c>
      <c r="M2012" s="1" t="s">
        <v>29</v>
      </c>
      <c r="N2012" s="1" t="s">
        <v>22</v>
      </c>
    </row>
    <row r="2013" spans="1:14" x14ac:dyDescent="0.25">
      <c r="A2013" s="1">
        <v>2012</v>
      </c>
      <c r="B2013" s="2" t="str">
        <f>HYPERLINK("https://leetcode.com/problems/sum-of-beauty-in-the-array/", "Sum of Beauty in the Array")</f>
        <v>Sum of Beauty in the Array</v>
      </c>
      <c r="C2013" s="1">
        <v>683</v>
      </c>
      <c r="D2013" s="1">
        <v>78</v>
      </c>
      <c r="E2013" s="3">
        <f>IF(INDEX(C:C, ROW())+INDEX(D:D, ROW())=0, 0, INDEX(C:C, ROW())/(INDEX(C:C, ROW())+INDEX(D:D, ROW())))</f>
        <v>0.89750328515111699</v>
      </c>
      <c r="F2013" s="1" t="s">
        <v>113</v>
      </c>
      <c r="G2013" s="1" t="s">
        <v>24</v>
      </c>
      <c r="H2013" s="1">
        <v>32079</v>
      </c>
      <c r="I2013" s="1">
        <v>62791</v>
      </c>
      <c r="J2013" s="7">
        <v>0.51100000000000001</v>
      </c>
      <c r="K2013" s="1" t="s">
        <v>21</v>
      </c>
      <c r="L2013" s="1" t="s">
        <v>29</v>
      </c>
      <c r="M2013" s="1" t="s">
        <v>29</v>
      </c>
      <c r="N2013" s="1" t="s">
        <v>22</v>
      </c>
    </row>
    <row r="2014" spans="1:14" x14ac:dyDescent="0.25">
      <c r="A2014" s="1">
        <v>2013</v>
      </c>
      <c r="B2014" s="2" t="str">
        <f>HYPERLINK("https://leetcode.com/problems/detect-squares/", "Detect Squares")</f>
        <v>Detect Squares</v>
      </c>
      <c r="C2014" s="1">
        <v>1006</v>
      </c>
      <c r="D2014" s="1">
        <v>258</v>
      </c>
      <c r="E2014" s="3">
        <f>IF(INDEX(C:C, ROW())+INDEX(D:D, ROW())=0, 0, INDEX(C:C, ROW())/(INDEX(C:C, ROW())+INDEX(D:D, ROW())))</f>
        <v>0.79588607594936711</v>
      </c>
      <c r="F2014" s="1" t="s">
        <v>715</v>
      </c>
      <c r="G2014" s="1" t="s">
        <v>24</v>
      </c>
      <c r="H2014" s="1">
        <v>105263</v>
      </c>
      <c r="I2014" s="1">
        <v>201376</v>
      </c>
      <c r="J2014" s="7">
        <v>0.52300000000000002</v>
      </c>
      <c r="K2014" s="1" t="s">
        <v>21</v>
      </c>
      <c r="L2014" s="1" t="s">
        <v>29</v>
      </c>
      <c r="M2014" s="1" t="s">
        <v>29</v>
      </c>
      <c r="N2014" s="1" t="s">
        <v>22</v>
      </c>
    </row>
    <row r="2015" spans="1:14" x14ac:dyDescent="0.25">
      <c r="A2015" s="1">
        <v>2014</v>
      </c>
      <c r="B2015" s="2" t="str">
        <f>HYPERLINK("https://leetcode.com/problems/longest-subsequence-repeated-k-times/", "Longest Subsequence Repeated k Times")</f>
        <v>Longest Subsequence Repeated k Times</v>
      </c>
      <c r="C2015" s="1">
        <v>823</v>
      </c>
      <c r="D2015" s="1">
        <v>117</v>
      </c>
      <c r="E2015" s="3">
        <f>IF(INDEX(C:C, ROW())+INDEX(D:D, ROW())=0, 0, INDEX(C:C, ROW())/(INDEX(C:C, ROW())+INDEX(D:D, ROW())))</f>
        <v>0.87553191489361704</v>
      </c>
      <c r="F2015" s="1" t="s">
        <v>763</v>
      </c>
      <c r="G2015" s="1" t="s">
        <v>28</v>
      </c>
      <c r="H2015" s="1">
        <v>73491</v>
      </c>
      <c r="I2015" s="1">
        <v>103060</v>
      </c>
      <c r="J2015" s="7">
        <v>0.71299999999999997</v>
      </c>
      <c r="K2015" s="1" t="s">
        <v>21</v>
      </c>
      <c r="L2015" s="1" t="s">
        <v>21</v>
      </c>
      <c r="M2015" s="1" t="s">
        <v>29</v>
      </c>
      <c r="N2015" s="1" t="s">
        <v>22</v>
      </c>
    </row>
    <row r="2016" spans="1:14" x14ac:dyDescent="0.25">
      <c r="A2016" s="1">
        <v>2015</v>
      </c>
      <c r="B2016" s="2" t="str">
        <f>HYPERLINK("https://leetcode.com/problems/average-height-of-buildings-in-each-segment/", "Average Height of Buildings in Each Segment")</f>
        <v>Average Height of Buildings in Each Segment</v>
      </c>
      <c r="C2016" s="1">
        <v>55</v>
      </c>
      <c r="D2016" s="1">
        <v>29</v>
      </c>
      <c r="E2016" s="3">
        <f>IF(INDEX(C:C, ROW())+INDEX(D:D, ROW())=0, 0, INDEX(C:C, ROW())/(INDEX(C:C, ROW())+INDEX(D:D, ROW())))</f>
        <v>0.65476190476190477</v>
      </c>
      <c r="F2016" s="1" t="s">
        <v>1252</v>
      </c>
      <c r="G2016" s="1" t="s">
        <v>24</v>
      </c>
      <c r="H2016" s="1">
        <v>2719</v>
      </c>
      <c r="I2016" s="1">
        <v>4649</v>
      </c>
      <c r="J2016" s="7">
        <v>0.58499999999999996</v>
      </c>
      <c r="K2016" s="1" t="s">
        <v>29</v>
      </c>
      <c r="L2016" s="1" t="s">
        <v>29</v>
      </c>
      <c r="M2016" s="1" t="s">
        <v>29</v>
      </c>
      <c r="N2016" s="1" t="s">
        <v>22</v>
      </c>
    </row>
    <row r="2017" spans="1:14" x14ac:dyDescent="0.25">
      <c r="A2017" s="1">
        <v>2016</v>
      </c>
      <c r="B2017" s="2" t="str">
        <f>HYPERLINK("https://leetcode.com/problems/maximum-difference-between-increasing-elements/", "Maximum Difference Between Increasing Elements")</f>
        <v>Maximum Difference Between Increasing Elements</v>
      </c>
      <c r="C2017" s="1">
        <v>1510</v>
      </c>
      <c r="D2017" s="1">
        <v>44</v>
      </c>
      <c r="E2017" s="3">
        <f>IF(INDEX(C:C, ROW())+INDEX(D:D, ROW())=0, 0, INDEX(C:C, ROW())/(INDEX(C:C, ROW())+INDEX(D:D, ROW())))</f>
        <v>0.97168597168597171</v>
      </c>
      <c r="F2017" s="1" t="s">
        <v>113</v>
      </c>
      <c r="G2017" s="1" t="s">
        <v>20</v>
      </c>
      <c r="H2017" s="1">
        <v>283463</v>
      </c>
      <c r="I2017" s="1">
        <v>426575</v>
      </c>
      <c r="J2017" s="7">
        <v>0.66500000000000004</v>
      </c>
      <c r="K2017" s="1" t="s">
        <v>21</v>
      </c>
      <c r="L2017" s="1" t="s">
        <v>21</v>
      </c>
      <c r="M2017" s="1" t="s">
        <v>29</v>
      </c>
      <c r="N2017" s="1" t="s">
        <v>22</v>
      </c>
    </row>
    <row r="2018" spans="1:14" x14ac:dyDescent="0.25">
      <c r="A2018" s="1">
        <v>2017</v>
      </c>
      <c r="B2018" s="2" t="str">
        <f>HYPERLINK("https://leetcode.com/problems/grid-game/", "Grid Game")</f>
        <v>Grid Game</v>
      </c>
      <c r="C2018" s="1">
        <v>1805</v>
      </c>
      <c r="D2018" s="1">
        <v>94</v>
      </c>
      <c r="E2018" s="3">
        <f>IF(INDEX(C:C, ROW())+INDEX(D:D, ROW())=0, 0, INDEX(C:C, ROW())/(INDEX(C:C, ROW())+INDEX(D:D, ROW())))</f>
        <v>0.95050026329647186</v>
      </c>
      <c r="F2018" s="1" t="s">
        <v>425</v>
      </c>
      <c r="G2018" s="1" t="s">
        <v>24</v>
      </c>
      <c r="H2018" s="1">
        <v>138525</v>
      </c>
      <c r="I2018" s="1">
        <v>227514</v>
      </c>
      <c r="J2018" s="7">
        <v>0.60899999999999999</v>
      </c>
      <c r="K2018" s="1" t="s">
        <v>21</v>
      </c>
      <c r="L2018" s="1" t="s">
        <v>21</v>
      </c>
      <c r="M2018" s="1" t="s">
        <v>29</v>
      </c>
      <c r="N2018" s="1" t="s">
        <v>22</v>
      </c>
    </row>
    <row r="2019" spans="1:14" x14ac:dyDescent="0.25">
      <c r="A2019" s="1">
        <v>2018</v>
      </c>
      <c r="B2019" s="2" t="str">
        <f>HYPERLINK("https://leetcode.com/problems/check-if-word-can-be-placed-in-crossword/", "Check if Word Can Be Placed In Crossword")</f>
        <v>Check if Word Can Be Placed In Crossword</v>
      </c>
      <c r="C2019" s="1">
        <v>328</v>
      </c>
      <c r="D2019" s="1">
        <v>311</v>
      </c>
      <c r="E2019" s="3">
        <f>IF(INDEX(C:C, ROW())+INDEX(D:D, ROW())=0, 0, INDEX(C:C, ROW())/(INDEX(C:C, ROW())+INDEX(D:D, ROW())))</f>
        <v>0.51330203442879496</v>
      </c>
      <c r="F2019" s="1" t="s">
        <v>982</v>
      </c>
      <c r="G2019" s="1" t="s">
        <v>24</v>
      </c>
      <c r="H2019" s="1">
        <v>28308</v>
      </c>
      <c r="I2019" s="1">
        <v>55889</v>
      </c>
      <c r="J2019" s="7">
        <v>0.50700000000000001</v>
      </c>
      <c r="K2019" s="1" t="s">
        <v>21</v>
      </c>
      <c r="L2019" s="1" t="s">
        <v>29</v>
      </c>
      <c r="M2019" s="1" t="s">
        <v>29</v>
      </c>
      <c r="N2019" s="1" t="s">
        <v>22</v>
      </c>
    </row>
    <row r="2020" spans="1:14" x14ac:dyDescent="0.25">
      <c r="A2020" s="1">
        <v>2019</v>
      </c>
      <c r="B2020" s="2" t="str">
        <f>HYPERLINK("https://leetcode.com/problems/the-score-of-students-solving-math-expression/", "The Score of Students Solving Math Expression")</f>
        <v>The Score of Students Solving Math Expression</v>
      </c>
      <c r="C2020" s="1">
        <v>281</v>
      </c>
      <c r="D2020" s="1">
        <v>85</v>
      </c>
      <c r="E2020" s="3">
        <f>IF(INDEX(C:C, ROW())+INDEX(D:D, ROW())=0, 0, INDEX(C:C, ROW())/(INDEX(C:C, ROW())+INDEX(D:D, ROW())))</f>
        <v>0.76775956284153002</v>
      </c>
      <c r="F2020" s="1" t="s">
        <v>1053</v>
      </c>
      <c r="G2020" s="1" t="s">
        <v>28</v>
      </c>
      <c r="H2020" s="1">
        <v>9189</v>
      </c>
      <c r="I2020" s="1">
        <v>27050</v>
      </c>
      <c r="J2020" s="7">
        <v>0.34</v>
      </c>
      <c r="K2020" s="1" t="s">
        <v>21</v>
      </c>
      <c r="L2020" s="1" t="s">
        <v>29</v>
      </c>
      <c r="M2020" s="1" t="s">
        <v>29</v>
      </c>
      <c r="N2020" s="1" t="s">
        <v>22</v>
      </c>
    </row>
    <row r="2021" spans="1:14" x14ac:dyDescent="0.25">
      <c r="A2021" s="1">
        <v>2020</v>
      </c>
      <c r="B2021" s="2" t="str">
        <f>HYPERLINK("https://leetcode.com/problems/number-of-accounts-that-did-not-stream/", "Number of Accounts That Did Not Stream")</f>
        <v>Number of Accounts That Did Not Stream</v>
      </c>
      <c r="C2021" s="1">
        <v>29</v>
      </c>
      <c r="D2021" s="1">
        <v>230</v>
      </c>
      <c r="E2021" s="3">
        <f>IF(INDEX(C:C, ROW())+INDEX(D:D, ROW())=0, 0, INDEX(C:C, ROW())/(INDEX(C:C, ROW())+INDEX(D:D, ROW())))</f>
        <v>0.11196911196911197</v>
      </c>
      <c r="F2021" s="1" t="s">
        <v>297</v>
      </c>
      <c r="G2021" s="1" t="s">
        <v>24</v>
      </c>
      <c r="H2021" s="1">
        <v>13807</v>
      </c>
      <c r="I2021" s="1">
        <v>19170</v>
      </c>
      <c r="J2021" s="7">
        <v>0.72</v>
      </c>
      <c r="K2021" s="1" t="s">
        <v>29</v>
      </c>
      <c r="L2021" s="1" t="s">
        <v>29</v>
      </c>
      <c r="M2021" s="1" t="s">
        <v>29</v>
      </c>
      <c r="N2021" s="1" t="s">
        <v>297</v>
      </c>
    </row>
    <row r="2022" spans="1:14" x14ac:dyDescent="0.25">
      <c r="A2022" s="1">
        <v>2021</v>
      </c>
      <c r="B2022" s="2" t="str">
        <f>HYPERLINK("https://leetcode.com/problems/brightest-position-on-street/", "Brightest Position on Street")</f>
        <v>Brightest Position on Street</v>
      </c>
      <c r="C2022" s="1">
        <v>172</v>
      </c>
      <c r="D2022" s="1">
        <v>5</v>
      </c>
      <c r="E2022" s="3">
        <f>IF(INDEX(C:C, ROW())+INDEX(D:D, ROW())=0, 0, INDEX(C:C, ROW())/(INDEX(C:C, ROW())+INDEX(D:D, ROW())))</f>
        <v>0.97175141242937857</v>
      </c>
      <c r="F2022" s="1" t="s">
        <v>1120</v>
      </c>
      <c r="G2022" s="1" t="s">
        <v>24</v>
      </c>
      <c r="H2022" s="1">
        <v>16573</v>
      </c>
      <c r="I2022" s="1">
        <v>27342</v>
      </c>
      <c r="J2022" s="7">
        <v>0.60599999999999998</v>
      </c>
      <c r="K2022" s="1" t="s">
        <v>29</v>
      </c>
      <c r="L2022" s="1" t="s">
        <v>29</v>
      </c>
      <c r="M2022" s="1" t="s">
        <v>29</v>
      </c>
      <c r="N2022" s="1" t="s">
        <v>22</v>
      </c>
    </row>
    <row r="2023" spans="1:14" x14ac:dyDescent="0.25">
      <c r="A2023" s="1">
        <v>2022</v>
      </c>
      <c r="B2023" s="2" t="str">
        <f>HYPERLINK("https://leetcode.com/problems/convert-1d-array-into-2d-array/", "Convert 1D Array Into 2D Array")</f>
        <v>Convert 1D Array Into 2D Array</v>
      </c>
      <c r="C2023" s="1">
        <v>1293</v>
      </c>
      <c r="D2023" s="1">
        <v>103</v>
      </c>
      <c r="E2023" s="3">
        <f>IF(INDEX(C:C, ROW())+INDEX(D:D, ROW())=0, 0, INDEX(C:C, ROW())/(INDEX(C:C, ROW())+INDEX(D:D, ROW())))</f>
        <v>0.92621776504297992</v>
      </c>
      <c r="F2023" s="1" t="s">
        <v>77</v>
      </c>
      <c r="G2023" s="1" t="s">
        <v>20</v>
      </c>
      <c r="H2023" s="1">
        <v>288200</v>
      </c>
      <c r="I2023" s="1">
        <v>399800</v>
      </c>
      <c r="J2023" s="7">
        <v>0.72099999999999997</v>
      </c>
      <c r="K2023" s="1" t="s">
        <v>21</v>
      </c>
      <c r="L2023" s="1" t="s">
        <v>21</v>
      </c>
      <c r="M2023" s="1" t="s">
        <v>29</v>
      </c>
      <c r="N2023" s="1" t="s">
        <v>22</v>
      </c>
    </row>
    <row r="2024" spans="1:14" x14ac:dyDescent="0.25">
      <c r="A2024" s="1">
        <v>2023</v>
      </c>
      <c r="B2024" s="2" t="str">
        <f>HYPERLINK("https://leetcode.com/problems/number-of-pairs-of-strings-with-concatenation-equal-to-target/", "Number of Pairs of Strings With Concatenation Equal to Target")</f>
        <v>Number of Pairs of Strings With Concatenation Equal to Target</v>
      </c>
      <c r="C2024" s="1">
        <v>748</v>
      </c>
      <c r="D2024" s="1">
        <v>57</v>
      </c>
      <c r="E2024" s="3">
        <f>IF(INDEX(C:C, ROW())+INDEX(D:D, ROW())=0, 0, INDEX(C:C, ROW())/(INDEX(C:C, ROW())+INDEX(D:D, ROW())))</f>
        <v>0.92919254658385098</v>
      </c>
      <c r="F2024" s="1" t="s">
        <v>467</v>
      </c>
      <c r="G2024" s="1" t="s">
        <v>24</v>
      </c>
      <c r="H2024" s="1">
        <v>61757</v>
      </c>
      <c r="I2024" s="1">
        <v>81947</v>
      </c>
      <c r="J2024" s="7">
        <v>0.754</v>
      </c>
      <c r="K2024" s="1" t="s">
        <v>21</v>
      </c>
      <c r="L2024" s="1" t="s">
        <v>29</v>
      </c>
      <c r="M2024" s="1" t="s">
        <v>29</v>
      </c>
      <c r="N2024" s="1" t="s">
        <v>22</v>
      </c>
    </row>
    <row r="2025" spans="1:14" x14ac:dyDescent="0.25">
      <c r="A2025" s="1">
        <v>2024</v>
      </c>
      <c r="B2025" s="2" t="str">
        <f>HYPERLINK("https://leetcode.com/problems/maximize-the-confusion-of-an-exam/", "Maximize the Confusion of an Exam")</f>
        <v>Maximize the Confusion of an Exam</v>
      </c>
      <c r="C2025" s="1">
        <v>3075</v>
      </c>
      <c r="D2025" s="1">
        <v>54</v>
      </c>
      <c r="E2025" s="3">
        <f>IF(INDEX(C:C, ROW())+INDEX(D:D, ROW())=0, 0, INDEX(C:C, ROW())/(INDEX(C:C, ROW())+INDEX(D:D, ROW())))</f>
        <v>0.98274209012464042</v>
      </c>
      <c r="F2025" s="1" t="s">
        <v>374</v>
      </c>
      <c r="G2025" s="1" t="s">
        <v>24</v>
      </c>
      <c r="H2025" s="1">
        <v>142033</v>
      </c>
      <c r="I2025" s="1">
        <v>203740</v>
      </c>
      <c r="J2025" s="7">
        <v>0.69699999999999995</v>
      </c>
      <c r="K2025" s="1" t="s">
        <v>21</v>
      </c>
      <c r="L2025" s="1" t="s">
        <v>21</v>
      </c>
      <c r="M2025" s="1" t="s">
        <v>29</v>
      </c>
      <c r="N2025" s="1" t="s">
        <v>22</v>
      </c>
    </row>
    <row r="2026" spans="1:14" x14ac:dyDescent="0.25">
      <c r="A2026" s="1">
        <v>2025</v>
      </c>
      <c r="B2026" s="2" t="str">
        <f>HYPERLINK("https://leetcode.com/problems/maximum-number-of-ways-to-partition-an-array/", "Maximum Number of Ways to Partition an Array")</f>
        <v>Maximum Number of Ways to Partition an Array</v>
      </c>
      <c r="C2026" s="1">
        <v>520</v>
      </c>
      <c r="D2026" s="1">
        <v>59</v>
      </c>
      <c r="E2026" s="3">
        <f>IF(INDEX(C:C, ROW())+INDEX(D:D, ROW())=0, 0, INDEX(C:C, ROW())/(INDEX(C:C, ROW())+INDEX(D:D, ROW())))</f>
        <v>0.89810017271157172</v>
      </c>
      <c r="F2026" s="1" t="s">
        <v>907</v>
      </c>
      <c r="G2026" s="1" t="s">
        <v>28</v>
      </c>
      <c r="H2026" s="1">
        <v>13661</v>
      </c>
      <c r="I2026" s="1">
        <v>38443</v>
      </c>
      <c r="J2026" s="7">
        <v>0.35499999999999998</v>
      </c>
      <c r="K2026" s="1" t="s">
        <v>21</v>
      </c>
      <c r="L2026" s="1" t="s">
        <v>29</v>
      </c>
      <c r="M2026" s="1" t="s">
        <v>29</v>
      </c>
      <c r="N2026" s="1" t="s">
        <v>22</v>
      </c>
    </row>
    <row r="2027" spans="1:14" x14ac:dyDescent="0.25">
      <c r="A2027" s="1">
        <v>2026</v>
      </c>
      <c r="B2027" s="2" t="str">
        <f>HYPERLINK("https://leetcode.com/problems/low-quality-problems/", "Low-Quality Problems")</f>
        <v>Low-Quality Problems</v>
      </c>
      <c r="C2027" s="1">
        <v>55</v>
      </c>
      <c r="D2027" s="1">
        <v>12</v>
      </c>
      <c r="E2027" s="3">
        <f>IF(INDEX(C:C, ROW())+INDEX(D:D, ROW())=0, 0, INDEX(C:C, ROW())/(INDEX(C:C, ROW())+INDEX(D:D, ROW())))</f>
        <v>0.82089552238805974</v>
      </c>
      <c r="F2027" s="1" t="s">
        <v>297</v>
      </c>
      <c r="G2027" s="1" t="s">
        <v>20</v>
      </c>
      <c r="H2027" s="1">
        <v>15508</v>
      </c>
      <c r="I2027" s="1">
        <v>18447</v>
      </c>
      <c r="J2027" s="7">
        <v>0.84099999999999997</v>
      </c>
      <c r="K2027" s="1" t="s">
        <v>29</v>
      </c>
      <c r="L2027" s="1" t="s">
        <v>29</v>
      </c>
      <c r="M2027" s="1" t="s">
        <v>29</v>
      </c>
      <c r="N2027" s="1" t="s">
        <v>297</v>
      </c>
    </row>
    <row r="2028" spans="1:14" x14ac:dyDescent="0.25">
      <c r="A2028" s="1">
        <v>2027</v>
      </c>
      <c r="B2028" s="2" t="str">
        <f>HYPERLINK("https://leetcode.com/problems/minimum-moves-to-convert-string/", "Minimum Moves to Convert String")</f>
        <v>Minimum Moves to Convert String</v>
      </c>
      <c r="C2028" s="1">
        <v>536</v>
      </c>
      <c r="D2028" s="1">
        <v>81</v>
      </c>
      <c r="E2028" s="3">
        <f>IF(INDEX(C:C, ROW())+INDEX(D:D, ROW())=0, 0, INDEX(C:C, ROW())/(INDEX(C:C, ROW())+INDEX(D:D, ROW())))</f>
        <v>0.86871961102106965</v>
      </c>
      <c r="F2028" s="1" t="s">
        <v>424</v>
      </c>
      <c r="G2028" s="1" t="s">
        <v>20</v>
      </c>
      <c r="H2028" s="1">
        <v>59066</v>
      </c>
      <c r="I2028" s="1">
        <v>102379</v>
      </c>
      <c r="J2028" s="7">
        <v>0.57699999999999996</v>
      </c>
      <c r="K2028" s="1" t="s">
        <v>21</v>
      </c>
      <c r="L2028" s="1" t="s">
        <v>29</v>
      </c>
      <c r="M2028" s="1" t="s">
        <v>29</v>
      </c>
      <c r="N2028" s="1" t="s">
        <v>22</v>
      </c>
    </row>
    <row r="2029" spans="1:14" x14ac:dyDescent="0.25">
      <c r="A2029" s="1">
        <v>2028</v>
      </c>
      <c r="B2029" s="2" t="str">
        <f>HYPERLINK("https://leetcode.com/problems/find-missing-observations/", "Find Missing Observations")</f>
        <v>Find Missing Observations</v>
      </c>
      <c r="C2029" s="1">
        <v>1124</v>
      </c>
      <c r="D2029" s="1">
        <v>108</v>
      </c>
      <c r="E2029" s="3">
        <f>IF(INDEX(C:C, ROW())+INDEX(D:D, ROW())=0, 0, INDEX(C:C, ROW())/(INDEX(C:C, ROW())+INDEX(D:D, ROW())))</f>
        <v>0.91233766233766234</v>
      </c>
      <c r="F2029" s="1" t="s">
        <v>629</v>
      </c>
      <c r="G2029" s="1" t="s">
        <v>24</v>
      </c>
      <c r="H2029" s="1">
        <v>174089</v>
      </c>
      <c r="I2029" s="1">
        <v>303355</v>
      </c>
      <c r="J2029" s="7">
        <v>0.57399999999999995</v>
      </c>
      <c r="K2029" s="1" t="s">
        <v>21</v>
      </c>
      <c r="L2029" s="1" t="s">
        <v>21</v>
      </c>
      <c r="M2029" s="1" t="s">
        <v>29</v>
      </c>
      <c r="N2029" s="1" t="s">
        <v>22</v>
      </c>
    </row>
    <row r="2030" spans="1:14" x14ac:dyDescent="0.25">
      <c r="A2030" s="1">
        <v>2029</v>
      </c>
      <c r="B2030" s="2" t="str">
        <f>HYPERLINK("https://leetcode.com/problems/stone-game-ix/", "Stone Game IX")</f>
        <v>Stone Game IX</v>
      </c>
      <c r="C2030" s="1">
        <v>261</v>
      </c>
      <c r="D2030" s="1">
        <v>280</v>
      </c>
      <c r="E2030" s="3">
        <f>IF(INDEX(C:C, ROW())+INDEX(D:D, ROW())=0, 0, INDEX(C:C, ROW())/(INDEX(C:C, ROW())+INDEX(D:D, ROW())))</f>
        <v>0.48243992606284658</v>
      </c>
      <c r="F2030" s="1" t="s">
        <v>1061</v>
      </c>
      <c r="G2030" s="1" t="s">
        <v>24</v>
      </c>
      <c r="H2030" s="1">
        <v>11428</v>
      </c>
      <c r="I2030" s="1">
        <v>38153</v>
      </c>
      <c r="J2030" s="7">
        <v>0.3</v>
      </c>
      <c r="K2030" s="1" t="s">
        <v>21</v>
      </c>
      <c r="L2030" s="1" t="s">
        <v>29</v>
      </c>
      <c r="M2030" s="1" t="s">
        <v>29</v>
      </c>
      <c r="N2030" s="1" t="s">
        <v>22</v>
      </c>
    </row>
    <row r="2031" spans="1:14" x14ac:dyDescent="0.25">
      <c r="A2031" s="1">
        <v>2030</v>
      </c>
      <c r="B2031" s="2" t="str">
        <f>HYPERLINK("https://leetcode.com/problems/smallest-k-length-subsequence-with-occurrences-of-a-letter/", "Smallest K-Length Subsequence With Occurrences of a Letter")</f>
        <v>Smallest K-Length Subsequence With Occurrences of a Letter</v>
      </c>
      <c r="C2031" s="1">
        <v>512</v>
      </c>
      <c r="D2031" s="1">
        <v>15</v>
      </c>
      <c r="E2031" s="3">
        <f>IF(INDEX(C:C, ROW())+INDEX(D:D, ROW())=0, 0, INDEX(C:C, ROW())/(INDEX(C:C, ROW())+INDEX(D:D, ROW())))</f>
        <v>0.97153700189753323</v>
      </c>
      <c r="F2031" s="1" t="s">
        <v>129</v>
      </c>
      <c r="G2031" s="1" t="s">
        <v>28</v>
      </c>
      <c r="H2031" s="1">
        <v>11269</v>
      </c>
      <c r="I2031" s="1">
        <v>28411</v>
      </c>
      <c r="J2031" s="7">
        <v>0.39700000000000002</v>
      </c>
      <c r="K2031" s="1" t="s">
        <v>21</v>
      </c>
      <c r="L2031" s="1" t="s">
        <v>29</v>
      </c>
      <c r="M2031" s="1" t="s">
        <v>29</v>
      </c>
      <c r="N2031" s="1" t="s">
        <v>22</v>
      </c>
    </row>
    <row r="2032" spans="1:14" x14ac:dyDescent="0.25">
      <c r="A2032" s="1">
        <v>2031</v>
      </c>
      <c r="B2032" s="2" t="str">
        <f>HYPERLINK("https://leetcode.com/problems/count-subarrays-with-more-ones-than-zeros/", "Count Subarrays With More Ones Than Zeros")</f>
        <v>Count Subarrays With More Ones Than Zeros</v>
      </c>
      <c r="C2032" s="1">
        <v>185</v>
      </c>
      <c r="D2032" s="1">
        <v>18</v>
      </c>
      <c r="E2032" s="3">
        <f>IF(INDEX(C:C, ROW())+INDEX(D:D, ROW())=0, 0, INDEX(C:C, ROW())/(INDEX(C:C, ROW())+INDEX(D:D, ROW())))</f>
        <v>0.91133004926108374</v>
      </c>
      <c r="F2032" s="1" t="s">
        <v>1108</v>
      </c>
      <c r="G2032" s="1" t="s">
        <v>24</v>
      </c>
      <c r="H2032" s="1">
        <v>5324</v>
      </c>
      <c r="I2032" s="1">
        <v>10841</v>
      </c>
      <c r="J2032" s="7">
        <v>0.49099999999999999</v>
      </c>
      <c r="K2032" s="1" t="s">
        <v>29</v>
      </c>
      <c r="L2032" s="1" t="s">
        <v>29</v>
      </c>
      <c r="M2032" s="1" t="s">
        <v>29</v>
      </c>
      <c r="N2032" s="1" t="s">
        <v>22</v>
      </c>
    </row>
    <row r="2033" spans="1:14" x14ac:dyDescent="0.25">
      <c r="A2033" s="1">
        <v>2032</v>
      </c>
      <c r="B2033" s="2" t="str">
        <f>HYPERLINK("https://leetcode.com/problems/two-out-of-three/", "Two Out of Three")</f>
        <v>Two Out of Three</v>
      </c>
      <c r="C2033" s="1">
        <v>816</v>
      </c>
      <c r="D2033" s="1">
        <v>54</v>
      </c>
      <c r="E2033" s="3">
        <f>IF(INDEX(C:C, ROW())+INDEX(D:D, ROW())=0, 0, INDEX(C:C, ROW())/(INDEX(C:C, ROW())+INDEX(D:D, ROW())))</f>
        <v>0.93793103448275861</v>
      </c>
      <c r="F2033" s="1" t="s">
        <v>667</v>
      </c>
      <c r="G2033" s="1" t="s">
        <v>20</v>
      </c>
      <c r="H2033" s="1">
        <v>100921</v>
      </c>
      <c r="I2033" s="1">
        <v>130361</v>
      </c>
      <c r="J2033" s="7">
        <v>0.77400000000000002</v>
      </c>
      <c r="K2033" s="1" t="s">
        <v>21</v>
      </c>
      <c r="L2033" s="1" t="s">
        <v>29</v>
      </c>
      <c r="M2033" s="1" t="s">
        <v>29</v>
      </c>
      <c r="N2033" s="1" t="s">
        <v>22</v>
      </c>
    </row>
    <row r="2034" spans="1:14" x14ac:dyDescent="0.25">
      <c r="A2034" s="1">
        <v>2033</v>
      </c>
      <c r="B2034" s="2" t="str">
        <f>HYPERLINK("https://leetcode.com/problems/minimum-operations-to-make-a-uni-value-grid/", "Minimum Operations to Make a Uni-Value Grid")</f>
        <v>Minimum Operations to Make a Uni-Value Grid</v>
      </c>
      <c r="C2034" s="1">
        <v>1109</v>
      </c>
      <c r="D2034" s="1">
        <v>75</v>
      </c>
      <c r="E2034" s="3">
        <f>IF(INDEX(C:C, ROW())+INDEX(D:D, ROW())=0, 0, INDEX(C:C, ROW())/(INDEX(C:C, ROW())+INDEX(D:D, ROW())))</f>
        <v>0.93665540540540537</v>
      </c>
      <c r="F2034" s="1" t="s">
        <v>650</v>
      </c>
      <c r="G2034" s="1" t="s">
        <v>24</v>
      </c>
      <c r="H2034" s="1">
        <v>141782</v>
      </c>
      <c r="I2034" s="1">
        <v>210120</v>
      </c>
      <c r="J2034" s="7">
        <v>0.67500000000000004</v>
      </c>
      <c r="K2034" s="1" t="s">
        <v>21</v>
      </c>
      <c r="L2034" s="1" t="s">
        <v>21</v>
      </c>
      <c r="M2034" s="1" t="s">
        <v>29</v>
      </c>
      <c r="N2034" s="1" t="s">
        <v>22</v>
      </c>
    </row>
    <row r="2035" spans="1:14" x14ac:dyDescent="0.25">
      <c r="A2035" s="1">
        <v>2034</v>
      </c>
      <c r="B2035" s="2" t="str">
        <f>HYPERLINK("https://leetcode.com/problems/stock-price-fluctuation/", "Stock Price Fluctuation ")</f>
        <v xml:space="preserve">Stock Price Fluctuation </v>
      </c>
      <c r="C2035" s="1">
        <v>1277</v>
      </c>
      <c r="D2035" s="1">
        <v>70</v>
      </c>
      <c r="E2035" s="3">
        <f>IF(INDEX(C:C, ROW())+INDEX(D:D, ROW())=0, 0, INDEX(C:C, ROW())/(INDEX(C:C, ROW())+INDEX(D:D, ROW())))</f>
        <v>0.94803266518188567</v>
      </c>
      <c r="F2035" s="1" t="s">
        <v>643</v>
      </c>
      <c r="G2035" s="1" t="s">
        <v>24</v>
      </c>
      <c r="H2035" s="1">
        <v>96866</v>
      </c>
      <c r="I2035" s="1">
        <v>198169</v>
      </c>
      <c r="J2035" s="7">
        <v>0.48899999999999999</v>
      </c>
      <c r="K2035" s="1" t="s">
        <v>21</v>
      </c>
      <c r="L2035" s="1" t="s">
        <v>21</v>
      </c>
      <c r="M2035" s="1" t="s">
        <v>29</v>
      </c>
      <c r="N2035" s="1" t="s">
        <v>22</v>
      </c>
    </row>
    <row r="2036" spans="1:14" x14ac:dyDescent="0.25">
      <c r="A2036" s="1">
        <v>2035</v>
      </c>
      <c r="B2036" s="2" t="str">
        <f>HYPERLINK("https://leetcode.com/problems/partition-array-into-two-arrays-to-minimize-sum-difference/", "Partition Array Into Two Arrays to Minimize Sum Difference")</f>
        <v>Partition Array Into Two Arrays to Minimize Sum Difference</v>
      </c>
      <c r="C2036" s="1">
        <v>3738</v>
      </c>
      <c r="D2036" s="1">
        <v>256</v>
      </c>
      <c r="E2036" s="3">
        <f>IF(INDEX(C:C, ROW())+INDEX(D:D, ROW())=0, 0, INDEX(C:C, ROW())/(INDEX(C:C, ROW())+INDEX(D:D, ROW())))</f>
        <v>0.93590385578367552</v>
      </c>
      <c r="F2036" s="1" t="s">
        <v>330</v>
      </c>
      <c r="G2036" s="1" t="s">
        <v>28</v>
      </c>
      <c r="H2036" s="1">
        <v>56271</v>
      </c>
      <c r="I2036" s="1">
        <v>244472</v>
      </c>
      <c r="J2036" s="7">
        <v>0.23</v>
      </c>
      <c r="K2036" s="1" t="s">
        <v>21</v>
      </c>
      <c r="L2036" s="1" t="s">
        <v>29</v>
      </c>
      <c r="M2036" s="1" t="s">
        <v>29</v>
      </c>
      <c r="N2036" s="1" t="s">
        <v>22</v>
      </c>
    </row>
    <row r="2037" spans="1:14" x14ac:dyDescent="0.25">
      <c r="A2037" s="1">
        <v>2036</v>
      </c>
      <c r="B2037" s="2" t="str">
        <f>HYPERLINK("https://leetcode.com/problems/maximum-alternating-subarray-sum/", "Maximum Alternating Subarray Sum")</f>
        <v>Maximum Alternating Subarray Sum</v>
      </c>
      <c r="C2037" s="1">
        <v>105</v>
      </c>
      <c r="D2037" s="1">
        <v>6</v>
      </c>
      <c r="E2037" s="3">
        <f>IF(INDEX(C:C, ROW())+INDEX(D:D, ROW())=0, 0, INDEX(C:C, ROW())/(INDEX(C:C, ROW())+INDEX(D:D, ROW())))</f>
        <v>0.94594594594594594</v>
      </c>
      <c r="F2037" s="1" t="s">
        <v>30</v>
      </c>
      <c r="G2037" s="1" t="s">
        <v>24</v>
      </c>
      <c r="H2037" s="1">
        <v>4346</v>
      </c>
      <c r="I2037" s="1">
        <v>10883</v>
      </c>
      <c r="J2037" s="7">
        <v>0.39900000000000002</v>
      </c>
      <c r="K2037" s="1" t="s">
        <v>29</v>
      </c>
      <c r="L2037" s="1" t="s">
        <v>29</v>
      </c>
      <c r="M2037" s="1" t="s">
        <v>29</v>
      </c>
      <c r="N2037" s="1" t="s">
        <v>22</v>
      </c>
    </row>
    <row r="2038" spans="1:14" x14ac:dyDescent="0.25">
      <c r="A2038" s="1">
        <v>2037</v>
      </c>
      <c r="B2038" s="2" t="str">
        <f>HYPERLINK("https://leetcode.com/problems/minimum-number-of-moves-to-seat-everyone/", "Minimum Number of Moves to Seat Everyone")</f>
        <v>Minimum Number of Moves to Seat Everyone</v>
      </c>
      <c r="C2038" s="1">
        <v>1433</v>
      </c>
      <c r="D2038" s="1">
        <v>346</v>
      </c>
      <c r="E2038" s="3">
        <f>IF(INDEX(C:C, ROW())+INDEX(D:D, ROW())=0, 0, INDEX(C:C, ROW())/(INDEX(C:C, ROW())+INDEX(D:D, ROW())))</f>
        <v>0.80550871275997749</v>
      </c>
      <c r="F2038" s="1" t="s">
        <v>443</v>
      </c>
      <c r="G2038" s="1" t="s">
        <v>20</v>
      </c>
      <c r="H2038" s="1">
        <v>281150</v>
      </c>
      <c r="I2038" s="1">
        <v>322459</v>
      </c>
      <c r="J2038" s="7">
        <v>0.872</v>
      </c>
      <c r="K2038" s="1" t="s">
        <v>21</v>
      </c>
      <c r="L2038" s="1" t="s">
        <v>21</v>
      </c>
      <c r="M2038" s="1" t="s">
        <v>29</v>
      </c>
      <c r="N2038" s="1" t="s">
        <v>22</v>
      </c>
    </row>
    <row r="2039" spans="1:14" x14ac:dyDescent="0.25">
      <c r="A2039" s="1">
        <v>2038</v>
      </c>
      <c r="B2039" s="2" t="str">
        <f>HYPERLINK("https://leetcode.com/problems/remove-colored-pieces-if-both-neighbors-are-the-same-color/", "Remove Colored Pieces if Both Neighbors are the Same Color")</f>
        <v>Remove Colored Pieces if Both Neighbors are the Same Color</v>
      </c>
      <c r="C2039" s="1">
        <v>1636</v>
      </c>
      <c r="D2039" s="1">
        <v>127</v>
      </c>
      <c r="E2039" s="3">
        <f>IF(INDEX(C:C, ROW())+INDEX(D:D, ROW())=0, 0, INDEX(C:C, ROW())/(INDEX(C:C, ROW())+INDEX(D:D, ROW())))</f>
        <v>0.92796369824163361</v>
      </c>
      <c r="F2039" s="1" t="s">
        <v>556</v>
      </c>
      <c r="G2039" s="1" t="s">
        <v>24</v>
      </c>
      <c r="H2039" s="1">
        <v>160750</v>
      </c>
      <c r="I2039" s="1">
        <v>254998</v>
      </c>
      <c r="J2039" s="7">
        <v>0.63</v>
      </c>
      <c r="K2039" s="1" t="s">
        <v>21</v>
      </c>
      <c r="L2039" s="1" t="s">
        <v>21</v>
      </c>
      <c r="M2039" s="1" t="s">
        <v>29</v>
      </c>
      <c r="N2039" s="1" t="s">
        <v>22</v>
      </c>
    </row>
    <row r="2040" spans="1:14" x14ac:dyDescent="0.25">
      <c r="A2040" s="1">
        <v>2039</v>
      </c>
      <c r="B2040" s="2" t="str">
        <f>HYPERLINK("https://leetcode.com/problems/the-time-when-the-network-becomes-idle/", "The Time When the Network Becomes Idle")</f>
        <v>The Time When the Network Becomes Idle</v>
      </c>
      <c r="C2040" s="1">
        <v>742</v>
      </c>
      <c r="D2040" s="1">
        <v>77</v>
      </c>
      <c r="E2040" s="3">
        <f>IF(INDEX(C:C, ROW())+INDEX(D:D, ROW())=0, 0, INDEX(C:C, ROW())/(INDEX(C:C, ROW())+INDEX(D:D, ROW())))</f>
        <v>0.90598290598290598</v>
      </c>
      <c r="F2040" s="1" t="s">
        <v>774</v>
      </c>
      <c r="G2040" s="1" t="s">
        <v>24</v>
      </c>
      <c r="H2040" s="1">
        <v>23021</v>
      </c>
      <c r="I2040" s="1">
        <v>41652</v>
      </c>
      <c r="J2040" s="7">
        <v>0.55300000000000005</v>
      </c>
      <c r="K2040" s="1" t="s">
        <v>21</v>
      </c>
      <c r="L2040" s="1" t="s">
        <v>29</v>
      </c>
      <c r="M2040" s="1" t="s">
        <v>29</v>
      </c>
      <c r="N2040" s="1" t="s">
        <v>22</v>
      </c>
    </row>
    <row r="2041" spans="1:14" x14ac:dyDescent="0.25">
      <c r="A2041" s="1">
        <v>2040</v>
      </c>
      <c r="B2041" s="2" t="str">
        <f>HYPERLINK("https://leetcode.com/problems/kth-smallest-product-of-two-sorted-arrays/", "Kth Smallest Product of Two Sorted Arrays")</f>
        <v>Kth Smallest Product of Two Sorted Arrays</v>
      </c>
      <c r="C2041" s="1">
        <v>1185</v>
      </c>
      <c r="D2041" s="1">
        <v>75</v>
      </c>
      <c r="E2041" s="3">
        <f>IF(INDEX(C:C, ROW())+INDEX(D:D, ROW())=0, 0, INDEX(C:C, ROW())/(INDEX(C:C, ROW())+INDEX(D:D, ROW())))</f>
        <v>0.94047619047619047</v>
      </c>
      <c r="F2041" s="1" t="s">
        <v>35</v>
      </c>
      <c r="G2041" s="1" t="s">
        <v>28</v>
      </c>
      <c r="H2041" s="1">
        <v>83462</v>
      </c>
      <c r="I2041" s="1">
        <v>170761</v>
      </c>
      <c r="J2041" s="7">
        <v>0.48899999999999999</v>
      </c>
      <c r="K2041" s="1" t="s">
        <v>21</v>
      </c>
      <c r="L2041" s="1" t="s">
        <v>21</v>
      </c>
      <c r="M2041" s="1" t="s">
        <v>29</v>
      </c>
      <c r="N2041" s="1" t="s">
        <v>22</v>
      </c>
    </row>
    <row r="2042" spans="1:14" x14ac:dyDescent="0.25">
      <c r="A2042" s="1">
        <v>2041</v>
      </c>
      <c r="B2042" s="2" t="str">
        <f>HYPERLINK("https://leetcode.com/problems/accepted-candidates-from-the-interviews/", "Accepted Candidates From the Interviews")</f>
        <v>Accepted Candidates From the Interviews</v>
      </c>
      <c r="C2042" s="1">
        <v>58</v>
      </c>
      <c r="D2042" s="1">
        <v>28</v>
      </c>
      <c r="E2042" s="3">
        <f>IF(INDEX(C:C, ROW())+INDEX(D:D, ROW())=0, 0, INDEX(C:C, ROW())/(INDEX(C:C, ROW())+INDEX(D:D, ROW())))</f>
        <v>0.67441860465116277</v>
      </c>
      <c r="F2042" s="1" t="s">
        <v>297</v>
      </c>
      <c r="G2042" s="1" t="s">
        <v>24</v>
      </c>
      <c r="H2042" s="1">
        <v>16115</v>
      </c>
      <c r="I2042" s="1">
        <v>20543</v>
      </c>
      <c r="J2042" s="7">
        <v>0.78400000000000003</v>
      </c>
      <c r="K2042" s="1" t="s">
        <v>29</v>
      </c>
      <c r="L2042" s="1" t="s">
        <v>21</v>
      </c>
      <c r="M2042" s="1" t="s">
        <v>29</v>
      </c>
      <c r="N2042" s="1" t="s">
        <v>297</v>
      </c>
    </row>
    <row r="2043" spans="1:14" x14ac:dyDescent="0.25">
      <c r="A2043" s="1">
        <v>2042</v>
      </c>
      <c r="B2043" s="2" t="str">
        <f>HYPERLINK("https://leetcode.com/problems/check-if-numbers-are-ascending-in-a-sentence/", "Check if Numbers Are Ascending in a Sentence")</f>
        <v>Check if Numbers Are Ascending in a Sentence</v>
      </c>
      <c r="C2043" s="1">
        <v>695</v>
      </c>
      <c r="D2043" s="1">
        <v>24</v>
      </c>
      <c r="E2043" s="3">
        <f>IF(INDEX(C:C, ROW())+INDEX(D:D, ROW())=0, 0, INDEX(C:C, ROW())/(INDEX(C:C, ROW())+INDEX(D:D, ROW())))</f>
        <v>0.9666203059805285</v>
      </c>
      <c r="F2043" s="1" t="s">
        <v>146</v>
      </c>
      <c r="G2043" s="1" t="s">
        <v>20</v>
      </c>
      <c r="H2043" s="1">
        <v>84410</v>
      </c>
      <c r="I2043" s="1">
        <v>115824</v>
      </c>
      <c r="J2043" s="7">
        <v>0.72899999999999998</v>
      </c>
      <c r="K2043" s="1" t="s">
        <v>21</v>
      </c>
      <c r="L2043" s="1" t="s">
        <v>29</v>
      </c>
      <c r="M2043" s="1" t="s">
        <v>29</v>
      </c>
      <c r="N2043" s="1" t="s">
        <v>22</v>
      </c>
    </row>
    <row r="2044" spans="1:14" x14ac:dyDescent="0.25">
      <c r="A2044" s="1">
        <v>2043</v>
      </c>
      <c r="B2044" s="2" t="str">
        <f>HYPERLINK("https://leetcode.com/problems/simple-bank-system/", "Simple Bank System")</f>
        <v>Simple Bank System</v>
      </c>
      <c r="C2044" s="1">
        <v>630</v>
      </c>
      <c r="D2044" s="1">
        <v>318</v>
      </c>
      <c r="E2044" s="3">
        <f>IF(INDEX(C:C, ROW())+INDEX(D:D, ROW())=0, 0, INDEX(C:C, ROW())/(INDEX(C:C, ROW())+INDEX(D:D, ROW())))</f>
        <v>0.66455696202531644</v>
      </c>
      <c r="F2044" s="1" t="s">
        <v>833</v>
      </c>
      <c r="G2044" s="1" t="s">
        <v>24</v>
      </c>
      <c r="H2044" s="1">
        <v>174459</v>
      </c>
      <c r="I2044" s="1">
        <v>249937</v>
      </c>
      <c r="J2044" s="7">
        <v>0.69799999999999995</v>
      </c>
      <c r="K2044" s="1" t="s">
        <v>21</v>
      </c>
      <c r="L2044" s="1" t="s">
        <v>21</v>
      </c>
      <c r="M2044" s="1" t="s">
        <v>29</v>
      </c>
      <c r="N2044" s="1" t="s">
        <v>22</v>
      </c>
    </row>
    <row r="2045" spans="1:14" x14ac:dyDescent="0.25">
      <c r="A2045" s="1">
        <v>2044</v>
      </c>
      <c r="B2045" s="2" t="str">
        <f>HYPERLINK("https://leetcode.com/problems/count-number-of-maximum-bitwise-or-subsets/", "Count Number of Maximum Bitwise-OR Subsets")</f>
        <v>Count Number of Maximum Bitwise-OR Subsets</v>
      </c>
      <c r="C2045" s="1">
        <v>1403</v>
      </c>
      <c r="D2045" s="1">
        <v>97</v>
      </c>
      <c r="E2045" s="3">
        <f>IF(INDEX(C:C, ROW())+INDEX(D:D, ROW())=0, 0, INDEX(C:C, ROW())/(INDEX(C:C, ROW())+INDEX(D:D, ROW())))</f>
        <v>0.93533333333333335</v>
      </c>
      <c r="F2045" s="1" t="s">
        <v>594</v>
      </c>
      <c r="G2045" s="1" t="s">
        <v>24</v>
      </c>
      <c r="H2045" s="1">
        <v>247458</v>
      </c>
      <c r="I2045" s="1">
        <v>276309</v>
      </c>
      <c r="J2045" s="7">
        <v>0.89600000000000002</v>
      </c>
      <c r="K2045" s="1" t="s">
        <v>21</v>
      </c>
      <c r="L2045" s="1" t="s">
        <v>21</v>
      </c>
      <c r="M2045" s="1" t="s">
        <v>29</v>
      </c>
      <c r="N2045" s="1" t="s">
        <v>22</v>
      </c>
    </row>
    <row r="2046" spans="1:14" x14ac:dyDescent="0.25">
      <c r="A2046" s="1">
        <v>2045</v>
      </c>
      <c r="B2046" s="2" t="str">
        <f>HYPERLINK("https://leetcode.com/problems/second-minimum-time-to-reach-destination/", "Second Minimum Time to Reach Destination")</f>
        <v>Second Minimum Time to Reach Destination</v>
      </c>
      <c r="C2046" s="1">
        <v>1318</v>
      </c>
      <c r="D2046" s="1">
        <v>69</v>
      </c>
      <c r="E2046" s="3">
        <f>IF(INDEX(C:C, ROW())+INDEX(D:D, ROW())=0, 0, INDEX(C:C, ROW())/(INDEX(C:C, ROW())+INDEX(D:D, ROW())))</f>
        <v>0.95025234318673391</v>
      </c>
      <c r="F2046" s="1" t="s">
        <v>631</v>
      </c>
      <c r="G2046" s="1" t="s">
        <v>28</v>
      </c>
      <c r="H2046" s="1">
        <v>90874</v>
      </c>
      <c r="I2046" s="1">
        <v>145712</v>
      </c>
      <c r="J2046" s="7">
        <v>0.624</v>
      </c>
      <c r="K2046" s="1" t="s">
        <v>21</v>
      </c>
      <c r="L2046" s="1" t="s">
        <v>21</v>
      </c>
      <c r="M2046" s="1" t="s">
        <v>29</v>
      </c>
      <c r="N2046" s="1" t="s">
        <v>22</v>
      </c>
    </row>
    <row r="2047" spans="1:14" x14ac:dyDescent="0.25">
      <c r="A2047" s="1">
        <v>2046</v>
      </c>
      <c r="B2047" s="2" t="str">
        <f>HYPERLINK("https://leetcode.com/problems/sort-linked-list-already-sorted-using-absolute-values/", "Sort Linked List Already Sorted Using Absolute Values")</f>
        <v>Sort Linked List Already Sorted Using Absolute Values</v>
      </c>
      <c r="C2047" s="1">
        <v>174</v>
      </c>
      <c r="D2047" s="1">
        <v>3</v>
      </c>
      <c r="E2047" s="3">
        <f>IF(INDEX(C:C, ROW())+INDEX(D:D, ROW())=0, 0, INDEX(C:C, ROW())/(INDEX(C:C, ROW())+INDEX(D:D, ROW())))</f>
        <v>0.98305084745762716</v>
      </c>
      <c r="F2047" s="1" t="s">
        <v>1117</v>
      </c>
      <c r="G2047" s="1" t="s">
        <v>24</v>
      </c>
      <c r="H2047" s="1">
        <v>11087</v>
      </c>
      <c r="I2047" s="1">
        <v>16539</v>
      </c>
      <c r="J2047" s="7">
        <v>0.67</v>
      </c>
      <c r="K2047" s="1" t="s">
        <v>29</v>
      </c>
      <c r="L2047" s="1" t="s">
        <v>29</v>
      </c>
      <c r="M2047" s="1" t="s">
        <v>29</v>
      </c>
      <c r="N2047" s="1" t="s">
        <v>22</v>
      </c>
    </row>
    <row r="2048" spans="1:14" x14ac:dyDescent="0.25">
      <c r="A2048" s="1">
        <v>2047</v>
      </c>
      <c r="B2048" s="2" t="str">
        <f>HYPERLINK("https://leetcode.com/problems/number-of-valid-words-in-a-sentence/", "Number of Valid Words in a Sentence")</f>
        <v>Number of Valid Words in a Sentence</v>
      </c>
      <c r="C2048" s="1">
        <v>352</v>
      </c>
      <c r="D2048" s="1">
        <v>827</v>
      </c>
      <c r="E2048" s="3">
        <f>IF(INDEX(C:C, ROW())+INDEX(D:D, ROW())=0, 0, INDEX(C:C, ROW())/(INDEX(C:C, ROW())+INDEX(D:D, ROW())))</f>
        <v>0.29855810008481765</v>
      </c>
      <c r="F2048" s="1" t="s">
        <v>146</v>
      </c>
      <c r="G2048" s="1" t="s">
        <v>20</v>
      </c>
      <c r="H2048" s="1">
        <v>41903</v>
      </c>
      <c r="I2048" s="1">
        <v>135357</v>
      </c>
      <c r="J2048" s="7">
        <v>0.31</v>
      </c>
      <c r="K2048" s="1" t="s">
        <v>21</v>
      </c>
      <c r="L2048" s="1" t="s">
        <v>29</v>
      </c>
      <c r="M2048" s="1" t="s">
        <v>29</v>
      </c>
      <c r="N2048" s="1" t="s">
        <v>22</v>
      </c>
    </row>
    <row r="2049" spans="1:14" x14ac:dyDescent="0.25">
      <c r="A2049" s="1">
        <v>2048</v>
      </c>
      <c r="B2049" s="2" t="str">
        <f>HYPERLINK("https://leetcode.com/problems/next-greater-numerically-balanced-number/", "Next Greater Numerically Balanced Number")</f>
        <v>Next Greater Numerically Balanced Number</v>
      </c>
      <c r="C2049" s="1">
        <v>553</v>
      </c>
      <c r="D2049" s="1">
        <v>375</v>
      </c>
      <c r="E2049" s="3">
        <f>IF(INDEX(C:C, ROW())+INDEX(D:D, ROW())=0, 0, INDEX(C:C, ROW())/(INDEX(C:C, ROW())+INDEX(D:D, ROW())))</f>
        <v>0.59590517241379315</v>
      </c>
      <c r="F2049" s="1" t="s">
        <v>875</v>
      </c>
      <c r="G2049" s="1" t="s">
        <v>24</v>
      </c>
      <c r="H2049" s="1">
        <v>104086</v>
      </c>
      <c r="I2049" s="1">
        <v>165196</v>
      </c>
      <c r="J2049" s="7">
        <v>0.63</v>
      </c>
      <c r="K2049" s="1" t="s">
        <v>21</v>
      </c>
      <c r="L2049" s="1" t="s">
        <v>21</v>
      </c>
      <c r="M2049" s="1" t="s">
        <v>29</v>
      </c>
      <c r="N2049" s="1" t="s">
        <v>22</v>
      </c>
    </row>
    <row r="2050" spans="1:14" x14ac:dyDescent="0.25">
      <c r="A2050" s="1">
        <v>2049</v>
      </c>
      <c r="B2050" s="2" t="str">
        <f>HYPERLINK("https://leetcode.com/problems/count-nodes-with-the-highest-score/", "Count Nodes With the Highest Score")</f>
        <v>Count Nodes With the Highest Score</v>
      </c>
      <c r="C2050" s="1">
        <v>1182</v>
      </c>
      <c r="D2050" s="1">
        <v>100</v>
      </c>
      <c r="E2050" s="3">
        <f>IF(INDEX(C:C, ROW())+INDEX(D:D, ROW())=0, 0, INDEX(C:C, ROW())/(INDEX(C:C, ROW())+INDEX(D:D, ROW())))</f>
        <v>0.92199687987519496</v>
      </c>
      <c r="F2050" s="1" t="s">
        <v>661</v>
      </c>
      <c r="G2050" s="1" t="s">
        <v>24</v>
      </c>
      <c r="H2050" s="1">
        <v>41118</v>
      </c>
      <c r="I2050" s="1">
        <v>78328</v>
      </c>
      <c r="J2050" s="7">
        <v>0.52500000000000002</v>
      </c>
      <c r="K2050" s="1" t="s">
        <v>21</v>
      </c>
      <c r="L2050" s="1" t="s">
        <v>29</v>
      </c>
      <c r="M2050" s="1" t="s">
        <v>29</v>
      </c>
      <c r="N2050" s="1" t="s">
        <v>22</v>
      </c>
    </row>
    <row r="2051" spans="1:14" x14ac:dyDescent="0.25">
      <c r="A2051" s="1">
        <v>2050</v>
      </c>
      <c r="B2051" s="2" t="str">
        <f>HYPERLINK("https://leetcode.com/problems/parallel-courses-iii/", "Parallel Courses III")</f>
        <v>Parallel Courses III</v>
      </c>
      <c r="C2051" s="1">
        <v>1726</v>
      </c>
      <c r="D2051" s="1">
        <v>47</v>
      </c>
      <c r="E2051" s="3">
        <f>IF(INDEX(C:C, ROW())+INDEX(D:D, ROW())=0, 0, INDEX(C:C, ROW())/(INDEX(C:C, ROW())+INDEX(D:D, ROW())))</f>
        <v>0.97349125775521717</v>
      </c>
      <c r="F2051" s="1" t="s">
        <v>544</v>
      </c>
      <c r="G2051" s="1" t="s">
        <v>28</v>
      </c>
      <c r="H2051" s="1">
        <v>110960</v>
      </c>
      <c r="I2051" s="1">
        <v>166068</v>
      </c>
      <c r="J2051" s="7">
        <v>0.66800000000000004</v>
      </c>
      <c r="K2051" s="1" t="s">
        <v>21</v>
      </c>
      <c r="L2051" s="1" t="s">
        <v>21</v>
      </c>
      <c r="M2051" s="1" t="s">
        <v>29</v>
      </c>
      <c r="N2051" s="1" t="s">
        <v>22</v>
      </c>
    </row>
    <row r="2052" spans="1:14" x14ac:dyDescent="0.25">
      <c r="A2052" s="1">
        <v>2051</v>
      </c>
      <c r="B2052" s="2" t="str">
        <f>HYPERLINK("https://leetcode.com/problems/the-category-of-each-member-in-the-store/", "The Category of Each Member in the Store")</f>
        <v>The Category of Each Member in the Store</v>
      </c>
      <c r="C2052" s="1">
        <v>63</v>
      </c>
      <c r="D2052" s="1">
        <v>8</v>
      </c>
      <c r="E2052" s="3">
        <f>IF(INDEX(C:C, ROW())+INDEX(D:D, ROW())=0, 0, INDEX(C:C, ROW())/(INDEX(C:C, ROW())+INDEX(D:D, ROW())))</f>
        <v>0.88732394366197187</v>
      </c>
      <c r="F2052" s="1" t="s">
        <v>297</v>
      </c>
      <c r="G2052" s="1" t="s">
        <v>24</v>
      </c>
      <c r="H2052" s="1">
        <v>10702</v>
      </c>
      <c r="I2052" s="1">
        <v>15195</v>
      </c>
      <c r="J2052" s="7">
        <v>0.70399999999999996</v>
      </c>
      <c r="K2052" s="1" t="s">
        <v>29</v>
      </c>
      <c r="L2052" s="1" t="s">
        <v>29</v>
      </c>
      <c r="M2052" s="1" t="s">
        <v>29</v>
      </c>
      <c r="N2052" s="1" t="s">
        <v>297</v>
      </c>
    </row>
    <row r="2053" spans="1:14" x14ac:dyDescent="0.25">
      <c r="A2053" s="1">
        <v>2052</v>
      </c>
      <c r="B2053" s="2" t="str">
        <f>HYPERLINK("https://leetcode.com/problems/minimum-cost-to-separate-sentence-into-rows/", "Minimum Cost to Separate Sentence Into Rows")</f>
        <v>Minimum Cost to Separate Sentence Into Rows</v>
      </c>
      <c r="C2053" s="1">
        <v>45</v>
      </c>
      <c r="D2053" s="1">
        <v>14</v>
      </c>
      <c r="E2053" s="3">
        <f>IF(INDEX(C:C, ROW())+INDEX(D:D, ROW())=0, 0, INDEX(C:C, ROW())/(INDEX(C:C, ROW())+INDEX(D:D, ROW())))</f>
        <v>0.76271186440677963</v>
      </c>
      <c r="F2053" s="1" t="s">
        <v>82</v>
      </c>
      <c r="G2053" s="1" t="s">
        <v>24</v>
      </c>
      <c r="H2053" s="1">
        <v>2443</v>
      </c>
      <c r="I2053" s="1">
        <v>4795</v>
      </c>
      <c r="J2053" s="7">
        <v>0.50900000000000001</v>
      </c>
      <c r="K2053" s="1" t="s">
        <v>29</v>
      </c>
      <c r="L2053" s="1" t="s">
        <v>29</v>
      </c>
      <c r="M2053" s="1" t="s">
        <v>29</v>
      </c>
      <c r="N2053" s="1" t="s">
        <v>22</v>
      </c>
    </row>
    <row r="2054" spans="1:14" x14ac:dyDescent="0.25">
      <c r="A2054" s="1">
        <v>2053</v>
      </c>
      <c r="B2054" s="2" t="str">
        <f>HYPERLINK("https://leetcode.com/problems/kth-distinct-string-in-an-array/", "Kth Distinct String in an Array")</f>
        <v>Kth Distinct String in an Array</v>
      </c>
      <c r="C2054" s="1">
        <v>1311</v>
      </c>
      <c r="D2054" s="1">
        <v>52</v>
      </c>
      <c r="E2054" s="3">
        <f>IF(INDEX(C:C, ROW())+INDEX(D:D, ROW())=0, 0, INDEX(C:C, ROW())/(INDEX(C:C, ROW())+INDEX(D:D, ROW())))</f>
        <v>0.96184886280264126</v>
      </c>
      <c r="F2054" s="1" t="s">
        <v>467</v>
      </c>
      <c r="G2054" s="1" t="s">
        <v>20</v>
      </c>
      <c r="H2054" s="1">
        <v>269851</v>
      </c>
      <c r="I2054" s="1">
        <v>328604</v>
      </c>
      <c r="J2054" s="7">
        <v>0.82099999999999995</v>
      </c>
      <c r="K2054" s="1" t="s">
        <v>21</v>
      </c>
      <c r="L2054" s="1" t="s">
        <v>21</v>
      </c>
      <c r="M2054" s="1" t="s">
        <v>29</v>
      </c>
      <c r="N2054" s="1" t="s">
        <v>22</v>
      </c>
    </row>
    <row r="2055" spans="1:14" x14ac:dyDescent="0.25">
      <c r="A2055" s="1">
        <v>2054</v>
      </c>
      <c r="B2055" s="2" t="str">
        <f>HYPERLINK("https://leetcode.com/problems/two-best-non-overlapping-events/", "Two Best Non-Overlapping Events")</f>
        <v>Two Best Non-Overlapping Events</v>
      </c>
      <c r="C2055" s="1">
        <v>1848</v>
      </c>
      <c r="D2055" s="1">
        <v>72</v>
      </c>
      <c r="E2055" s="3">
        <f>IF(INDEX(C:C, ROW())+INDEX(D:D, ROW())=0, 0, INDEX(C:C, ROW())/(INDEX(C:C, ROW())+INDEX(D:D, ROW())))</f>
        <v>0.96250000000000002</v>
      </c>
      <c r="F2055" s="1" t="s">
        <v>528</v>
      </c>
      <c r="G2055" s="1" t="s">
        <v>24</v>
      </c>
      <c r="H2055" s="1">
        <v>176700</v>
      </c>
      <c r="I2055" s="1">
        <v>275953</v>
      </c>
      <c r="J2055" s="7">
        <v>0.64</v>
      </c>
      <c r="K2055" s="1" t="s">
        <v>21</v>
      </c>
      <c r="L2055" s="1" t="s">
        <v>21</v>
      </c>
      <c r="M2055" s="1" t="s">
        <v>29</v>
      </c>
      <c r="N2055" s="1" t="s">
        <v>22</v>
      </c>
    </row>
    <row r="2056" spans="1:14" x14ac:dyDescent="0.25">
      <c r="A2056" s="1">
        <v>2055</v>
      </c>
      <c r="B2056" s="2" t="str">
        <f>HYPERLINK("https://leetcode.com/problems/plates-between-candles/", "Plates Between Candles")</f>
        <v>Plates Between Candles</v>
      </c>
      <c r="C2056" s="1">
        <v>1353</v>
      </c>
      <c r="D2056" s="1">
        <v>73</v>
      </c>
      <c r="E2056" s="3">
        <f>IF(INDEX(C:C, ROW())+INDEX(D:D, ROW())=0, 0, INDEX(C:C, ROW())/(INDEX(C:C, ROW())+INDEX(D:D, ROW())))</f>
        <v>0.94880785413744739</v>
      </c>
      <c r="F2056" s="1" t="s">
        <v>623</v>
      </c>
      <c r="G2056" s="1" t="s">
        <v>24</v>
      </c>
      <c r="H2056" s="1">
        <v>76474</v>
      </c>
      <c r="I2056" s="1">
        <v>161634</v>
      </c>
      <c r="J2056" s="7">
        <v>0.47299999999999998</v>
      </c>
      <c r="K2056" s="1" t="s">
        <v>21</v>
      </c>
      <c r="L2056" s="1" t="s">
        <v>29</v>
      </c>
      <c r="M2056" s="1" t="s">
        <v>29</v>
      </c>
      <c r="N2056" s="1" t="s">
        <v>22</v>
      </c>
    </row>
    <row r="2057" spans="1:14" x14ac:dyDescent="0.25">
      <c r="A2057" s="1">
        <v>2056</v>
      </c>
      <c r="B2057" s="2" t="str">
        <f>HYPERLINK("https://leetcode.com/problems/number-of-valid-move-combinations-on-chessboard/", "Number of Valid Move Combinations On Chessboard")</f>
        <v>Number of Valid Move Combinations On Chessboard</v>
      </c>
      <c r="C2057" s="1">
        <v>75</v>
      </c>
      <c r="D2057" s="1">
        <v>297</v>
      </c>
      <c r="E2057" s="3">
        <f>IF(INDEX(C:C, ROW())+INDEX(D:D, ROW())=0, 0, INDEX(C:C, ROW())/(INDEX(C:C, ROW())+INDEX(D:D, ROW())))</f>
        <v>0.20161290322580644</v>
      </c>
      <c r="F2057" s="1" t="s">
        <v>1217</v>
      </c>
      <c r="G2057" s="1" t="s">
        <v>28</v>
      </c>
      <c r="H2057" s="1">
        <v>5616</v>
      </c>
      <c r="I2057" s="1">
        <v>11511</v>
      </c>
      <c r="J2057" s="7">
        <v>0.48799999999999999</v>
      </c>
      <c r="K2057" s="1" t="s">
        <v>21</v>
      </c>
      <c r="L2057" s="1" t="s">
        <v>29</v>
      </c>
      <c r="M2057" s="1" t="s">
        <v>29</v>
      </c>
      <c r="N2057" s="1" t="s">
        <v>22</v>
      </c>
    </row>
    <row r="2058" spans="1:14" x14ac:dyDescent="0.25">
      <c r="A2058" s="1">
        <v>2057</v>
      </c>
      <c r="B2058" s="2" t="str">
        <f>HYPERLINK("https://leetcode.com/problems/smallest-index-with-equal-value/", "Smallest Index With Equal Value")</f>
        <v>Smallest Index With Equal Value</v>
      </c>
      <c r="C2058" s="1">
        <v>457</v>
      </c>
      <c r="D2058" s="1">
        <v>145</v>
      </c>
      <c r="E2058" s="3">
        <f>IF(INDEX(C:C, ROW())+INDEX(D:D, ROW())=0, 0, INDEX(C:C, ROW())/(INDEX(C:C, ROW())+INDEX(D:D, ROW())))</f>
        <v>0.75913621262458475</v>
      </c>
      <c r="F2058" s="1" t="s">
        <v>113</v>
      </c>
      <c r="G2058" s="1" t="s">
        <v>20</v>
      </c>
      <c r="H2058" s="1">
        <v>84869</v>
      </c>
      <c r="I2058" s="1">
        <v>116136</v>
      </c>
      <c r="J2058" s="7">
        <v>0.73099999999999998</v>
      </c>
      <c r="K2058" s="1" t="s">
        <v>21</v>
      </c>
      <c r="L2058" s="1" t="s">
        <v>29</v>
      </c>
      <c r="M2058" s="1" t="s">
        <v>29</v>
      </c>
      <c r="N2058" s="1" t="s">
        <v>22</v>
      </c>
    </row>
    <row r="2059" spans="1:14" x14ac:dyDescent="0.25">
      <c r="A2059" s="1">
        <v>2058</v>
      </c>
      <c r="B2059" s="2" t="str">
        <f>HYPERLINK("https://leetcode.com/problems/find-the-minimum-and-maximum-number-of-nodes-between-critical-points/", "Find the Minimum and Maximum Number of Nodes Between Critical Points")</f>
        <v>Find the Minimum and Maximum Number of Nodes Between Critical Points</v>
      </c>
      <c r="C2059" s="1">
        <v>1393</v>
      </c>
      <c r="D2059" s="1">
        <v>73</v>
      </c>
      <c r="E2059" s="3">
        <f>IF(INDEX(C:C, ROW())+INDEX(D:D, ROW())=0, 0, INDEX(C:C, ROW())/(INDEX(C:C, ROW())+INDEX(D:D, ROW())))</f>
        <v>0.95020463847203274</v>
      </c>
      <c r="F2059" s="1" t="s">
        <v>104</v>
      </c>
      <c r="G2059" s="1" t="s">
        <v>24</v>
      </c>
      <c r="H2059" s="1">
        <v>202008</v>
      </c>
      <c r="I2059" s="1">
        <v>290864</v>
      </c>
      <c r="J2059" s="7">
        <v>0.69499999999999995</v>
      </c>
      <c r="K2059" s="1" t="s">
        <v>21</v>
      </c>
      <c r="L2059" s="1" t="s">
        <v>21</v>
      </c>
      <c r="M2059" s="1" t="s">
        <v>29</v>
      </c>
      <c r="N2059" s="1" t="s">
        <v>22</v>
      </c>
    </row>
    <row r="2060" spans="1:14" x14ac:dyDescent="0.25">
      <c r="A2060" s="1">
        <v>2059</v>
      </c>
      <c r="B2060" s="2" t="str">
        <f>HYPERLINK("https://leetcode.com/problems/minimum-operations-to-convert-number/", "Minimum Operations to Convert Number")</f>
        <v>Minimum Operations to Convert Number</v>
      </c>
      <c r="C2060" s="1">
        <v>678</v>
      </c>
      <c r="D2060" s="1">
        <v>34</v>
      </c>
      <c r="E2060" s="3">
        <f>IF(INDEX(C:C, ROW())+INDEX(D:D, ROW())=0, 0, INDEX(C:C, ROW())/(INDEX(C:C, ROW())+INDEX(D:D, ROW())))</f>
        <v>0.952247191011236</v>
      </c>
      <c r="F2060" s="1" t="s">
        <v>811</v>
      </c>
      <c r="G2060" s="1" t="s">
        <v>24</v>
      </c>
      <c r="H2060" s="1">
        <v>21489</v>
      </c>
      <c r="I2060" s="1">
        <v>41705</v>
      </c>
      <c r="J2060" s="7">
        <v>0.51500000000000001</v>
      </c>
      <c r="K2060" s="1" t="s">
        <v>21</v>
      </c>
      <c r="L2060" s="1" t="s">
        <v>29</v>
      </c>
      <c r="M2060" s="1" t="s">
        <v>29</v>
      </c>
      <c r="N2060" s="1" t="s">
        <v>22</v>
      </c>
    </row>
    <row r="2061" spans="1:14" x14ac:dyDescent="0.25">
      <c r="A2061" s="1">
        <v>2060</v>
      </c>
      <c r="B2061" s="2" t="str">
        <f>HYPERLINK("https://leetcode.com/problems/check-if-an-original-string-exists-given-two-encoded-strings/", "Check if an Original String Exists Given Two Encoded Strings")</f>
        <v>Check if an Original String Exists Given Two Encoded Strings</v>
      </c>
      <c r="C2061" s="1">
        <v>327</v>
      </c>
      <c r="D2061" s="1">
        <v>163</v>
      </c>
      <c r="E2061" s="3">
        <f>IF(INDEX(C:C, ROW())+INDEX(D:D, ROW())=0, 0, INDEX(C:C, ROW())/(INDEX(C:C, ROW())+INDEX(D:D, ROW())))</f>
        <v>0.66734693877551021</v>
      </c>
      <c r="F2061" s="1" t="s">
        <v>82</v>
      </c>
      <c r="G2061" s="1" t="s">
        <v>28</v>
      </c>
      <c r="H2061" s="1">
        <v>19692</v>
      </c>
      <c r="I2061" s="1">
        <v>45218</v>
      </c>
      <c r="J2061" s="7">
        <v>0.435</v>
      </c>
      <c r="K2061" s="1" t="s">
        <v>21</v>
      </c>
      <c r="L2061" s="1" t="s">
        <v>29</v>
      </c>
      <c r="M2061" s="1" t="s">
        <v>29</v>
      </c>
      <c r="N2061" s="1" t="s">
        <v>22</v>
      </c>
    </row>
    <row r="2062" spans="1:14" x14ac:dyDescent="0.25">
      <c r="A2062" s="1">
        <v>2061</v>
      </c>
      <c r="B2062" s="2" t="str">
        <f>HYPERLINK("https://leetcode.com/problems/number-of-spaces-cleaning-robot-cleaned/", "Number of Spaces Cleaning Robot Cleaned")</f>
        <v>Number of Spaces Cleaning Robot Cleaned</v>
      </c>
      <c r="C2062" s="1">
        <v>130</v>
      </c>
      <c r="D2062" s="1">
        <v>29</v>
      </c>
      <c r="E2062" s="3">
        <f>IF(INDEX(C:C, ROW())+INDEX(D:D, ROW())=0, 0, INDEX(C:C, ROW())/(INDEX(C:C, ROW())+INDEX(D:D, ROW())))</f>
        <v>0.8176100628930818</v>
      </c>
      <c r="F2062" s="1" t="s">
        <v>77</v>
      </c>
      <c r="G2062" s="1" t="s">
        <v>24</v>
      </c>
      <c r="H2062" s="1">
        <v>10876</v>
      </c>
      <c r="I2062" s="1">
        <v>17379</v>
      </c>
      <c r="J2062" s="7">
        <v>0.626</v>
      </c>
      <c r="K2062" s="1" t="s">
        <v>29</v>
      </c>
      <c r="L2062" s="1" t="s">
        <v>21</v>
      </c>
      <c r="M2062" s="1" t="s">
        <v>29</v>
      </c>
      <c r="N2062" s="1" t="s">
        <v>22</v>
      </c>
    </row>
    <row r="2063" spans="1:14" x14ac:dyDescent="0.25">
      <c r="A2063" s="1">
        <v>2062</v>
      </c>
      <c r="B2063" s="2" t="str">
        <f>HYPERLINK("https://leetcode.com/problems/count-vowel-substrings-of-a-string/", "Count Vowel Substrings of a String")</f>
        <v>Count Vowel Substrings of a String</v>
      </c>
      <c r="C2063" s="1">
        <v>1110</v>
      </c>
      <c r="D2063" s="1">
        <v>431</v>
      </c>
      <c r="E2063" s="3">
        <f>IF(INDEX(C:C, ROW())+INDEX(D:D, ROW())=0, 0, INDEX(C:C, ROW())/(INDEX(C:C, ROW())+INDEX(D:D, ROW())))</f>
        <v>0.72031148604802075</v>
      </c>
      <c r="F2063" s="1" t="s">
        <v>131</v>
      </c>
      <c r="G2063" s="1" t="s">
        <v>20</v>
      </c>
      <c r="H2063" s="1">
        <v>74435</v>
      </c>
      <c r="I2063" s="1">
        <v>102188</v>
      </c>
      <c r="J2063" s="7">
        <v>0.72799999999999998</v>
      </c>
      <c r="K2063" s="1" t="s">
        <v>21</v>
      </c>
      <c r="L2063" s="1" t="s">
        <v>29</v>
      </c>
      <c r="M2063" s="1" t="s">
        <v>29</v>
      </c>
      <c r="N2063" s="1" t="s">
        <v>22</v>
      </c>
    </row>
    <row r="2064" spans="1:14" x14ac:dyDescent="0.25">
      <c r="A2064" s="1">
        <v>2063</v>
      </c>
      <c r="B2064" s="2" t="str">
        <f>HYPERLINK("https://leetcode.com/problems/vowels-of-all-substrings/", "Vowels of All Substrings")</f>
        <v>Vowels of All Substrings</v>
      </c>
      <c r="C2064" s="1">
        <v>906</v>
      </c>
      <c r="D2064" s="1">
        <v>36</v>
      </c>
      <c r="E2064" s="3">
        <f>IF(INDEX(C:C, ROW())+INDEX(D:D, ROW())=0, 0, INDEX(C:C, ROW())/(INDEX(C:C, ROW())+INDEX(D:D, ROW())))</f>
        <v>0.96178343949044587</v>
      </c>
      <c r="F2064" s="1" t="s">
        <v>734</v>
      </c>
      <c r="G2064" s="1" t="s">
        <v>24</v>
      </c>
      <c r="H2064" s="1">
        <v>42229</v>
      </c>
      <c r="I2064" s="1">
        <v>76463</v>
      </c>
      <c r="J2064" s="7">
        <v>0.55200000000000005</v>
      </c>
      <c r="K2064" s="1" t="s">
        <v>21</v>
      </c>
      <c r="L2064" s="1" t="s">
        <v>29</v>
      </c>
      <c r="M2064" s="1" t="s">
        <v>29</v>
      </c>
      <c r="N2064" s="1" t="s">
        <v>22</v>
      </c>
    </row>
    <row r="2065" spans="1:14" x14ac:dyDescent="0.25">
      <c r="A2065" s="1">
        <v>2064</v>
      </c>
      <c r="B2065" s="2" t="str">
        <f>HYPERLINK("https://leetcode.com/problems/minimized-maximum-of-products-distributed-to-any-store/", "Minimized Maximum of Products Distributed to Any Store")</f>
        <v>Minimized Maximum of Products Distributed to Any Store</v>
      </c>
      <c r="C2065" s="1">
        <v>1819</v>
      </c>
      <c r="D2065" s="1">
        <v>107</v>
      </c>
      <c r="E2065" s="3">
        <f>IF(INDEX(C:C, ROW())+INDEX(D:D, ROW())=0, 0, INDEX(C:C, ROW())/(INDEX(C:C, ROW())+INDEX(D:D, ROW())))</f>
        <v>0.94444444444444442</v>
      </c>
      <c r="F2065" s="1" t="s">
        <v>533</v>
      </c>
      <c r="G2065" s="1" t="s">
        <v>24</v>
      </c>
      <c r="H2065" s="1">
        <v>148111</v>
      </c>
      <c r="I2065" s="1">
        <v>235214</v>
      </c>
      <c r="J2065" s="7">
        <v>0.63</v>
      </c>
      <c r="K2065" s="1" t="s">
        <v>21</v>
      </c>
      <c r="L2065" s="1" t="s">
        <v>21</v>
      </c>
      <c r="M2065" s="1" t="s">
        <v>29</v>
      </c>
      <c r="N2065" s="1" t="s">
        <v>22</v>
      </c>
    </row>
    <row r="2066" spans="1:14" x14ac:dyDescent="0.25">
      <c r="A2066" s="1">
        <v>2065</v>
      </c>
      <c r="B2066" s="2" t="str">
        <f>HYPERLINK("https://leetcode.com/problems/maximum-path-quality-of-a-graph/", "Maximum Path Quality of a Graph")</f>
        <v>Maximum Path Quality of a Graph</v>
      </c>
      <c r="C2066" s="1">
        <v>721</v>
      </c>
      <c r="D2066" s="1">
        <v>53</v>
      </c>
      <c r="E2066" s="3">
        <f>IF(INDEX(C:C, ROW())+INDEX(D:D, ROW())=0, 0, INDEX(C:C, ROW())/(INDEX(C:C, ROW())+INDEX(D:D, ROW())))</f>
        <v>0.9315245478036176</v>
      </c>
      <c r="F2066" s="1" t="s">
        <v>794</v>
      </c>
      <c r="G2066" s="1" t="s">
        <v>28</v>
      </c>
      <c r="H2066" s="1">
        <v>32468</v>
      </c>
      <c r="I2066" s="1">
        <v>52659</v>
      </c>
      <c r="J2066" s="7">
        <v>0.61699999999999999</v>
      </c>
      <c r="K2066" s="1" t="s">
        <v>21</v>
      </c>
      <c r="L2066" s="1" t="s">
        <v>29</v>
      </c>
      <c r="M2066" s="1" t="s">
        <v>29</v>
      </c>
      <c r="N2066" s="1" t="s">
        <v>22</v>
      </c>
    </row>
    <row r="2067" spans="1:14" x14ac:dyDescent="0.25">
      <c r="A2067" s="1">
        <v>2066</v>
      </c>
      <c r="B2067" s="2" t="str">
        <f>HYPERLINK("https://leetcode.com/problems/account-balance/", "Account Balance")</f>
        <v>Account Balance</v>
      </c>
      <c r="C2067" s="1">
        <v>74</v>
      </c>
      <c r="D2067" s="1">
        <v>2</v>
      </c>
      <c r="E2067" s="3">
        <f>IF(INDEX(C:C, ROW())+INDEX(D:D, ROW())=0, 0, INDEX(C:C, ROW())/(INDEX(C:C, ROW())+INDEX(D:D, ROW())))</f>
        <v>0.97368421052631582</v>
      </c>
      <c r="F2067" s="1" t="s">
        <v>297</v>
      </c>
      <c r="G2067" s="1" t="s">
        <v>24</v>
      </c>
      <c r="H2067" s="1">
        <v>12694</v>
      </c>
      <c r="I2067" s="1">
        <v>15538</v>
      </c>
      <c r="J2067" s="7">
        <v>0.81699999999999995</v>
      </c>
      <c r="K2067" s="1" t="s">
        <v>29</v>
      </c>
      <c r="L2067" s="1" t="s">
        <v>29</v>
      </c>
      <c r="M2067" s="1" t="s">
        <v>29</v>
      </c>
      <c r="N2067" s="1" t="s">
        <v>297</v>
      </c>
    </row>
    <row r="2068" spans="1:14" x14ac:dyDescent="0.25">
      <c r="A2068" s="1">
        <v>2067</v>
      </c>
      <c r="B2068" s="2" t="str">
        <f>HYPERLINK("https://leetcode.com/problems/number-of-equal-count-substrings/", "Number of Equal Count Substrings")</f>
        <v>Number of Equal Count Substrings</v>
      </c>
      <c r="C2068" s="1">
        <v>111</v>
      </c>
      <c r="D2068" s="1">
        <v>11</v>
      </c>
      <c r="E2068" s="3">
        <f>IF(INDEX(C:C, ROW())+INDEX(D:D, ROW())=0, 0, INDEX(C:C, ROW())/(INDEX(C:C, ROW())+INDEX(D:D, ROW())))</f>
        <v>0.9098360655737705</v>
      </c>
      <c r="F2068" s="1" t="s">
        <v>548</v>
      </c>
      <c r="G2068" s="1" t="s">
        <v>24</v>
      </c>
      <c r="H2068" s="1">
        <v>3969</v>
      </c>
      <c r="I2068" s="1">
        <v>8766</v>
      </c>
      <c r="J2068" s="7">
        <v>0.45300000000000001</v>
      </c>
      <c r="K2068" s="1" t="s">
        <v>29</v>
      </c>
      <c r="L2068" s="1" t="s">
        <v>29</v>
      </c>
      <c r="M2068" s="1" t="s">
        <v>29</v>
      </c>
      <c r="N2068" s="1" t="s">
        <v>22</v>
      </c>
    </row>
    <row r="2069" spans="1:14" x14ac:dyDescent="0.25">
      <c r="A2069" s="1">
        <v>2068</v>
      </c>
      <c r="B2069" s="2" t="str">
        <f>HYPERLINK("https://leetcode.com/problems/check-whether-two-strings-are-almost-equivalent/", "Check Whether Two Strings are Almost Equivalent")</f>
        <v>Check Whether Two Strings are Almost Equivalent</v>
      </c>
      <c r="C2069" s="1">
        <v>572</v>
      </c>
      <c r="D2069" s="1">
        <v>23</v>
      </c>
      <c r="E2069" s="3">
        <f>IF(INDEX(C:C, ROW())+INDEX(D:D, ROW())=0, 0, INDEX(C:C, ROW())/(INDEX(C:C, ROW())+INDEX(D:D, ROW())))</f>
        <v>0.96134453781512608</v>
      </c>
      <c r="F2069" s="1" t="s">
        <v>237</v>
      </c>
      <c r="G2069" s="1" t="s">
        <v>20</v>
      </c>
      <c r="H2069" s="1">
        <v>80142</v>
      </c>
      <c r="I2069" s="1">
        <v>125022</v>
      </c>
      <c r="J2069" s="7">
        <v>0.64100000000000001</v>
      </c>
      <c r="K2069" s="1" t="s">
        <v>21</v>
      </c>
      <c r="L2069" s="1" t="s">
        <v>21</v>
      </c>
      <c r="M2069" s="1" t="s">
        <v>29</v>
      </c>
      <c r="N2069" s="1" t="s">
        <v>22</v>
      </c>
    </row>
    <row r="2070" spans="1:14" x14ac:dyDescent="0.25">
      <c r="A2070" s="1">
        <v>2069</v>
      </c>
      <c r="B2070" s="2" t="str">
        <f>HYPERLINK("https://leetcode.com/problems/walking-robot-simulation-ii/", "Walking Robot Simulation II")</f>
        <v>Walking Robot Simulation II</v>
      </c>
      <c r="C2070" s="1">
        <v>193</v>
      </c>
      <c r="D2070" s="1">
        <v>321</v>
      </c>
      <c r="E2070" s="3">
        <f>IF(INDEX(C:C, ROW())+INDEX(D:D, ROW())=0, 0, INDEX(C:C, ROW())/(INDEX(C:C, ROW())+INDEX(D:D, ROW())))</f>
        <v>0.3754863813229572</v>
      </c>
      <c r="F2070" s="1" t="s">
        <v>1103</v>
      </c>
      <c r="G2070" s="1" t="s">
        <v>24</v>
      </c>
      <c r="H2070" s="1">
        <v>16913</v>
      </c>
      <c r="I2070" s="1">
        <v>66055</v>
      </c>
      <c r="J2070" s="7">
        <v>0.25600000000000001</v>
      </c>
      <c r="K2070" s="1" t="s">
        <v>21</v>
      </c>
      <c r="L2070" s="1" t="s">
        <v>29</v>
      </c>
      <c r="M2070" s="1" t="s">
        <v>29</v>
      </c>
      <c r="N2070" s="1" t="s">
        <v>22</v>
      </c>
    </row>
    <row r="2071" spans="1:14" x14ac:dyDescent="0.25">
      <c r="A2071" s="1">
        <v>2070</v>
      </c>
      <c r="B2071" s="2" t="str">
        <f>HYPERLINK("https://leetcode.com/problems/most-beautiful-item-for-each-query/", "Most Beautiful Item for Each Query")</f>
        <v>Most Beautiful Item for Each Query</v>
      </c>
      <c r="C2071" s="1">
        <v>1264</v>
      </c>
      <c r="D2071" s="1">
        <v>45</v>
      </c>
      <c r="E2071" s="3">
        <f>IF(INDEX(C:C, ROW())+INDEX(D:D, ROW())=0, 0, INDEX(C:C, ROW())/(INDEX(C:C, ROW())+INDEX(D:D, ROW())))</f>
        <v>0.96562261268143623</v>
      </c>
      <c r="F2071" s="1" t="s">
        <v>367</v>
      </c>
      <c r="G2071" s="1" t="s">
        <v>24</v>
      </c>
      <c r="H2071" s="1">
        <v>129116</v>
      </c>
      <c r="I2071" s="1">
        <v>207894</v>
      </c>
      <c r="J2071" s="7">
        <v>0.621</v>
      </c>
      <c r="K2071" s="1" t="s">
        <v>21</v>
      </c>
      <c r="L2071" s="1" t="s">
        <v>21</v>
      </c>
      <c r="M2071" s="1" t="s">
        <v>29</v>
      </c>
      <c r="N2071" s="1" t="s">
        <v>22</v>
      </c>
    </row>
    <row r="2072" spans="1:14" x14ac:dyDescent="0.25">
      <c r="A2072" s="1">
        <v>2071</v>
      </c>
      <c r="B2072" s="2" t="str">
        <f>HYPERLINK("https://leetcode.com/problems/maximum-number-of-tasks-you-can-assign/", "Maximum Number of Tasks You Can Assign")</f>
        <v>Maximum Number of Tasks You Can Assign</v>
      </c>
      <c r="C2072" s="1">
        <v>1091</v>
      </c>
      <c r="D2072" s="1">
        <v>57</v>
      </c>
      <c r="E2072" s="3">
        <f>IF(INDEX(C:C, ROW())+INDEX(D:D, ROW())=0, 0, INDEX(C:C, ROW())/(INDEX(C:C, ROW())+INDEX(D:D, ROW())))</f>
        <v>0.95034843205574915</v>
      </c>
      <c r="F2072" s="1" t="s">
        <v>690</v>
      </c>
      <c r="G2072" s="1" t="s">
        <v>28</v>
      </c>
      <c r="H2072" s="1">
        <v>85447</v>
      </c>
      <c r="I2072" s="1">
        <v>170359</v>
      </c>
      <c r="J2072" s="7">
        <v>0.502</v>
      </c>
      <c r="K2072" s="1" t="s">
        <v>21</v>
      </c>
      <c r="L2072" s="1" t="s">
        <v>21</v>
      </c>
      <c r="M2072" s="1" t="s">
        <v>29</v>
      </c>
      <c r="N2072" s="1" t="s">
        <v>22</v>
      </c>
    </row>
    <row r="2073" spans="1:14" x14ac:dyDescent="0.25">
      <c r="A2073" s="1">
        <v>2072</v>
      </c>
      <c r="B2073" s="2" t="str">
        <f>HYPERLINK("https://leetcode.com/problems/the-winner-university/", "The Winner University")</f>
        <v>The Winner University</v>
      </c>
      <c r="C2073" s="1">
        <v>71</v>
      </c>
      <c r="D2073" s="1">
        <v>3</v>
      </c>
      <c r="E2073" s="3">
        <f>IF(INDEX(C:C, ROW())+INDEX(D:D, ROW())=0, 0, INDEX(C:C, ROW())/(INDEX(C:C, ROW())+INDEX(D:D, ROW())))</f>
        <v>0.95945945945945943</v>
      </c>
      <c r="F2073" s="1" t="s">
        <v>297</v>
      </c>
      <c r="G2073" s="1" t="s">
        <v>20</v>
      </c>
      <c r="H2073" s="1">
        <v>14689</v>
      </c>
      <c r="I2073" s="1">
        <v>19465</v>
      </c>
      <c r="J2073" s="7">
        <v>0.755</v>
      </c>
      <c r="K2073" s="1" t="s">
        <v>29</v>
      </c>
      <c r="L2073" s="1" t="s">
        <v>21</v>
      </c>
      <c r="M2073" s="1" t="s">
        <v>29</v>
      </c>
      <c r="N2073" s="1" t="s">
        <v>297</v>
      </c>
    </row>
    <row r="2074" spans="1:14" x14ac:dyDescent="0.25">
      <c r="A2074" s="1">
        <v>2073</v>
      </c>
      <c r="B2074" s="2" t="str">
        <f>HYPERLINK("https://leetcode.com/problems/time-needed-to-buy-tickets/", "Time Needed to Buy Tickets")</f>
        <v>Time Needed to Buy Tickets</v>
      </c>
      <c r="C2074" s="1">
        <v>1888</v>
      </c>
      <c r="D2074" s="1">
        <v>168</v>
      </c>
      <c r="E2074" s="3">
        <f>IF(INDEX(C:C, ROW())+INDEX(D:D, ROW())=0, 0, INDEX(C:C, ROW())/(INDEX(C:C, ROW())+INDEX(D:D, ROW())))</f>
        <v>0.91828793774319062</v>
      </c>
      <c r="F2074" s="1" t="s">
        <v>522</v>
      </c>
      <c r="G2074" s="1" t="s">
        <v>20</v>
      </c>
      <c r="H2074" s="1">
        <v>300281</v>
      </c>
      <c r="I2074" s="1">
        <v>416316</v>
      </c>
      <c r="J2074" s="7">
        <v>0.72099999999999997</v>
      </c>
      <c r="K2074" s="1" t="s">
        <v>21</v>
      </c>
      <c r="L2074" s="1" t="s">
        <v>21</v>
      </c>
      <c r="M2074" s="1" t="s">
        <v>29</v>
      </c>
      <c r="N2074" s="1" t="s">
        <v>22</v>
      </c>
    </row>
    <row r="2075" spans="1:14" x14ac:dyDescent="0.25">
      <c r="A2075" s="1">
        <v>2074</v>
      </c>
      <c r="B2075" s="2" t="str">
        <f>HYPERLINK("https://leetcode.com/problems/reverse-nodes-in-even-length-groups/", "Reverse Nodes in Even Length Groups")</f>
        <v>Reverse Nodes in Even Length Groups</v>
      </c>
      <c r="C2075" s="1">
        <v>869</v>
      </c>
      <c r="D2075" s="1">
        <v>375</v>
      </c>
      <c r="E2075" s="3">
        <f>IF(INDEX(C:C, ROW())+INDEX(D:D, ROW())=0, 0, INDEX(C:C, ROW())/(INDEX(C:C, ROW())+INDEX(D:D, ROW())))</f>
        <v>0.69855305466237938</v>
      </c>
      <c r="F2075" s="1" t="s">
        <v>104</v>
      </c>
      <c r="G2075" s="1" t="s">
        <v>24</v>
      </c>
      <c r="H2075" s="1">
        <v>44483</v>
      </c>
      <c r="I2075" s="1">
        <v>69854</v>
      </c>
      <c r="J2075" s="7">
        <v>0.63700000000000001</v>
      </c>
      <c r="K2075" s="1" t="s">
        <v>21</v>
      </c>
      <c r="L2075" s="1" t="s">
        <v>29</v>
      </c>
      <c r="M2075" s="1" t="s">
        <v>29</v>
      </c>
      <c r="N2075" s="1" t="s">
        <v>22</v>
      </c>
    </row>
    <row r="2076" spans="1:14" x14ac:dyDescent="0.25">
      <c r="A2076" s="1">
        <v>2075</v>
      </c>
      <c r="B2076" s="2" t="str">
        <f>HYPERLINK("https://leetcode.com/problems/decode-the-slanted-ciphertext/", "Decode the Slanted Ciphertext")</f>
        <v>Decode the Slanted Ciphertext</v>
      </c>
      <c r="C2076" s="1">
        <v>269</v>
      </c>
      <c r="D2076" s="1">
        <v>69</v>
      </c>
      <c r="E2076" s="3">
        <f>IF(INDEX(C:C, ROW())+INDEX(D:D, ROW())=0, 0, INDEX(C:C, ROW())/(INDEX(C:C, ROW())+INDEX(D:D, ROW())))</f>
        <v>0.79585798816568043</v>
      </c>
      <c r="F2076" s="1" t="s">
        <v>414</v>
      </c>
      <c r="G2076" s="1" t="s">
        <v>24</v>
      </c>
      <c r="H2076" s="1">
        <v>19263</v>
      </c>
      <c r="I2076" s="1">
        <v>38315</v>
      </c>
      <c r="J2076" s="7">
        <v>0.503</v>
      </c>
      <c r="K2076" s="1" t="s">
        <v>21</v>
      </c>
      <c r="L2076" s="1" t="s">
        <v>29</v>
      </c>
      <c r="M2076" s="1" t="s">
        <v>29</v>
      </c>
      <c r="N2076" s="1" t="s">
        <v>22</v>
      </c>
    </row>
    <row r="2077" spans="1:14" x14ac:dyDescent="0.25">
      <c r="A2077" s="1">
        <v>2076</v>
      </c>
      <c r="B2077" s="2" t="str">
        <f>HYPERLINK("https://leetcode.com/problems/process-restricted-friend-requests/", "Process Restricted Friend Requests")</f>
        <v>Process Restricted Friend Requests</v>
      </c>
      <c r="C2077" s="1">
        <v>663</v>
      </c>
      <c r="D2077" s="1">
        <v>16</v>
      </c>
      <c r="E2077" s="3">
        <f>IF(INDEX(C:C, ROW())+INDEX(D:D, ROW())=0, 0, INDEX(C:C, ROW())/(INDEX(C:C, ROW())+INDEX(D:D, ROW())))</f>
        <v>0.97643593519882177</v>
      </c>
      <c r="F2077" s="1" t="s">
        <v>404</v>
      </c>
      <c r="G2077" s="1" t="s">
        <v>28</v>
      </c>
      <c r="H2077" s="1">
        <v>24055</v>
      </c>
      <c r="I2077" s="1">
        <v>40447</v>
      </c>
      <c r="J2077" s="7">
        <v>0.59499999999999997</v>
      </c>
      <c r="K2077" s="1" t="s">
        <v>21</v>
      </c>
      <c r="L2077" s="1" t="s">
        <v>29</v>
      </c>
      <c r="M2077" s="1" t="s">
        <v>29</v>
      </c>
      <c r="N2077" s="1" t="s">
        <v>22</v>
      </c>
    </row>
    <row r="2078" spans="1:14" x14ac:dyDescent="0.25">
      <c r="A2078" s="1">
        <v>2077</v>
      </c>
      <c r="B2078" s="2" t="str">
        <f>HYPERLINK("https://leetcode.com/problems/paths-in-maze-that-lead-to-same-room/", "Paths in Maze That Lead to Same Room")</f>
        <v>Paths in Maze That Lead to Same Room</v>
      </c>
      <c r="C2078" s="1">
        <v>142</v>
      </c>
      <c r="D2078" s="1">
        <v>12</v>
      </c>
      <c r="E2078" s="3">
        <f>IF(INDEX(C:C, ROW())+INDEX(D:D, ROW())=0, 0, INDEX(C:C, ROW())/(INDEX(C:C, ROW())+INDEX(D:D, ROW())))</f>
        <v>0.92207792207792205</v>
      </c>
      <c r="F2078" s="1" t="s">
        <v>319</v>
      </c>
      <c r="G2078" s="1" t="s">
        <v>24</v>
      </c>
      <c r="H2078" s="1">
        <v>6358</v>
      </c>
      <c r="I2078" s="1">
        <v>11264</v>
      </c>
      <c r="J2078" s="7">
        <v>0.56399999999999995</v>
      </c>
      <c r="K2078" s="1" t="s">
        <v>29</v>
      </c>
      <c r="L2078" s="1" t="s">
        <v>29</v>
      </c>
      <c r="M2078" s="1" t="s">
        <v>29</v>
      </c>
      <c r="N2078" s="1" t="s">
        <v>22</v>
      </c>
    </row>
    <row r="2079" spans="1:14" x14ac:dyDescent="0.25">
      <c r="A2079" s="1">
        <v>2078</v>
      </c>
      <c r="B2079" s="2" t="str">
        <f>HYPERLINK("https://leetcode.com/problems/two-furthest-houses-with-different-colors/", "Two Furthest Houses With Different Colors")</f>
        <v>Two Furthest Houses With Different Colors</v>
      </c>
      <c r="C2079" s="1">
        <v>1018</v>
      </c>
      <c r="D2079" s="1">
        <v>33</v>
      </c>
      <c r="E2079" s="3">
        <f>IF(INDEX(C:C, ROW())+INDEX(D:D, ROW())=0, 0, INDEX(C:C, ROW())/(INDEX(C:C, ROW())+INDEX(D:D, ROW())))</f>
        <v>0.96860133206470034</v>
      </c>
      <c r="F2079" s="1" t="s">
        <v>96</v>
      </c>
      <c r="G2079" s="1" t="s">
        <v>20</v>
      </c>
      <c r="H2079" s="1">
        <v>91211</v>
      </c>
      <c r="I2079" s="1">
        <v>139213</v>
      </c>
      <c r="J2079" s="7">
        <v>0.65500000000000003</v>
      </c>
      <c r="K2079" s="1" t="s">
        <v>21</v>
      </c>
      <c r="L2079" s="1" t="s">
        <v>29</v>
      </c>
      <c r="M2079" s="1" t="s">
        <v>29</v>
      </c>
      <c r="N2079" s="1" t="s">
        <v>22</v>
      </c>
    </row>
    <row r="2080" spans="1:14" x14ac:dyDescent="0.25">
      <c r="A2080" s="1">
        <v>2079</v>
      </c>
      <c r="B2080" s="2" t="str">
        <f>HYPERLINK("https://leetcode.com/problems/watering-plants/", "Watering Plants")</f>
        <v>Watering Plants</v>
      </c>
      <c r="C2080" s="1">
        <v>974</v>
      </c>
      <c r="D2080" s="1">
        <v>73</v>
      </c>
      <c r="E2080" s="3">
        <f>IF(INDEX(C:C, ROW())+INDEX(D:D, ROW())=0, 0, INDEX(C:C, ROW())/(INDEX(C:C, ROW())+INDEX(D:D, ROW())))</f>
        <v>0.93027698185291308</v>
      </c>
      <c r="F2080" s="1" t="s">
        <v>306</v>
      </c>
      <c r="G2080" s="1" t="s">
        <v>24</v>
      </c>
      <c r="H2080" s="1">
        <v>67003</v>
      </c>
      <c r="I2080" s="1">
        <v>83809</v>
      </c>
      <c r="J2080" s="7">
        <v>0.79900000000000004</v>
      </c>
      <c r="K2080" s="1" t="s">
        <v>21</v>
      </c>
      <c r="L2080" s="1" t="s">
        <v>29</v>
      </c>
      <c r="M2080" s="1" t="s">
        <v>29</v>
      </c>
      <c r="N2080" s="1" t="s">
        <v>22</v>
      </c>
    </row>
    <row r="2081" spans="1:14" x14ac:dyDescent="0.25">
      <c r="A2081" s="1">
        <v>2080</v>
      </c>
      <c r="B2081" s="2" t="str">
        <f>HYPERLINK("https://leetcode.com/problems/range-frequency-queries/", "Range Frequency Queries")</f>
        <v>Range Frequency Queries</v>
      </c>
      <c r="C2081" s="1">
        <v>741</v>
      </c>
      <c r="D2081" s="1">
        <v>29</v>
      </c>
      <c r="E2081" s="3">
        <f>IF(INDEX(C:C, ROW())+INDEX(D:D, ROW())=0, 0, INDEX(C:C, ROW())/(INDEX(C:C, ROW())+INDEX(D:D, ROW())))</f>
        <v>0.96233766233766238</v>
      </c>
      <c r="F2081" s="1" t="s">
        <v>786</v>
      </c>
      <c r="G2081" s="1" t="s">
        <v>24</v>
      </c>
      <c r="H2081" s="1">
        <v>32703</v>
      </c>
      <c r="I2081" s="1">
        <v>77585</v>
      </c>
      <c r="J2081" s="7">
        <v>0.42199999999999999</v>
      </c>
      <c r="K2081" s="1" t="s">
        <v>21</v>
      </c>
      <c r="L2081" s="1" t="s">
        <v>29</v>
      </c>
      <c r="M2081" s="1" t="s">
        <v>29</v>
      </c>
      <c r="N2081" s="1" t="s">
        <v>22</v>
      </c>
    </row>
    <row r="2082" spans="1:14" x14ac:dyDescent="0.25">
      <c r="A2082" s="1">
        <v>2081</v>
      </c>
      <c r="B2082" s="2" t="str">
        <f>HYPERLINK("https://leetcode.com/problems/sum-of-k-mirror-numbers/", "Sum of k-Mirror Numbers")</f>
        <v>Sum of k-Mirror Numbers</v>
      </c>
      <c r="C2082" s="1">
        <v>429</v>
      </c>
      <c r="D2082" s="1">
        <v>210</v>
      </c>
      <c r="E2082" s="3">
        <f>IF(INDEX(C:C, ROW())+INDEX(D:D, ROW())=0, 0, INDEX(C:C, ROW())/(INDEX(C:C, ROW())+INDEX(D:D, ROW())))</f>
        <v>0.67136150234741787</v>
      </c>
      <c r="F2082" s="1" t="s">
        <v>602</v>
      </c>
      <c r="G2082" s="1" t="s">
        <v>28</v>
      </c>
      <c r="H2082" s="1">
        <v>77410</v>
      </c>
      <c r="I2082" s="1">
        <v>121411</v>
      </c>
      <c r="J2082" s="7">
        <v>0.63800000000000001</v>
      </c>
      <c r="K2082" s="1" t="s">
        <v>21</v>
      </c>
      <c r="L2082" s="1" t="s">
        <v>21</v>
      </c>
      <c r="M2082" s="1" t="s">
        <v>29</v>
      </c>
      <c r="N2082" s="1" t="s">
        <v>22</v>
      </c>
    </row>
    <row r="2083" spans="1:14" x14ac:dyDescent="0.25">
      <c r="A2083" s="1">
        <v>2082</v>
      </c>
      <c r="B2083" s="2" t="str">
        <f>HYPERLINK("https://leetcode.com/problems/the-number-of-rich-customers/", "The Number of Rich Customers")</f>
        <v>The Number of Rich Customers</v>
      </c>
      <c r="C2083" s="1">
        <v>101</v>
      </c>
      <c r="D2083" s="1">
        <v>25</v>
      </c>
      <c r="E2083" s="3">
        <f>IF(INDEX(C:C, ROW())+INDEX(D:D, ROW())=0, 0, INDEX(C:C, ROW())/(INDEX(C:C, ROW())+INDEX(D:D, ROW())))</f>
        <v>0.80158730158730163</v>
      </c>
      <c r="F2083" s="1" t="s">
        <v>297</v>
      </c>
      <c r="G2083" s="1" t="s">
        <v>20</v>
      </c>
      <c r="H2083" s="1">
        <v>30377</v>
      </c>
      <c r="I2083" s="1">
        <v>39263</v>
      </c>
      <c r="J2083" s="7">
        <v>0.77400000000000002</v>
      </c>
      <c r="K2083" s="1" t="s">
        <v>29</v>
      </c>
      <c r="L2083" s="1" t="s">
        <v>21</v>
      </c>
      <c r="M2083" s="1" t="s">
        <v>29</v>
      </c>
      <c r="N2083" s="1" t="s">
        <v>297</v>
      </c>
    </row>
    <row r="2084" spans="1:14" x14ac:dyDescent="0.25">
      <c r="A2084" s="1">
        <v>2083</v>
      </c>
      <c r="B2084" s="2" t="str">
        <f>HYPERLINK("https://leetcode.com/problems/substrings-that-begin-and-end-with-the-same-letter/", "Substrings That Begin and End With the Same Letter")</f>
        <v>Substrings That Begin and End With the Same Letter</v>
      </c>
      <c r="C2084" s="1">
        <v>137</v>
      </c>
      <c r="D2084" s="1">
        <v>12</v>
      </c>
      <c r="E2084" s="3">
        <f>IF(INDEX(C:C, ROW())+INDEX(D:D, ROW())=0, 0, INDEX(C:C, ROW())/(INDEX(C:C, ROW())+INDEX(D:D, ROW())))</f>
        <v>0.91946308724832215</v>
      </c>
      <c r="F2084" s="1" t="s">
        <v>1148</v>
      </c>
      <c r="G2084" s="1" t="s">
        <v>24</v>
      </c>
      <c r="H2084" s="1">
        <v>13961</v>
      </c>
      <c r="I2084" s="1">
        <v>18765</v>
      </c>
      <c r="J2084" s="7">
        <v>0.74399999999999999</v>
      </c>
      <c r="K2084" s="1" t="s">
        <v>29</v>
      </c>
      <c r="L2084" s="1" t="s">
        <v>21</v>
      </c>
      <c r="M2084" s="1" t="s">
        <v>29</v>
      </c>
      <c r="N2084" s="1" t="s">
        <v>22</v>
      </c>
    </row>
    <row r="2085" spans="1:14" x14ac:dyDescent="0.25">
      <c r="A2085" s="1">
        <v>2084</v>
      </c>
      <c r="B2085" s="2" t="str">
        <f>HYPERLINK("https://leetcode.com/problems/drop-type-1-orders-for-customers-with-type-0-orders/", "Drop Type 1 Orders for Customers With Type 0 Orders")</f>
        <v>Drop Type 1 Orders for Customers With Type 0 Orders</v>
      </c>
      <c r="C2085" s="1">
        <v>97</v>
      </c>
      <c r="D2085" s="1">
        <v>20</v>
      </c>
      <c r="E2085" s="3">
        <f>IF(INDEX(C:C, ROW())+INDEX(D:D, ROW())=0, 0, INDEX(C:C, ROW())/(INDEX(C:C, ROW())+INDEX(D:D, ROW())))</f>
        <v>0.82905982905982911</v>
      </c>
      <c r="F2085" s="1" t="s">
        <v>297</v>
      </c>
      <c r="G2085" s="1" t="s">
        <v>24</v>
      </c>
      <c r="H2085" s="1">
        <v>14390</v>
      </c>
      <c r="I2085" s="1">
        <v>16614</v>
      </c>
      <c r="J2085" s="7">
        <v>0.86599999999999999</v>
      </c>
      <c r="K2085" s="1" t="s">
        <v>29</v>
      </c>
      <c r="L2085" s="1" t="s">
        <v>29</v>
      </c>
      <c r="M2085" s="1" t="s">
        <v>29</v>
      </c>
      <c r="N2085" s="1" t="s">
        <v>297</v>
      </c>
    </row>
    <row r="2086" spans="1:14" x14ac:dyDescent="0.25">
      <c r="A2086" s="1">
        <v>2085</v>
      </c>
      <c r="B2086" s="2" t="str">
        <f>HYPERLINK("https://leetcode.com/problems/count-common-words-with-one-occurrence/", "Count Common Words With One Occurrence")</f>
        <v>Count Common Words With One Occurrence</v>
      </c>
      <c r="C2086" s="1">
        <v>904</v>
      </c>
      <c r="D2086" s="1">
        <v>21</v>
      </c>
      <c r="E2086" s="3">
        <f>IF(INDEX(C:C, ROW())+INDEX(D:D, ROW())=0, 0, INDEX(C:C, ROW())/(INDEX(C:C, ROW())+INDEX(D:D, ROW())))</f>
        <v>0.97729729729729731</v>
      </c>
      <c r="F2086" s="1" t="s">
        <v>467</v>
      </c>
      <c r="G2086" s="1" t="s">
        <v>20</v>
      </c>
      <c r="H2086" s="1">
        <v>108600</v>
      </c>
      <c r="I2086" s="1">
        <v>148423</v>
      </c>
      <c r="J2086" s="7">
        <v>0.73199999999999998</v>
      </c>
      <c r="K2086" s="1" t="s">
        <v>21</v>
      </c>
      <c r="L2086" s="1" t="s">
        <v>29</v>
      </c>
      <c r="M2086" s="1" t="s">
        <v>29</v>
      </c>
      <c r="N2086" s="1" t="s">
        <v>22</v>
      </c>
    </row>
    <row r="2087" spans="1:14" x14ac:dyDescent="0.25">
      <c r="A2087" s="1">
        <v>2086</v>
      </c>
      <c r="B2087" s="2" t="str">
        <f>HYPERLINK("https://leetcode.com/problems/minimum-number-of-food-buckets-to-feed-the-hamsters/", "Minimum Number of Food Buckets to Feed the Hamsters")</f>
        <v>Minimum Number of Food Buckets to Feed the Hamsters</v>
      </c>
      <c r="C2087" s="1">
        <v>572</v>
      </c>
      <c r="D2087" s="1">
        <v>31</v>
      </c>
      <c r="E2087" s="3">
        <f>IF(INDEX(C:C, ROW())+INDEX(D:D, ROW())=0, 0, INDEX(C:C, ROW())/(INDEX(C:C, ROW())+INDEX(D:D, ROW())))</f>
        <v>0.94859038142620233</v>
      </c>
      <c r="F2087" s="1" t="s">
        <v>861</v>
      </c>
      <c r="G2087" s="1" t="s">
        <v>24</v>
      </c>
      <c r="H2087" s="1">
        <v>29385</v>
      </c>
      <c r="I2087" s="1">
        <v>61281</v>
      </c>
      <c r="J2087" s="7">
        <v>0.48</v>
      </c>
      <c r="K2087" s="1" t="s">
        <v>21</v>
      </c>
      <c r="L2087" s="1" t="s">
        <v>29</v>
      </c>
      <c r="M2087" s="1" t="s">
        <v>29</v>
      </c>
      <c r="N2087" s="1" t="s">
        <v>22</v>
      </c>
    </row>
    <row r="2088" spans="1:14" x14ac:dyDescent="0.25">
      <c r="A2088" s="1">
        <v>2087</v>
      </c>
      <c r="B2088" s="2" t="str">
        <f>HYPERLINK("https://leetcode.com/problems/minimum-cost-homecoming-of-a-robot-in-a-grid/", "Minimum Cost Homecoming of a Robot in a Grid")</f>
        <v>Minimum Cost Homecoming of a Robot in a Grid</v>
      </c>
      <c r="C2088" s="1">
        <v>744</v>
      </c>
      <c r="D2088" s="1">
        <v>97</v>
      </c>
      <c r="E2088" s="3">
        <f>IF(INDEX(C:C, ROW())+INDEX(D:D, ROW())=0, 0, INDEX(C:C, ROW())/(INDEX(C:C, ROW())+INDEX(D:D, ROW())))</f>
        <v>0.88466111771700362</v>
      </c>
      <c r="F2088" s="1" t="s">
        <v>96</v>
      </c>
      <c r="G2088" s="1" t="s">
        <v>24</v>
      </c>
      <c r="H2088" s="1">
        <v>26360</v>
      </c>
      <c r="I2088" s="1">
        <v>51117</v>
      </c>
      <c r="J2088" s="7">
        <v>0.51600000000000001</v>
      </c>
      <c r="K2088" s="1" t="s">
        <v>21</v>
      </c>
      <c r="L2088" s="1" t="s">
        <v>29</v>
      </c>
      <c r="M2088" s="1" t="s">
        <v>29</v>
      </c>
      <c r="N2088" s="1" t="s">
        <v>22</v>
      </c>
    </row>
    <row r="2089" spans="1:14" x14ac:dyDescent="0.25">
      <c r="A2089" s="1">
        <v>2088</v>
      </c>
      <c r="B2089" s="2" t="str">
        <f>HYPERLINK("https://leetcode.com/problems/count-fertile-pyramids-in-a-land/", "Count Fertile Pyramids in a Land")</f>
        <v>Count Fertile Pyramids in a Land</v>
      </c>
      <c r="C2089" s="1">
        <v>396</v>
      </c>
      <c r="D2089" s="1">
        <v>21</v>
      </c>
      <c r="E2089" s="3">
        <f>IF(INDEX(C:C, ROW())+INDEX(D:D, ROW())=0, 0, INDEX(C:C, ROW())/(INDEX(C:C, ROW())+INDEX(D:D, ROW())))</f>
        <v>0.94964028776978415</v>
      </c>
      <c r="F2089" s="1" t="s">
        <v>94</v>
      </c>
      <c r="G2089" s="1" t="s">
        <v>28</v>
      </c>
      <c r="H2089" s="1">
        <v>12846</v>
      </c>
      <c r="I2089" s="1">
        <v>19389</v>
      </c>
      <c r="J2089" s="7">
        <v>0.66300000000000003</v>
      </c>
      <c r="K2089" s="1" t="s">
        <v>21</v>
      </c>
      <c r="L2089" s="1" t="s">
        <v>29</v>
      </c>
      <c r="M2089" s="1" t="s">
        <v>29</v>
      </c>
      <c r="N2089" s="1" t="s">
        <v>22</v>
      </c>
    </row>
    <row r="2090" spans="1:14" x14ac:dyDescent="0.25">
      <c r="A2090" s="1">
        <v>2089</v>
      </c>
      <c r="B2090" s="2" t="str">
        <f>HYPERLINK("https://leetcode.com/problems/find-target-indices-after-sorting-array/", "Find Target Indices After Sorting Array")</f>
        <v>Find Target Indices After Sorting Array</v>
      </c>
      <c r="C2090" s="1">
        <v>1949</v>
      </c>
      <c r="D2090" s="1">
        <v>106</v>
      </c>
      <c r="E2090" s="3">
        <f>IF(INDEX(C:C, ROW())+INDEX(D:D, ROW())=0, 0, INDEX(C:C, ROW())/(INDEX(C:C, ROW())+INDEX(D:D, ROW())))</f>
        <v>0.94841849148418489</v>
      </c>
      <c r="F2090" s="1" t="s">
        <v>367</v>
      </c>
      <c r="G2090" s="1" t="s">
        <v>20</v>
      </c>
      <c r="H2090" s="1">
        <v>268699</v>
      </c>
      <c r="I2090" s="1">
        <v>345293</v>
      </c>
      <c r="J2090" s="7">
        <v>0.77800000000000002</v>
      </c>
      <c r="K2090" s="1" t="s">
        <v>21</v>
      </c>
      <c r="L2090" s="1" t="s">
        <v>29</v>
      </c>
      <c r="M2090" s="1" t="s">
        <v>29</v>
      </c>
      <c r="N2090" s="1" t="s">
        <v>22</v>
      </c>
    </row>
    <row r="2091" spans="1:14" x14ac:dyDescent="0.25">
      <c r="A2091" s="1">
        <v>2090</v>
      </c>
      <c r="B2091" s="2" t="str">
        <f>HYPERLINK("https://leetcode.com/problems/k-radius-subarray-averages/", "K Radius Subarray Averages")</f>
        <v>K Radius Subarray Averages</v>
      </c>
      <c r="C2091" s="1">
        <v>2086</v>
      </c>
      <c r="D2091" s="1">
        <v>104</v>
      </c>
      <c r="E2091" s="3">
        <f>IF(INDEX(C:C, ROW())+INDEX(D:D, ROW())=0, 0, INDEX(C:C, ROW())/(INDEX(C:C, ROW())+INDEX(D:D, ROW())))</f>
        <v>0.9525114155251142</v>
      </c>
      <c r="F2091" s="1" t="s">
        <v>295</v>
      </c>
      <c r="G2091" s="1" t="s">
        <v>24</v>
      </c>
      <c r="H2091" s="1">
        <v>193794</v>
      </c>
      <c r="I2091" s="1">
        <v>420586</v>
      </c>
      <c r="J2091" s="7">
        <v>0.46100000000000002</v>
      </c>
      <c r="K2091" s="1" t="s">
        <v>21</v>
      </c>
      <c r="L2091" s="1" t="s">
        <v>21</v>
      </c>
      <c r="M2091" s="1" t="s">
        <v>29</v>
      </c>
      <c r="N2091" s="1" t="s">
        <v>22</v>
      </c>
    </row>
    <row r="2092" spans="1:14" x14ac:dyDescent="0.25">
      <c r="A2092" s="1">
        <v>2091</v>
      </c>
      <c r="B2092" s="2" t="str">
        <f>HYPERLINK("https://leetcode.com/problems/removing-minimum-and-maximum-from-array/", "Removing Minimum and Maximum From Array")</f>
        <v>Removing Minimum and Maximum From Array</v>
      </c>
      <c r="C2092" s="1">
        <v>1039</v>
      </c>
      <c r="D2092" s="1">
        <v>57</v>
      </c>
      <c r="E2092" s="3">
        <f>IF(INDEX(C:C, ROW())+INDEX(D:D, ROW())=0, 0, INDEX(C:C, ROW())/(INDEX(C:C, ROW())+INDEX(D:D, ROW())))</f>
        <v>0.94799270072992703</v>
      </c>
      <c r="F2092" s="1" t="s">
        <v>96</v>
      </c>
      <c r="G2092" s="1" t="s">
        <v>24</v>
      </c>
      <c r="H2092" s="1">
        <v>59660</v>
      </c>
      <c r="I2092" s="1">
        <v>106112</v>
      </c>
      <c r="J2092" s="7">
        <v>0.56200000000000006</v>
      </c>
      <c r="K2092" s="1" t="s">
        <v>21</v>
      </c>
      <c r="L2092" s="1" t="s">
        <v>29</v>
      </c>
      <c r="M2092" s="1" t="s">
        <v>29</v>
      </c>
      <c r="N2092" s="1" t="s">
        <v>22</v>
      </c>
    </row>
    <row r="2093" spans="1:14" x14ac:dyDescent="0.25">
      <c r="A2093" s="1">
        <v>2092</v>
      </c>
      <c r="B2093" s="2" t="str">
        <f>HYPERLINK("https://leetcode.com/problems/find-all-people-with-secret/", "Find All People With Secret")</f>
        <v>Find All People With Secret</v>
      </c>
      <c r="C2093" s="1">
        <v>1939</v>
      </c>
      <c r="D2093" s="1">
        <v>90</v>
      </c>
      <c r="E2093" s="3">
        <f>IF(INDEX(C:C, ROW())+INDEX(D:D, ROW())=0, 0, INDEX(C:C, ROW())/(INDEX(C:C, ROW())+INDEX(D:D, ROW())))</f>
        <v>0.95564317397732879</v>
      </c>
      <c r="F2093" s="1" t="s">
        <v>512</v>
      </c>
      <c r="G2093" s="1" t="s">
        <v>28</v>
      </c>
      <c r="H2093" s="1">
        <v>165156</v>
      </c>
      <c r="I2093" s="1">
        <v>341092</v>
      </c>
      <c r="J2093" s="7">
        <v>0.48399999999999999</v>
      </c>
      <c r="K2093" s="1" t="s">
        <v>21</v>
      </c>
      <c r="L2093" s="1" t="s">
        <v>21</v>
      </c>
      <c r="M2093" s="1" t="s">
        <v>29</v>
      </c>
      <c r="N2093" s="1" t="s">
        <v>22</v>
      </c>
    </row>
    <row r="2094" spans="1:14" x14ac:dyDescent="0.25">
      <c r="A2094" s="1">
        <v>2093</v>
      </c>
      <c r="B2094" s="2" t="str">
        <f>HYPERLINK("https://leetcode.com/problems/minimum-cost-to-reach-city-with-discounts/", "Minimum Cost to Reach City With Discounts")</f>
        <v>Minimum Cost to Reach City With Discounts</v>
      </c>
      <c r="C2094" s="1">
        <v>242</v>
      </c>
      <c r="D2094" s="1">
        <v>23</v>
      </c>
      <c r="E2094" s="3">
        <f>IF(INDEX(C:C, ROW())+INDEX(D:D, ROW())=0, 0, INDEX(C:C, ROW())/(INDEX(C:C, ROW())+INDEX(D:D, ROW())))</f>
        <v>0.91320754716981134</v>
      </c>
      <c r="F2094" s="1" t="s">
        <v>737</v>
      </c>
      <c r="G2094" s="1" t="s">
        <v>24</v>
      </c>
      <c r="H2094" s="1">
        <v>12394</v>
      </c>
      <c r="I2094" s="1">
        <v>20606</v>
      </c>
      <c r="J2094" s="7">
        <v>0.60099999999999998</v>
      </c>
      <c r="K2094" s="1" t="s">
        <v>29</v>
      </c>
      <c r="L2094" s="1" t="s">
        <v>21</v>
      </c>
      <c r="M2094" s="1" t="s">
        <v>29</v>
      </c>
      <c r="N2094" s="1" t="s">
        <v>22</v>
      </c>
    </row>
    <row r="2095" spans="1:14" x14ac:dyDescent="0.25">
      <c r="A2095" s="1">
        <v>2094</v>
      </c>
      <c r="B2095" s="2" t="str">
        <f>HYPERLINK("https://leetcode.com/problems/finding-3-digit-even-numbers/", "Finding 3-Digit Even Numbers")</f>
        <v>Finding 3-Digit Even Numbers</v>
      </c>
      <c r="C2095" s="1">
        <v>1543</v>
      </c>
      <c r="D2095" s="1">
        <v>343</v>
      </c>
      <c r="E2095" s="3">
        <f>IF(INDEX(C:C, ROW())+INDEX(D:D, ROW())=0, 0, INDEX(C:C, ROW())/(INDEX(C:C, ROW())+INDEX(D:D, ROW())))</f>
        <v>0.81813361611876989</v>
      </c>
      <c r="F2095" s="1" t="s">
        <v>576</v>
      </c>
      <c r="G2095" s="1" t="s">
        <v>20</v>
      </c>
      <c r="H2095" s="1">
        <v>178538</v>
      </c>
      <c r="I2095" s="1">
        <v>226546</v>
      </c>
      <c r="J2095" s="7">
        <v>0.78800000000000003</v>
      </c>
      <c r="K2095" s="1" t="s">
        <v>21</v>
      </c>
      <c r="L2095" s="1" t="s">
        <v>21</v>
      </c>
      <c r="M2095" s="1" t="s">
        <v>29</v>
      </c>
      <c r="N2095" s="1" t="s">
        <v>22</v>
      </c>
    </row>
    <row r="2096" spans="1:14" x14ac:dyDescent="0.25">
      <c r="A2096" s="1">
        <v>2095</v>
      </c>
      <c r="B2096" s="2" t="str">
        <f>HYPERLINK("https://leetcode.com/problems/delete-the-middle-node-of-a-linked-list/", "Delete the Middle Node of a Linked List")</f>
        <v>Delete the Middle Node of a Linked List</v>
      </c>
      <c r="C2096" s="1">
        <v>4892</v>
      </c>
      <c r="D2096" s="1">
        <v>105</v>
      </c>
      <c r="E2096" s="3">
        <f>IF(INDEX(C:C, ROW())+INDEX(D:D, ROW())=0, 0, INDEX(C:C, ROW())/(INDEX(C:C, ROW())+INDEX(D:D, ROW())))</f>
        <v>0.97898739243546129</v>
      </c>
      <c r="F2096" s="1" t="s">
        <v>53</v>
      </c>
      <c r="G2096" s="1" t="s">
        <v>24</v>
      </c>
      <c r="H2096" s="1">
        <v>901283</v>
      </c>
      <c r="I2096" s="1">
        <v>1515040</v>
      </c>
      <c r="J2096" s="7">
        <v>0.59499999999999997</v>
      </c>
      <c r="K2096" s="1" t="s">
        <v>21</v>
      </c>
      <c r="L2096" s="1" t="s">
        <v>21</v>
      </c>
      <c r="M2096" s="1" t="s">
        <v>29</v>
      </c>
      <c r="N2096" s="1" t="s">
        <v>22</v>
      </c>
    </row>
    <row r="2097" spans="1:14" x14ac:dyDescent="0.25">
      <c r="A2097" s="1">
        <v>2096</v>
      </c>
      <c r="B2097" s="2" t="str">
        <f>HYPERLINK("https://leetcode.com/problems/step-by-step-directions-from-a-binary-tree-node-to-another/", "Step-By-Step Directions From a Binary Tree Node to Another")</f>
        <v>Step-By-Step Directions From a Binary Tree Node to Another</v>
      </c>
      <c r="C2097" s="1">
        <v>3246</v>
      </c>
      <c r="D2097" s="1">
        <v>170</v>
      </c>
      <c r="E2097" s="3">
        <f>IF(INDEX(C:C, ROW())+INDEX(D:D, ROW())=0, 0, INDEX(C:C, ROW())/(INDEX(C:C, ROW())+INDEX(D:D, ROW())))</f>
        <v>0.95023419203747073</v>
      </c>
      <c r="F2097" s="1" t="s">
        <v>362</v>
      </c>
      <c r="G2097" s="1" t="s">
        <v>24</v>
      </c>
      <c r="H2097" s="1">
        <v>236024</v>
      </c>
      <c r="I2097" s="1">
        <v>418449</v>
      </c>
      <c r="J2097" s="7">
        <v>0.56399999999999995</v>
      </c>
      <c r="K2097" s="1" t="s">
        <v>21</v>
      </c>
      <c r="L2097" s="1" t="s">
        <v>21</v>
      </c>
      <c r="M2097" s="1" t="s">
        <v>29</v>
      </c>
      <c r="N2097" s="1" t="s">
        <v>22</v>
      </c>
    </row>
    <row r="2098" spans="1:14" x14ac:dyDescent="0.25">
      <c r="A2098" s="1">
        <v>2097</v>
      </c>
      <c r="B2098" s="2" t="str">
        <f>HYPERLINK("https://leetcode.com/problems/valid-arrangement-of-pairs/", "Valid Arrangement of Pairs")</f>
        <v>Valid Arrangement of Pairs</v>
      </c>
      <c r="C2098" s="1">
        <v>1075</v>
      </c>
      <c r="D2098" s="1">
        <v>55</v>
      </c>
      <c r="E2098" s="3">
        <f>IF(INDEX(C:C, ROW())+INDEX(D:D, ROW())=0, 0, INDEX(C:C, ROW())/(INDEX(C:C, ROW())+INDEX(D:D, ROW())))</f>
        <v>0.95132743362831862</v>
      </c>
      <c r="F2098" s="1" t="s">
        <v>693</v>
      </c>
      <c r="G2098" s="1" t="s">
        <v>28</v>
      </c>
      <c r="H2098" s="1">
        <v>81336</v>
      </c>
      <c r="I2098" s="1">
        <v>122366</v>
      </c>
      <c r="J2098" s="7">
        <v>0.66500000000000004</v>
      </c>
      <c r="K2098" s="1" t="s">
        <v>21</v>
      </c>
      <c r="L2098" s="1" t="s">
        <v>21</v>
      </c>
      <c r="M2098" s="1" t="s">
        <v>29</v>
      </c>
      <c r="N2098" s="1" t="s">
        <v>22</v>
      </c>
    </row>
    <row r="2099" spans="1:14" x14ac:dyDescent="0.25">
      <c r="A2099" s="1">
        <v>2098</v>
      </c>
      <c r="B2099" s="2" t="str">
        <f>HYPERLINK("https://leetcode.com/problems/subsequence-of-size-k-with-the-largest-even-sum/", "Subsequence of Size K With the Largest Even Sum")</f>
        <v>Subsequence of Size K With the Largest Even Sum</v>
      </c>
      <c r="C2099" s="1">
        <v>98</v>
      </c>
      <c r="D2099" s="1">
        <v>8</v>
      </c>
      <c r="E2099" s="3">
        <f>IF(INDEX(C:C, ROW())+INDEX(D:D, ROW())=0, 0, INDEX(C:C, ROW())/(INDEX(C:C, ROW())+INDEX(D:D, ROW())))</f>
        <v>0.92452830188679247</v>
      </c>
      <c r="F2099" s="1" t="s">
        <v>169</v>
      </c>
      <c r="G2099" s="1" t="s">
        <v>24</v>
      </c>
      <c r="H2099" s="1">
        <v>4753</v>
      </c>
      <c r="I2099" s="1">
        <v>13318</v>
      </c>
      <c r="J2099" s="7">
        <v>0.35699999999999998</v>
      </c>
      <c r="K2099" s="1" t="s">
        <v>29</v>
      </c>
      <c r="L2099" s="1" t="s">
        <v>29</v>
      </c>
      <c r="M2099" s="1" t="s">
        <v>29</v>
      </c>
      <c r="N2099" s="1" t="s">
        <v>22</v>
      </c>
    </row>
    <row r="2100" spans="1:14" x14ac:dyDescent="0.25">
      <c r="A2100" s="1">
        <v>2099</v>
      </c>
      <c r="B2100" s="2" t="str">
        <f>HYPERLINK("https://leetcode.com/problems/find-subsequence-of-length-k-with-the-largest-sum/", "Find Subsequence of Length K With the Largest Sum")</f>
        <v>Find Subsequence of Length K With the Largest Sum</v>
      </c>
      <c r="C2100" s="1">
        <v>1747</v>
      </c>
      <c r="D2100" s="1">
        <v>184</v>
      </c>
      <c r="E2100" s="3">
        <f>IF(INDEX(C:C, ROW())+INDEX(D:D, ROW())=0, 0, INDEX(C:C, ROW())/(INDEX(C:C, ROW())+INDEX(D:D, ROW())))</f>
        <v>0.90471258415328848</v>
      </c>
      <c r="F2100" s="1" t="s">
        <v>542</v>
      </c>
      <c r="G2100" s="1" t="s">
        <v>20</v>
      </c>
      <c r="H2100" s="1">
        <v>178027</v>
      </c>
      <c r="I2100" s="1">
        <v>310170</v>
      </c>
      <c r="J2100" s="7">
        <v>0.57399999999999995</v>
      </c>
      <c r="K2100" s="1" t="s">
        <v>21</v>
      </c>
      <c r="L2100" s="1" t="s">
        <v>21</v>
      </c>
      <c r="M2100" s="1" t="s">
        <v>29</v>
      </c>
      <c r="N2100" s="1" t="s">
        <v>22</v>
      </c>
    </row>
    <row r="2101" spans="1:14" x14ac:dyDescent="0.25">
      <c r="A2101" s="1">
        <v>2100</v>
      </c>
      <c r="B2101" s="2" t="str">
        <f>HYPERLINK("https://leetcode.com/problems/find-good-days-to-rob-the-bank/", "Find Good Days to Rob the Bank")</f>
        <v>Find Good Days to Rob the Bank</v>
      </c>
      <c r="C2101" s="1">
        <v>998</v>
      </c>
      <c r="D2101" s="1">
        <v>54</v>
      </c>
      <c r="E2101" s="3">
        <f>IF(INDEX(C:C, ROW())+INDEX(D:D, ROW())=0, 0, INDEX(C:C, ROW())/(INDEX(C:C, ROW())+INDEX(D:D, ROW())))</f>
        <v>0.9486692015209125</v>
      </c>
      <c r="F2101" s="1" t="s">
        <v>407</v>
      </c>
      <c r="G2101" s="1" t="s">
        <v>24</v>
      </c>
      <c r="H2101" s="1">
        <v>43080</v>
      </c>
      <c r="I2101" s="1">
        <v>83797</v>
      </c>
      <c r="J2101" s="7">
        <v>0.51400000000000001</v>
      </c>
      <c r="K2101" s="1" t="s">
        <v>21</v>
      </c>
      <c r="L2101" s="1" t="s">
        <v>29</v>
      </c>
      <c r="M2101" s="1" t="s">
        <v>29</v>
      </c>
      <c r="N2101" s="1" t="s">
        <v>22</v>
      </c>
    </row>
    <row r="2102" spans="1:14" x14ac:dyDescent="0.25">
      <c r="A2102" s="1">
        <v>2101</v>
      </c>
      <c r="B2102" s="2" t="str">
        <f>HYPERLINK("https://leetcode.com/problems/detonate-the-maximum-bombs/", "Detonate the Maximum Bombs")</f>
        <v>Detonate the Maximum Bombs</v>
      </c>
      <c r="C2102" s="1">
        <v>3366</v>
      </c>
      <c r="D2102" s="1">
        <v>161</v>
      </c>
      <c r="E2102" s="3">
        <f>IF(INDEX(C:C, ROW())+INDEX(D:D, ROW())=0, 0, INDEX(C:C, ROW())/(INDEX(C:C, ROW())+INDEX(D:D, ROW())))</f>
        <v>0.95435214062943008</v>
      </c>
      <c r="F2102" s="1" t="s">
        <v>357</v>
      </c>
      <c r="G2102" s="1" t="s">
        <v>24</v>
      </c>
      <c r="H2102" s="1">
        <v>174295</v>
      </c>
      <c r="I2102" s="1">
        <v>349338</v>
      </c>
      <c r="J2102" s="7">
        <v>0.499</v>
      </c>
      <c r="K2102" s="1" t="s">
        <v>21</v>
      </c>
      <c r="L2102" s="1" t="s">
        <v>21</v>
      </c>
      <c r="M2102" s="1" t="s">
        <v>29</v>
      </c>
      <c r="N2102" s="1" t="s">
        <v>22</v>
      </c>
    </row>
    <row r="2103" spans="1:14" x14ac:dyDescent="0.25">
      <c r="A2103" s="1">
        <v>2102</v>
      </c>
      <c r="B2103" s="2" t="str">
        <f>HYPERLINK("https://leetcode.com/problems/sequentially-ordinal-rank-tracker/", "Sequentially Ordinal Rank Tracker")</f>
        <v>Sequentially Ordinal Rank Tracker</v>
      </c>
      <c r="C2103" s="1">
        <v>407</v>
      </c>
      <c r="D2103" s="1">
        <v>48</v>
      </c>
      <c r="E2103" s="3">
        <f>IF(INDEX(C:C, ROW())+INDEX(D:D, ROW())=0, 0, INDEX(C:C, ROW())/(INDEX(C:C, ROW())+INDEX(D:D, ROW())))</f>
        <v>0.89450549450549455</v>
      </c>
      <c r="F2103" s="1" t="s">
        <v>974</v>
      </c>
      <c r="G2103" s="1" t="s">
        <v>28</v>
      </c>
      <c r="H2103" s="1">
        <v>19944</v>
      </c>
      <c r="I2103" s="1">
        <v>32405</v>
      </c>
      <c r="J2103" s="7">
        <v>0.61499999999999999</v>
      </c>
      <c r="K2103" s="1" t="s">
        <v>21</v>
      </c>
      <c r="L2103" s="1" t="s">
        <v>29</v>
      </c>
      <c r="M2103" s="1" t="s">
        <v>29</v>
      </c>
      <c r="N2103" s="1" t="s">
        <v>22</v>
      </c>
    </row>
    <row r="2104" spans="1:14" x14ac:dyDescent="0.25">
      <c r="A2104" s="1">
        <v>2103</v>
      </c>
      <c r="B2104" s="2" t="str">
        <f>HYPERLINK("https://leetcode.com/problems/rings-and-rods/", "Rings and Rods")</f>
        <v>Rings and Rods</v>
      </c>
      <c r="C2104" s="1">
        <v>1026</v>
      </c>
      <c r="D2104" s="1">
        <v>21</v>
      </c>
      <c r="E2104" s="3">
        <f>IF(INDEX(C:C, ROW())+INDEX(D:D, ROW())=0, 0, INDEX(C:C, ROW())/(INDEX(C:C, ROW())+INDEX(D:D, ROW())))</f>
        <v>0.97994269340974216</v>
      </c>
      <c r="F2104" s="1" t="s">
        <v>131</v>
      </c>
      <c r="G2104" s="1" t="s">
        <v>20</v>
      </c>
      <c r="H2104" s="1">
        <v>94047</v>
      </c>
      <c r="I2104" s="1">
        <v>115449</v>
      </c>
      <c r="J2104" s="7">
        <v>0.81499999999999995</v>
      </c>
      <c r="K2104" s="1" t="s">
        <v>21</v>
      </c>
      <c r="L2104" s="1" t="s">
        <v>29</v>
      </c>
      <c r="M2104" s="1" t="s">
        <v>29</v>
      </c>
      <c r="N2104" s="1" t="s">
        <v>22</v>
      </c>
    </row>
    <row r="2105" spans="1:14" x14ac:dyDescent="0.25">
      <c r="A2105" s="1">
        <v>2104</v>
      </c>
      <c r="B2105" s="2" t="str">
        <f>HYPERLINK("https://leetcode.com/problems/sum-of-subarray-ranges/", "Sum of Subarray Ranges")</f>
        <v>Sum of Subarray Ranges</v>
      </c>
      <c r="C2105" s="1">
        <v>2970</v>
      </c>
      <c r="D2105" s="1">
        <v>144</v>
      </c>
      <c r="E2105" s="3">
        <f>IF(INDEX(C:C, ROW())+INDEX(D:D, ROW())=0, 0, INDEX(C:C, ROW())/(INDEX(C:C, ROW())+INDEX(D:D, ROW())))</f>
        <v>0.95375722543352603</v>
      </c>
      <c r="F2105" s="1" t="s">
        <v>61</v>
      </c>
      <c r="G2105" s="1" t="s">
        <v>24</v>
      </c>
      <c r="H2105" s="1">
        <v>212299</v>
      </c>
      <c r="I2105" s="1">
        <v>349527</v>
      </c>
      <c r="J2105" s="7">
        <v>0.60699999999999998</v>
      </c>
      <c r="K2105" s="1" t="s">
        <v>21</v>
      </c>
      <c r="L2105" s="1" t="s">
        <v>21</v>
      </c>
      <c r="M2105" s="1" t="s">
        <v>29</v>
      </c>
      <c r="N2105" s="1" t="s">
        <v>22</v>
      </c>
    </row>
    <row r="2106" spans="1:14" x14ac:dyDescent="0.25">
      <c r="A2106" s="1">
        <v>2105</v>
      </c>
      <c r="B2106" s="2" t="str">
        <f>HYPERLINK("https://leetcode.com/problems/watering-plants-ii/", "Watering Plants II")</f>
        <v>Watering Plants II</v>
      </c>
      <c r="C2106" s="1">
        <v>314</v>
      </c>
      <c r="D2106" s="1">
        <v>165</v>
      </c>
      <c r="E2106" s="3">
        <f>IF(INDEX(C:C, ROW())+INDEX(D:D, ROW())=0, 0, INDEX(C:C, ROW())/(INDEX(C:C, ROW())+INDEX(D:D, ROW())))</f>
        <v>0.6555323590814196</v>
      </c>
      <c r="F2106" s="1" t="s">
        <v>303</v>
      </c>
      <c r="G2106" s="1" t="s">
        <v>24</v>
      </c>
      <c r="H2106" s="1">
        <v>29883</v>
      </c>
      <c r="I2106" s="1">
        <v>61493</v>
      </c>
      <c r="J2106" s="7">
        <v>0.48599999999999999</v>
      </c>
      <c r="K2106" s="1" t="s">
        <v>21</v>
      </c>
      <c r="L2106" s="1" t="s">
        <v>29</v>
      </c>
      <c r="M2106" s="1" t="s">
        <v>29</v>
      </c>
      <c r="N2106" s="1" t="s">
        <v>22</v>
      </c>
    </row>
    <row r="2107" spans="1:14" x14ac:dyDescent="0.25">
      <c r="A2107" s="1">
        <v>2106</v>
      </c>
      <c r="B2107" s="2" t="str">
        <f>HYPERLINK("https://leetcode.com/problems/maximum-fruits-harvested-after-at-most-k-steps/", "Maximum Fruits Harvested After at Most K Steps")</f>
        <v>Maximum Fruits Harvested After at Most K Steps</v>
      </c>
      <c r="C2107" s="1">
        <v>1000</v>
      </c>
      <c r="D2107" s="1">
        <v>43</v>
      </c>
      <c r="E2107" s="3">
        <f>IF(INDEX(C:C, ROW())+INDEX(D:D, ROW())=0, 0, INDEX(C:C, ROW())/(INDEX(C:C, ROW())+INDEX(D:D, ROW())))</f>
        <v>0.95877277085330781</v>
      </c>
      <c r="F2107" s="1" t="s">
        <v>88</v>
      </c>
      <c r="G2107" s="1" t="s">
        <v>28</v>
      </c>
      <c r="H2107" s="1">
        <v>86111</v>
      </c>
      <c r="I2107" s="1">
        <v>141081</v>
      </c>
      <c r="J2107" s="7">
        <v>0.61</v>
      </c>
      <c r="K2107" s="1" t="s">
        <v>21</v>
      </c>
      <c r="L2107" s="1" t="s">
        <v>21</v>
      </c>
      <c r="M2107" s="1" t="s">
        <v>29</v>
      </c>
      <c r="N2107" s="1" t="s">
        <v>22</v>
      </c>
    </row>
    <row r="2108" spans="1:14" x14ac:dyDescent="0.25">
      <c r="A2108" s="1">
        <v>2107</v>
      </c>
      <c r="B2108" s="2" t="str">
        <f>HYPERLINK("https://leetcode.com/problems/number-of-unique-flavors-after-sharing-k-candies/", "Number of Unique Flavors After Sharing K Candies")</f>
        <v>Number of Unique Flavors After Sharing K Candies</v>
      </c>
      <c r="C2108" s="1">
        <v>118</v>
      </c>
      <c r="D2108" s="1">
        <v>7</v>
      </c>
      <c r="E2108" s="3">
        <f>IF(INDEX(C:C, ROW())+INDEX(D:D, ROW())=0, 0, INDEX(C:C, ROW())/(INDEX(C:C, ROW())+INDEX(D:D, ROW())))</f>
        <v>0.94399999999999995</v>
      </c>
      <c r="F2108" s="1" t="s">
        <v>185</v>
      </c>
      <c r="G2108" s="1" t="s">
        <v>24</v>
      </c>
      <c r="H2108" s="1">
        <v>9560</v>
      </c>
      <c r="I2108" s="1">
        <v>15820</v>
      </c>
      <c r="J2108" s="7">
        <v>0.60399999999999998</v>
      </c>
      <c r="K2108" s="1" t="s">
        <v>29</v>
      </c>
      <c r="L2108" s="1" t="s">
        <v>21</v>
      </c>
      <c r="M2108" s="1" t="s">
        <v>29</v>
      </c>
      <c r="N2108" s="1" t="s">
        <v>22</v>
      </c>
    </row>
    <row r="2109" spans="1:14" x14ac:dyDescent="0.25">
      <c r="A2109" s="1">
        <v>2108</v>
      </c>
      <c r="B2109" s="2" t="str">
        <f>HYPERLINK("https://leetcode.com/problems/find-first-palindromic-string-in-the-array/", "Find First Palindromic String in the Array")</f>
        <v>Find First Palindromic String in the Array</v>
      </c>
      <c r="C2109" s="1">
        <v>1643</v>
      </c>
      <c r="D2109" s="1">
        <v>60</v>
      </c>
      <c r="E2109" s="3">
        <f>IF(INDEX(C:C, ROW())+INDEX(D:D, ROW())=0, 0, INDEX(C:C, ROW())/(INDEX(C:C, ROW())+INDEX(D:D, ROW())))</f>
        <v>0.96476805637110985</v>
      </c>
      <c r="F2109" s="1" t="s">
        <v>360</v>
      </c>
      <c r="G2109" s="1" t="s">
        <v>20</v>
      </c>
      <c r="H2109" s="1">
        <v>376380</v>
      </c>
      <c r="I2109" s="1">
        <v>448199</v>
      </c>
      <c r="J2109" s="7">
        <v>0.84</v>
      </c>
      <c r="K2109" s="1" t="s">
        <v>21</v>
      </c>
      <c r="L2109" s="1" t="s">
        <v>21</v>
      </c>
      <c r="M2109" s="1" t="s">
        <v>29</v>
      </c>
      <c r="N2109" s="1" t="s">
        <v>22</v>
      </c>
    </row>
    <row r="2110" spans="1:14" x14ac:dyDescent="0.25">
      <c r="A2110" s="1">
        <v>2109</v>
      </c>
      <c r="B2110" s="2" t="str">
        <f>HYPERLINK("https://leetcode.com/problems/adding-spaces-to-a-string/", "Adding Spaces to a String")</f>
        <v>Adding Spaces to a String</v>
      </c>
      <c r="C2110" s="1">
        <v>1116</v>
      </c>
      <c r="D2110" s="1">
        <v>113</v>
      </c>
      <c r="E2110" s="3">
        <f>IF(INDEX(C:C, ROW())+INDEX(D:D, ROW())=0, 0, INDEX(C:C, ROW())/(INDEX(C:C, ROW())+INDEX(D:D, ROW())))</f>
        <v>0.90805532953620827</v>
      </c>
      <c r="F2110" s="1" t="s">
        <v>681</v>
      </c>
      <c r="G2110" s="1" t="s">
        <v>24</v>
      </c>
      <c r="H2110" s="1">
        <v>221735</v>
      </c>
      <c r="I2110" s="1">
        <v>308913</v>
      </c>
      <c r="J2110" s="7">
        <v>0.71799999999999997</v>
      </c>
      <c r="K2110" s="1" t="s">
        <v>21</v>
      </c>
      <c r="L2110" s="1" t="s">
        <v>21</v>
      </c>
      <c r="M2110" s="1" t="s">
        <v>29</v>
      </c>
      <c r="N2110" s="1" t="s">
        <v>22</v>
      </c>
    </row>
    <row r="2111" spans="1:14" x14ac:dyDescent="0.25">
      <c r="A2111" s="1">
        <v>2110</v>
      </c>
      <c r="B2111" s="2" t="str">
        <f>HYPERLINK("https://leetcode.com/problems/number-of-smooth-descent-periods-of-a-stock/", "Number of Smooth Descent Periods of a Stock")</f>
        <v>Number of Smooth Descent Periods of a Stock</v>
      </c>
      <c r="C2111" s="1">
        <v>1075</v>
      </c>
      <c r="D2111" s="1">
        <v>53</v>
      </c>
      <c r="E2111" s="3">
        <f>IF(INDEX(C:C, ROW())+INDEX(D:D, ROW())=0, 0, INDEX(C:C, ROW())/(INDEX(C:C, ROW())+INDEX(D:D, ROW())))</f>
        <v>0.95301418439716312</v>
      </c>
      <c r="F2111" s="1" t="s">
        <v>694</v>
      </c>
      <c r="G2111" s="1" t="s">
        <v>24</v>
      </c>
      <c r="H2111" s="1">
        <v>141377</v>
      </c>
      <c r="I2111" s="1">
        <v>208723</v>
      </c>
      <c r="J2111" s="7">
        <v>0.67700000000000005</v>
      </c>
      <c r="K2111" s="1" t="s">
        <v>21</v>
      </c>
      <c r="L2111" s="1" t="s">
        <v>21</v>
      </c>
      <c r="M2111" s="1" t="s">
        <v>29</v>
      </c>
      <c r="N2111" s="1" t="s">
        <v>22</v>
      </c>
    </row>
    <row r="2112" spans="1:14" x14ac:dyDescent="0.25">
      <c r="A2112" s="1">
        <v>2111</v>
      </c>
      <c r="B2112" s="2" t="str">
        <f>HYPERLINK("https://leetcode.com/problems/minimum-operations-to-make-the-array-k-increasing/", "Minimum Operations to Make the Array K-Increasing")</f>
        <v>Minimum Operations to Make the Array K-Increasing</v>
      </c>
      <c r="C2112" s="1">
        <v>727</v>
      </c>
      <c r="D2112" s="1">
        <v>15</v>
      </c>
      <c r="E2112" s="3">
        <f>IF(INDEX(C:C, ROW())+INDEX(D:D, ROW())=0, 0, INDEX(C:C, ROW())/(INDEX(C:C, ROW())+INDEX(D:D, ROW())))</f>
        <v>0.97978436657681944</v>
      </c>
      <c r="F2112" s="1" t="s">
        <v>35</v>
      </c>
      <c r="G2112" s="1" t="s">
        <v>28</v>
      </c>
      <c r="H2112" s="1">
        <v>15814</v>
      </c>
      <c r="I2112" s="1">
        <v>39315</v>
      </c>
      <c r="J2112" s="7">
        <v>0.40200000000000002</v>
      </c>
      <c r="K2112" s="1" t="s">
        <v>21</v>
      </c>
      <c r="L2112" s="1" t="s">
        <v>29</v>
      </c>
      <c r="M2112" s="1" t="s">
        <v>29</v>
      </c>
      <c r="N2112" s="1" t="s">
        <v>22</v>
      </c>
    </row>
    <row r="2113" spans="1:14" x14ac:dyDescent="0.25">
      <c r="A2113" s="1">
        <v>2112</v>
      </c>
      <c r="B2113" s="2" t="str">
        <f>HYPERLINK("https://leetcode.com/problems/the-airport-with-the-most-traffic/", "The Airport With the Most Traffic")</f>
        <v>The Airport With the Most Traffic</v>
      </c>
      <c r="C2113" s="1">
        <v>72</v>
      </c>
      <c r="D2113" s="1">
        <v>8</v>
      </c>
      <c r="E2113" s="3">
        <f>IF(INDEX(C:C, ROW())+INDEX(D:D, ROW())=0, 0, INDEX(C:C, ROW())/(INDEX(C:C, ROW())+INDEX(D:D, ROW())))</f>
        <v>0.9</v>
      </c>
      <c r="F2113" s="1" t="s">
        <v>297</v>
      </c>
      <c r="G2113" s="1" t="s">
        <v>24</v>
      </c>
      <c r="H2113" s="1">
        <v>11768</v>
      </c>
      <c r="I2113" s="1">
        <v>16466</v>
      </c>
      <c r="J2113" s="7">
        <v>0.71499999999999997</v>
      </c>
      <c r="K2113" s="1" t="s">
        <v>29</v>
      </c>
      <c r="L2113" s="1" t="s">
        <v>29</v>
      </c>
      <c r="M2113" s="1" t="s">
        <v>29</v>
      </c>
      <c r="N2113" s="1" t="s">
        <v>297</v>
      </c>
    </row>
    <row r="2114" spans="1:14" x14ac:dyDescent="0.25">
      <c r="A2114" s="1">
        <v>2113</v>
      </c>
      <c r="B2114" s="2" t="str">
        <f>HYPERLINK("https://leetcode.com/problems/elements-in-array-after-removing-and-replacing-elements/", "Elements in Array After Removing and Replacing Elements")</f>
        <v>Elements in Array After Removing and Replacing Elements</v>
      </c>
      <c r="C2114" s="1">
        <v>66</v>
      </c>
      <c r="D2114" s="1">
        <v>8</v>
      </c>
      <c r="E2114" s="3">
        <f>IF(INDEX(C:C, ROW())+INDEX(D:D, ROW())=0, 0, INDEX(C:C, ROW())/(INDEX(C:C, ROW())+INDEX(D:D, ROW())))</f>
        <v>0.89189189189189189</v>
      </c>
      <c r="F2114" s="1" t="s">
        <v>113</v>
      </c>
      <c r="G2114" s="1" t="s">
        <v>24</v>
      </c>
      <c r="H2114" s="1">
        <v>2413</v>
      </c>
      <c r="I2114" s="1">
        <v>3428</v>
      </c>
      <c r="J2114" s="7">
        <v>0.70399999999999996</v>
      </c>
      <c r="K2114" s="1" t="s">
        <v>29</v>
      </c>
      <c r="L2114" s="1" t="s">
        <v>29</v>
      </c>
      <c r="M2114" s="1" t="s">
        <v>29</v>
      </c>
      <c r="N2114" s="1" t="s">
        <v>22</v>
      </c>
    </row>
    <row r="2115" spans="1:14" x14ac:dyDescent="0.25">
      <c r="A2115" s="1">
        <v>2114</v>
      </c>
      <c r="B2115" s="2" t="str">
        <f>HYPERLINK("https://leetcode.com/problems/maximum-number-of-words-found-in-sentences/", "Maximum Number of Words Found in Sentences")</f>
        <v>Maximum Number of Words Found in Sentences</v>
      </c>
      <c r="C2115" s="1">
        <v>1892</v>
      </c>
      <c r="D2115" s="1">
        <v>65</v>
      </c>
      <c r="E2115" s="3">
        <f>IF(INDEX(C:C, ROW())+INDEX(D:D, ROW())=0, 0, INDEX(C:C, ROW())/(INDEX(C:C, ROW())+INDEX(D:D, ROW())))</f>
        <v>0.96678589678078697</v>
      </c>
      <c r="F2115" s="1" t="s">
        <v>369</v>
      </c>
      <c r="G2115" s="1" t="s">
        <v>20</v>
      </c>
      <c r="H2115" s="1">
        <v>399963</v>
      </c>
      <c r="I2115" s="1">
        <v>461515</v>
      </c>
      <c r="J2115" s="7">
        <v>0.86699999999999999</v>
      </c>
      <c r="K2115" s="1" t="s">
        <v>21</v>
      </c>
      <c r="L2115" s="1" t="s">
        <v>29</v>
      </c>
      <c r="M2115" s="1" t="s">
        <v>29</v>
      </c>
      <c r="N2115" s="1" t="s">
        <v>22</v>
      </c>
    </row>
    <row r="2116" spans="1:14" x14ac:dyDescent="0.25">
      <c r="A2116" s="1">
        <v>2115</v>
      </c>
      <c r="B2116" s="2" t="str">
        <f>HYPERLINK("https://leetcode.com/problems/find-all-possible-recipes-from-given-supplies/", "Find All Possible Recipes from Given Supplies")</f>
        <v>Find All Possible Recipes from Given Supplies</v>
      </c>
      <c r="C2116" s="1">
        <v>2658</v>
      </c>
      <c r="D2116" s="1">
        <v>142</v>
      </c>
      <c r="E2116" s="3">
        <f>IF(INDEX(C:C, ROW())+INDEX(D:D, ROW())=0, 0, INDEX(C:C, ROW())/(INDEX(C:C, ROW())+INDEX(D:D, ROW())))</f>
        <v>0.94928571428571429</v>
      </c>
      <c r="F2116" s="1" t="s">
        <v>406</v>
      </c>
      <c r="G2116" s="1" t="s">
        <v>24</v>
      </c>
      <c r="H2116" s="1">
        <v>232071</v>
      </c>
      <c r="I2116" s="1">
        <v>408698</v>
      </c>
      <c r="J2116" s="7">
        <v>0.56799999999999995</v>
      </c>
      <c r="K2116" s="1" t="s">
        <v>21</v>
      </c>
      <c r="L2116" s="1" t="s">
        <v>21</v>
      </c>
      <c r="M2116" s="1" t="s">
        <v>29</v>
      </c>
      <c r="N2116" s="1" t="s">
        <v>22</v>
      </c>
    </row>
    <row r="2117" spans="1:14" x14ac:dyDescent="0.25">
      <c r="A2117" s="1">
        <v>2116</v>
      </c>
      <c r="B2117" s="2" t="str">
        <f>HYPERLINK("https://leetcode.com/problems/check-if-a-parentheses-string-can-be-valid/", "Check if a Parentheses String Can Be Valid")</f>
        <v>Check if a Parentheses String Can Be Valid</v>
      </c>
      <c r="C2117" s="1">
        <v>2025</v>
      </c>
      <c r="D2117" s="1">
        <v>133</v>
      </c>
      <c r="E2117" s="3">
        <f>IF(INDEX(C:C, ROW())+INDEX(D:D, ROW())=0, 0, INDEX(C:C, ROW())/(INDEX(C:C, ROW())+INDEX(D:D, ROW())))</f>
        <v>0.93836886005560705</v>
      </c>
      <c r="F2117" s="1" t="s">
        <v>263</v>
      </c>
      <c r="G2117" s="1" t="s">
        <v>24</v>
      </c>
      <c r="H2117" s="1">
        <v>154976</v>
      </c>
      <c r="I2117" s="1">
        <v>343780</v>
      </c>
      <c r="J2117" s="7">
        <v>0.45100000000000001</v>
      </c>
      <c r="K2117" s="1" t="s">
        <v>21</v>
      </c>
      <c r="L2117" s="1" t="s">
        <v>21</v>
      </c>
      <c r="M2117" s="1" t="s">
        <v>29</v>
      </c>
      <c r="N2117" s="1" t="s">
        <v>22</v>
      </c>
    </row>
    <row r="2118" spans="1:14" x14ac:dyDescent="0.25">
      <c r="A2118" s="1">
        <v>2117</v>
      </c>
      <c r="B2118" s="2" t="str">
        <f>HYPERLINK("https://leetcode.com/problems/abbreviating-the-product-of-a-range/", "Abbreviating the Product of a Range")</f>
        <v>Abbreviating the Product of a Range</v>
      </c>
      <c r="C2118" s="1">
        <v>91</v>
      </c>
      <c r="D2118" s="1">
        <v>162</v>
      </c>
      <c r="E2118" s="3">
        <f>IF(INDEX(C:C, ROW())+INDEX(D:D, ROW())=0, 0, INDEX(C:C, ROW())/(INDEX(C:C, ROW())+INDEX(D:D, ROW())))</f>
        <v>0.35968379446640314</v>
      </c>
      <c r="F2118" s="1" t="s">
        <v>513</v>
      </c>
      <c r="G2118" s="1" t="s">
        <v>28</v>
      </c>
      <c r="H2118" s="1">
        <v>4608</v>
      </c>
      <c r="I2118" s="1">
        <v>18496</v>
      </c>
      <c r="J2118" s="7">
        <v>0.249</v>
      </c>
      <c r="K2118" s="1" t="s">
        <v>21</v>
      </c>
      <c r="L2118" s="1" t="s">
        <v>29</v>
      </c>
      <c r="M2118" s="1" t="s">
        <v>29</v>
      </c>
      <c r="N2118" s="1" t="s">
        <v>22</v>
      </c>
    </row>
    <row r="2119" spans="1:14" x14ac:dyDescent="0.25">
      <c r="A2119" s="1">
        <v>2118</v>
      </c>
      <c r="B2119" s="2" t="str">
        <f>HYPERLINK("https://leetcode.com/problems/build-the-equation/", "Build the Equation")</f>
        <v>Build the Equation</v>
      </c>
      <c r="C2119" s="1">
        <v>24</v>
      </c>
      <c r="D2119" s="1">
        <v>38</v>
      </c>
      <c r="E2119" s="3">
        <f>IF(INDEX(C:C, ROW())+INDEX(D:D, ROW())=0, 0, INDEX(C:C, ROW())/(INDEX(C:C, ROW())+INDEX(D:D, ROW())))</f>
        <v>0.38709677419354838</v>
      </c>
      <c r="F2119" s="1" t="s">
        <v>297</v>
      </c>
      <c r="G2119" s="1" t="s">
        <v>28</v>
      </c>
      <c r="H2119" s="1">
        <v>3693</v>
      </c>
      <c r="I2119" s="1">
        <v>6504</v>
      </c>
      <c r="J2119" s="7">
        <v>0.56799999999999995</v>
      </c>
      <c r="K2119" s="1" t="s">
        <v>29</v>
      </c>
      <c r="L2119" s="1" t="s">
        <v>29</v>
      </c>
      <c r="M2119" s="1" t="s">
        <v>29</v>
      </c>
      <c r="N2119" s="1" t="s">
        <v>297</v>
      </c>
    </row>
    <row r="2120" spans="1:14" x14ac:dyDescent="0.25">
      <c r="A2120" s="1">
        <v>2119</v>
      </c>
      <c r="B2120" s="2" t="str">
        <f>HYPERLINK("https://leetcode.com/problems/a-number-after-a-double-reversal/", "A Number After a Double Reversal")</f>
        <v>A Number After a Double Reversal</v>
      </c>
      <c r="C2120" s="1">
        <v>793</v>
      </c>
      <c r="D2120" s="1">
        <v>47</v>
      </c>
      <c r="E2120" s="3">
        <f>IF(INDEX(C:C, ROW())+INDEX(D:D, ROW())=0, 0, INDEX(C:C, ROW())/(INDEX(C:C, ROW())+INDEX(D:D, ROW())))</f>
        <v>0.94404761904761902</v>
      </c>
      <c r="F2120" s="1" t="s">
        <v>84</v>
      </c>
      <c r="G2120" s="1" t="s">
        <v>20</v>
      </c>
      <c r="H2120" s="1">
        <v>151263</v>
      </c>
      <c r="I2120" s="1">
        <v>184491</v>
      </c>
      <c r="J2120" s="7">
        <v>0.82</v>
      </c>
      <c r="K2120" s="1" t="s">
        <v>21</v>
      </c>
      <c r="L2120" s="1" t="s">
        <v>29</v>
      </c>
      <c r="M2120" s="1" t="s">
        <v>29</v>
      </c>
      <c r="N2120" s="1" t="s">
        <v>22</v>
      </c>
    </row>
    <row r="2121" spans="1:14" x14ac:dyDescent="0.25">
      <c r="A2121" s="1">
        <v>2120</v>
      </c>
      <c r="B2121" s="2" t="str">
        <f>HYPERLINK("https://leetcode.com/problems/execution-of-all-suffix-instructions-staying-in-a-grid/", "Execution of All Suffix Instructions Staying in a Grid")</f>
        <v>Execution of All Suffix Instructions Staying in a Grid</v>
      </c>
      <c r="C2121" s="1">
        <v>566</v>
      </c>
      <c r="D2121" s="1">
        <v>54</v>
      </c>
      <c r="E2121" s="3">
        <f>IF(INDEX(C:C, ROW())+INDEX(D:D, ROW())=0, 0, INDEX(C:C, ROW())/(INDEX(C:C, ROW())+INDEX(D:D, ROW())))</f>
        <v>0.91290322580645167</v>
      </c>
      <c r="F2121" s="1" t="s">
        <v>414</v>
      </c>
      <c r="G2121" s="1" t="s">
        <v>24</v>
      </c>
      <c r="H2121" s="1">
        <v>37715</v>
      </c>
      <c r="I2121" s="1">
        <v>46006</v>
      </c>
      <c r="J2121" s="7">
        <v>0.82</v>
      </c>
      <c r="K2121" s="1" t="s">
        <v>21</v>
      </c>
      <c r="L2121" s="1" t="s">
        <v>29</v>
      </c>
      <c r="M2121" s="1" t="s">
        <v>29</v>
      </c>
      <c r="N2121" s="1" t="s">
        <v>22</v>
      </c>
    </row>
    <row r="2122" spans="1:14" x14ac:dyDescent="0.25">
      <c r="A2122" s="1">
        <v>2121</v>
      </c>
      <c r="B2122" s="2" t="str">
        <f>HYPERLINK("https://leetcode.com/problems/intervals-between-identical-elements/", "Intervals Between Identical Elements")</f>
        <v>Intervals Between Identical Elements</v>
      </c>
      <c r="C2122" s="1">
        <v>954</v>
      </c>
      <c r="D2122" s="1">
        <v>44</v>
      </c>
      <c r="E2122" s="3">
        <f>IF(INDEX(C:C, ROW())+INDEX(D:D, ROW())=0, 0, INDEX(C:C, ROW())/(INDEX(C:C, ROW())+INDEX(D:D, ROW())))</f>
        <v>0.95591182364729455</v>
      </c>
      <c r="F2122" s="1" t="s">
        <v>39</v>
      </c>
      <c r="G2122" s="1" t="s">
        <v>24</v>
      </c>
      <c r="H2122" s="1">
        <v>26493</v>
      </c>
      <c r="I2122" s="1">
        <v>58196</v>
      </c>
      <c r="J2122" s="7">
        <v>0.45500000000000002</v>
      </c>
      <c r="K2122" s="1" t="s">
        <v>21</v>
      </c>
      <c r="L2122" s="1" t="s">
        <v>29</v>
      </c>
      <c r="M2122" s="1" t="s">
        <v>29</v>
      </c>
      <c r="N2122" s="1" t="s">
        <v>22</v>
      </c>
    </row>
    <row r="2123" spans="1:14" x14ac:dyDescent="0.25">
      <c r="A2123" s="1">
        <v>2122</v>
      </c>
      <c r="B2123" s="2" t="str">
        <f>HYPERLINK("https://leetcode.com/problems/recover-the-original-array/", "Recover the Original Array")</f>
        <v>Recover the Original Array</v>
      </c>
      <c r="C2123" s="1">
        <v>392</v>
      </c>
      <c r="D2123" s="1">
        <v>33</v>
      </c>
      <c r="E2123" s="3">
        <f>IF(INDEX(C:C, ROW())+INDEX(D:D, ROW())=0, 0, INDEX(C:C, ROW())/(INDEX(C:C, ROW())+INDEX(D:D, ROW())))</f>
        <v>0.9223529411764706</v>
      </c>
      <c r="F2123" s="1" t="s">
        <v>988</v>
      </c>
      <c r="G2123" s="1" t="s">
        <v>28</v>
      </c>
      <c r="H2123" s="1">
        <v>13651</v>
      </c>
      <c r="I2123" s="1">
        <v>33091</v>
      </c>
      <c r="J2123" s="7">
        <v>0.41299999999999998</v>
      </c>
      <c r="K2123" s="1" t="s">
        <v>21</v>
      </c>
      <c r="L2123" s="1" t="s">
        <v>29</v>
      </c>
      <c r="M2123" s="1" t="s">
        <v>29</v>
      </c>
      <c r="N2123" s="1" t="s">
        <v>22</v>
      </c>
    </row>
    <row r="2124" spans="1:14" x14ac:dyDescent="0.25">
      <c r="A2124" s="1">
        <v>2123</v>
      </c>
      <c r="B2124" s="2" t="str">
        <f>HYPERLINK("https://leetcode.com/problems/minimum-operations-to-remove-adjacent-ones-in-matrix/", "Minimum Operations to Remove Adjacent Ones in Matrix")</f>
        <v>Minimum Operations to Remove Adjacent Ones in Matrix</v>
      </c>
      <c r="C2124" s="1">
        <v>54</v>
      </c>
      <c r="D2124" s="1">
        <v>13</v>
      </c>
      <c r="E2124" s="3">
        <f>IF(INDEX(C:C, ROW())+INDEX(D:D, ROW())=0, 0, INDEX(C:C, ROW())/(INDEX(C:C, ROW())+INDEX(D:D, ROW())))</f>
        <v>0.80597014925373134</v>
      </c>
      <c r="F2124" s="1" t="s">
        <v>1258</v>
      </c>
      <c r="G2124" s="1" t="s">
        <v>28</v>
      </c>
      <c r="H2124" s="1">
        <v>1300</v>
      </c>
      <c r="I2124" s="1">
        <v>3036</v>
      </c>
      <c r="J2124" s="7">
        <v>0.42799999999999999</v>
      </c>
      <c r="K2124" s="1" t="s">
        <v>29</v>
      </c>
      <c r="L2124" s="1" t="s">
        <v>29</v>
      </c>
      <c r="M2124" s="1" t="s">
        <v>29</v>
      </c>
      <c r="N2124" s="1" t="s">
        <v>22</v>
      </c>
    </row>
    <row r="2125" spans="1:14" x14ac:dyDescent="0.25">
      <c r="A2125" s="1">
        <v>2124</v>
      </c>
      <c r="B2125" s="2" t="str">
        <f>HYPERLINK("https://leetcode.com/problems/check-if-all-as-appears-before-all-bs/", "Check if All A's Appears Before All B's")</f>
        <v>Check if All A's Appears Before All B's</v>
      </c>
      <c r="C2125" s="1">
        <v>844</v>
      </c>
      <c r="D2125" s="1">
        <v>22</v>
      </c>
      <c r="E2125" s="3">
        <f>IF(INDEX(C:C, ROW())+INDEX(D:D, ROW())=0, 0, INDEX(C:C, ROW())/(INDEX(C:C, ROW())+INDEX(D:D, ROW())))</f>
        <v>0.97459584295612012</v>
      </c>
      <c r="F2125" s="1" t="s">
        <v>146</v>
      </c>
      <c r="G2125" s="1" t="s">
        <v>20</v>
      </c>
      <c r="H2125" s="1">
        <v>121834</v>
      </c>
      <c r="I2125" s="1">
        <v>166735</v>
      </c>
      <c r="J2125" s="7">
        <v>0.73099999999999998</v>
      </c>
      <c r="K2125" s="1" t="s">
        <v>21</v>
      </c>
      <c r="L2125" s="1" t="s">
        <v>29</v>
      </c>
      <c r="M2125" s="1" t="s">
        <v>29</v>
      </c>
      <c r="N2125" s="1" t="s">
        <v>22</v>
      </c>
    </row>
    <row r="2126" spans="1:14" x14ac:dyDescent="0.25">
      <c r="A2126" s="1">
        <v>2125</v>
      </c>
      <c r="B2126" s="2" t="str">
        <f>HYPERLINK("https://leetcode.com/problems/number-of-laser-beams-in-a-bank/", "Number of Laser Beams in a Bank")</f>
        <v>Number of Laser Beams in a Bank</v>
      </c>
      <c r="C2126" s="1">
        <v>2228</v>
      </c>
      <c r="D2126" s="1">
        <v>223</v>
      </c>
      <c r="E2126" s="3">
        <f>IF(INDEX(C:C, ROW())+INDEX(D:D, ROW())=0, 0, INDEX(C:C, ROW())/(INDEX(C:C, ROW())+INDEX(D:D, ROW())))</f>
        <v>0.90901672786617704</v>
      </c>
      <c r="F2126" s="1" t="s">
        <v>470</v>
      </c>
      <c r="G2126" s="1" t="s">
        <v>24</v>
      </c>
      <c r="H2126" s="1">
        <v>345691</v>
      </c>
      <c r="I2126" s="1">
        <v>397308</v>
      </c>
      <c r="J2126" s="7">
        <v>0.87</v>
      </c>
      <c r="K2126" s="1" t="s">
        <v>21</v>
      </c>
      <c r="L2126" s="1" t="s">
        <v>21</v>
      </c>
      <c r="M2126" s="1" t="s">
        <v>29</v>
      </c>
      <c r="N2126" s="1" t="s">
        <v>22</v>
      </c>
    </row>
    <row r="2127" spans="1:14" x14ac:dyDescent="0.25">
      <c r="A2127" s="1">
        <v>2126</v>
      </c>
      <c r="B2127" s="2" t="str">
        <f>HYPERLINK("https://leetcode.com/problems/destroying-asteroids/", "Destroying Asteroids")</f>
        <v>Destroying Asteroids</v>
      </c>
      <c r="C2127" s="1">
        <v>594</v>
      </c>
      <c r="D2127" s="1">
        <v>198</v>
      </c>
      <c r="E2127" s="3">
        <f>IF(INDEX(C:C, ROW())+INDEX(D:D, ROW())=0, 0, INDEX(C:C, ROW())/(INDEX(C:C, ROW())+INDEX(D:D, ROW())))</f>
        <v>0.75</v>
      </c>
      <c r="F2127" s="1" t="s">
        <v>169</v>
      </c>
      <c r="G2127" s="1" t="s">
        <v>24</v>
      </c>
      <c r="H2127" s="1">
        <v>66413</v>
      </c>
      <c r="I2127" s="1">
        <v>124509</v>
      </c>
      <c r="J2127" s="7">
        <v>0.53300000000000003</v>
      </c>
      <c r="K2127" s="1" t="s">
        <v>21</v>
      </c>
      <c r="L2127" s="1" t="s">
        <v>29</v>
      </c>
      <c r="M2127" s="1" t="s">
        <v>29</v>
      </c>
      <c r="N2127" s="1" t="s">
        <v>22</v>
      </c>
    </row>
    <row r="2128" spans="1:14" x14ac:dyDescent="0.25">
      <c r="A2128" s="1">
        <v>2127</v>
      </c>
      <c r="B2128" s="2" t="str">
        <f>HYPERLINK("https://leetcode.com/problems/maximum-employees-to-be-invited-to-a-meeting/", "Maximum Employees to Be Invited to a Meeting")</f>
        <v>Maximum Employees to Be Invited to a Meeting</v>
      </c>
      <c r="C2128" s="1">
        <v>1675</v>
      </c>
      <c r="D2128" s="1">
        <v>70</v>
      </c>
      <c r="E2128" s="3">
        <f>IF(INDEX(C:C, ROW())+INDEX(D:D, ROW())=0, 0, INDEX(C:C, ROW())/(INDEX(C:C, ROW())+INDEX(D:D, ROW())))</f>
        <v>0.95988538681948421</v>
      </c>
      <c r="F2128" s="1" t="s">
        <v>549</v>
      </c>
      <c r="G2128" s="1" t="s">
        <v>28</v>
      </c>
      <c r="H2128" s="1">
        <v>88035</v>
      </c>
      <c r="I2128" s="1">
        <v>142450</v>
      </c>
      <c r="J2128" s="7">
        <v>0.61799999999999999</v>
      </c>
      <c r="K2128" s="1" t="s">
        <v>21</v>
      </c>
      <c r="L2128" s="1" t="s">
        <v>21</v>
      </c>
      <c r="M2128" s="1" t="s">
        <v>29</v>
      </c>
      <c r="N2128" s="1" t="s">
        <v>22</v>
      </c>
    </row>
    <row r="2129" spans="1:14" x14ac:dyDescent="0.25">
      <c r="A2129" s="1">
        <v>2128</v>
      </c>
      <c r="B2129" s="2" t="str">
        <f>HYPERLINK("https://leetcode.com/problems/remove-all-ones-with-row-and-column-flips/", "Remove All Ones With Row and Column Flips")</f>
        <v>Remove All Ones With Row and Column Flips</v>
      </c>
      <c r="C2129" s="1">
        <v>481</v>
      </c>
      <c r="D2129" s="1">
        <v>189</v>
      </c>
      <c r="E2129" s="3">
        <f>IF(INDEX(C:C, ROW())+INDEX(D:D, ROW())=0, 0, INDEX(C:C, ROW())/(INDEX(C:C, ROW())+INDEX(D:D, ROW())))</f>
        <v>0.71791044776119406</v>
      </c>
      <c r="F2129" s="1" t="s">
        <v>936</v>
      </c>
      <c r="G2129" s="1" t="s">
        <v>24</v>
      </c>
      <c r="H2129" s="1">
        <v>34553</v>
      </c>
      <c r="I2129" s="1">
        <v>45336</v>
      </c>
      <c r="J2129" s="7">
        <v>0.76200000000000001</v>
      </c>
      <c r="K2129" s="1" t="s">
        <v>29</v>
      </c>
      <c r="L2129" s="1" t="s">
        <v>29</v>
      </c>
      <c r="M2129" s="1" t="s">
        <v>29</v>
      </c>
      <c r="N2129" s="1" t="s">
        <v>22</v>
      </c>
    </row>
    <row r="2130" spans="1:14" x14ac:dyDescent="0.25">
      <c r="A2130" s="1">
        <v>2129</v>
      </c>
      <c r="B2130" s="2" t="str">
        <f>HYPERLINK("https://leetcode.com/problems/capitalize-the-title/", "Capitalize the Title")</f>
        <v>Capitalize the Title</v>
      </c>
      <c r="C2130" s="1">
        <v>811</v>
      </c>
      <c r="D2130" s="1">
        <v>54</v>
      </c>
      <c r="E2130" s="3">
        <f>IF(INDEX(C:C, ROW())+INDEX(D:D, ROW())=0, 0, INDEX(C:C, ROW())/(INDEX(C:C, ROW())+INDEX(D:D, ROW())))</f>
        <v>0.93757225433526015</v>
      </c>
      <c r="F2130" s="1" t="s">
        <v>146</v>
      </c>
      <c r="G2130" s="1" t="s">
        <v>20</v>
      </c>
      <c r="H2130" s="1">
        <v>93167</v>
      </c>
      <c r="I2130" s="1">
        <v>137446</v>
      </c>
      <c r="J2130" s="7">
        <v>0.67800000000000005</v>
      </c>
      <c r="K2130" s="1" t="s">
        <v>21</v>
      </c>
      <c r="L2130" s="1" t="s">
        <v>29</v>
      </c>
      <c r="M2130" s="1" t="s">
        <v>29</v>
      </c>
      <c r="N2130" s="1" t="s">
        <v>22</v>
      </c>
    </row>
    <row r="2131" spans="1:14" x14ac:dyDescent="0.25">
      <c r="A2131" s="1">
        <v>2130</v>
      </c>
      <c r="B2131" s="2" t="str">
        <f>HYPERLINK("https://leetcode.com/problems/maximum-twin-sum-of-a-linked-list/", "Maximum Twin Sum of a Linked List")</f>
        <v>Maximum Twin Sum of a Linked List</v>
      </c>
      <c r="C2131" s="1">
        <v>3904</v>
      </c>
      <c r="D2131" s="1">
        <v>125</v>
      </c>
      <c r="E2131" s="3">
        <f>IF(INDEX(C:C, ROW())+INDEX(D:D, ROW())=0, 0, INDEX(C:C, ROW())/(INDEX(C:C, ROW())+INDEX(D:D, ROW())))</f>
        <v>0.96897493174484983</v>
      </c>
      <c r="F2131" s="1" t="s">
        <v>315</v>
      </c>
      <c r="G2131" s="1" t="s">
        <v>24</v>
      </c>
      <c r="H2131" s="1">
        <v>487525</v>
      </c>
      <c r="I2131" s="1">
        <v>597187</v>
      </c>
      <c r="J2131" s="7">
        <v>0.81599999999999995</v>
      </c>
      <c r="K2131" s="1" t="s">
        <v>21</v>
      </c>
      <c r="L2131" s="1" t="s">
        <v>21</v>
      </c>
      <c r="M2131" s="1" t="s">
        <v>29</v>
      </c>
      <c r="N2131" s="1" t="s">
        <v>22</v>
      </c>
    </row>
    <row r="2132" spans="1:14" x14ac:dyDescent="0.25">
      <c r="A2132" s="1">
        <v>2131</v>
      </c>
      <c r="B2132" s="2" t="str">
        <f>HYPERLINK("https://leetcode.com/problems/longest-palindrome-by-concatenating-two-letter-words/", "Longest Palindrome by Concatenating Two Letter Words")</f>
        <v>Longest Palindrome by Concatenating Two Letter Words</v>
      </c>
      <c r="C2132" s="1">
        <v>2951</v>
      </c>
      <c r="D2132" s="1">
        <v>79</v>
      </c>
      <c r="E2132" s="3">
        <f>IF(INDEX(C:C, ROW())+INDEX(D:D, ROW())=0, 0, INDEX(C:C, ROW())/(INDEX(C:C, ROW())+INDEX(D:D, ROW())))</f>
        <v>0.97392739273927398</v>
      </c>
      <c r="F2132" s="1" t="s">
        <v>380</v>
      </c>
      <c r="G2132" s="1" t="s">
        <v>24</v>
      </c>
      <c r="H2132" s="1">
        <v>242274</v>
      </c>
      <c r="I2132" s="1">
        <v>452444</v>
      </c>
      <c r="J2132" s="7">
        <v>0.53500000000000003</v>
      </c>
      <c r="K2132" s="1" t="s">
        <v>21</v>
      </c>
      <c r="L2132" s="1" t="s">
        <v>21</v>
      </c>
      <c r="M2132" s="1" t="s">
        <v>29</v>
      </c>
      <c r="N2132" s="1" t="s">
        <v>22</v>
      </c>
    </row>
    <row r="2133" spans="1:14" x14ac:dyDescent="0.25">
      <c r="A2133" s="1">
        <v>2132</v>
      </c>
      <c r="B2133" s="2" t="str">
        <f>HYPERLINK("https://leetcode.com/problems/stamping-the-grid/", "Stamping the Grid")</f>
        <v>Stamping the Grid</v>
      </c>
      <c r="C2133" s="1">
        <v>418</v>
      </c>
      <c r="D2133" s="1">
        <v>47</v>
      </c>
      <c r="E2133" s="3">
        <f>IF(INDEX(C:C, ROW())+INDEX(D:D, ROW())=0, 0, INDEX(C:C, ROW())/(INDEX(C:C, ROW())+INDEX(D:D, ROW())))</f>
        <v>0.8989247311827957</v>
      </c>
      <c r="F2133" s="1" t="s">
        <v>968</v>
      </c>
      <c r="G2133" s="1" t="s">
        <v>28</v>
      </c>
      <c r="H2133" s="1">
        <v>9963</v>
      </c>
      <c r="I2133" s="1">
        <v>28519</v>
      </c>
      <c r="J2133" s="7">
        <v>0.34899999999999998</v>
      </c>
      <c r="K2133" s="1" t="s">
        <v>21</v>
      </c>
      <c r="L2133" s="1" t="s">
        <v>29</v>
      </c>
      <c r="M2133" s="1" t="s">
        <v>29</v>
      </c>
      <c r="N2133" s="1" t="s">
        <v>22</v>
      </c>
    </row>
    <row r="2134" spans="1:14" x14ac:dyDescent="0.25">
      <c r="A2134" s="1">
        <v>2133</v>
      </c>
      <c r="B2134" s="2" t="str">
        <f>HYPERLINK("https://leetcode.com/problems/check-if-every-row-and-column-contains-all-numbers/", "Check if Every Row and Column Contains All Numbers")</f>
        <v>Check if Every Row and Column Contains All Numbers</v>
      </c>
      <c r="C2134" s="1">
        <v>1078</v>
      </c>
      <c r="D2134" s="1">
        <v>58</v>
      </c>
      <c r="E2134" s="3">
        <f>IF(INDEX(C:C, ROW())+INDEX(D:D, ROW())=0, 0, INDEX(C:C, ROW())/(INDEX(C:C, ROW())+INDEX(D:D, ROW())))</f>
        <v>0.948943661971831</v>
      </c>
      <c r="F2134" s="1" t="s">
        <v>78</v>
      </c>
      <c r="G2134" s="1" t="s">
        <v>20</v>
      </c>
      <c r="H2134" s="1">
        <v>112997</v>
      </c>
      <c r="I2134" s="1">
        <v>209533</v>
      </c>
      <c r="J2134" s="7">
        <v>0.53900000000000003</v>
      </c>
      <c r="K2134" s="1" t="s">
        <v>21</v>
      </c>
      <c r="L2134" s="1" t="s">
        <v>29</v>
      </c>
      <c r="M2134" s="1" t="s">
        <v>29</v>
      </c>
      <c r="N2134" s="1" t="s">
        <v>22</v>
      </c>
    </row>
    <row r="2135" spans="1:14" x14ac:dyDescent="0.25">
      <c r="A2135" s="1">
        <v>2134</v>
      </c>
      <c r="B2135" s="2" t="str">
        <f>HYPERLINK("https://leetcode.com/problems/minimum-swaps-to-group-all-1s-together-ii/", "Minimum Swaps to Group All 1's Together II")</f>
        <v>Minimum Swaps to Group All 1's Together II</v>
      </c>
      <c r="C2135" s="1">
        <v>2076</v>
      </c>
      <c r="D2135" s="1">
        <v>43</v>
      </c>
      <c r="E2135" s="3">
        <f>IF(INDEX(C:C, ROW())+INDEX(D:D, ROW())=0, 0, INDEX(C:C, ROW())/(INDEX(C:C, ROW())+INDEX(D:D, ROW())))</f>
        <v>0.97970740915526189</v>
      </c>
      <c r="F2135" s="1" t="s">
        <v>295</v>
      </c>
      <c r="G2135" s="1" t="s">
        <v>24</v>
      </c>
      <c r="H2135" s="1">
        <v>175141</v>
      </c>
      <c r="I2135" s="1">
        <v>266903</v>
      </c>
      <c r="J2135" s="7">
        <v>0.65600000000000003</v>
      </c>
      <c r="K2135" s="1" t="s">
        <v>21</v>
      </c>
      <c r="L2135" s="1" t="s">
        <v>21</v>
      </c>
      <c r="M2135" s="1" t="s">
        <v>29</v>
      </c>
      <c r="N2135" s="1" t="s">
        <v>22</v>
      </c>
    </row>
    <row r="2136" spans="1:14" x14ac:dyDescent="0.25">
      <c r="A2136" s="1">
        <v>2135</v>
      </c>
      <c r="B2136" s="2" t="str">
        <f>HYPERLINK("https://leetcode.com/problems/count-words-obtained-after-adding-a-letter/", "Count Words Obtained After Adding a Letter")</f>
        <v>Count Words Obtained After Adding a Letter</v>
      </c>
      <c r="C2136" s="1">
        <v>723</v>
      </c>
      <c r="D2136" s="1">
        <v>169</v>
      </c>
      <c r="E2136" s="3">
        <f>IF(INDEX(C:C, ROW())+INDEX(D:D, ROW())=0, 0, INDEX(C:C, ROW())/(INDEX(C:C, ROW())+INDEX(D:D, ROW())))</f>
        <v>0.8105381165919282</v>
      </c>
      <c r="F2136" s="1" t="s">
        <v>793</v>
      </c>
      <c r="G2136" s="1" t="s">
        <v>24</v>
      </c>
      <c r="H2136" s="1">
        <v>40837</v>
      </c>
      <c r="I2136" s="1">
        <v>92975</v>
      </c>
      <c r="J2136" s="7">
        <v>0.439</v>
      </c>
      <c r="K2136" s="1" t="s">
        <v>21</v>
      </c>
      <c r="L2136" s="1" t="s">
        <v>29</v>
      </c>
      <c r="M2136" s="1" t="s">
        <v>29</v>
      </c>
      <c r="N2136" s="1" t="s">
        <v>22</v>
      </c>
    </row>
    <row r="2137" spans="1:14" x14ac:dyDescent="0.25">
      <c r="A2137" s="1">
        <v>2136</v>
      </c>
      <c r="B2137" s="2" t="str">
        <f>HYPERLINK("https://leetcode.com/problems/earliest-possible-day-of-full-bloom/", "Earliest Possible Day of Full Bloom")</f>
        <v>Earliest Possible Day of Full Bloom</v>
      </c>
      <c r="C2137" s="1">
        <v>1672</v>
      </c>
      <c r="D2137" s="1">
        <v>86</v>
      </c>
      <c r="E2137" s="3">
        <f>IF(INDEX(C:C, ROW())+INDEX(D:D, ROW())=0, 0, INDEX(C:C, ROW())/(INDEX(C:C, ROW())+INDEX(D:D, ROW())))</f>
        <v>0.95108077360637089</v>
      </c>
      <c r="F2137" s="1" t="s">
        <v>169</v>
      </c>
      <c r="G2137" s="1" t="s">
        <v>28</v>
      </c>
      <c r="H2137" s="1">
        <v>63535</v>
      </c>
      <c r="I2137" s="1">
        <v>89204</v>
      </c>
      <c r="J2137" s="7">
        <v>0.71199999999999997</v>
      </c>
      <c r="K2137" s="1" t="s">
        <v>21</v>
      </c>
      <c r="L2137" s="1" t="s">
        <v>21</v>
      </c>
      <c r="M2137" s="1" t="s">
        <v>29</v>
      </c>
      <c r="N2137" s="1" t="s">
        <v>22</v>
      </c>
    </row>
    <row r="2138" spans="1:14" x14ac:dyDescent="0.25">
      <c r="A2138" s="1">
        <v>2137</v>
      </c>
      <c r="B2138" s="2" t="str">
        <f>HYPERLINK("https://leetcode.com/problems/pour-water-between-buckets-to-make-water-levels-equal/", "Pour Water Between Buckets to Make Water Levels Equal")</f>
        <v>Pour Water Between Buckets to Make Water Levels Equal</v>
      </c>
      <c r="C2138" s="1">
        <v>117</v>
      </c>
      <c r="D2138" s="1">
        <v>10</v>
      </c>
      <c r="E2138" s="3">
        <f>IF(INDEX(C:C, ROW())+INDEX(D:D, ROW())=0, 0, INDEX(C:C, ROW())/(INDEX(C:C, ROW())+INDEX(D:D, ROW())))</f>
        <v>0.92125984251968507</v>
      </c>
      <c r="F2138" s="1" t="s">
        <v>35</v>
      </c>
      <c r="G2138" s="1" t="s">
        <v>24</v>
      </c>
      <c r="H2138" s="1">
        <v>3750</v>
      </c>
      <c r="I2138" s="1">
        <v>5505</v>
      </c>
      <c r="J2138" s="7">
        <v>0.68100000000000005</v>
      </c>
      <c r="K2138" s="1" t="s">
        <v>29</v>
      </c>
      <c r="L2138" s="1" t="s">
        <v>29</v>
      </c>
      <c r="M2138" s="1" t="s">
        <v>29</v>
      </c>
      <c r="N2138" s="1" t="s">
        <v>22</v>
      </c>
    </row>
    <row r="2139" spans="1:14" x14ac:dyDescent="0.25">
      <c r="A2139" s="1">
        <v>2138</v>
      </c>
      <c r="B2139" s="2" t="str">
        <f>HYPERLINK("https://leetcode.com/problems/divide-a-string-into-groups-of-size-k/", "Divide a String Into Groups of Size k")</f>
        <v>Divide a String Into Groups of Size k</v>
      </c>
      <c r="C2139" s="1">
        <v>796</v>
      </c>
      <c r="D2139" s="1">
        <v>31</v>
      </c>
      <c r="E2139" s="3">
        <f>IF(INDEX(C:C, ROW())+INDEX(D:D, ROW())=0, 0, INDEX(C:C, ROW())/(INDEX(C:C, ROW())+INDEX(D:D, ROW())))</f>
        <v>0.96251511487303509</v>
      </c>
      <c r="F2139" s="1" t="s">
        <v>414</v>
      </c>
      <c r="G2139" s="1" t="s">
        <v>20</v>
      </c>
      <c r="H2139" s="1">
        <v>174669</v>
      </c>
      <c r="I2139" s="1">
        <v>226528</v>
      </c>
      <c r="J2139" s="7">
        <v>0.77100000000000002</v>
      </c>
      <c r="K2139" s="1" t="s">
        <v>21</v>
      </c>
      <c r="L2139" s="1" t="s">
        <v>21</v>
      </c>
      <c r="M2139" s="1" t="s">
        <v>29</v>
      </c>
      <c r="N2139" s="1" t="s">
        <v>22</v>
      </c>
    </row>
    <row r="2140" spans="1:14" x14ac:dyDescent="0.25">
      <c r="A2140" s="1">
        <v>2139</v>
      </c>
      <c r="B2140" s="2" t="str">
        <f>HYPERLINK("https://leetcode.com/problems/minimum-moves-to-reach-target-score/", "Minimum Moves to Reach Target Score")</f>
        <v>Minimum Moves to Reach Target Score</v>
      </c>
      <c r="C2140" s="1">
        <v>1069</v>
      </c>
      <c r="D2140" s="1">
        <v>28</v>
      </c>
      <c r="E2140" s="3">
        <f>IF(INDEX(C:C, ROW())+INDEX(D:D, ROW())=0, 0, INDEX(C:C, ROW())/(INDEX(C:C, ROW())+INDEX(D:D, ROW())))</f>
        <v>0.97447584320875114</v>
      </c>
      <c r="F2140" s="1" t="s">
        <v>296</v>
      </c>
      <c r="G2140" s="1" t="s">
        <v>24</v>
      </c>
      <c r="H2140" s="1">
        <v>58796</v>
      </c>
      <c r="I2140" s="1">
        <v>112969</v>
      </c>
      <c r="J2140" s="7">
        <v>0.52</v>
      </c>
      <c r="K2140" s="1" t="s">
        <v>21</v>
      </c>
      <c r="L2140" s="1" t="s">
        <v>29</v>
      </c>
      <c r="M2140" s="1" t="s">
        <v>29</v>
      </c>
      <c r="N2140" s="1" t="s">
        <v>22</v>
      </c>
    </row>
    <row r="2141" spans="1:14" x14ac:dyDescent="0.25">
      <c r="A2141" s="1">
        <v>2140</v>
      </c>
      <c r="B2141" s="2" t="str">
        <f>HYPERLINK("https://leetcode.com/problems/solving-questions-with-brainpower/", "Solving Questions With Brainpower")</f>
        <v>Solving Questions With Brainpower</v>
      </c>
      <c r="C2141" s="1">
        <v>2948</v>
      </c>
      <c r="D2141" s="1">
        <v>86</v>
      </c>
      <c r="E2141" s="3">
        <f>IF(INDEX(C:C, ROW())+INDEX(D:D, ROW())=0, 0, INDEX(C:C, ROW())/(INDEX(C:C, ROW())+INDEX(D:D, ROW())))</f>
        <v>0.97165458141067895</v>
      </c>
      <c r="F2141" s="1" t="s">
        <v>30</v>
      </c>
      <c r="G2141" s="1" t="s">
        <v>24</v>
      </c>
      <c r="H2141" s="1">
        <v>253969</v>
      </c>
      <c r="I2141" s="1">
        <v>421804</v>
      </c>
      <c r="J2141" s="7">
        <v>0.60199999999999998</v>
      </c>
      <c r="K2141" s="1" t="s">
        <v>21</v>
      </c>
      <c r="L2141" s="1" t="s">
        <v>21</v>
      </c>
      <c r="M2141" s="1" t="s">
        <v>29</v>
      </c>
      <c r="N2141" s="1" t="s">
        <v>22</v>
      </c>
    </row>
    <row r="2142" spans="1:14" x14ac:dyDescent="0.25">
      <c r="A2142" s="1">
        <v>2141</v>
      </c>
      <c r="B2142" s="2" t="str">
        <f>HYPERLINK("https://leetcode.com/problems/maximum-running-time-of-n-computers/", "Maximum Running Time of N Computers")</f>
        <v>Maximum Running Time of N Computers</v>
      </c>
      <c r="C2142" s="1">
        <v>2437</v>
      </c>
      <c r="D2142" s="1">
        <v>71</v>
      </c>
      <c r="E2142" s="3">
        <f>IF(INDEX(C:C, ROW())+INDEX(D:D, ROW())=0, 0, INDEX(C:C, ROW())/(INDEX(C:C, ROW())+INDEX(D:D, ROW())))</f>
        <v>0.97169059011164272</v>
      </c>
      <c r="F2142" s="1" t="s">
        <v>440</v>
      </c>
      <c r="G2142" s="1" t="s">
        <v>28</v>
      </c>
      <c r="H2142" s="1">
        <v>138512</v>
      </c>
      <c r="I2142" s="1">
        <v>245564</v>
      </c>
      <c r="J2142" s="7">
        <v>0.56399999999999995</v>
      </c>
      <c r="K2142" s="1" t="s">
        <v>21</v>
      </c>
      <c r="L2142" s="1" t="s">
        <v>21</v>
      </c>
      <c r="M2142" s="1" t="s">
        <v>29</v>
      </c>
      <c r="N2142" s="1" t="s">
        <v>22</v>
      </c>
    </row>
    <row r="2143" spans="1:14" x14ac:dyDescent="0.25">
      <c r="A2143" s="1">
        <v>2142</v>
      </c>
      <c r="B2143" s="2" t="str">
        <f>HYPERLINK("https://leetcode.com/problems/the-number-of-passengers-in-each-bus-i/", "The Number of Passengers in Each Bus I")</f>
        <v>The Number of Passengers in Each Bus I</v>
      </c>
      <c r="C2143" s="1">
        <v>116</v>
      </c>
      <c r="D2143" s="1">
        <v>12</v>
      </c>
      <c r="E2143" s="3">
        <f>IF(INDEX(C:C, ROW())+INDEX(D:D, ROW())=0, 0, INDEX(C:C, ROW())/(INDEX(C:C, ROW())+INDEX(D:D, ROW())))</f>
        <v>0.90625</v>
      </c>
      <c r="F2143" s="1" t="s">
        <v>297</v>
      </c>
      <c r="G2143" s="1" t="s">
        <v>24</v>
      </c>
      <c r="H2143" s="1">
        <v>11880</v>
      </c>
      <c r="I2143" s="1">
        <v>24221</v>
      </c>
      <c r="J2143" s="7">
        <v>0.49</v>
      </c>
      <c r="K2143" s="1" t="s">
        <v>29</v>
      </c>
      <c r="L2143" s="1" t="s">
        <v>29</v>
      </c>
      <c r="M2143" s="1" t="s">
        <v>29</v>
      </c>
      <c r="N2143" s="1" t="s">
        <v>297</v>
      </c>
    </row>
    <row r="2144" spans="1:14" x14ac:dyDescent="0.25">
      <c r="A2144" s="1">
        <v>2143</v>
      </c>
      <c r="B2144" s="2" t="str">
        <f>HYPERLINK("https://leetcode.com/problems/choose-numbers-from-two-arrays-in-range/", "Choose Numbers From Two Arrays in Range")</f>
        <v>Choose Numbers From Two Arrays in Range</v>
      </c>
      <c r="C2144" s="1">
        <v>41</v>
      </c>
      <c r="D2144" s="1">
        <v>5</v>
      </c>
      <c r="E2144" s="3">
        <f>IF(INDEX(C:C, ROW())+INDEX(D:D, ROW())=0, 0, INDEX(C:C, ROW())/(INDEX(C:C, ROW())+INDEX(D:D, ROW())))</f>
        <v>0.89130434782608692</v>
      </c>
      <c r="F2144" s="1" t="s">
        <v>30</v>
      </c>
      <c r="G2144" s="1" t="s">
        <v>28</v>
      </c>
      <c r="H2144" s="1">
        <v>1357</v>
      </c>
      <c r="I2144" s="1">
        <v>2567</v>
      </c>
      <c r="J2144" s="7">
        <v>0.52900000000000003</v>
      </c>
      <c r="K2144" s="1" t="s">
        <v>29</v>
      </c>
      <c r="L2144" s="1" t="s">
        <v>29</v>
      </c>
      <c r="M2144" s="1" t="s">
        <v>29</v>
      </c>
      <c r="N2144" s="1" t="s">
        <v>22</v>
      </c>
    </row>
    <row r="2145" spans="1:14" x14ac:dyDescent="0.25">
      <c r="A2145" s="1">
        <v>2144</v>
      </c>
      <c r="B2145" s="2" t="str">
        <f>HYPERLINK("https://leetcode.com/problems/minimum-cost-of-buying-candies-with-discount/", "Minimum Cost of Buying Candies With Discount")</f>
        <v>Minimum Cost of Buying Candies With Discount</v>
      </c>
      <c r="C2145" s="1">
        <v>686</v>
      </c>
      <c r="D2145" s="1">
        <v>25</v>
      </c>
      <c r="E2145" s="3">
        <f>IF(INDEX(C:C, ROW())+INDEX(D:D, ROW())=0, 0, INDEX(C:C, ROW())/(INDEX(C:C, ROW())+INDEX(D:D, ROW())))</f>
        <v>0.96483825597749651</v>
      </c>
      <c r="F2145" s="1" t="s">
        <v>169</v>
      </c>
      <c r="G2145" s="1" t="s">
        <v>20</v>
      </c>
      <c r="H2145" s="1">
        <v>78070</v>
      </c>
      <c r="I2145" s="1">
        <v>124586</v>
      </c>
      <c r="J2145" s="7">
        <v>0.627</v>
      </c>
      <c r="K2145" s="1" t="s">
        <v>21</v>
      </c>
      <c r="L2145" s="1" t="s">
        <v>29</v>
      </c>
      <c r="M2145" s="1" t="s">
        <v>29</v>
      </c>
      <c r="N2145" s="1" t="s">
        <v>22</v>
      </c>
    </row>
    <row r="2146" spans="1:14" x14ac:dyDescent="0.25">
      <c r="A2146" s="1">
        <v>2145</v>
      </c>
      <c r="B2146" s="2" t="str">
        <f>HYPERLINK("https://leetcode.com/problems/count-the-hidden-sequences/", "Count the Hidden Sequences")</f>
        <v>Count the Hidden Sequences</v>
      </c>
      <c r="C2146" s="1">
        <v>1040</v>
      </c>
      <c r="D2146" s="1">
        <v>93</v>
      </c>
      <c r="E2146" s="3">
        <f>IF(INDEX(C:C, ROW())+INDEX(D:D, ROW())=0, 0, INDEX(C:C, ROW())/(INDEX(C:C, ROW())+INDEX(D:D, ROW())))</f>
        <v>0.91791703442188877</v>
      </c>
      <c r="F2146" s="1" t="s">
        <v>37</v>
      </c>
      <c r="G2146" s="1" t="s">
        <v>24</v>
      </c>
      <c r="H2146" s="1">
        <v>122081</v>
      </c>
      <c r="I2146" s="1">
        <v>215129</v>
      </c>
      <c r="J2146" s="7">
        <v>0.56699999999999995</v>
      </c>
      <c r="K2146" s="1" t="s">
        <v>21</v>
      </c>
      <c r="L2146" s="1" t="s">
        <v>21</v>
      </c>
      <c r="M2146" s="1" t="s">
        <v>29</v>
      </c>
      <c r="N2146" s="1" t="s">
        <v>22</v>
      </c>
    </row>
    <row r="2147" spans="1:14" x14ac:dyDescent="0.25">
      <c r="A2147" s="1">
        <v>2146</v>
      </c>
      <c r="B2147" s="2" t="str">
        <f>HYPERLINK("https://leetcode.com/problems/k-highest-ranked-items-within-a-price-range/", "K Highest Ranked Items Within a Price Range")</f>
        <v>K Highest Ranked Items Within a Price Range</v>
      </c>
      <c r="C2147" s="1">
        <v>532</v>
      </c>
      <c r="D2147" s="1">
        <v>168</v>
      </c>
      <c r="E2147" s="3">
        <f>IF(INDEX(C:C, ROW())+INDEX(D:D, ROW())=0, 0, INDEX(C:C, ROW())/(INDEX(C:C, ROW())+INDEX(D:D, ROW())))</f>
        <v>0.76</v>
      </c>
      <c r="F2147" s="1" t="s">
        <v>894</v>
      </c>
      <c r="G2147" s="1" t="s">
        <v>24</v>
      </c>
      <c r="H2147" s="1">
        <v>21377</v>
      </c>
      <c r="I2147" s="1">
        <v>46071</v>
      </c>
      <c r="J2147" s="7">
        <v>0.46400000000000002</v>
      </c>
      <c r="K2147" s="1" t="s">
        <v>21</v>
      </c>
      <c r="L2147" s="1" t="s">
        <v>29</v>
      </c>
      <c r="M2147" s="1" t="s">
        <v>29</v>
      </c>
      <c r="N2147" s="1" t="s">
        <v>22</v>
      </c>
    </row>
    <row r="2148" spans="1:14" x14ac:dyDescent="0.25">
      <c r="A2148" s="1">
        <v>2147</v>
      </c>
      <c r="B2148" s="2" t="str">
        <f>HYPERLINK("https://leetcode.com/problems/number-of-ways-to-divide-a-long-corridor/", "Number of Ways to Divide a Long Corridor")</f>
        <v>Number of Ways to Divide a Long Corridor</v>
      </c>
      <c r="C2148" s="1">
        <v>1336</v>
      </c>
      <c r="D2148" s="1">
        <v>127</v>
      </c>
      <c r="E2148" s="3">
        <f>IF(INDEX(C:C, ROW())+INDEX(D:D, ROW())=0, 0, INDEX(C:C, ROW())/(INDEX(C:C, ROW())+INDEX(D:D, ROW())))</f>
        <v>0.91319207108680789</v>
      </c>
      <c r="F2148" s="1" t="s">
        <v>627</v>
      </c>
      <c r="G2148" s="1" t="s">
        <v>28</v>
      </c>
      <c r="H2148" s="1">
        <v>140319</v>
      </c>
      <c r="I2148" s="1">
        <v>257058</v>
      </c>
      <c r="J2148" s="7">
        <v>0.54600000000000004</v>
      </c>
      <c r="K2148" s="1" t="s">
        <v>21</v>
      </c>
      <c r="L2148" s="1" t="s">
        <v>21</v>
      </c>
      <c r="M2148" s="1" t="s">
        <v>29</v>
      </c>
      <c r="N2148" s="1" t="s">
        <v>22</v>
      </c>
    </row>
    <row r="2149" spans="1:14" x14ac:dyDescent="0.25">
      <c r="A2149" s="1">
        <v>2148</v>
      </c>
      <c r="B2149" s="2" t="str">
        <f>HYPERLINK("https://leetcode.com/problems/count-elements-with-strictly-smaller-and-greater-elements/", "Count Elements With Strictly Smaller and Greater Elements ")</f>
        <v xml:space="preserve">Count Elements With Strictly Smaller and Greater Elements </v>
      </c>
      <c r="C2149" s="1">
        <v>712</v>
      </c>
      <c r="D2149" s="1">
        <v>46</v>
      </c>
      <c r="E2149" s="3">
        <f>IF(INDEX(C:C, ROW())+INDEX(D:D, ROW())=0, 0, INDEX(C:C, ROW())/(INDEX(C:C, ROW())+INDEX(D:D, ROW())))</f>
        <v>0.93931398416886547</v>
      </c>
      <c r="F2149" s="1" t="s">
        <v>796</v>
      </c>
      <c r="G2149" s="1" t="s">
        <v>20</v>
      </c>
      <c r="H2149" s="1">
        <v>80558</v>
      </c>
      <c r="I2149" s="1">
        <v>134718</v>
      </c>
      <c r="J2149" s="7">
        <v>0.59799999999999998</v>
      </c>
      <c r="K2149" s="1" t="s">
        <v>21</v>
      </c>
      <c r="L2149" s="1" t="s">
        <v>29</v>
      </c>
      <c r="M2149" s="1" t="s">
        <v>29</v>
      </c>
      <c r="N2149" s="1" t="s">
        <v>22</v>
      </c>
    </row>
    <row r="2150" spans="1:14" x14ac:dyDescent="0.25">
      <c r="A2150" s="1">
        <v>2149</v>
      </c>
      <c r="B2150" s="2" t="str">
        <f>HYPERLINK("https://leetcode.com/problems/rearrange-array-elements-by-sign/", "Rearrange Array Elements by Sign")</f>
        <v>Rearrange Array Elements by Sign</v>
      </c>
      <c r="C2150" s="1">
        <v>4129</v>
      </c>
      <c r="D2150" s="1">
        <v>231</v>
      </c>
      <c r="E2150" s="3">
        <f>IF(INDEX(C:C, ROW())+INDEX(D:D, ROW())=0, 0, INDEX(C:C, ROW())/(INDEX(C:C, ROW())+INDEX(D:D, ROW())))</f>
        <v>0.94701834862385326</v>
      </c>
      <c r="F2150" s="1" t="s">
        <v>303</v>
      </c>
      <c r="G2150" s="1" t="s">
        <v>24</v>
      </c>
      <c r="H2150" s="1">
        <v>808386</v>
      </c>
      <c r="I2150" s="1">
        <v>956286</v>
      </c>
      <c r="J2150" s="7">
        <v>0.84499999999999997</v>
      </c>
      <c r="K2150" s="1" t="s">
        <v>21</v>
      </c>
      <c r="L2150" s="1" t="s">
        <v>21</v>
      </c>
      <c r="M2150" s="1" t="s">
        <v>29</v>
      </c>
      <c r="N2150" s="1" t="s">
        <v>22</v>
      </c>
    </row>
    <row r="2151" spans="1:14" x14ac:dyDescent="0.25">
      <c r="A2151" s="1">
        <v>2150</v>
      </c>
      <c r="B2151" s="2" t="str">
        <f>HYPERLINK("https://leetcode.com/problems/find-all-lonely-numbers-in-the-array/", "Find All Lonely Numbers in the Array")</f>
        <v>Find All Lonely Numbers in the Array</v>
      </c>
      <c r="C2151" s="1">
        <v>704</v>
      </c>
      <c r="D2151" s="1">
        <v>67</v>
      </c>
      <c r="E2151" s="3">
        <f>IF(INDEX(C:C, ROW())+INDEX(D:D, ROW())=0, 0, INDEX(C:C, ROW())/(INDEX(C:C, ROW())+INDEX(D:D, ROW())))</f>
        <v>0.91309987029831385</v>
      </c>
      <c r="F2151" s="1" t="s">
        <v>294</v>
      </c>
      <c r="G2151" s="1" t="s">
        <v>24</v>
      </c>
      <c r="H2151" s="1">
        <v>68824</v>
      </c>
      <c r="I2151" s="1">
        <v>109820</v>
      </c>
      <c r="J2151" s="7">
        <v>0.627</v>
      </c>
      <c r="K2151" s="1" t="s">
        <v>21</v>
      </c>
      <c r="L2151" s="1" t="s">
        <v>29</v>
      </c>
      <c r="M2151" s="1" t="s">
        <v>29</v>
      </c>
      <c r="N2151" s="1" t="s">
        <v>22</v>
      </c>
    </row>
    <row r="2152" spans="1:14" x14ac:dyDescent="0.25">
      <c r="A2152" s="1">
        <v>2151</v>
      </c>
      <c r="B2152" s="2" t="str">
        <f>HYPERLINK("https://leetcode.com/problems/maximum-good-people-based-on-statements/", "Maximum Good People Based on Statements")</f>
        <v>Maximum Good People Based on Statements</v>
      </c>
      <c r="C2152" s="1">
        <v>533</v>
      </c>
      <c r="D2152" s="1">
        <v>83</v>
      </c>
      <c r="E2152" s="3">
        <f>IF(INDEX(C:C, ROW())+INDEX(D:D, ROW())=0, 0, INDEX(C:C, ROW())/(INDEX(C:C, ROW())+INDEX(D:D, ROW())))</f>
        <v>0.86525974025974028</v>
      </c>
      <c r="F2152" s="1" t="s">
        <v>594</v>
      </c>
      <c r="G2152" s="1" t="s">
        <v>28</v>
      </c>
      <c r="H2152" s="1">
        <v>16948</v>
      </c>
      <c r="I2152" s="1">
        <v>32441</v>
      </c>
      <c r="J2152" s="7">
        <v>0.52200000000000002</v>
      </c>
      <c r="K2152" s="1" t="s">
        <v>21</v>
      </c>
      <c r="L2152" s="1" t="s">
        <v>29</v>
      </c>
      <c r="M2152" s="1" t="s">
        <v>29</v>
      </c>
      <c r="N2152" s="1" t="s">
        <v>22</v>
      </c>
    </row>
    <row r="2153" spans="1:14" x14ac:dyDescent="0.25">
      <c r="A2153" s="1">
        <v>2152</v>
      </c>
      <c r="B2153" s="2" t="str">
        <f>HYPERLINK("https://leetcode.com/problems/minimum-number-of-lines-to-cover-points/", "Minimum Number of Lines to Cover Points")</f>
        <v>Minimum Number of Lines to Cover Points</v>
      </c>
      <c r="C2153" s="1">
        <v>76</v>
      </c>
      <c r="D2153" s="1">
        <v>14</v>
      </c>
      <c r="E2153" s="3">
        <f>IF(INDEX(C:C, ROW())+INDEX(D:D, ROW())=0, 0, INDEX(C:C, ROW())/(INDEX(C:C, ROW())+INDEX(D:D, ROW())))</f>
        <v>0.84444444444444444</v>
      </c>
      <c r="F2153" s="1" t="s">
        <v>1216</v>
      </c>
      <c r="G2153" s="1" t="s">
        <v>24</v>
      </c>
      <c r="H2153" s="1">
        <v>2789</v>
      </c>
      <c r="I2153" s="1">
        <v>6361</v>
      </c>
      <c r="J2153" s="7">
        <v>0.438</v>
      </c>
      <c r="K2153" s="1" t="s">
        <v>29</v>
      </c>
      <c r="L2153" s="1" t="s">
        <v>29</v>
      </c>
      <c r="M2153" s="1" t="s">
        <v>29</v>
      </c>
      <c r="N2153" s="1" t="s">
        <v>22</v>
      </c>
    </row>
    <row r="2154" spans="1:14" x14ac:dyDescent="0.25">
      <c r="A2154" s="1">
        <v>2153</v>
      </c>
      <c r="B2154" s="2" t="str">
        <f>HYPERLINK("https://leetcode.com/problems/the-number-of-passengers-in-each-bus-ii/", "The Number of Passengers in Each Bus II")</f>
        <v>The Number of Passengers in Each Bus II</v>
      </c>
      <c r="C2154" s="1">
        <v>84</v>
      </c>
      <c r="D2154" s="1">
        <v>29</v>
      </c>
      <c r="E2154" s="3">
        <f>IF(INDEX(C:C, ROW())+INDEX(D:D, ROW())=0, 0, INDEX(C:C, ROW())/(INDEX(C:C, ROW())+INDEX(D:D, ROW())))</f>
        <v>0.74336283185840712</v>
      </c>
      <c r="F2154" s="1" t="s">
        <v>297</v>
      </c>
      <c r="G2154" s="1" t="s">
        <v>28</v>
      </c>
      <c r="H2154" s="1">
        <v>3891</v>
      </c>
      <c r="I2154" s="1">
        <v>9726</v>
      </c>
      <c r="J2154" s="7">
        <v>0.4</v>
      </c>
      <c r="K2154" s="1" t="s">
        <v>29</v>
      </c>
      <c r="L2154" s="1" t="s">
        <v>21</v>
      </c>
      <c r="M2154" s="1" t="s">
        <v>29</v>
      </c>
      <c r="N2154" s="1" t="s">
        <v>297</v>
      </c>
    </row>
    <row r="2155" spans="1:14" x14ac:dyDescent="0.25">
      <c r="A2155" s="1">
        <v>2154</v>
      </c>
      <c r="B2155" s="2" t="str">
        <f>HYPERLINK("https://leetcode.com/problems/keep-multiplying-found-values-by-two/", "Keep Multiplying Found Values by Two")</f>
        <v>Keep Multiplying Found Values by Two</v>
      </c>
      <c r="C2155" s="1">
        <v>1062</v>
      </c>
      <c r="D2155" s="1">
        <v>54</v>
      </c>
      <c r="E2155" s="3">
        <f>IF(INDEX(C:C, ROW())+INDEX(D:D, ROW())=0, 0, INDEX(C:C, ROW())/(INDEX(C:C, ROW())+INDEX(D:D, ROW())))</f>
        <v>0.95161290322580649</v>
      </c>
      <c r="F2155" s="1" t="s">
        <v>700</v>
      </c>
      <c r="G2155" s="1" t="s">
        <v>20</v>
      </c>
      <c r="H2155" s="1">
        <v>277330</v>
      </c>
      <c r="I2155" s="1">
        <v>369465</v>
      </c>
      <c r="J2155" s="7">
        <v>0.751</v>
      </c>
      <c r="K2155" s="1" t="s">
        <v>21</v>
      </c>
      <c r="L2155" s="1" t="s">
        <v>21</v>
      </c>
      <c r="M2155" s="1" t="s">
        <v>29</v>
      </c>
      <c r="N2155" s="1" t="s">
        <v>22</v>
      </c>
    </row>
    <row r="2156" spans="1:14" x14ac:dyDescent="0.25">
      <c r="A2156" s="1">
        <v>2155</v>
      </c>
      <c r="B2156" s="2" t="str">
        <f>HYPERLINK("https://leetcode.com/problems/all-divisions-with-the-highest-score-of-a-binary-array/", "All Divisions With the Highest Score of a Binary Array")</f>
        <v>All Divisions With the Highest Score of a Binary Array</v>
      </c>
      <c r="C2156" s="1">
        <v>538</v>
      </c>
      <c r="D2156" s="1">
        <v>17</v>
      </c>
      <c r="E2156" s="3">
        <f>IF(INDEX(C:C, ROW())+INDEX(D:D, ROW())=0, 0, INDEX(C:C, ROW())/(INDEX(C:C, ROW())+INDEX(D:D, ROW())))</f>
        <v>0.96936936936936935</v>
      </c>
      <c r="F2156" s="1" t="s">
        <v>113</v>
      </c>
      <c r="G2156" s="1" t="s">
        <v>24</v>
      </c>
      <c r="H2156" s="1">
        <v>36395</v>
      </c>
      <c r="I2156" s="1">
        <v>55603</v>
      </c>
      <c r="J2156" s="7">
        <v>0.65500000000000003</v>
      </c>
      <c r="K2156" s="1" t="s">
        <v>21</v>
      </c>
      <c r="L2156" s="1" t="s">
        <v>29</v>
      </c>
      <c r="M2156" s="1" t="s">
        <v>29</v>
      </c>
      <c r="N2156" s="1" t="s">
        <v>22</v>
      </c>
    </row>
    <row r="2157" spans="1:14" x14ac:dyDescent="0.25">
      <c r="A2157" s="1">
        <v>2156</v>
      </c>
      <c r="B2157" s="2" t="str">
        <f>HYPERLINK("https://leetcode.com/problems/find-substring-with-given-hash-value/", "Find Substring With Given Hash Value")</f>
        <v>Find Substring With Given Hash Value</v>
      </c>
      <c r="C2157" s="1">
        <v>446</v>
      </c>
      <c r="D2157" s="1">
        <v>385</v>
      </c>
      <c r="E2157" s="3">
        <f>IF(INDEX(C:C, ROW())+INDEX(D:D, ROW())=0, 0, INDEX(C:C, ROW())/(INDEX(C:C, ROW())+INDEX(D:D, ROW())))</f>
        <v>0.53670276774969916</v>
      </c>
      <c r="F2157" s="1" t="s">
        <v>952</v>
      </c>
      <c r="G2157" s="1" t="s">
        <v>28</v>
      </c>
      <c r="H2157" s="1">
        <v>16484</v>
      </c>
      <c r="I2157" s="1">
        <v>63510</v>
      </c>
      <c r="J2157" s="7">
        <v>0.26</v>
      </c>
      <c r="K2157" s="1" t="s">
        <v>21</v>
      </c>
      <c r="L2157" s="1" t="s">
        <v>29</v>
      </c>
      <c r="M2157" s="1" t="s">
        <v>29</v>
      </c>
      <c r="N2157" s="1" t="s">
        <v>22</v>
      </c>
    </row>
    <row r="2158" spans="1:14" x14ac:dyDescent="0.25">
      <c r="A2158" s="1">
        <v>2157</v>
      </c>
      <c r="B2158" s="2" t="str">
        <f>HYPERLINK("https://leetcode.com/problems/groups-of-strings/", "Groups of Strings")</f>
        <v>Groups of Strings</v>
      </c>
      <c r="C2158" s="1">
        <v>507</v>
      </c>
      <c r="D2158" s="1">
        <v>62</v>
      </c>
      <c r="E2158" s="3">
        <f>IF(INDEX(C:C, ROW())+INDEX(D:D, ROW())=0, 0, INDEX(C:C, ROW())/(INDEX(C:C, ROW())+INDEX(D:D, ROW())))</f>
        <v>0.89103690685413006</v>
      </c>
      <c r="F2158" s="1" t="s">
        <v>917</v>
      </c>
      <c r="G2158" s="1" t="s">
        <v>28</v>
      </c>
      <c r="H2158" s="1">
        <v>11781</v>
      </c>
      <c r="I2158" s="1">
        <v>42872</v>
      </c>
      <c r="J2158" s="7">
        <v>0.27500000000000002</v>
      </c>
      <c r="K2158" s="1" t="s">
        <v>21</v>
      </c>
      <c r="L2158" s="1" t="s">
        <v>29</v>
      </c>
      <c r="M2158" s="1" t="s">
        <v>29</v>
      </c>
      <c r="N2158" s="1" t="s">
        <v>22</v>
      </c>
    </row>
    <row r="2159" spans="1:14" x14ac:dyDescent="0.25">
      <c r="A2159" s="1">
        <v>2158</v>
      </c>
      <c r="B2159" s="2" t="str">
        <f>HYPERLINK("https://leetcode.com/problems/amount-of-new-area-painted-each-day/", "Amount of New Area Painted Each Day")</f>
        <v>Amount of New Area Painted Each Day</v>
      </c>
      <c r="C2159" s="1">
        <v>439</v>
      </c>
      <c r="D2159" s="1">
        <v>44</v>
      </c>
      <c r="E2159" s="3">
        <f>IF(INDEX(C:C, ROW())+INDEX(D:D, ROW())=0, 0, INDEX(C:C, ROW())/(INDEX(C:C, ROW())+INDEX(D:D, ROW())))</f>
        <v>0.90890269151138714</v>
      </c>
      <c r="F2159" s="1" t="s">
        <v>810</v>
      </c>
      <c r="G2159" s="1" t="s">
        <v>28</v>
      </c>
      <c r="H2159" s="1">
        <v>32874</v>
      </c>
      <c r="I2159" s="1">
        <v>59152</v>
      </c>
      <c r="J2159" s="7">
        <v>0.55600000000000005</v>
      </c>
      <c r="K2159" s="1" t="s">
        <v>29</v>
      </c>
      <c r="L2159" s="1" t="s">
        <v>29</v>
      </c>
      <c r="M2159" s="1" t="s">
        <v>29</v>
      </c>
      <c r="N2159" s="1" t="s">
        <v>22</v>
      </c>
    </row>
    <row r="2160" spans="1:14" x14ac:dyDescent="0.25">
      <c r="A2160" s="1">
        <v>2159</v>
      </c>
      <c r="B2160" s="2" t="str">
        <f>HYPERLINK("https://leetcode.com/problems/order-two-columns-independently/", "Order Two Columns Independently")</f>
        <v>Order Two Columns Independently</v>
      </c>
      <c r="C2160" s="1">
        <v>78</v>
      </c>
      <c r="D2160" s="1">
        <v>19</v>
      </c>
      <c r="E2160" s="3">
        <f>IF(INDEX(C:C, ROW())+INDEX(D:D, ROW())=0, 0, INDEX(C:C, ROW())/(INDEX(C:C, ROW())+INDEX(D:D, ROW())))</f>
        <v>0.80412371134020622</v>
      </c>
      <c r="F2160" s="1" t="s">
        <v>297</v>
      </c>
      <c r="G2160" s="1" t="s">
        <v>24</v>
      </c>
      <c r="H2160" s="1">
        <v>10671</v>
      </c>
      <c r="I2160" s="1">
        <v>17348</v>
      </c>
      <c r="J2160" s="7">
        <v>0.61499999999999999</v>
      </c>
      <c r="K2160" s="1" t="s">
        <v>29</v>
      </c>
      <c r="L2160" s="1" t="s">
        <v>29</v>
      </c>
      <c r="M2160" s="1" t="s">
        <v>29</v>
      </c>
      <c r="N2160" s="1" t="s">
        <v>297</v>
      </c>
    </row>
    <row r="2161" spans="1:14" x14ac:dyDescent="0.25">
      <c r="A2161" s="1">
        <v>2160</v>
      </c>
      <c r="B2161" s="2" t="str">
        <f>HYPERLINK("https://leetcode.com/problems/minimum-sum-of-four-digit-number-after-splitting-digits/", "Minimum Sum of Four Digit Number After Splitting Digits")</f>
        <v>Minimum Sum of Four Digit Number After Splitting Digits</v>
      </c>
      <c r="C2161" s="1">
        <v>1504</v>
      </c>
      <c r="D2161" s="1">
        <v>148</v>
      </c>
      <c r="E2161" s="3">
        <f>IF(INDEX(C:C, ROW())+INDEX(D:D, ROW())=0, 0, INDEX(C:C, ROW())/(INDEX(C:C, ROW())+INDEX(D:D, ROW())))</f>
        <v>0.91041162227602901</v>
      </c>
      <c r="F2161" s="1" t="s">
        <v>587</v>
      </c>
      <c r="G2161" s="1" t="s">
        <v>20</v>
      </c>
      <c r="H2161" s="1">
        <v>167019</v>
      </c>
      <c r="I2161" s="1">
        <v>193660</v>
      </c>
      <c r="J2161" s="7">
        <v>0.86199999999999999</v>
      </c>
      <c r="K2161" s="1" t="s">
        <v>21</v>
      </c>
      <c r="L2161" s="1" t="s">
        <v>29</v>
      </c>
      <c r="M2161" s="1" t="s">
        <v>29</v>
      </c>
      <c r="N2161" s="1" t="s">
        <v>22</v>
      </c>
    </row>
    <row r="2162" spans="1:14" x14ac:dyDescent="0.25">
      <c r="A2162" s="1">
        <v>2161</v>
      </c>
      <c r="B2162" s="2" t="str">
        <f>HYPERLINK("https://leetcode.com/problems/partition-array-according-to-given-pivot/", "Partition Array According to Given Pivot")</f>
        <v>Partition Array According to Given Pivot</v>
      </c>
      <c r="C2162" s="1">
        <v>1760</v>
      </c>
      <c r="D2162" s="1">
        <v>123</v>
      </c>
      <c r="E2162" s="3">
        <f>IF(INDEX(C:C, ROW())+INDEX(D:D, ROW())=0, 0, INDEX(C:C, ROW())/(INDEX(C:C, ROW())+INDEX(D:D, ROW())))</f>
        <v>0.93467870419543286</v>
      </c>
      <c r="F2162" s="1" t="s">
        <v>303</v>
      </c>
      <c r="G2162" s="1" t="s">
        <v>24</v>
      </c>
      <c r="H2162" s="1">
        <v>305451</v>
      </c>
      <c r="I2162" s="1">
        <v>340153</v>
      </c>
      <c r="J2162" s="7">
        <v>0.89800000000000002</v>
      </c>
      <c r="K2162" s="1" t="s">
        <v>21</v>
      </c>
      <c r="L2162" s="1" t="s">
        <v>21</v>
      </c>
      <c r="M2162" s="1" t="s">
        <v>29</v>
      </c>
      <c r="N2162" s="1" t="s">
        <v>22</v>
      </c>
    </row>
    <row r="2163" spans="1:14" x14ac:dyDescent="0.25">
      <c r="A2163" s="1">
        <v>2162</v>
      </c>
      <c r="B2163" s="2" t="str">
        <f>HYPERLINK("https://leetcode.com/problems/minimum-cost-to-set-cooking-time/", "Minimum Cost to Set Cooking Time")</f>
        <v>Minimum Cost to Set Cooking Time</v>
      </c>
      <c r="C2163" s="1">
        <v>236</v>
      </c>
      <c r="D2163" s="1">
        <v>644</v>
      </c>
      <c r="E2163" s="3">
        <f>IF(INDEX(C:C, ROW())+INDEX(D:D, ROW())=0, 0, INDEX(C:C, ROW())/(INDEX(C:C, ROW())+INDEX(D:D, ROW())))</f>
        <v>0.26818181818181819</v>
      </c>
      <c r="F2163" s="1" t="s">
        <v>602</v>
      </c>
      <c r="G2163" s="1" t="s">
        <v>24</v>
      </c>
      <c r="H2163" s="1">
        <v>19657</v>
      </c>
      <c r="I2163" s="1">
        <v>47361</v>
      </c>
      <c r="J2163" s="7">
        <v>0.41499999999999998</v>
      </c>
      <c r="K2163" s="1" t="s">
        <v>21</v>
      </c>
      <c r="L2163" s="1" t="s">
        <v>29</v>
      </c>
      <c r="M2163" s="1" t="s">
        <v>29</v>
      </c>
      <c r="N2163" s="1" t="s">
        <v>22</v>
      </c>
    </row>
    <row r="2164" spans="1:14" x14ac:dyDescent="0.25">
      <c r="A2164" s="1">
        <v>2163</v>
      </c>
      <c r="B2164" s="2" t="str">
        <f>HYPERLINK("https://leetcode.com/problems/minimum-difference-in-sums-after-removal-of-elements/", "Minimum Difference in Sums After Removal of Elements")</f>
        <v>Minimum Difference in Sums After Removal of Elements</v>
      </c>
      <c r="C2164" s="1">
        <v>1134</v>
      </c>
      <c r="D2164" s="1">
        <v>43</v>
      </c>
      <c r="E2164" s="3">
        <f>IF(INDEX(C:C, ROW())+INDEX(D:D, ROW())=0, 0, INDEX(C:C, ROW())/(INDEX(C:C, ROW())+INDEX(D:D, ROW())))</f>
        <v>0.96346644010195415</v>
      </c>
      <c r="F2164" s="1" t="s">
        <v>678</v>
      </c>
      <c r="G2164" s="1" t="s">
        <v>28</v>
      </c>
      <c r="H2164" s="1">
        <v>82479</v>
      </c>
      <c r="I2164" s="1">
        <v>118067</v>
      </c>
      <c r="J2164" s="7">
        <v>0.69899999999999995</v>
      </c>
      <c r="K2164" s="1" t="s">
        <v>21</v>
      </c>
      <c r="L2164" s="1" t="s">
        <v>21</v>
      </c>
      <c r="M2164" s="1" t="s">
        <v>29</v>
      </c>
      <c r="N2164" s="1" t="s">
        <v>22</v>
      </c>
    </row>
    <row r="2165" spans="1:14" x14ac:dyDescent="0.25">
      <c r="A2165" s="1">
        <v>2164</v>
      </c>
      <c r="B2165" s="2" t="str">
        <f>HYPERLINK("https://leetcode.com/problems/sort-even-and-odd-indices-independently/", "Sort Even and Odd Indices Independently")</f>
        <v>Sort Even and Odd Indices Independently</v>
      </c>
      <c r="C2165" s="1">
        <v>797</v>
      </c>
      <c r="D2165" s="1">
        <v>70</v>
      </c>
      <c r="E2165" s="3">
        <f>IF(INDEX(C:C, ROW())+INDEX(D:D, ROW())=0, 0, INDEX(C:C, ROW())/(INDEX(C:C, ROW())+INDEX(D:D, ROW())))</f>
        <v>0.91926182237600917</v>
      </c>
      <c r="F2165" s="1" t="s">
        <v>42</v>
      </c>
      <c r="G2165" s="1" t="s">
        <v>20</v>
      </c>
      <c r="H2165" s="1">
        <v>89207</v>
      </c>
      <c r="I2165" s="1">
        <v>141245</v>
      </c>
      <c r="J2165" s="7">
        <v>0.63200000000000001</v>
      </c>
      <c r="K2165" s="1" t="s">
        <v>21</v>
      </c>
      <c r="L2165" s="1" t="s">
        <v>29</v>
      </c>
      <c r="M2165" s="1" t="s">
        <v>29</v>
      </c>
      <c r="N2165" s="1" t="s">
        <v>22</v>
      </c>
    </row>
    <row r="2166" spans="1:14" x14ac:dyDescent="0.25">
      <c r="A2166" s="1">
        <v>2165</v>
      </c>
      <c r="B2166" s="2" t="str">
        <f>HYPERLINK("https://leetcode.com/problems/smallest-value-of-the-rearranged-number/", "Smallest Value of the Rearranged Number")</f>
        <v>Smallest Value of the Rearranged Number</v>
      </c>
      <c r="C2166" s="1">
        <v>683</v>
      </c>
      <c r="D2166" s="1">
        <v>27</v>
      </c>
      <c r="E2166" s="3">
        <f>IF(INDEX(C:C, ROW())+INDEX(D:D, ROW())=0, 0, INDEX(C:C, ROW())/(INDEX(C:C, ROW())+INDEX(D:D, ROW())))</f>
        <v>0.96197183098591554</v>
      </c>
      <c r="F2166" s="1" t="s">
        <v>808</v>
      </c>
      <c r="G2166" s="1" t="s">
        <v>24</v>
      </c>
      <c r="H2166" s="1">
        <v>47307</v>
      </c>
      <c r="I2166" s="1">
        <v>88565</v>
      </c>
      <c r="J2166" s="7">
        <v>0.53400000000000003</v>
      </c>
      <c r="K2166" s="1" t="s">
        <v>21</v>
      </c>
      <c r="L2166" s="1" t="s">
        <v>29</v>
      </c>
      <c r="M2166" s="1" t="s">
        <v>29</v>
      </c>
      <c r="N2166" s="1" t="s">
        <v>22</v>
      </c>
    </row>
    <row r="2167" spans="1:14" x14ac:dyDescent="0.25">
      <c r="A2167" s="1">
        <v>2166</v>
      </c>
      <c r="B2167" s="2" t="str">
        <f>HYPERLINK("https://leetcode.com/problems/design-bitset/", "Design Bitset")</f>
        <v>Design Bitset</v>
      </c>
      <c r="C2167" s="1">
        <v>612</v>
      </c>
      <c r="D2167" s="1">
        <v>50</v>
      </c>
      <c r="E2167" s="3">
        <f>IF(INDEX(C:C, ROW())+INDEX(D:D, ROW())=0, 0, INDEX(C:C, ROW())/(INDEX(C:C, ROW())+INDEX(D:D, ROW())))</f>
        <v>0.92447129909365555</v>
      </c>
      <c r="F2167" s="1" t="s">
        <v>843</v>
      </c>
      <c r="G2167" s="1" t="s">
        <v>24</v>
      </c>
      <c r="H2167" s="1">
        <v>27896</v>
      </c>
      <c r="I2167" s="1">
        <v>85705</v>
      </c>
      <c r="J2167" s="7">
        <v>0.32500000000000001</v>
      </c>
      <c r="K2167" s="1" t="s">
        <v>21</v>
      </c>
      <c r="L2167" s="1" t="s">
        <v>29</v>
      </c>
      <c r="M2167" s="1" t="s">
        <v>29</v>
      </c>
      <c r="N2167" s="1" t="s">
        <v>22</v>
      </c>
    </row>
    <row r="2168" spans="1:14" x14ac:dyDescent="0.25">
      <c r="A2168" s="1">
        <v>2167</v>
      </c>
      <c r="B2168" s="2" t="str">
        <f>HYPERLINK("https://leetcode.com/problems/minimum-time-to-remove-all-cars-containing-illegal-goods/", "Minimum Time to Remove All Cars Containing Illegal Goods")</f>
        <v>Minimum Time to Remove All Cars Containing Illegal Goods</v>
      </c>
      <c r="C2168" s="1">
        <v>703</v>
      </c>
      <c r="D2168" s="1">
        <v>17</v>
      </c>
      <c r="E2168" s="3">
        <f>IF(INDEX(C:C, ROW())+INDEX(D:D, ROW())=0, 0, INDEX(C:C, ROW())/(INDEX(C:C, ROW())+INDEX(D:D, ROW())))</f>
        <v>0.97638888888888886</v>
      </c>
      <c r="F2168" s="1" t="s">
        <v>82</v>
      </c>
      <c r="G2168" s="1" t="s">
        <v>28</v>
      </c>
      <c r="H2168" s="1">
        <v>15129</v>
      </c>
      <c r="I2168" s="1">
        <v>36004</v>
      </c>
      <c r="J2168" s="7">
        <v>0.42</v>
      </c>
      <c r="K2168" s="1" t="s">
        <v>21</v>
      </c>
      <c r="L2168" s="1" t="s">
        <v>29</v>
      </c>
      <c r="M2168" s="1" t="s">
        <v>29</v>
      </c>
      <c r="N2168" s="1" t="s">
        <v>22</v>
      </c>
    </row>
    <row r="2169" spans="1:14" x14ac:dyDescent="0.25">
      <c r="A2169" s="1">
        <v>2168</v>
      </c>
      <c r="B2169" s="2" t="str">
        <f>HYPERLINK("https://leetcode.com/problems/unique-substrings-with-equal-digit-frequency/", "Unique Substrings With Equal Digit Frequency")</f>
        <v>Unique Substrings With Equal Digit Frequency</v>
      </c>
      <c r="C2169" s="1">
        <v>104</v>
      </c>
      <c r="D2169" s="1">
        <v>14</v>
      </c>
      <c r="E2169" s="3">
        <f>IF(INDEX(C:C, ROW())+INDEX(D:D, ROW())=0, 0, INDEX(C:C, ROW())/(INDEX(C:C, ROW())+INDEX(D:D, ROW())))</f>
        <v>0.88135593220338981</v>
      </c>
      <c r="F2169" s="1" t="s">
        <v>1178</v>
      </c>
      <c r="G2169" s="1" t="s">
        <v>24</v>
      </c>
      <c r="H2169" s="1">
        <v>9761</v>
      </c>
      <c r="I2169" s="1">
        <v>15127</v>
      </c>
      <c r="J2169" s="7">
        <v>0.64500000000000002</v>
      </c>
      <c r="K2169" s="1" t="s">
        <v>29</v>
      </c>
      <c r="L2169" s="1" t="s">
        <v>21</v>
      </c>
      <c r="M2169" s="1" t="s">
        <v>29</v>
      </c>
      <c r="N2169" s="1" t="s">
        <v>22</v>
      </c>
    </row>
    <row r="2170" spans="1:14" x14ac:dyDescent="0.25">
      <c r="A2170" s="1">
        <v>2169</v>
      </c>
      <c r="B2170" s="2" t="str">
        <f>HYPERLINK("https://leetcode.com/problems/count-operations-to-obtain-zero/", "Count Operations to Obtain Zero")</f>
        <v>Count Operations to Obtain Zero</v>
      </c>
      <c r="C2170" s="1">
        <v>914</v>
      </c>
      <c r="D2170" s="1">
        <v>36</v>
      </c>
      <c r="E2170" s="3">
        <f>IF(INDEX(C:C, ROW())+INDEX(D:D, ROW())=0, 0, INDEX(C:C, ROW())/(INDEX(C:C, ROW())+INDEX(D:D, ROW())))</f>
        <v>0.96210526315789469</v>
      </c>
      <c r="F2170" s="1" t="s">
        <v>465</v>
      </c>
      <c r="G2170" s="1" t="s">
        <v>20</v>
      </c>
      <c r="H2170" s="1">
        <v>222569</v>
      </c>
      <c r="I2170" s="1">
        <v>278889</v>
      </c>
      <c r="J2170" s="7">
        <v>0.79800000000000004</v>
      </c>
      <c r="K2170" s="1" t="s">
        <v>21</v>
      </c>
      <c r="L2170" s="1" t="s">
        <v>21</v>
      </c>
      <c r="M2170" s="1" t="s">
        <v>29</v>
      </c>
      <c r="N2170" s="1" t="s">
        <v>22</v>
      </c>
    </row>
    <row r="2171" spans="1:14" x14ac:dyDescent="0.25">
      <c r="A2171" s="1">
        <v>2170</v>
      </c>
      <c r="B2171" s="2" t="str">
        <f>HYPERLINK("https://leetcode.com/problems/minimum-operations-to-make-the-array-alternating/", "Minimum Operations to Make the Array Alternating")</f>
        <v>Minimum Operations to Make the Array Alternating</v>
      </c>
      <c r="C2171" s="1">
        <v>614</v>
      </c>
      <c r="D2171" s="1">
        <v>344</v>
      </c>
      <c r="E2171" s="3">
        <f>IF(INDEX(C:C, ROW())+INDEX(D:D, ROW())=0, 0, INDEX(C:C, ROW())/(INDEX(C:C, ROW())+INDEX(D:D, ROW())))</f>
        <v>0.64091858037578286</v>
      </c>
      <c r="F2171" s="1" t="s">
        <v>389</v>
      </c>
      <c r="G2171" s="1" t="s">
        <v>24</v>
      </c>
      <c r="H2171" s="1">
        <v>29203</v>
      </c>
      <c r="I2171" s="1">
        <v>82611</v>
      </c>
      <c r="J2171" s="7">
        <v>0.35399999999999998</v>
      </c>
      <c r="K2171" s="1" t="s">
        <v>21</v>
      </c>
      <c r="L2171" s="1" t="s">
        <v>29</v>
      </c>
      <c r="M2171" s="1" t="s">
        <v>29</v>
      </c>
      <c r="N2171" s="1" t="s">
        <v>22</v>
      </c>
    </row>
    <row r="2172" spans="1:14" x14ac:dyDescent="0.25">
      <c r="A2172" s="1">
        <v>2171</v>
      </c>
      <c r="B2172" s="2" t="str">
        <f>HYPERLINK("https://leetcode.com/problems/removing-minimum-number-of-magic-beans/", "Removing Minimum Number of Magic Beans")</f>
        <v>Removing Minimum Number of Magic Beans</v>
      </c>
      <c r="C2172" s="1">
        <v>939</v>
      </c>
      <c r="D2172" s="1">
        <v>49</v>
      </c>
      <c r="E2172" s="3">
        <f>IF(INDEX(C:C, ROW())+INDEX(D:D, ROW())=0, 0, INDEX(C:C, ROW())/(INDEX(C:C, ROW())+INDEX(D:D, ROW())))</f>
        <v>0.95040485829959509</v>
      </c>
      <c r="F2172" s="1" t="s">
        <v>730</v>
      </c>
      <c r="G2172" s="1" t="s">
        <v>24</v>
      </c>
      <c r="H2172" s="1">
        <v>34921</v>
      </c>
      <c r="I2172" s="1">
        <v>78658</v>
      </c>
      <c r="J2172" s="7">
        <v>0.44400000000000001</v>
      </c>
      <c r="K2172" s="1" t="s">
        <v>21</v>
      </c>
      <c r="L2172" s="1" t="s">
        <v>29</v>
      </c>
      <c r="M2172" s="1" t="s">
        <v>29</v>
      </c>
      <c r="N2172" s="1" t="s">
        <v>22</v>
      </c>
    </row>
    <row r="2173" spans="1:14" x14ac:dyDescent="0.25">
      <c r="A2173" s="1">
        <v>2172</v>
      </c>
      <c r="B2173" s="2" t="str">
        <f>HYPERLINK("https://leetcode.com/problems/maximum-and-sum-of-array/", "Maximum AND Sum of Array")</f>
        <v>Maximum AND Sum of Array</v>
      </c>
      <c r="C2173" s="1">
        <v>549</v>
      </c>
      <c r="D2173" s="1">
        <v>33</v>
      </c>
      <c r="E2173" s="3">
        <f>IF(INDEX(C:C, ROW())+INDEX(D:D, ROW())=0, 0, INDEX(C:C, ROW())/(INDEX(C:C, ROW())+INDEX(D:D, ROW())))</f>
        <v>0.94329896907216493</v>
      </c>
      <c r="F2173" s="1" t="s">
        <v>462</v>
      </c>
      <c r="G2173" s="1" t="s">
        <v>28</v>
      </c>
      <c r="H2173" s="1">
        <v>17532</v>
      </c>
      <c r="I2173" s="1">
        <v>34604</v>
      </c>
      <c r="J2173" s="7">
        <v>0.50700000000000001</v>
      </c>
      <c r="K2173" s="1" t="s">
        <v>21</v>
      </c>
      <c r="L2173" s="1" t="s">
        <v>29</v>
      </c>
      <c r="M2173" s="1" t="s">
        <v>29</v>
      </c>
      <c r="N2173" s="1" t="s">
        <v>22</v>
      </c>
    </row>
    <row r="2174" spans="1:14" x14ac:dyDescent="0.25">
      <c r="A2174" s="1">
        <v>2173</v>
      </c>
      <c r="B2174" s="2" t="str">
        <f>HYPERLINK("https://leetcode.com/problems/longest-winning-streak/", "Longest Winning Streak")</f>
        <v>Longest Winning Streak</v>
      </c>
      <c r="C2174" s="1">
        <v>105</v>
      </c>
      <c r="D2174" s="1">
        <v>4</v>
      </c>
      <c r="E2174" s="3">
        <f>IF(INDEX(C:C, ROW())+INDEX(D:D, ROW())=0, 0, INDEX(C:C, ROW())/(INDEX(C:C, ROW())+INDEX(D:D, ROW())))</f>
        <v>0.96330275229357798</v>
      </c>
      <c r="F2174" s="1" t="s">
        <v>297</v>
      </c>
      <c r="G2174" s="1" t="s">
        <v>28</v>
      </c>
      <c r="H2174" s="1">
        <v>7528</v>
      </c>
      <c r="I2174" s="1">
        <v>13907</v>
      </c>
      <c r="J2174" s="7">
        <v>0.54100000000000004</v>
      </c>
      <c r="K2174" s="1" t="s">
        <v>29</v>
      </c>
      <c r="L2174" s="1" t="s">
        <v>21</v>
      </c>
      <c r="M2174" s="1" t="s">
        <v>29</v>
      </c>
      <c r="N2174" s="1" t="s">
        <v>297</v>
      </c>
    </row>
    <row r="2175" spans="1:14" x14ac:dyDescent="0.25">
      <c r="A2175" s="1">
        <v>2174</v>
      </c>
      <c r="B2175" s="2" t="str">
        <f>HYPERLINK("https://leetcode.com/problems/remove-all-ones-with-row-and-column-flips-ii/", "Remove All Ones With Row and Column Flips II")</f>
        <v>Remove All Ones With Row and Column Flips II</v>
      </c>
      <c r="C2175" s="1">
        <v>94</v>
      </c>
      <c r="D2175" s="1">
        <v>24</v>
      </c>
      <c r="E2175" s="3">
        <f>IF(INDEX(C:C, ROW())+INDEX(D:D, ROW())=0, 0, INDEX(C:C, ROW())/(INDEX(C:C, ROW())+INDEX(D:D, ROW())))</f>
        <v>0.79661016949152541</v>
      </c>
      <c r="F2175" s="1" t="s">
        <v>431</v>
      </c>
      <c r="G2175" s="1" t="s">
        <v>24</v>
      </c>
      <c r="H2175" s="1">
        <v>5632</v>
      </c>
      <c r="I2175" s="1">
        <v>8376</v>
      </c>
      <c r="J2175" s="7">
        <v>0.67200000000000004</v>
      </c>
      <c r="K2175" s="1" t="s">
        <v>29</v>
      </c>
      <c r="L2175" s="1" t="s">
        <v>29</v>
      </c>
      <c r="M2175" s="1" t="s">
        <v>29</v>
      </c>
      <c r="N2175" s="1" t="s">
        <v>22</v>
      </c>
    </row>
    <row r="2176" spans="1:14" x14ac:dyDescent="0.25">
      <c r="A2176" s="1">
        <v>2175</v>
      </c>
      <c r="B2176" s="2" t="str">
        <f>HYPERLINK("https://leetcode.com/problems/the-change-in-global-rankings/", "The Change in Global Rankings")</f>
        <v>The Change in Global Rankings</v>
      </c>
      <c r="C2176" s="1">
        <v>47</v>
      </c>
      <c r="D2176" s="1">
        <v>19</v>
      </c>
      <c r="E2176" s="3">
        <f>IF(INDEX(C:C, ROW())+INDEX(D:D, ROW())=0, 0, INDEX(C:C, ROW())/(INDEX(C:C, ROW())+INDEX(D:D, ROW())))</f>
        <v>0.71212121212121215</v>
      </c>
      <c r="F2176" s="1" t="s">
        <v>297</v>
      </c>
      <c r="G2176" s="1" t="s">
        <v>24</v>
      </c>
      <c r="H2176" s="1">
        <v>8817</v>
      </c>
      <c r="I2176" s="1">
        <v>14488</v>
      </c>
      <c r="J2176" s="7">
        <v>0.60899999999999999</v>
      </c>
      <c r="K2176" s="1" t="s">
        <v>29</v>
      </c>
      <c r="L2176" s="1" t="s">
        <v>29</v>
      </c>
      <c r="M2176" s="1" t="s">
        <v>29</v>
      </c>
      <c r="N2176" s="1" t="s">
        <v>297</v>
      </c>
    </row>
    <row r="2177" spans="1:14" x14ac:dyDescent="0.25">
      <c r="A2177" s="1">
        <v>2176</v>
      </c>
      <c r="B2177" s="2" t="str">
        <f>HYPERLINK("https://leetcode.com/problems/count-equal-and-divisible-pairs-in-an-array/", "Count Equal and Divisible Pairs in an Array")</f>
        <v>Count Equal and Divisible Pairs in an Array</v>
      </c>
      <c r="C2177" s="1">
        <v>1037</v>
      </c>
      <c r="D2177" s="1">
        <v>69</v>
      </c>
      <c r="E2177" s="3">
        <f>IF(INDEX(C:C, ROW())+INDEX(D:D, ROW())=0, 0, INDEX(C:C, ROW())/(INDEX(C:C, ROW())+INDEX(D:D, ROW())))</f>
        <v>0.93761301989150092</v>
      </c>
      <c r="F2177" s="1" t="s">
        <v>113</v>
      </c>
      <c r="G2177" s="1" t="s">
        <v>20</v>
      </c>
      <c r="H2177" s="1">
        <v>233350</v>
      </c>
      <c r="I2177" s="1">
        <v>277838</v>
      </c>
      <c r="J2177" s="7">
        <v>0.84</v>
      </c>
      <c r="K2177" s="1" t="s">
        <v>21</v>
      </c>
      <c r="L2177" s="1" t="s">
        <v>21</v>
      </c>
      <c r="M2177" s="1" t="s">
        <v>29</v>
      </c>
      <c r="N2177" s="1" t="s">
        <v>22</v>
      </c>
    </row>
    <row r="2178" spans="1:14" x14ac:dyDescent="0.25">
      <c r="A2178" s="1">
        <v>2177</v>
      </c>
      <c r="B2178" s="2" t="str">
        <f>HYPERLINK("https://leetcode.com/problems/find-three-consecutive-integers-that-sum-to-a-given-number/", "Find Three Consecutive Integers That Sum to a Given Number")</f>
        <v>Find Three Consecutive Integers That Sum to a Given Number</v>
      </c>
      <c r="C2178" s="1">
        <v>730</v>
      </c>
      <c r="D2178" s="1">
        <v>233</v>
      </c>
      <c r="E2178" s="3">
        <f>IF(INDEX(C:C, ROW())+INDEX(D:D, ROW())=0, 0, INDEX(C:C, ROW())/(INDEX(C:C, ROW())+INDEX(D:D, ROW())))</f>
        <v>0.75804776739356183</v>
      </c>
      <c r="F2178" s="1" t="s">
        <v>465</v>
      </c>
      <c r="G2178" s="1" t="s">
        <v>24</v>
      </c>
      <c r="H2178" s="1">
        <v>64632</v>
      </c>
      <c r="I2178" s="1">
        <v>99025</v>
      </c>
      <c r="J2178" s="7">
        <v>0.65300000000000002</v>
      </c>
      <c r="K2178" s="1" t="s">
        <v>21</v>
      </c>
      <c r="L2178" s="1" t="s">
        <v>29</v>
      </c>
      <c r="M2178" s="1" t="s">
        <v>29</v>
      </c>
      <c r="N2178" s="1" t="s">
        <v>22</v>
      </c>
    </row>
    <row r="2179" spans="1:14" x14ac:dyDescent="0.25">
      <c r="A2179" s="1">
        <v>2178</v>
      </c>
      <c r="B2179" s="2" t="str">
        <f>HYPERLINK("https://leetcode.com/problems/maximum-split-of-positive-even-integers/", "Maximum Split of Positive Even Integers")</f>
        <v>Maximum Split of Positive Even Integers</v>
      </c>
      <c r="C2179" s="1">
        <v>825</v>
      </c>
      <c r="D2179" s="1">
        <v>75</v>
      </c>
      <c r="E2179" s="3">
        <f>IF(INDEX(C:C, ROW())+INDEX(D:D, ROW())=0, 0, INDEX(C:C, ROW())/(INDEX(C:C, ROW())+INDEX(D:D, ROW())))</f>
        <v>0.91666666666666663</v>
      </c>
      <c r="F2179" s="1" t="s">
        <v>762</v>
      </c>
      <c r="G2179" s="1" t="s">
        <v>24</v>
      </c>
      <c r="H2179" s="1">
        <v>55524</v>
      </c>
      <c r="I2179" s="1">
        <v>93109</v>
      </c>
      <c r="J2179" s="7">
        <v>0.59599999999999997</v>
      </c>
      <c r="K2179" s="1" t="s">
        <v>21</v>
      </c>
      <c r="L2179" s="1" t="s">
        <v>29</v>
      </c>
      <c r="M2179" s="1" t="s">
        <v>29</v>
      </c>
      <c r="N2179" s="1" t="s">
        <v>22</v>
      </c>
    </row>
    <row r="2180" spans="1:14" x14ac:dyDescent="0.25">
      <c r="A2180" s="1">
        <v>2179</v>
      </c>
      <c r="B2180" s="2" t="str">
        <f>HYPERLINK("https://leetcode.com/problems/count-good-triplets-in-an-array/", "Count Good Triplets in an Array")</f>
        <v>Count Good Triplets in an Array</v>
      </c>
      <c r="C2180" s="1">
        <v>1010</v>
      </c>
      <c r="D2180" s="1">
        <v>114</v>
      </c>
      <c r="E2180" s="3">
        <f>IF(INDEX(C:C, ROW())+INDEX(D:D, ROW())=0, 0, INDEX(C:C, ROW())/(INDEX(C:C, ROW())+INDEX(D:D, ROW())))</f>
        <v>0.89857651245551606</v>
      </c>
      <c r="F2180" s="1" t="s">
        <v>147</v>
      </c>
      <c r="G2180" s="1" t="s">
        <v>28</v>
      </c>
      <c r="H2180" s="1">
        <v>76483</v>
      </c>
      <c r="I2180" s="1">
        <v>116320</v>
      </c>
      <c r="J2180" s="7">
        <v>0.65800000000000003</v>
      </c>
      <c r="K2180" s="1" t="s">
        <v>21</v>
      </c>
      <c r="L2180" s="1" t="s">
        <v>21</v>
      </c>
      <c r="M2180" s="1" t="s">
        <v>29</v>
      </c>
      <c r="N2180" s="1" t="s">
        <v>22</v>
      </c>
    </row>
    <row r="2181" spans="1:14" x14ac:dyDescent="0.25">
      <c r="A2181" s="1">
        <v>2180</v>
      </c>
      <c r="B2181" s="2" t="str">
        <f>HYPERLINK("https://leetcode.com/problems/count-integers-with-even-digit-sum/", "Count Integers With Even Digit Sum")</f>
        <v>Count Integers With Even Digit Sum</v>
      </c>
      <c r="C2181" s="1">
        <v>710</v>
      </c>
      <c r="D2181" s="1">
        <v>43</v>
      </c>
      <c r="E2181" s="3">
        <f>IF(INDEX(C:C, ROW())+INDEX(D:D, ROW())=0, 0, INDEX(C:C, ROW())/(INDEX(C:C, ROW())+INDEX(D:D, ROW())))</f>
        <v>0.94289508632138119</v>
      </c>
      <c r="F2181" s="1" t="s">
        <v>465</v>
      </c>
      <c r="G2181" s="1" t="s">
        <v>20</v>
      </c>
      <c r="H2181" s="1">
        <v>93882</v>
      </c>
      <c r="I2181" s="1">
        <v>134597</v>
      </c>
      <c r="J2181" s="7">
        <v>0.69799999999999995</v>
      </c>
      <c r="K2181" s="1" t="s">
        <v>21</v>
      </c>
      <c r="L2181" s="1" t="s">
        <v>29</v>
      </c>
      <c r="M2181" s="1" t="s">
        <v>29</v>
      </c>
      <c r="N2181" s="1" t="s">
        <v>22</v>
      </c>
    </row>
    <row r="2182" spans="1:14" x14ac:dyDescent="0.25">
      <c r="A2182" s="1">
        <v>2181</v>
      </c>
      <c r="B2182" s="2" t="str">
        <f>HYPERLINK("https://leetcode.com/problems/merge-nodes-in-between-zeros/", "Merge Nodes in Between Zeros")</f>
        <v>Merge Nodes in Between Zeros</v>
      </c>
      <c r="C2182" s="1">
        <v>2492</v>
      </c>
      <c r="D2182" s="1">
        <v>53</v>
      </c>
      <c r="E2182" s="3">
        <f>IF(INDEX(C:C, ROW())+INDEX(D:D, ROW())=0, 0, INDEX(C:C, ROW())/(INDEX(C:C, ROW())+INDEX(D:D, ROW())))</f>
        <v>0.97917485265225934</v>
      </c>
      <c r="F2182" s="1" t="s">
        <v>427</v>
      </c>
      <c r="G2182" s="1" t="s">
        <v>24</v>
      </c>
      <c r="H2182" s="1">
        <v>339290</v>
      </c>
      <c r="I2182" s="1">
        <v>378417</v>
      </c>
      <c r="J2182" s="7">
        <v>0.89700000000000002</v>
      </c>
      <c r="K2182" s="1" t="s">
        <v>21</v>
      </c>
      <c r="L2182" s="1" t="s">
        <v>21</v>
      </c>
      <c r="M2182" s="1" t="s">
        <v>29</v>
      </c>
      <c r="N2182" s="1" t="s">
        <v>22</v>
      </c>
    </row>
    <row r="2183" spans="1:14" x14ac:dyDescent="0.25">
      <c r="A2183" s="1">
        <v>2182</v>
      </c>
      <c r="B2183" s="2" t="str">
        <f>HYPERLINK("https://leetcode.com/problems/construct-string-with-repeat-limit/", "Construct String With Repeat Limit")</f>
        <v>Construct String With Repeat Limit</v>
      </c>
      <c r="C2183" s="1">
        <v>1267</v>
      </c>
      <c r="D2183" s="1">
        <v>101</v>
      </c>
      <c r="E2183" s="3">
        <f>IF(INDEX(C:C, ROW())+INDEX(D:D, ROW())=0, 0, INDEX(C:C, ROW())/(INDEX(C:C, ROW())+INDEX(D:D, ROW())))</f>
        <v>0.92616959064327486</v>
      </c>
      <c r="F2183" s="1" t="s">
        <v>645</v>
      </c>
      <c r="G2183" s="1" t="s">
        <v>24</v>
      </c>
      <c r="H2183" s="1">
        <v>128624</v>
      </c>
      <c r="I2183" s="1">
        <v>181493</v>
      </c>
      <c r="J2183" s="7">
        <v>0.70899999999999996</v>
      </c>
      <c r="K2183" s="1" t="s">
        <v>21</v>
      </c>
      <c r="L2183" s="1" t="s">
        <v>21</v>
      </c>
      <c r="M2183" s="1" t="s">
        <v>29</v>
      </c>
      <c r="N2183" s="1" t="s">
        <v>22</v>
      </c>
    </row>
    <row r="2184" spans="1:14" x14ac:dyDescent="0.25">
      <c r="A2184" s="1">
        <v>2183</v>
      </c>
      <c r="B2184" s="2" t="str">
        <f>HYPERLINK("https://leetcode.com/problems/count-array-pairs-divisible-by-k/", "Count Array Pairs Divisible by K")</f>
        <v>Count Array Pairs Divisible by K</v>
      </c>
      <c r="C2184" s="1">
        <v>922</v>
      </c>
      <c r="D2184" s="1">
        <v>39</v>
      </c>
      <c r="E2184" s="3">
        <f>IF(INDEX(C:C, ROW())+INDEX(D:D, ROW())=0, 0, INDEX(C:C, ROW())/(INDEX(C:C, ROW())+INDEX(D:D, ROW())))</f>
        <v>0.95941727367325702</v>
      </c>
      <c r="F2184" s="1" t="s">
        <v>518</v>
      </c>
      <c r="G2184" s="1" t="s">
        <v>28</v>
      </c>
      <c r="H2184" s="1">
        <v>22738</v>
      </c>
      <c r="I2184" s="1">
        <v>74421</v>
      </c>
      <c r="J2184" s="7">
        <v>0.30599999999999999</v>
      </c>
      <c r="K2184" s="1" t="s">
        <v>21</v>
      </c>
      <c r="L2184" s="1" t="s">
        <v>29</v>
      </c>
      <c r="M2184" s="1" t="s">
        <v>29</v>
      </c>
      <c r="N2184" s="1" t="s">
        <v>22</v>
      </c>
    </row>
    <row r="2185" spans="1:14" x14ac:dyDescent="0.25">
      <c r="A2185" s="1">
        <v>2184</v>
      </c>
      <c r="B2185" s="2" t="str">
        <f>HYPERLINK("https://leetcode.com/problems/number-of-ways-to-build-sturdy-brick-wall/", "Number of Ways to Build Sturdy Brick Wall")</f>
        <v>Number of Ways to Build Sturdy Brick Wall</v>
      </c>
      <c r="C2185" s="1">
        <v>198</v>
      </c>
      <c r="D2185" s="1">
        <v>129</v>
      </c>
      <c r="E2185" s="3">
        <f>IF(INDEX(C:C, ROW())+INDEX(D:D, ROW())=0, 0, INDEX(C:C, ROW())/(INDEX(C:C, ROW())+INDEX(D:D, ROW())))</f>
        <v>0.60550458715596334</v>
      </c>
      <c r="F2185" s="1" t="s">
        <v>462</v>
      </c>
      <c r="G2185" s="1" t="s">
        <v>24</v>
      </c>
      <c r="H2185" s="1">
        <v>10048</v>
      </c>
      <c r="I2185" s="1">
        <v>20294</v>
      </c>
      <c r="J2185" s="7">
        <v>0.495</v>
      </c>
      <c r="K2185" s="1" t="s">
        <v>29</v>
      </c>
      <c r="L2185" s="1" t="s">
        <v>29</v>
      </c>
      <c r="M2185" s="1" t="s">
        <v>29</v>
      </c>
      <c r="N2185" s="1" t="s">
        <v>22</v>
      </c>
    </row>
    <row r="2186" spans="1:14" x14ac:dyDescent="0.25">
      <c r="A2186" s="1">
        <v>2185</v>
      </c>
      <c r="B2186" s="2" t="str">
        <f>HYPERLINK("https://leetcode.com/problems/counting-words-with-a-given-prefix/", "Counting Words With a Given Prefix")</f>
        <v>Counting Words With a Given Prefix</v>
      </c>
      <c r="C2186" s="1">
        <v>1121</v>
      </c>
      <c r="D2186" s="1">
        <v>38</v>
      </c>
      <c r="E2186" s="3">
        <f>IF(INDEX(C:C, ROW())+INDEX(D:D, ROW())=0, 0, INDEX(C:C, ROW())/(INDEX(C:C, ROW())+INDEX(D:D, ROW())))</f>
        <v>0.96721311475409832</v>
      </c>
      <c r="F2186" s="1" t="s">
        <v>592</v>
      </c>
      <c r="G2186" s="1" t="s">
        <v>20</v>
      </c>
      <c r="H2186" s="1">
        <v>301350</v>
      </c>
      <c r="I2186" s="1">
        <v>356769</v>
      </c>
      <c r="J2186" s="7">
        <v>0.84499999999999997</v>
      </c>
      <c r="K2186" s="1" t="s">
        <v>21</v>
      </c>
      <c r="L2186" s="1" t="s">
        <v>21</v>
      </c>
      <c r="M2186" s="1" t="s">
        <v>29</v>
      </c>
      <c r="N2186" s="1" t="s">
        <v>22</v>
      </c>
    </row>
    <row r="2187" spans="1:14" x14ac:dyDescent="0.25">
      <c r="A2187" s="1">
        <v>2186</v>
      </c>
      <c r="B2187" s="2" t="str">
        <f>HYPERLINK("https://leetcode.com/problems/minimum-number-of-steps-to-make-two-strings-anagram-ii/", "Minimum Number of Steps to Make Two Strings Anagram II")</f>
        <v>Minimum Number of Steps to Make Two Strings Anagram II</v>
      </c>
      <c r="C2187" s="1">
        <v>605</v>
      </c>
      <c r="D2187" s="1">
        <v>28</v>
      </c>
      <c r="E2187" s="3">
        <f>IF(INDEX(C:C, ROW())+INDEX(D:D, ROW())=0, 0, INDEX(C:C, ROW())/(INDEX(C:C, ROW())+INDEX(D:D, ROW())))</f>
        <v>0.95576619273301733</v>
      </c>
      <c r="F2187" s="1" t="s">
        <v>237</v>
      </c>
      <c r="G2187" s="1" t="s">
        <v>24</v>
      </c>
      <c r="H2187" s="1">
        <v>53727</v>
      </c>
      <c r="I2187" s="1">
        <v>73585</v>
      </c>
      <c r="J2187" s="7">
        <v>0.73</v>
      </c>
      <c r="K2187" s="1" t="s">
        <v>21</v>
      </c>
      <c r="L2187" s="1" t="s">
        <v>29</v>
      </c>
      <c r="M2187" s="1" t="s">
        <v>29</v>
      </c>
      <c r="N2187" s="1" t="s">
        <v>22</v>
      </c>
    </row>
    <row r="2188" spans="1:14" x14ac:dyDescent="0.25">
      <c r="A2188" s="1">
        <v>2187</v>
      </c>
      <c r="B2188" s="2" t="str">
        <f>HYPERLINK("https://leetcode.com/problems/minimum-time-to-complete-trips/", "Minimum Time to Complete Trips")</f>
        <v>Minimum Time to Complete Trips</v>
      </c>
      <c r="C2188" s="1">
        <v>3075</v>
      </c>
      <c r="D2188" s="1">
        <v>195</v>
      </c>
      <c r="E2188" s="3">
        <f>IF(INDEX(C:C, ROW())+INDEX(D:D, ROW())=0, 0, INDEX(C:C, ROW())/(INDEX(C:C, ROW())+INDEX(D:D, ROW())))</f>
        <v>0.94036697247706424</v>
      </c>
      <c r="F2188" s="1" t="s">
        <v>35</v>
      </c>
      <c r="G2188" s="1" t="s">
        <v>24</v>
      </c>
      <c r="H2188" s="1">
        <v>150952</v>
      </c>
      <c r="I2188" s="1">
        <v>381570</v>
      </c>
      <c r="J2188" s="7">
        <v>0.39600000000000002</v>
      </c>
      <c r="K2188" s="1" t="s">
        <v>21</v>
      </c>
      <c r="L2188" s="1" t="s">
        <v>21</v>
      </c>
      <c r="M2188" s="1" t="s">
        <v>29</v>
      </c>
      <c r="N2188" s="1" t="s">
        <v>22</v>
      </c>
    </row>
    <row r="2189" spans="1:14" x14ac:dyDescent="0.25">
      <c r="A2189" s="1">
        <v>2188</v>
      </c>
      <c r="B2189" s="2" t="str">
        <f>HYPERLINK("https://leetcode.com/problems/minimum-time-to-finish-the-race/", "Minimum Time to Finish the Race")</f>
        <v>Minimum Time to Finish the Race</v>
      </c>
      <c r="C2189" s="1">
        <v>602</v>
      </c>
      <c r="D2189" s="1">
        <v>29</v>
      </c>
      <c r="E2189" s="3">
        <f>IF(INDEX(C:C, ROW())+INDEX(D:D, ROW())=0, 0, INDEX(C:C, ROW())/(INDEX(C:C, ROW())+INDEX(D:D, ROW())))</f>
        <v>0.95404120443740092</v>
      </c>
      <c r="F2189" s="1" t="s">
        <v>30</v>
      </c>
      <c r="G2189" s="1" t="s">
        <v>28</v>
      </c>
      <c r="H2189" s="1">
        <v>15381</v>
      </c>
      <c r="I2189" s="1">
        <v>35525</v>
      </c>
      <c r="J2189" s="7">
        <v>0.433</v>
      </c>
      <c r="K2189" s="1" t="s">
        <v>21</v>
      </c>
      <c r="L2189" s="1" t="s">
        <v>29</v>
      </c>
      <c r="M2189" s="1" t="s">
        <v>29</v>
      </c>
      <c r="N2189" s="1" t="s">
        <v>22</v>
      </c>
    </row>
    <row r="2190" spans="1:14" x14ac:dyDescent="0.25">
      <c r="A2190" s="1">
        <v>2189</v>
      </c>
      <c r="B2190" s="2" t="str">
        <f>HYPERLINK("https://leetcode.com/problems/number-of-ways-to-build-house-of-cards/", "Number of Ways to Build House of Cards")</f>
        <v>Number of Ways to Build House of Cards</v>
      </c>
      <c r="C2190" s="1">
        <v>69</v>
      </c>
      <c r="D2190" s="1">
        <v>18</v>
      </c>
      <c r="E2190" s="3">
        <f>IF(INDEX(C:C, ROW())+INDEX(D:D, ROW())=0, 0, INDEX(C:C, ROW())/(INDEX(C:C, ROW())+INDEX(D:D, ROW())))</f>
        <v>0.7931034482758621</v>
      </c>
      <c r="F2190" s="1" t="s">
        <v>250</v>
      </c>
      <c r="G2190" s="1" t="s">
        <v>24</v>
      </c>
      <c r="H2190" s="1">
        <v>3711</v>
      </c>
      <c r="I2190" s="1">
        <v>5925</v>
      </c>
      <c r="J2190" s="7">
        <v>0.626</v>
      </c>
      <c r="K2190" s="1" t="s">
        <v>29</v>
      </c>
      <c r="L2190" s="1" t="s">
        <v>29</v>
      </c>
      <c r="M2190" s="1" t="s">
        <v>29</v>
      </c>
      <c r="N2190" s="1" t="s">
        <v>22</v>
      </c>
    </row>
    <row r="2191" spans="1:14" x14ac:dyDescent="0.25">
      <c r="A2191" s="1">
        <v>2190</v>
      </c>
      <c r="B2191" s="2" t="str">
        <f>HYPERLINK("https://leetcode.com/problems/most-frequent-number-following-key-in-an-array/", "Most Frequent Number Following Key In an Array")</f>
        <v>Most Frequent Number Following Key In an Array</v>
      </c>
      <c r="C2191" s="1">
        <v>409</v>
      </c>
      <c r="D2191" s="1">
        <v>253</v>
      </c>
      <c r="E2191" s="3">
        <f>IF(INDEX(C:C, ROW())+INDEX(D:D, ROW())=0, 0, INDEX(C:C, ROW())/(INDEX(C:C, ROW())+INDEX(D:D, ROW())))</f>
        <v>0.6178247734138973</v>
      </c>
      <c r="F2191" s="1" t="s">
        <v>294</v>
      </c>
      <c r="G2191" s="1" t="s">
        <v>20</v>
      </c>
      <c r="H2191" s="1">
        <v>49886</v>
      </c>
      <c r="I2191" s="1">
        <v>84006</v>
      </c>
      <c r="J2191" s="7">
        <v>0.59399999999999997</v>
      </c>
      <c r="K2191" s="1" t="s">
        <v>21</v>
      </c>
      <c r="L2191" s="1" t="s">
        <v>29</v>
      </c>
      <c r="M2191" s="1" t="s">
        <v>29</v>
      </c>
      <c r="N2191" s="1" t="s">
        <v>22</v>
      </c>
    </row>
    <row r="2192" spans="1:14" x14ac:dyDescent="0.25">
      <c r="A2192" s="1">
        <v>2191</v>
      </c>
      <c r="B2192" s="2" t="str">
        <f>HYPERLINK("https://leetcode.com/problems/sort-the-jumbled-numbers/", "Sort the Jumbled Numbers")</f>
        <v>Sort the Jumbled Numbers</v>
      </c>
      <c r="C2192" s="1">
        <v>957</v>
      </c>
      <c r="D2192" s="1">
        <v>140</v>
      </c>
      <c r="E2192" s="3">
        <f>IF(INDEX(C:C, ROW())+INDEX(D:D, ROW())=0, 0, INDEX(C:C, ROW())/(INDEX(C:C, ROW())+INDEX(D:D, ROW())))</f>
        <v>0.87237921604375568</v>
      </c>
      <c r="F2192" s="1" t="s">
        <v>42</v>
      </c>
      <c r="G2192" s="1" t="s">
        <v>24</v>
      </c>
      <c r="H2192" s="1">
        <v>154696</v>
      </c>
      <c r="I2192" s="1">
        <v>257990</v>
      </c>
      <c r="J2192" s="7">
        <v>0.6</v>
      </c>
      <c r="K2192" s="1" t="s">
        <v>21</v>
      </c>
      <c r="L2192" s="1" t="s">
        <v>21</v>
      </c>
      <c r="M2192" s="1" t="s">
        <v>29</v>
      </c>
      <c r="N2192" s="1" t="s">
        <v>22</v>
      </c>
    </row>
    <row r="2193" spans="1:14" x14ac:dyDescent="0.25">
      <c r="A2193" s="1">
        <v>2192</v>
      </c>
      <c r="B2193" s="2" t="str">
        <f>HYPERLINK("https://leetcode.com/problems/all-ancestors-of-a-node-in-a-directed-acyclic-graph/", "All Ancestors of a Node in a Directed Acyclic Graph")</f>
        <v>All Ancestors of a Node in a Directed Acyclic Graph</v>
      </c>
      <c r="C2193" s="1">
        <v>1749</v>
      </c>
      <c r="D2193" s="1">
        <v>44</v>
      </c>
      <c r="E2193" s="3">
        <f>IF(INDEX(C:C, ROW())+INDEX(D:D, ROW())=0, 0, INDEX(C:C, ROW())/(INDEX(C:C, ROW())+INDEX(D:D, ROW())))</f>
        <v>0.97546012269938653</v>
      </c>
      <c r="F2193" s="1" t="s">
        <v>72</v>
      </c>
      <c r="G2193" s="1" t="s">
        <v>24</v>
      </c>
      <c r="H2193" s="1">
        <v>159065</v>
      </c>
      <c r="I2193" s="1">
        <v>256034</v>
      </c>
      <c r="J2193" s="7">
        <v>0.621</v>
      </c>
      <c r="K2193" s="1" t="s">
        <v>21</v>
      </c>
      <c r="L2193" s="1" t="s">
        <v>21</v>
      </c>
      <c r="M2193" s="1" t="s">
        <v>29</v>
      </c>
      <c r="N2193" s="1" t="s">
        <v>22</v>
      </c>
    </row>
    <row r="2194" spans="1:14" x14ac:dyDescent="0.25">
      <c r="A2194" s="1">
        <v>2193</v>
      </c>
      <c r="B2194" s="2" t="str">
        <f>HYPERLINK("https://leetcode.com/problems/minimum-number-of-moves-to-make-palindrome/", "Minimum Number of Moves to Make Palindrome")</f>
        <v>Minimum Number of Moves to Make Palindrome</v>
      </c>
      <c r="C2194" s="1">
        <v>1049</v>
      </c>
      <c r="D2194" s="1">
        <v>78</v>
      </c>
      <c r="E2194" s="3">
        <f>IF(INDEX(C:C, ROW())+INDEX(D:D, ROW())=0, 0, INDEX(C:C, ROW())/(INDEX(C:C, ROW())+INDEX(D:D, ROW())))</f>
        <v>0.93078970718722276</v>
      </c>
      <c r="F2194" s="1" t="s">
        <v>703</v>
      </c>
      <c r="G2194" s="1" t="s">
        <v>28</v>
      </c>
      <c r="H2194" s="1">
        <v>34388</v>
      </c>
      <c r="I2194" s="1">
        <v>65380</v>
      </c>
      <c r="J2194" s="7">
        <v>0.52600000000000002</v>
      </c>
      <c r="K2194" s="1" t="s">
        <v>21</v>
      </c>
      <c r="L2194" s="1" t="s">
        <v>29</v>
      </c>
      <c r="M2194" s="1" t="s">
        <v>29</v>
      </c>
      <c r="N2194" s="1" t="s">
        <v>22</v>
      </c>
    </row>
    <row r="2195" spans="1:14" x14ac:dyDescent="0.25">
      <c r="A2195" s="1">
        <v>2194</v>
      </c>
      <c r="B2195" s="2" t="str">
        <f>HYPERLINK("https://leetcode.com/problems/cells-in-a-range-on-an-excel-sheet/", "Cells in a Range on an Excel Sheet")</f>
        <v>Cells in a Range on an Excel Sheet</v>
      </c>
      <c r="C2195" s="1">
        <v>648</v>
      </c>
      <c r="D2195" s="1">
        <v>100</v>
      </c>
      <c r="E2195" s="3">
        <f>IF(INDEX(C:C, ROW())+INDEX(D:D, ROW())=0, 0, INDEX(C:C, ROW())/(INDEX(C:C, ROW())+INDEX(D:D, ROW())))</f>
        <v>0.86631016042780751</v>
      </c>
      <c r="F2195" s="1" t="s">
        <v>146</v>
      </c>
      <c r="G2195" s="1" t="s">
        <v>20</v>
      </c>
      <c r="H2195" s="1">
        <v>85572</v>
      </c>
      <c r="I2195" s="1">
        <v>101673</v>
      </c>
      <c r="J2195" s="7">
        <v>0.84199999999999997</v>
      </c>
      <c r="K2195" s="1" t="s">
        <v>21</v>
      </c>
      <c r="L2195" s="1" t="s">
        <v>29</v>
      </c>
      <c r="M2195" s="1" t="s">
        <v>29</v>
      </c>
      <c r="N2195" s="1" t="s">
        <v>22</v>
      </c>
    </row>
    <row r="2196" spans="1:14" x14ac:dyDescent="0.25">
      <c r="A2196" s="1">
        <v>2195</v>
      </c>
      <c r="B2196" s="2" t="str">
        <f>HYPERLINK("https://leetcode.com/problems/append-k-integers-with-minimal-sum/", "Append K Integers With Minimal Sum")</f>
        <v>Append K Integers With Minimal Sum</v>
      </c>
      <c r="C2196" s="1">
        <v>833</v>
      </c>
      <c r="D2196" s="1">
        <v>313</v>
      </c>
      <c r="E2196" s="3">
        <f>IF(INDEX(C:C, ROW())+INDEX(D:D, ROW())=0, 0, INDEX(C:C, ROW())/(INDEX(C:C, ROW())+INDEX(D:D, ROW())))</f>
        <v>0.72687609075043635</v>
      </c>
      <c r="F2196" s="1" t="s">
        <v>354</v>
      </c>
      <c r="G2196" s="1" t="s">
        <v>24</v>
      </c>
      <c r="H2196" s="1">
        <v>41533</v>
      </c>
      <c r="I2196" s="1">
        <v>154698</v>
      </c>
      <c r="J2196" s="7">
        <v>0.26800000000000002</v>
      </c>
      <c r="K2196" s="1" t="s">
        <v>21</v>
      </c>
      <c r="L2196" s="1" t="s">
        <v>29</v>
      </c>
      <c r="M2196" s="1" t="s">
        <v>29</v>
      </c>
      <c r="N2196" s="1" t="s">
        <v>22</v>
      </c>
    </row>
    <row r="2197" spans="1:14" x14ac:dyDescent="0.25">
      <c r="A2197" s="1">
        <v>2196</v>
      </c>
      <c r="B2197" s="2" t="str">
        <f>HYPERLINK("https://leetcode.com/problems/create-binary-tree-from-descriptions/", "Create Binary Tree From Descriptions")</f>
        <v>Create Binary Tree From Descriptions</v>
      </c>
      <c r="C2197" s="1">
        <v>1656</v>
      </c>
      <c r="D2197" s="1">
        <v>39</v>
      </c>
      <c r="E2197" s="3">
        <f>IF(INDEX(C:C, ROW())+INDEX(D:D, ROW())=0, 0, INDEX(C:C, ROW())/(INDEX(C:C, ROW())+INDEX(D:D, ROW())))</f>
        <v>0.97699115044247786</v>
      </c>
      <c r="F2197" s="1" t="s">
        <v>551</v>
      </c>
      <c r="G2197" s="1" t="s">
        <v>24</v>
      </c>
      <c r="H2197" s="1">
        <v>169367</v>
      </c>
      <c r="I2197" s="1">
        <v>207244</v>
      </c>
      <c r="J2197" s="7">
        <v>0.81699999999999995</v>
      </c>
      <c r="K2197" s="1" t="s">
        <v>21</v>
      </c>
      <c r="L2197" s="1" t="s">
        <v>21</v>
      </c>
      <c r="M2197" s="1" t="s">
        <v>29</v>
      </c>
      <c r="N2197" s="1" t="s">
        <v>22</v>
      </c>
    </row>
    <row r="2198" spans="1:14" x14ac:dyDescent="0.25">
      <c r="A2198" s="1">
        <v>2197</v>
      </c>
      <c r="B2198" s="2" t="str">
        <f>HYPERLINK("https://leetcode.com/problems/replace-non-coprime-numbers-in-array/", "Replace Non-Coprime Numbers in Array")</f>
        <v>Replace Non-Coprime Numbers in Array</v>
      </c>
      <c r="C2198" s="1">
        <v>842</v>
      </c>
      <c r="D2198" s="1">
        <v>33</v>
      </c>
      <c r="E2198" s="3">
        <f>IF(INDEX(C:C, ROW())+INDEX(D:D, ROW())=0, 0, INDEX(C:C, ROW())/(INDEX(C:C, ROW())+INDEX(D:D, ROW())))</f>
        <v>0.9622857142857143</v>
      </c>
      <c r="F2198" s="1" t="s">
        <v>753</v>
      </c>
      <c r="G2198" s="1" t="s">
        <v>28</v>
      </c>
      <c r="H2198" s="1">
        <v>113468</v>
      </c>
      <c r="I2198" s="1">
        <v>196761</v>
      </c>
      <c r="J2198" s="7">
        <v>0.57699999999999996</v>
      </c>
      <c r="K2198" s="1" t="s">
        <v>21</v>
      </c>
      <c r="L2198" s="1" t="s">
        <v>21</v>
      </c>
      <c r="M2198" s="1" t="s">
        <v>29</v>
      </c>
      <c r="N2198" s="1" t="s">
        <v>22</v>
      </c>
    </row>
    <row r="2199" spans="1:14" x14ac:dyDescent="0.25">
      <c r="A2199" s="1">
        <v>2198</v>
      </c>
      <c r="B2199" s="2" t="str">
        <f>HYPERLINK("https://leetcode.com/problems/number-of-single-divisor-triplets/", "Number of Single Divisor Triplets")</f>
        <v>Number of Single Divisor Triplets</v>
      </c>
      <c r="C2199" s="1">
        <v>28</v>
      </c>
      <c r="D2199" s="1">
        <v>12</v>
      </c>
      <c r="E2199" s="3">
        <f>IF(INDEX(C:C, ROW())+INDEX(D:D, ROW())=0, 0, INDEX(C:C, ROW())/(INDEX(C:C, ROW())+INDEX(D:D, ROW())))</f>
        <v>0.7</v>
      </c>
      <c r="F2199" s="1" t="s">
        <v>1307</v>
      </c>
      <c r="G2199" s="1" t="s">
        <v>24</v>
      </c>
      <c r="H2199" s="1">
        <v>1554</v>
      </c>
      <c r="I2199" s="1">
        <v>2837</v>
      </c>
      <c r="J2199" s="7">
        <v>0.54800000000000004</v>
      </c>
      <c r="K2199" s="1" t="s">
        <v>29</v>
      </c>
      <c r="L2199" s="1" t="s">
        <v>29</v>
      </c>
      <c r="M2199" s="1" t="s">
        <v>29</v>
      </c>
      <c r="N2199" s="1" t="s">
        <v>22</v>
      </c>
    </row>
    <row r="2200" spans="1:14" x14ac:dyDescent="0.25">
      <c r="A2200" s="1">
        <v>2199</v>
      </c>
      <c r="B2200" s="2" t="str">
        <f>HYPERLINK("https://leetcode.com/problems/finding-the-topic-of-each-post/", "Finding the Topic of Each Post")</f>
        <v>Finding the Topic of Each Post</v>
      </c>
      <c r="C2200" s="1">
        <v>48</v>
      </c>
      <c r="D2200" s="1">
        <v>15</v>
      </c>
      <c r="E2200" s="3">
        <f>IF(INDEX(C:C, ROW())+INDEX(D:D, ROW())=0, 0, INDEX(C:C, ROW())/(INDEX(C:C, ROW())+INDEX(D:D, ROW())))</f>
        <v>0.76190476190476186</v>
      </c>
      <c r="F2200" s="1" t="s">
        <v>297</v>
      </c>
      <c r="G2200" s="1" t="s">
        <v>28</v>
      </c>
      <c r="H2200" s="1">
        <v>5304</v>
      </c>
      <c r="I2200" s="1">
        <v>10559</v>
      </c>
      <c r="J2200" s="7">
        <v>0.502</v>
      </c>
      <c r="K2200" s="1" t="s">
        <v>29</v>
      </c>
      <c r="L2200" s="1" t="s">
        <v>29</v>
      </c>
      <c r="M2200" s="1" t="s">
        <v>29</v>
      </c>
      <c r="N2200" s="1" t="s">
        <v>297</v>
      </c>
    </row>
    <row r="2201" spans="1:14" x14ac:dyDescent="0.25">
      <c r="A2201" s="1">
        <v>2200</v>
      </c>
      <c r="B2201" s="2" t="str">
        <f>HYPERLINK("https://leetcode.com/problems/find-all-k-distant-indices-in-an-array/", "Find All K-Distant Indices in an Array")</f>
        <v>Find All K-Distant Indices in an Array</v>
      </c>
      <c r="C2201" s="1">
        <v>806</v>
      </c>
      <c r="D2201" s="1">
        <v>136</v>
      </c>
      <c r="E2201" s="3">
        <f>IF(INDEX(C:C, ROW())+INDEX(D:D, ROW())=0, 0, INDEX(C:C, ROW())/(INDEX(C:C, ROW())+INDEX(D:D, ROW())))</f>
        <v>0.85562632696390661</v>
      </c>
      <c r="F2201" s="1" t="s">
        <v>51</v>
      </c>
      <c r="G2201" s="1" t="s">
        <v>20</v>
      </c>
      <c r="H2201" s="1">
        <v>179552</v>
      </c>
      <c r="I2201" s="1">
        <v>231969</v>
      </c>
      <c r="J2201" s="7">
        <v>0.77400000000000002</v>
      </c>
      <c r="K2201" s="1" t="s">
        <v>21</v>
      </c>
      <c r="L2201" s="1" t="s">
        <v>21</v>
      </c>
      <c r="M2201" s="1" t="s">
        <v>29</v>
      </c>
      <c r="N2201" s="1" t="s">
        <v>22</v>
      </c>
    </row>
    <row r="2202" spans="1:14" x14ac:dyDescent="0.25">
      <c r="A2202" s="1">
        <v>2201</v>
      </c>
      <c r="B2202" s="2" t="str">
        <f>HYPERLINK("https://leetcode.com/problems/count-artifacts-that-can-be-extracted/", "Count Artifacts That Can Be Extracted")</f>
        <v>Count Artifacts That Can Be Extracted</v>
      </c>
      <c r="C2202" s="1">
        <v>225</v>
      </c>
      <c r="D2202" s="1">
        <v>204</v>
      </c>
      <c r="E2202" s="3">
        <f>IF(INDEX(C:C, ROW())+INDEX(D:D, ROW())=0, 0, INDEX(C:C, ROW())/(INDEX(C:C, ROW())+INDEX(D:D, ROW())))</f>
        <v>0.52447552447552448</v>
      </c>
      <c r="F2202" s="1" t="s">
        <v>736</v>
      </c>
      <c r="G2202" s="1" t="s">
        <v>24</v>
      </c>
      <c r="H2202" s="1">
        <v>23088</v>
      </c>
      <c r="I2202" s="1">
        <v>40466</v>
      </c>
      <c r="J2202" s="7">
        <v>0.57099999999999995</v>
      </c>
      <c r="K2202" s="1" t="s">
        <v>21</v>
      </c>
      <c r="L2202" s="1" t="s">
        <v>29</v>
      </c>
      <c r="M2202" s="1" t="s">
        <v>29</v>
      </c>
      <c r="N2202" s="1" t="s">
        <v>22</v>
      </c>
    </row>
    <row r="2203" spans="1:14" x14ac:dyDescent="0.25">
      <c r="A2203" s="1">
        <v>2202</v>
      </c>
      <c r="B2203" s="2" t="str">
        <f>HYPERLINK("https://leetcode.com/problems/maximize-the-topmost-element-after-k-moves/", "Maximize the Topmost Element After K Moves")</f>
        <v>Maximize the Topmost Element After K Moves</v>
      </c>
      <c r="C2203" s="1">
        <v>649</v>
      </c>
      <c r="D2203" s="1">
        <v>333</v>
      </c>
      <c r="E2203" s="3">
        <f>IF(INDEX(C:C, ROW())+INDEX(D:D, ROW())=0, 0, INDEX(C:C, ROW())/(INDEX(C:C, ROW())+INDEX(D:D, ROW())))</f>
        <v>0.66089613034623218</v>
      </c>
      <c r="F2203" s="1" t="s">
        <v>96</v>
      </c>
      <c r="G2203" s="1" t="s">
        <v>24</v>
      </c>
      <c r="H2203" s="1">
        <v>37732</v>
      </c>
      <c r="I2203" s="1">
        <v>157448</v>
      </c>
      <c r="J2203" s="7">
        <v>0.24</v>
      </c>
      <c r="K2203" s="1" t="s">
        <v>21</v>
      </c>
      <c r="L2203" s="1" t="s">
        <v>29</v>
      </c>
      <c r="M2203" s="1" t="s">
        <v>29</v>
      </c>
      <c r="N2203" s="1" t="s">
        <v>22</v>
      </c>
    </row>
    <row r="2204" spans="1:14" x14ac:dyDescent="0.25">
      <c r="A2204" s="1">
        <v>2203</v>
      </c>
      <c r="B2204" s="2" t="str">
        <f>HYPERLINK("https://leetcode.com/problems/minimum-weighted-subgraph-with-the-required-paths/", "Minimum Weighted Subgraph With the Required Paths")</f>
        <v>Minimum Weighted Subgraph With the Required Paths</v>
      </c>
      <c r="C2204" s="1">
        <v>780</v>
      </c>
      <c r="D2204" s="1">
        <v>23</v>
      </c>
      <c r="E2204" s="3">
        <f>IF(INDEX(C:C, ROW())+INDEX(D:D, ROW())=0, 0, INDEX(C:C, ROW())/(INDEX(C:C, ROW())+INDEX(D:D, ROW())))</f>
        <v>0.97135740971357409</v>
      </c>
      <c r="F2204" s="1" t="s">
        <v>737</v>
      </c>
      <c r="G2204" s="1" t="s">
        <v>28</v>
      </c>
      <c r="H2204" s="1">
        <v>20925</v>
      </c>
      <c r="I2204" s="1">
        <v>50955</v>
      </c>
      <c r="J2204" s="7">
        <v>0.41099999999999998</v>
      </c>
      <c r="K2204" s="1" t="s">
        <v>21</v>
      </c>
      <c r="L2204" s="1" t="s">
        <v>29</v>
      </c>
      <c r="M2204" s="1" t="s">
        <v>29</v>
      </c>
      <c r="N2204" s="1" t="s">
        <v>22</v>
      </c>
    </row>
    <row r="2205" spans="1:14" x14ac:dyDescent="0.25">
      <c r="A2205" s="1">
        <v>2204</v>
      </c>
      <c r="B2205" s="2" t="str">
        <f>HYPERLINK("https://leetcode.com/problems/distance-to-a-cycle-in-undirected-graph/", "Distance to a Cycle in Undirected Graph")</f>
        <v>Distance to a Cycle in Undirected Graph</v>
      </c>
      <c r="C2205" s="1">
        <v>152</v>
      </c>
      <c r="D2205" s="1">
        <v>11</v>
      </c>
      <c r="E2205" s="3">
        <f>IF(INDEX(C:C, ROW())+INDEX(D:D, ROW())=0, 0, INDEX(C:C, ROW())/(INDEX(C:C, ROW())+INDEX(D:D, ROW())))</f>
        <v>0.93251533742331283</v>
      </c>
      <c r="F2205" s="1" t="s">
        <v>72</v>
      </c>
      <c r="G2205" s="1" t="s">
        <v>28</v>
      </c>
      <c r="H2205" s="1">
        <v>6922</v>
      </c>
      <c r="I2205" s="1">
        <v>9405</v>
      </c>
      <c r="J2205" s="7">
        <v>0.73599999999999999</v>
      </c>
      <c r="K2205" s="1" t="s">
        <v>29</v>
      </c>
      <c r="L2205" s="1" t="s">
        <v>21</v>
      </c>
      <c r="M2205" s="1" t="s">
        <v>29</v>
      </c>
      <c r="N2205" s="1" t="s">
        <v>22</v>
      </c>
    </row>
    <row r="2206" spans="1:14" x14ac:dyDescent="0.25">
      <c r="A2206" s="1">
        <v>2205</v>
      </c>
      <c r="B2206" s="2" t="str">
        <f>HYPERLINK("https://leetcode.com/problems/the-number-of-users-that-are-eligible-for-discount/", "The Number of Users That Are Eligible for Discount")</f>
        <v>The Number of Users That Are Eligible for Discount</v>
      </c>
      <c r="C2206" s="1">
        <v>32</v>
      </c>
      <c r="D2206" s="1">
        <v>77</v>
      </c>
      <c r="E2206" s="3">
        <f>IF(INDEX(C:C, ROW())+INDEX(D:D, ROW())=0, 0, INDEX(C:C, ROW())/(INDEX(C:C, ROW())+INDEX(D:D, ROW())))</f>
        <v>0.29357798165137616</v>
      </c>
      <c r="F2206" s="1" t="s">
        <v>297</v>
      </c>
      <c r="G2206" s="1" t="s">
        <v>20</v>
      </c>
      <c r="H2206" s="1">
        <v>8389</v>
      </c>
      <c r="I2206" s="1">
        <v>16525</v>
      </c>
      <c r="J2206" s="7">
        <v>0.50800000000000001</v>
      </c>
      <c r="K2206" s="1" t="s">
        <v>29</v>
      </c>
      <c r="L2206" s="1" t="s">
        <v>29</v>
      </c>
      <c r="M2206" s="1" t="s">
        <v>29</v>
      </c>
      <c r="N2206" s="1" t="s">
        <v>297</v>
      </c>
    </row>
    <row r="2207" spans="1:14" x14ac:dyDescent="0.25">
      <c r="A2207" s="1">
        <v>2206</v>
      </c>
      <c r="B2207" s="2" t="str">
        <f>HYPERLINK("https://leetcode.com/problems/divide-array-into-equal-pairs/", "Divide Array Into Equal Pairs")</f>
        <v>Divide Array Into Equal Pairs</v>
      </c>
      <c r="C2207" s="1">
        <v>1193</v>
      </c>
      <c r="D2207" s="1">
        <v>50</v>
      </c>
      <c r="E2207" s="3">
        <f>IF(INDEX(C:C, ROW())+INDEX(D:D, ROW())=0, 0, INDEX(C:C, ROW())/(INDEX(C:C, ROW())+INDEX(D:D, ROW())))</f>
        <v>0.95977473853580053</v>
      </c>
      <c r="F2207" s="1" t="s">
        <v>657</v>
      </c>
      <c r="G2207" s="1" t="s">
        <v>20</v>
      </c>
      <c r="H2207" s="1">
        <v>299114</v>
      </c>
      <c r="I2207" s="1">
        <v>377502</v>
      </c>
      <c r="J2207" s="7">
        <v>0.79200000000000004</v>
      </c>
      <c r="K2207" s="1" t="s">
        <v>21</v>
      </c>
      <c r="L2207" s="1" t="s">
        <v>21</v>
      </c>
      <c r="M2207" s="1" t="s">
        <v>29</v>
      </c>
      <c r="N2207" s="1" t="s">
        <v>22</v>
      </c>
    </row>
    <row r="2208" spans="1:14" x14ac:dyDescent="0.25">
      <c r="A2208" s="1">
        <v>2207</v>
      </c>
      <c r="B2208" s="2" t="str">
        <f>HYPERLINK("https://leetcode.com/problems/maximize-number-of-subsequences-in-a-string/", "Maximize Number of Subsequences in a String")</f>
        <v>Maximize Number of Subsequences in a String</v>
      </c>
      <c r="C2208" s="1">
        <v>530</v>
      </c>
      <c r="D2208" s="1">
        <v>35</v>
      </c>
      <c r="E2208" s="3">
        <f>IF(INDEX(C:C, ROW())+INDEX(D:D, ROW())=0, 0, INDEX(C:C, ROW())/(INDEX(C:C, ROW())+INDEX(D:D, ROW())))</f>
        <v>0.93805309734513276</v>
      </c>
      <c r="F2208" s="1" t="s">
        <v>896</v>
      </c>
      <c r="G2208" s="1" t="s">
        <v>24</v>
      </c>
      <c r="H2208" s="1">
        <v>24377</v>
      </c>
      <c r="I2208" s="1">
        <v>67840</v>
      </c>
      <c r="J2208" s="7">
        <v>0.35899999999999999</v>
      </c>
      <c r="K2208" s="1" t="s">
        <v>21</v>
      </c>
      <c r="L2208" s="1" t="s">
        <v>29</v>
      </c>
      <c r="M2208" s="1" t="s">
        <v>29</v>
      </c>
      <c r="N2208" s="1" t="s">
        <v>22</v>
      </c>
    </row>
    <row r="2209" spans="1:14" x14ac:dyDescent="0.25">
      <c r="A2209" s="1">
        <v>2208</v>
      </c>
      <c r="B2209" s="2" t="str">
        <f>HYPERLINK("https://leetcode.com/problems/minimum-operations-to-halve-array-sum/", "Minimum Operations to Halve Array Sum")</f>
        <v>Minimum Operations to Halve Array Sum</v>
      </c>
      <c r="C2209" s="1">
        <v>671</v>
      </c>
      <c r="D2209" s="1">
        <v>32</v>
      </c>
      <c r="E2209" s="3">
        <f>IF(INDEX(C:C, ROW())+INDEX(D:D, ROW())=0, 0, INDEX(C:C, ROW())/(INDEX(C:C, ROW())+INDEX(D:D, ROW())))</f>
        <v>0.95448079658605978</v>
      </c>
      <c r="F2209" s="1" t="s">
        <v>221</v>
      </c>
      <c r="G2209" s="1" t="s">
        <v>24</v>
      </c>
      <c r="H2209" s="1">
        <v>52605</v>
      </c>
      <c r="I2209" s="1">
        <v>105294</v>
      </c>
      <c r="J2209" s="7">
        <v>0.5</v>
      </c>
      <c r="K2209" s="1" t="s">
        <v>21</v>
      </c>
      <c r="L2209" s="1" t="s">
        <v>29</v>
      </c>
      <c r="M2209" s="1" t="s">
        <v>29</v>
      </c>
      <c r="N2209" s="1" t="s">
        <v>22</v>
      </c>
    </row>
    <row r="2210" spans="1:14" x14ac:dyDescent="0.25">
      <c r="A2210" s="1">
        <v>2209</v>
      </c>
      <c r="B2210" s="2" t="str">
        <f>HYPERLINK("https://leetcode.com/problems/minimum-white-tiles-after-covering-with-carpets/", "Minimum White Tiles After Covering With Carpets")</f>
        <v>Minimum White Tiles After Covering With Carpets</v>
      </c>
      <c r="C2210" s="1">
        <v>523</v>
      </c>
      <c r="D2210" s="1">
        <v>17</v>
      </c>
      <c r="E2210" s="3">
        <f>IF(INDEX(C:C, ROW())+INDEX(D:D, ROW())=0, 0, INDEX(C:C, ROW())/(INDEX(C:C, ROW())+INDEX(D:D, ROW())))</f>
        <v>0.96851851851851856</v>
      </c>
      <c r="F2210" s="1" t="s">
        <v>701</v>
      </c>
      <c r="G2210" s="1" t="s">
        <v>28</v>
      </c>
      <c r="H2210" s="1">
        <v>16061</v>
      </c>
      <c r="I2210" s="1">
        <v>41632</v>
      </c>
      <c r="J2210" s="7">
        <v>0.38600000000000001</v>
      </c>
      <c r="K2210" s="1" t="s">
        <v>21</v>
      </c>
      <c r="L2210" s="1" t="s">
        <v>29</v>
      </c>
      <c r="M2210" s="1" t="s">
        <v>29</v>
      </c>
      <c r="N2210" s="1" t="s">
        <v>22</v>
      </c>
    </row>
    <row r="2211" spans="1:14" x14ac:dyDescent="0.25">
      <c r="A2211" s="1">
        <v>2210</v>
      </c>
      <c r="B2211" s="2" t="str">
        <f>HYPERLINK("https://leetcode.com/problems/count-hills-and-valleys-in-an-array/", "Count Hills and Valleys in an Array")</f>
        <v>Count Hills and Valleys in an Array</v>
      </c>
      <c r="C2211" s="1">
        <v>1148</v>
      </c>
      <c r="D2211" s="1">
        <v>142</v>
      </c>
      <c r="E2211" s="3">
        <f>IF(INDEX(C:C, ROW())+INDEX(D:D, ROW())=0, 0, INDEX(C:C, ROW())/(INDEX(C:C, ROW())+INDEX(D:D, ROW())))</f>
        <v>0.889922480620155</v>
      </c>
      <c r="F2211" s="1" t="s">
        <v>113</v>
      </c>
      <c r="G2211" s="1" t="s">
        <v>20</v>
      </c>
      <c r="H2211" s="1">
        <v>180445</v>
      </c>
      <c r="I2211" s="1">
        <v>261043</v>
      </c>
      <c r="J2211" s="7">
        <v>0.69099999999999995</v>
      </c>
      <c r="K2211" s="1" t="s">
        <v>21</v>
      </c>
      <c r="L2211" s="1" t="s">
        <v>21</v>
      </c>
      <c r="M2211" s="1" t="s">
        <v>29</v>
      </c>
      <c r="N2211" s="1" t="s">
        <v>22</v>
      </c>
    </row>
    <row r="2212" spans="1:14" x14ac:dyDescent="0.25">
      <c r="A2212" s="1">
        <v>2211</v>
      </c>
      <c r="B2212" s="2" t="str">
        <f>HYPERLINK("https://leetcode.com/problems/count-collisions-on-a-road/", "Count Collisions on a Road")</f>
        <v>Count Collisions on a Road</v>
      </c>
      <c r="C2212" s="1">
        <v>1101</v>
      </c>
      <c r="D2212" s="1">
        <v>277</v>
      </c>
      <c r="E2212" s="3">
        <f>IF(INDEX(C:C, ROW())+INDEX(D:D, ROW())=0, 0, INDEX(C:C, ROW())/(INDEX(C:C, ROW())+INDEX(D:D, ROW())))</f>
        <v>0.79898403483309144</v>
      </c>
      <c r="F2212" s="1" t="s">
        <v>365</v>
      </c>
      <c r="G2212" s="1" t="s">
        <v>24</v>
      </c>
      <c r="H2212" s="1">
        <v>125808</v>
      </c>
      <c r="I2212" s="1">
        <v>216639</v>
      </c>
      <c r="J2212" s="7">
        <v>0.58099999999999996</v>
      </c>
      <c r="K2212" s="1" t="s">
        <v>21</v>
      </c>
      <c r="L2212" s="1" t="s">
        <v>21</v>
      </c>
      <c r="M2212" s="1" t="s">
        <v>29</v>
      </c>
      <c r="N2212" s="1" t="s">
        <v>22</v>
      </c>
    </row>
    <row r="2213" spans="1:14" x14ac:dyDescent="0.25">
      <c r="A2213" s="1">
        <v>2212</v>
      </c>
      <c r="B2213" s="2" t="str">
        <f>HYPERLINK("https://leetcode.com/problems/maximum-points-in-an-archery-competition/", "Maximum Points in an Archery Competition")</f>
        <v>Maximum Points in an Archery Competition</v>
      </c>
      <c r="C2213" s="1">
        <v>514</v>
      </c>
      <c r="D2213" s="1">
        <v>57</v>
      </c>
      <c r="E2213" s="3">
        <f>IF(INDEX(C:C, ROW())+INDEX(D:D, ROW())=0, 0, INDEX(C:C, ROW())/(INDEX(C:C, ROW())+INDEX(D:D, ROW())))</f>
        <v>0.90017513134851135</v>
      </c>
      <c r="F2213" s="1" t="s">
        <v>594</v>
      </c>
      <c r="G2213" s="1" t="s">
        <v>24</v>
      </c>
      <c r="H2213" s="1">
        <v>19529</v>
      </c>
      <c r="I2213" s="1">
        <v>38018</v>
      </c>
      <c r="J2213" s="7">
        <v>0.51400000000000001</v>
      </c>
      <c r="K2213" s="1" t="s">
        <v>21</v>
      </c>
      <c r="L2213" s="1" t="s">
        <v>29</v>
      </c>
      <c r="M2213" s="1" t="s">
        <v>29</v>
      </c>
      <c r="N2213" s="1" t="s">
        <v>22</v>
      </c>
    </row>
    <row r="2214" spans="1:14" x14ac:dyDescent="0.25">
      <c r="A2214" s="1">
        <v>2213</v>
      </c>
      <c r="B2214" s="2" t="str">
        <f>HYPERLINK("https://leetcode.com/problems/longest-substring-of-one-repeating-character/", "Longest Substring of One Repeating Character")</f>
        <v>Longest Substring of One Repeating Character</v>
      </c>
      <c r="C2214" s="1">
        <v>322</v>
      </c>
      <c r="D2214" s="1">
        <v>84</v>
      </c>
      <c r="E2214" s="3">
        <f>IF(INDEX(C:C, ROW())+INDEX(D:D, ROW())=0, 0, INDEX(C:C, ROW())/(INDEX(C:C, ROW())+INDEX(D:D, ROW())))</f>
        <v>0.7931034482758621</v>
      </c>
      <c r="F2214" s="1" t="s">
        <v>1034</v>
      </c>
      <c r="G2214" s="1" t="s">
        <v>28</v>
      </c>
      <c r="H2214" s="1">
        <v>6530</v>
      </c>
      <c r="I2214" s="1">
        <v>19127</v>
      </c>
      <c r="J2214" s="7">
        <v>0.34100000000000003</v>
      </c>
      <c r="K2214" s="1" t="s">
        <v>21</v>
      </c>
      <c r="L2214" s="1" t="s">
        <v>29</v>
      </c>
      <c r="M2214" s="1" t="s">
        <v>29</v>
      </c>
      <c r="N2214" s="1" t="s">
        <v>22</v>
      </c>
    </row>
    <row r="2215" spans="1:14" x14ac:dyDescent="0.25">
      <c r="A2215" s="1">
        <v>2214</v>
      </c>
      <c r="B2215" s="2" t="str">
        <f>HYPERLINK("https://leetcode.com/problems/minimum-health-to-beat-game/", "Minimum Health to Beat Game")</f>
        <v>Minimum Health to Beat Game</v>
      </c>
      <c r="C2215" s="1">
        <v>327</v>
      </c>
      <c r="D2215" s="1">
        <v>240</v>
      </c>
      <c r="E2215" s="3">
        <f>IF(INDEX(C:C, ROW())+INDEX(D:D, ROW())=0, 0, INDEX(C:C, ROW())/(INDEX(C:C, ROW())+INDEX(D:D, ROW())))</f>
        <v>0.57671957671957674</v>
      </c>
      <c r="F2215" s="1" t="s">
        <v>96</v>
      </c>
      <c r="G2215" s="1" t="s">
        <v>24</v>
      </c>
      <c r="H2215" s="1">
        <v>40556</v>
      </c>
      <c r="I2215" s="1">
        <v>68933</v>
      </c>
      <c r="J2215" s="7">
        <v>0.58799999999999997</v>
      </c>
      <c r="K2215" s="1" t="s">
        <v>29</v>
      </c>
      <c r="L2215" s="1" t="s">
        <v>21</v>
      </c>
      <c r="M2215" s="1" t="s">
        <v>29</v>
      </c>
      <c r="N2215" s="1" t="s">
        <v>22</v>
      </c>
    </row>
    <row r="2216" spans="1:14" x14ac:dyDescent="0.25">
      <c r="A2216" s="1">
        <v>2215</v>
      </c>
      <c r="B2216" s="2" t="str">
        <f>HYPERLINK("https://leetcode.com/problems/find-the-difference-of-two-arrays/", "Find the Difference of Two Arrays")</f>
        <v>Find the Difference of Two Arrays</v>
      </c>
      <c r="C2216" s="1">
        <v>2602</v>
      </c>
      <c r="D2216" s="1">
        <v>126</v>
      </c>
      <c r="E2216" s="3">
        <f>IF(INDEX(C:C, ROW())+INDEX(D:D, ROW())=0, 0, INDEX(C:C, ROW())/(INDEX(C:C, ROW())+INDEX(D:D, ROW())))</f>
        <v>0.95381231671554256</v>
      </c>
      <c r="F2216" s="1" t="s">
        <v>19</v>
      </c>
      <c r="G2216" s="1" t="s">
        <v>20</v>
      </c>
      <c r="H2216" s="1">
        <v>626669</v>
      </c>
      <c r="I2216" s="1">
        <v>770715</v>
      </c>
      <c r="J2216" s="7">
        <v>0.81299999999999994</v>
      </c>
      <c r="K2216" s="1" t="s">
        <v>21</v>
      </c>
      <c r="L2216" s="1" t="s">
        <v>21</v>
      </c>
      <c r="M2216" s="1" t="s">
        <v>29</v>
      </c>
      <c r="N2216" s="1" t="s">
        <v>22</v>
      </c>
    </row>
    <row r="2217" spans="1:14" x14ac:dyDescent="0.25">
      <c r="A2217" s="1">
        <v>2216</v>
      </c>
      <c r="B2217" s="2" t="str">
        <f>HYPERLINK("https://leetcode.com/problems/minimum-deletions-to-make-array-beautiful/", "Minimum Deletions to Make Array Beautiful")</f>
        <v>Minimum Deletions to Make Array Beautiful</v>
      </c>
      <c r="C2217" s="1">
        <v>834</v>
      </c>
      <c r="D2217" s="1">
        <v>96</v>
      </c>
      <c r="E2217" s="3">
        <f>IF(INDEX(C:C, ROW())+INDEX(D:D, ROW())=0, 0, INDEX(C:C, ROW())/(INDEX(C:C, ROW())+INDEX(D:D, ROW())))</f>
        <v>0.89677419354838706</v>
      </c>
      <c r="F2217" s="1" t="s">
        <v>756</v>
      </c>
      <c r="G2217" s="1" t="s">
        <v>24</v>
      </c>
      <c r="H2217" s="1">
        <v>39682</v>
      </c>
      <c r="I2217" s="1">
        <v>79755</v>
      </c>
      <c r="J2217" s="7">
        <v>0.498</v>
      </c>
      <c r="K2217" s="1" t="s">
        <v>21</v>
      </c>
      <c r="L2217" s="1" t="s">
        <v>29</v>
      </c>
      <c r="M2217" s="1" t="s">
        <v>29</v>
      </c>
      <c r="N2217" s="1" t="s">
        <v>22</v>
      </c>
    </row>
    <row r="2218" spans="1:14" x14ac:dyDescent="0.25">
      <c r="A2218" s="1">
        <v>2217</v>
      </c>
      <c r="B2218" s="2" t="str">
        <f>HYPERLINK("https://leetcode.com/problems/find-palindrome-with-fixed-length/", "Find Palindrome With Fixed Length")</f>
        <v>Find Palindrome With Fixed Length</v>
      </c>
      <c r="C2218" s="1">
        <v>663</v>
      </c>
      <c r="D2218" s="1">
        <v>296</v>
      </c>
      <c r="E2218" s="3">
        <f>IF(INDEX(C:C, ROW())+INDEX(D:D, ROW())=0, 0, INDEX(C:C, ROW())/(INDEX(C:C, ROW())+INDEX(D:D, ROW())))</f>
        <v>0.69134515119916584</v>
      </c>
      <c r="F2218" s="1" t="s">
        <v>115</v>
      </c>
      <c r="G2218" s="1" t="s">
        <v>24</v>
      </c>
      <c r="H2218" s="1">
        <v>27356</v>
      </c>
      <c r="I2218" s="1">
        <v>72118</v>
      </c>
      <c r="J2218" s="7">
        <v>0.379</v>
      </c>
      <c r="K2218" s="1" t="s">
        <v>21</v>
      </c>
      <c r="L2218" s="1" t="s">
        <v>29</v>
      </c>
      <c r="M2218" s="1" t="s">
        <v>29</v>
      </c>
      <c r="N2218" s="1" t="s">
        <v>22</v>
      </c>
    </row>
    <row r="2219" spans="1:14" x14ac:dyDescent="0.25">
      <c r="A2219" s="1">
        <v>2218</v>
      </c>
      <c r="B2219" s="2" t="str">
        <f>HYPERLINK("https://leetcode.com/problems/maximum-value-of-k-coins-from-piles/", "Maximum Value of K Coins From Piles")</f>
        <v>Maximum Value of K Coins From Piles</v>
      </c>
      <c r="C2219" s="1">
        <v>2441</v>
      </c>
      <c r="D2219" s="1">
        <v>38</v>
      </c>
      <c r="E2219" s="3">
        <f>IF(INDEX(C:C, ROW())+INDEX(D:D, ROW())=0, 0, INDEX(C:C, ROW())/(INDEX(C:C, ROW())+INDEX(D:D, ROW())))</f>
        <v>0.98467123840258164</v>
      </c>
      <c r="F2219" s="1" t="s">
        <v>407</v>
      </c>
      <c r="G2219" s="1" t="s">
        <v>28</v>
      </c>
      <c r="H2219" s="1">
        <v>80976</v>
      </c>
      <c r="I2219" s="1">
        <v>134037</v>
      </c>
      <c r="J2219" s="7">
        <v>0.60399999999999998</v>
      </c>
      <c r="K2219" s="1" t="s">
        <v>21</v>
      </c>
      <c r="L2219" s="1" t="s">
        <v>21</v>
      </c>
      <c r="M2219" s="1" t="s">
        <v>29</v>
      </c>
      <c r="N2219" s="1" t="s">
        <v>22</v>
      </c>
    </row>
    <row r="2220" spans="1:14" x14ac:dyDescent="0.25">
      <c r="A2220" s="1">
        <v>2219</v>
      </c>
      <c r="B2220" s="2" t="str">
        <f>HYPERLINK("https://leetcode.com/problems/maximum-sum-score-of-array/", "Maximum Sum Score of Array")</f>
        <v>Maximum Sum Score of Array</v>
      </c>
      <c r="C2220" s="1">
        <v>72</v>
      </c>
      <c r="D2220" s="1">
        <v>19</v>
      </c>
      <c r="E2220" s="3">
        <f>IF(INDEX(C:C, ROW())+INDEX(D:D, ROW())=0, 0, INDEX(C:C, ROW())/(INDEX(C:C, ROW())+INDEX(D:D, ROW())))</f>
        <v>0.79120879120879117</v>
      </c>
      <c r="F2220" s="1" t="s">
        <v>37</v>
      </c>
      <c r="G2220" s="1" t="s">
        <v>24</v>
      </c>
      <c r="H2220" s="1">
        <v>5744</v>
      </c>
      <c r="I2220" s="1">
        <v>9170</v>
      </c>
      <c r="J2220" s="7">
        <v>0.626</v>
      </c>
      <c r="K2220" s="1" t="s">
        <v>29</v>
      </c>
      <c r="L2220" s="1" t="s">
        <v>29</v>
      </c>
      <c r="M2220" s="1" t="s">
        <v>29</v>
      </c>
      <c r="N2220" s="1" t="s">
        <v>22</v>
      </c>
    </row>
    <row r="2221" spans="1:14" x14ac:dyDescent="0.25">
      <c r="A2221" s="1">
        <v>2220</v>
      </c>
      <c r="B2221" s="2" t="str">
        <f>HYPERLINK("https://leetcode.com/problems/minimum-bit-flips-to-convert-number/", "Minimum Bit Flips to Convert Number")</f>
        <v>Minimum Bit Flips to Convert Number</v>
      </c>
      <c r="C2221" s="1">
        <v>1591</v>
      </c>
      <c r="D2221" s="1">
        <v>37</v>
      </c>
      <c r="E2221" s="3">
        <f>IF(INDEX(C:C, ROW())+INDEX(D:D, ROW())=0, 0, INDEX(C:C, ROW())/(INDEX(C:C, ROW())+INDEX(D:D, ROW())))</f>
        <v>0.97727272727272729</v>
      </c>
      <c r="F2221" s="1" t="s">
        <v>298</v>
      </c>
      <c r="G2221" s="1" t="s">
        <v>20</v>
      </c>
      <c r="H2221" s="1">
        <v>361166</v>
      </c>
      <c r="I2221" s="1">
        <v>411255</v>
      </c>
      <c r="J2221" s="7">
        <v>0.878</v>
      </c>
      <c r="K2221" s="1" t="s">
        <v>21</v>
      </c>
      <c r="L2221" s="1" t="s">
        <v>21</v>
      </c>
      <c r="M2221" s="1" t="s">
        <v>29</v>
      </c>
      <c r="N2221" s="1" t="s">
        <v>22</v>
      </c>
    </row>
    <row r="2222" spans="1:14" x14ac:dyDescent="0.25">
      <c r="A2222" s="1">
        <v>2221</v>
      </c>
      <c r="B2222" s="2" t="str">
        <f>HYPERLINK("https://leetcode.com/problems/find-triangular-sum-of-an-array/", "Find Triangular Sum of an Array")</f>
        <v>Find Triangular Sum of an Array</v>
      </c>
      <c r="C2222" s="1">
        <v>1538</v>
      </c>
      <c r="D2222" s="1">
        <v>77</v>
      </c>
      <c r="E2222" s="3">
        <f>IF(INDEX(C:C, ROW())+INDEX(D:D, ROW())=0, 0, INDEX(C:C, ROW())/(INDEX(C:C, ROW())+INDEX(D:D, ROW())))</f>
        <v>0.95232198142414859</v>
      </c>
      <c r="F2222" s="1" t="s">
        <v>579</v>
      </c>
      <c r="G2222" s="1" t="s">
        <v>24</v>
      </c>
      <c r="H2222" s="1">
        <v>236250</v>
      </c>
      <c r="I2222" s="1">
        <v>288206</v>
      </c>
      <c r="J2222" s="7">
        <v>0.82</v>
      </c>
      <c r="K2222" s="1" t="s">
        <v>21</v>
      </c>
      <c r="L2222" s="1" t="s">
        <v>21</v>
      </c>
      <c r="M2222" s="1" t="s">
        <v>29</v>
      </c>
      <c r="N2222" s="1" t="s">
        <v>22</v>
      </c>
    </row>
    <row r="2223" spans="1:14" x14ac:dyDescent="0.25">
      <c r="A2223" s="1">
        <v>2222</v>
      </c>
      <c r="B2223" s="2" t="str">
        <f>HYPERLINK("https://leetcode.com/problems/number-of-ways-to-select-buildings/", "Number of Ways to Select Buildings")</f>
        <v>Number of Ways to Select Buildings</v>
      </c>
      <c r="C2223" s="1">
        <v>1058</v>
      </c>
      <c r="D2223" s="1">
        <v>54</v>
      </c>
      <c r="E2223" s="3">
        <f>IF(INDEX(C:C, ROW())+INDEX(D:D, ROW())=0, 0, INDEX(C:C, ROW())/(INDEX(C:C, ROW())+INDEX(D:D, ROW())))</f>
        <v>0.95143884892086328</v>
      </c>
      <c r="F2223" s="1" t="s">
        <v>701</v>
      </c>
      <c r="G2223" s="1" t="s">
        <v>24</v>
      </c>
      <c r="H2223" s="1">
        <v>52380</v>
      </c>
      <c r="I2223" s="1">
        <v>103032</v>
      </c>
      <c r="J2223" s="7">
        <v>0.50800000000000001</v>
      </c>
      <c r="K2223" s="1" t="s">
        <v>21</v>
      </c>
      <c r="L2223" s="1" t="s">
        <v>29</v>
      </c>
      <c r="M2223" s="1" t="s">
        <v>29</v>
      </c>
      <c r="N2223" s="1" t="s">
        <v>22</v>
      </c>
    </row>
    <row r="2224" spans="1:14" x14ac:dyDescent="0.25">
      <c r="A2224" s="1">
        <v>2223</v>
      </c>
      <c r="B2224" s="2" t="str">
        <f>HYPERLINK("https://leetcode.com/problems/sum-of-scores-of-built-strings/", "Sum of Scores of Built Strings")</f>
        <v>Sum of Scores of Built Strings</v>
      </c>
      <c r="C2224" s="1">
        <v>298</v>
      </c>
      <c r="D2224" s="1">
        <v>189</v>
      </c>
      <c r="E2224" s="3">
        <f>IF(INDEX(C:C, ROW())+INDEX(D:D, ROW())=0, 0, INDEX(C:C, ROW())/(INDEX(C:C, ROW())+INDEX(D:D, ROW())))</f>
        <v>0.61190965092402461</v>
      </c>
      <c r="F2224" s="1" t="s">
        <v>1043</v>
      </c>
      <c r="G2224" s="1" t="s">
        <v>28</v>
      </c>
      <c r="H2224" s="1">
        <v>13967</v>
      </c>
      <c r="I2224" s="1">
        <v>29961</v>
      </c>
      <c r="J2224" s="7">
        <v>0.46600000000000003</v>
      </c>
      <c r="K2224" s="1" t="s">
        <v>21</v>
      </c>
      <c r="L2224" s="1" t="s">
        <v>29</v>
      </c>
      <c r="M2224" s="1" t="s">
        <v>29</v>
      </c>
      <c r="N2224" s="1" t="s">
        <v>22</v>
      </c>
    </row>
    <row r="2225" spans="1:14" x14ac:dyDescent="0.25">
      <c r="A2225" s="1">
        <v>2224</v>
      </c>
      <c r="B2225" s="2" t="str">
        <f>HYPERLINK("https://leetcode.com/problems/minimum-number-of-operations-to-convert-time/", "Minimum Number of Operations to Convert Time")</f>
        <v>Minimum Number of Operations to Convert Time</v>
      </c>
      <c r="C2225" s="1">
        <v>501</v>
      </c>
      <c r="D2225" s="1">
        <v>39</v>
      </c>
      <c r="E2225" s="3">
        <f>IF(INDEX(C:C, ROW())+INDEX(D:D, ROW())=0, 0, INDEX(C:C, ROW())/(INDEX(C:C, ROW())+INDEX(D:D, ROW())))</f>
        <v>0.92777777777777781</v>
      </c>
      <c r="F2225" s="1" t="s">
        <v>424</v>
      </c>
      <c r="G2225" s="1" t="s">
        <v>20</v>
      </c>
      <c r="H2225" s="1">
        <v>54392</v>
      </c>
      <c r="I2225" s="1">
        <v>82073</v>
      </c>
      <c r="J2225" s="7">
        <v>0.66300000000000003</v>
      </c>
      <c r="K2225" s="1" t="s">
        <v>21</v>
      </c>
      <c r="L2225" s="1" t="s">
        <v>29</v>
      </c>
      <c r="M2225" s="1" t="s">
        <v>29</v>
      </c>
      <c r="N2225" s="1" t="s">
        <v>22</v>
      </c>
    </row>
    <row r="2226" spans="1:14" x14ac:dyDescent="0.25">
      <c r="A2226" s="1">
        <v>2225</v>
      </c>
      <c r="B2226" s="2" t="str">
        <f>HYPERLINK("https://leetcode.com/problems/find-players-with-zero-or-one-losses/", "Find Players With Zero or One Losses")</f>
        <v>Find Players With Zero or One Losses</v>
      </c>
      <c r="C2226" s="1">
        <v>2265</v>
      </c>
      <c r="D2226" s="1">
        <v>159</v>
      </c>
      <c r="E2226" s="3">
        <f>IF(INDEX(C:C, ROW())+INDEX(D:D, ROW())=0, 0, INDEX(C:C, ROW())/(INDEX(C:C, ROW())+INDEX(D:D, ROW())))</f>
        <v>0.93440594059405946</v>
      </c>
      <c r="F2226" s="1" t="s">
        <v>125</v>
      </c>
      <c r="G2226" s="1" t="s">
        <v>24</v>
      </c>
      <c r="H2226" s="1">
        <v>310183</v>
      </c>
      <c r="I2226" s="1">
        <v>428170</v>
      </c>
      <c r="J2226" s="7">
        <v>0.72399999999999998</v>
      </c>
      <c r="K2226" s="1" t="s">
        <v>21</v>
      </c>
      <c r="L2226" s="1" t="s">
        <v>21</v>
      </c>
      <c r="M2226" s="1" t="s">
        <v>29</v>
      </c>
      <c r="N2226" s="1" t="s">
        <v>22</v>
      </c>
    </row>
    <row r="2227" spans="1:14" x14ac:dyDescent="0.25">
      <c r="A2227" s="1">
        <v>2226</v>
      </c>
      <c r="B2227" s="2" t="str">
        <f>HYPERLINK("https://leetcode.com/problems/maximum-candies-allocated-to-k-children/", "Maximum Candies Allocated to K Children")</f>
        <v>Maximum Candies Allocated to K Children</v>
      </c>
      <c r="C2227" s="1">
        <v>1819</v>
      </c>
      <c r="D2227" s="1">
        <v>83</v>
      </c>
      <c r="E2227" s="3">
        <f>IF(INDEX(C:C, ROW())+INDEX(D:D, ROW())=0, 0, INDEX(C:C, ROW())/(INDEX(C:C, ROW())+INDEX(D:D, ROW())))</f>
        <v>0.95636172450052581</v>
      </c>
      <c r="F2227" s="1" t="s">
        <v>35</v>
      </c>
      <c r="G2227" s="1" t="s">
        <v>24</v>
      </c>
      <c r="H2227" s="1">
        <v>202415</v>
      </c>
      <c r="I2227" s="1">
        <v>405674</v>
      </c>
      <c r="J2227" s="7">
        <v>0.499</v>
      </c>
      <c r="K2227" s="1" t="s">
        <v>21</v>
      </c>
      <c r="L2227" s="1" t="s">
        <v>21</v>
      </c>
      <c r="M2227" s="1" t="s">
        <v>29</v>
      </c>
      <c r="N2227" s="1" t="s">
        <v>22</v>
      </c>
    </row>
    <row r="2228" spans="1:14" x14ac:dyDescent="0.25">
      <c r="A2228" s="1">
        <v>2227</v>
      </c>
      <c r="B2228" s="2" t="str">
        <f>HYPERLINK("https://leetcode.com/problems/encrypt-and-decrypt-strings/", "Encrypt and Decrypt Strings")</f>
        <v>Encrypt and Decrypt Strings</v>
      </c>
      <c r="C2228" s="1">
        <v>351</v>
      </c>
      <c r="D2228" s="1">
        <v>80</v>
      </c>
      <c r="E2228" s="3">
        <f>IF(INDEX(C:C, ROW())+INDEX(D:D, ROW())=0, 0, INDEX(C:C, ROW())/(INDEX(C:C, ROW())+INDEX(D:D, ROW())))</f>
        <v>0.81438515081206497</v>
      </c>
      <c r="F2228" s="1" t="s">
        <v>448</v>
      </c>
      <c r="G2228" s="1" t="s">
        <v>28</v>
      </c>
      <c r="H2228" s="1">
        <v>17063</v>
      </c>
      <c r="I2228" s="1">
        <v>44832</v>
      </c>
      <c r="J2228" s="7">
        <v>0.38100000000000001</v>
      </c>
      <c r="K2228" s="1" t="s">
        <v>21</v>
      </c>
      <c r="L2228" s="1" t="s">
        <v>29</v>
      </c>
      <c r="M2228" s="1" t="s">
        <v>29</v>
      </c>
      <c r="N2228" s="1" t="s">
        <v>22</v>
      </c>
    </row>
    <row r="2229" spans="1:14" x14ac:dyDescent="0.25">
      <c r="A2229" s="1">
        <v>2228</v>
      </c>
      <c r="B2229" s="2" t="str">
        <f>HYPERLINK("https://leetcode.com/problems/users-with-two-purchases-within-seven-days/", "Users With Two Purchases Within Seven Days")</f>
        <v>Users With Two Purchases Within Seven Days</v>
      </c>
      <c r="C2229" s="1">
        <v>66</v>
      </c>
      <c r="D2229" s="1">
        <v>11</v>
      </c>
      <c r="E2229" s="3">
        <f>IF(INDEX(C:C, ROW())+INDEX(D:D, ROW())=0, 0, INDEX(C:C, ROW())/(INDEX(C:C, ROW())+INDEX(D:D, ROW())))</f>
        <v>0.8571428571428571</v>
      </c>
      <c r="F2229" s="1" t="s">
        <v>297</v>
      </c>
      <c r="G2229" s="1" t="s">
        <v>24</v>
      </c>
      <c r="H2229" s="1">
        <v>11894</v>
      </c>
      <c r="I2229" s="1">
        <v>25501</v>
      </c>
      <c r="J2229" s="7">
        <v>0.46600000000000003</v>
      </c>
      <c r="K2229" s="1" t="s">
        <v>29</v>
      </c>
      <c r="L2229" s="1" t="s">
        <v>29</v>
      </c>
      <c r="M2229" s="1" t="s">
        <v>29</v>
      </c>
      <c r="N2229" s="1" t="s">
        <v>297</v>
      </c>
    </row>
    <row r="2230" spans="1:14" x14ac:dyDescent="0.25">
      <c r="A2230" s="1">
        <v>2229</v>
      </c>
      <c r="B2230" s="2" t="str">
        <f>HYPERLINK("https://leetcode.com/problems/check-if-an-array-is-consecutive/", "Check if an Array Is Consecutive")</f>
        <v>Check if an Array Is Consecutive</v>
      </c>
      <c r="C2230" s="1">
        <v>90</v>
      </c>
      <c r="D2230" s="1">
        <v>11</v>
      </c>
      <c r="E2230" s="3">
        <f>IF(INDEX(C:C, ROW())+INDEX(D:D, ROW())=0, 0, INDEX(C:C, ROW())/(INDEX(C:C, ROW())+INDEX(D:D, ROW())))</f>
        <v>0.8910891089108911</v>
      </c>
      <c r="F2230" s="1" t="s">
        <v>92</v>
      </c>
      <c r="G2230" s="1" t="s">
        <v>20</v>
      </c>
      <c r="H2230" s="1">
        <v>7836</v>
      </c>
      <c r="I2230" s="1">
        <v>12620</v>
      </c>
      <c r="J2230" s="7">
        <v>0.621</v>
      </c>
      <c r="K2230" s="1" t="s">
        <v>29</v>
      </c>
      <c r="L2230" s="1" t="s">
        <v>29</v>
      </c>
      <c r="M2230" s="1" t="s">
        <v>29</v>
      </c>
      <c r="N2230" s="1" t="s">
        <v>22</v>
      </c>
    </row>
    <row r="2231" spans="1:14" x14ac:dyDescent="0.25">
      <c r="A2231" s="1">
        <v>2230</v>
      </c>
      <c r="B2231" s="2" t="str">
        <f>HYPERLINK("https://leetcode.com/problems/the-users-that-are-eligible-for-discount/", "The Users That Are Eligible for Discount")</f>
        <v>The Users That Are Eligible for Discount</v>
      </c>
      <c r="C2231" s="1">
        <v>25</v>
      </c>
      <c r="D2231" s="1">
        <v>45</v>
      </c>
      <c r="E2231" s="3">
        <f>IF(INDEX(C:C, ROW())+INDEX(D:D, ROW())=0, 0, INDEX(C:C, ROW())/(INDEX(C:C, ROW())+INDEX(D:D, ROW())))</f>
        <v>0.35714285714285715</v>
      </c>
      <c r="F2231" s="1" t="s">
        <v>297</v>
      </c>
      <c r="G2231" s="1" t="s">
        <v>20</v>
      </c>
      <c r="H2231" s="1">
        <v>7379</v>
      </c>
      <c r="I2231" s="1">
        <v>14586</v>
      </c>
      <c r="J2231" s="7">
        <v>0.50600000000000001</v>
      </c>
      <c r="K2231" s="1" t="s">
        <v>29</v>
      </c>
      <c r="L2231" s="1" t="s">
        <v>29</v>
      </c>
      <c r="M2231" s="1" t="s">
        <v>29</v>
      </c>
      <c r="N2231" s="1" t="s">
        <v>297</v>
      </c>
    </row>
    <row r="2232" spans="1:14" x14ac:dyDescent="0.25">
      <c r="A2232" s="1">
        <v>2231</v>
      </c>
      <c r="B2232" s="2" t="str">
        <f>HYPERLINK("https://leetcode.com/problems/largest-number-after-digit-swaps-by-parity/", "Largest Number After Digit Swaps by Parity")</f>
        <v>Largest Number After Digit Swaps by Parity</v>
      </c>
      <c r="C2232" s="1">
        <v>691</v>
      </c>
      <c r="D2232" s="1">
        <v>311</v>
      </c>
      <c r="E2232" s="3">
        <f>IF(INDEX(C:C, ROW())+INDEX(D:D, ROW())=0, 0, INDEX(C:C, ROW())/(INDEX(C:C, ROW())+INDEX(D:D, ROW())))</f>
        <v>0.68962075848303395</v>
      </c>
      <c r="F2232" s="1" t="s">
        <v>805</v>
      </c>
      <c r="G2232" s="1" t="s">
        <v>20</v>
      </c>
      <c r="H2232" s="1">
        <v>65083</v>
      </c>
      <c r="I2232" s="1">
        <v>100111</v>
      </c>
      <c r="J2232" s="7">
        <v>0.65</v>
      </c>
      <c r="K2232" s="1" t="s">
        <v>21</v>
      </c>
      <c r="L2232" s="1" t="s">
        <v>29</v>
      </c>
      <c r="M2232" s="1" t="s">
        <v>29</v>
      </c>
      <c r="N2232" s="1" t="s">
        <v>22</v>
      </c>
    </row>
    <row r="2233" spans="1:14" x14ac:dyDescent="0.25">
      <c r="A2233" s="1">
        <v>2232</v>
      </c>
      <c r="B2233" s="2" t="str">
        <f>HYPERLINK("https://leetcode.com/problems/minimize-result-by-adding-parentheses-to-expression/", "Minimize Result by Adding Parentheses to Expression")</f>
        <v>Minimize Result by Adding Parentheses to Expression</v>
      </c>
      <c r="C2233" s="1">
        <v>226</v>
      </c>
      <c r="D2233" s="1">
        <v>344</v>
      </c>
      <c r="E2233" s="3">
        <f>IF(INDEX(C:C, ROW())+INDEX(D:D, ROW())=0, 0, INDEX(C:C, ROW())/(INDEX(C:C, ROW())+INDEX(D:D, ROW())))</f>
        <v>0.39649122807017545</v>
      </c>
      <c r="F2233" s="1" t="s">
        <v>831</v>
      </c>
      <c r="G2233" s="1" t="s">
        <v>24</v>
      </c>
      <c r="H2233" s="1">
        <v>26625</v>
      </c>
      <c r="I2233" s="1">
        <v>39034</v>
      </c>
      <c r="J2233" s="7">
        <v>0.68200000000000005</v>
      </c>
      <c r="K2233" s="1" t="s">
        <v>21</v>
      </c>
      <c r="L2233" s="1" t="s">
        <v>29</v>
      </c>
      <c r="M2233" s="1" t="s">
        <v>29</v>
      </c>
      <c r="N2233" s="1" t="s">
        <v>22</v>
      </c>
    </row>
    <row r="2234" spans="1:14" x14ac:dyDescent="0.25">
      <c r="A2234" s="1">
        <v>2233</v>
      </c>
      <c r="B2234" s="2" t="str">
        <f>HYPERLINK("https://leetcode.com/problems/maximum-product-after-k-increments/", "Maximum Product After K Increments")</f>
        <v>Maximum Product After K Increments</v>
      </c>
      <c r="C2234" s="1">
        <v>789</v>
      </c>
      <c r="D2234" s="1">
        <v>45</v>
      </c>
      <c r="E2234" s="3">
        <f>IF(INDEX(C:C, ROW())+INDEX(D:D, ROW())=0, 0, INDEX(C:C, ROW())/(INDEX(C:C, ROW())+INDEX(D:D, ROW())))</f>
        <v>0.9460431654676259</v>
      </c>
      <c r="F2234" s="1" t="s">
        <v>221</v>
      </c>
      <c r="G2234" s="1" t="s">
        <v>24</v>
      </c>
      <c r="H2234" s="1">
        <v>43444</v>
      </c>
      <c r="I2234" s="1">
        <v>100694</v>
      </c>
      <c r="J2234" s="7">
        <v>0.43099999999999999</v>
      </c>
      <c r="K2234" s="1" t="s">
        <v>21</v>
      </c>
      <c r="L2234" s="1" t="s">
        <v>29</v>
      </c>
      <c r="M2234" s="1" t="s">
        <v>29</v>
      </c>
      <c r="N2234" s="1" t="s">
        <v>22</v>
      </c>
    </row>
    <row r="2235" spans="1:14" x14ac:dyDescent="0.25">
      <c r="A2235" s="1">
        <v>2234</v>
      </c>
      <c r="B2235" s="2" t="str">
        <f>HYPERLINK("https://leetcode.com/problems/maximum-total-beauty-of-the-gardens/", "Maximum Total Beauty of the Gardens")</f>
        <v>Maximum Total Beauty of the Gardens</v>
      </c>
      <c r="C2235" s="1">
        <v>451</v>
      </c>
      <c r="D2235" s="1">
        <v>41</v>
      </c>
      <c r="E2235" s="3">
        <f>IF(INDEX(C:C, ROW())+INDEX(D:D, ROW())=0, 0, INDEX(C:C, ROW())/(INDEX(C:C, ROW())+INDEX(D:D, ROW())))</f>
        <v>0.91666666666666663</v>
      </c>
      <c r="F2235" s="1" t="s">
        <v>950</v>
      </c>
      <c r="G2235" s="1" t="s">
        <v>28</v>
      </c>
      <c r="H2235" s="1">
        <v>9446</v>
      </c>
      <c r="I2235" s="1">
        <v>31150</v>
      </c>
      <c r="J2235" s="7">
        <v>0.30299999999999999</v>
      </c>
      <c r="K2235" s="1" t="s">
        <v>21</v>
      </c>
      <c r="L2235" s="1" t="s">
        <v>29</v>
      </c>
      <c r="M2235" s="1" t="s">
        <v>29</v>
      </c>
      <c r="N2235" s="1" t="s">
        <v>22</v>
      </c>
    </row>
    <row r="2236" spans="1:14" x14ac:dyDescent="0.25">
      <c r="A2236" s="1">
        <v>2235</v>
      </c>
      <c r="B2236" s="2" t="str">
        <f>HYPERLINK("https://leetcode.com/problems/add-two-integers/", "Add Two Integers")</f>
        <v>Add Two Integers</v>
      </c>
      <c r="C2236" s="1">
        <v>2097</v>
      </c>
      <c r="D2236" s="1">
        <v>3224</v>
      </c>
      <c r="E2236" s="3">
        <f>IF(INDEX(C:C, ROW())+INDEX(D:D, ROW())=0, 0, INDEX(C:C, ROW())/(INDEX(C:C, ROW())+INDEX(D:D, ROW())))</f>
        <v>0.39409885359894758</v>
      </c>
      <c r="F2236" s="1" t="s">
        <v>84</v>
      </c>
      <c r="G2236" s="1" t="s">
        <v>20</v>
      </c>
      <c r="H2236" s="1">
        <v>861068</v>
      </c>
      <c r="I2236" s="1">
        <v>979036</v>
      </c>
      <c r="J2236" s="7">
        <v>0.88</v>
      </c>
      <c r="K2236" s="1" t="s">
        <v>21</v>
      </c>
      <c r="L2236" s="1" t="s">
        <v>29</v>
      </c>
      <c r="M2236" s="1" t="s">
        <v>29</v>
      </c>
      <c r="N2236" s="1" t="s">
        <v>22</v>
      </c>
    </row>
    <row r="2237" spans="1:14" x14ac:dyDescent="0.25">
      <c r="A2237" s="1">
        <v>2236</v>
      </c>
      <c r="B2237" s="2" t="str">
        <f>HYPERLINK("https://leetcode.com/problems/root-equals-sum-of-children/", "Root Equals Sum of Children")</f>
        <v>Root Equals Sum of Children</v>
      </c>
      <c r="C2237" s="1">
        <v>1561</v>
      </c>
      <c r="D2237" s="1">
        <v>1646</v>
      </c>
      <c r="E2237" s="3">
        <f>IF(INDEX(C:C, ROW())+INDEX(D:D, ROW())=0, 0, INDEX(C:C, ROW())/(INDEX(C:C, ROW())+INDEX(D:D, ROW())))</f>
        <v>0.48674773932023696</v>
      </c>
      <c r="F2237" s="1" t="s">
        <v>571</v>
      </c>
      <c r="G2237" s="1" t="s">
        <v>20</v>
      </c>
      <c r="H2237" s="1">
        <v>344033</v>
      </c>
      <c r="I2237" s="1">
        <v>405443</v>
      </c>
      <c r="J2237" s="7">
        <v>0.84899999999999998</v>
      </c>
      <c r="K2237" s="1" t="s">
        <v>21</v>
      </c>
      <c r="L2237" s="1" t="s">
        <v>29</v>
      </c>
      <c r="M2237" s="1" t="s">
        <v>29</v>
      </c>
      <c r="N2237" s="1" t="s">
        <v>22</v>
      </c>
    </row>
    <row r="2238" spans="1:14" x14ac:dyDescent="0.25">
      <c r="A2238" s="1">
        <v>2237</v>
      </c>
      <c r="B2238" s="2" t="str">
        <f>HYPERLINK("https://leetcode.com/problems/count-positions-on-street-with-required-brightness/", "Count Positions on Street With Required Brightness")</f>
        <v>Count Positions on Street With Required Brightness</v>
      </c>
      <c r="C2238" s="1">
        <v>89</v>
      </c>
      <c r="D2238" s="1">
        <v>6</v>
      </c>
      <c r="E2238" s="3">
        <f>IF(INDEX(C:C, ROW())+INDEX(D:D, ROW())=0, 0, INDEX(C:C, ROW())/(INDEX(C:C, ROW())+INDEX(D:D, ROW())))</f>
        <v>0.93684210526315792</v>
      </c>
      <c r="F2238" s="1" t="s">
        <v>37</v>
      </c>
      <c r="G2238" s="1" t="s">
        <v>24</v>
      </c>
      <c r="H2238" s="1">
        <v>5018</v>
      </c>
      <c r="I2238" s="1">
        <v>7974</v>
      </c>
      <c r="J2238" s="7">
        <v>0.629</v>
      </c>
      <c r="K2238" s="1" t="s">
        <v>29</v>
      </c>
      <c r="L2238" s="1" t="s">
        <v>29</v>
      </c>
      <c r="M2238" s="1" t="s">
        <v>29</v>
      </c>
      <c r="N2238" s="1" t="s">
        <v>22</v>
      </c>
    </row>
    <row r="2239" spans="1:14" x14ac:dyDescent="0.25">
      <c r="A2239" s="1">
        <v>2238</v>
      </c>
      <c r="B2239" s="2" t="str">
        <f>HYPERLINK("https://leetcode.com/problems/number-of-times-a-driver-was-a-passenger/", "Number of Times a Driver Was a Passenger")</f>
        <v>Number of Times a Driver Was a Passenger</v>
      </c>
      <c r="C2239" s="1">
        <v>73</v>
      </c>
      <c r="D2239" s="1">
        <v>5</v>
      </c>
      <c r="E2239" s="3">
        <f>IF(INDEX(C:C, ROW())+INDEX(D:D, ROW())=0, 0, INDEX(C:C, ROW())/(INDEX(C:C, ROW())+INDEX(D:D, ROW())))</f>
        <v>0.9358974358974359</v>
      </c>
      <c r="F2239" s="1" t="s">
        <v>297</v>
      </c>
      <c r="G2239" s="1" t="s">
        <v>24</v>
      </c>
      <c r="H2239" s="1">
        <v>11141</v>
      </c>
      <c r="I2239" s="1">
        <v>15554</v>
      </c>
      <c r="J2239" s="7">
        <v>0.71599999999999997</v>
      </c>
      <c r="K2239" s="1" t="s">
        <v>29</v>
      </c>
      <c r="L2239" s="1" t="s">
        <v>29</v>
      </c>
      <c r="M2239" s="1" t="s">
        <v>29</v>
      </c>
      <c r="N2239" s="1" t="s">
        <v>297</v>
      </c>
    </row>
    <row r="2240" spans="1:14" x14ac:dyDescent="0.25">
      <c r="A2240" s="1">
        <v>2239</v>
      </c>
      <c r="B2240" s="2" t="str">
        <f>HYPERLINK("https://leetcode.com/problems/find-closest-number-to-zero/", "Find Closest Number to Zero")</f>
        <v>Find Closest Number to Zero</v>
      </c>
      <c r="C2240" s="1">
        <v>797</v>
      </c>
      <c r="D2240" s="1">
        <v>56</v>
      </c>
      <c r="E2240" s="3">
        <f>IF(INDEX(C:C, ROW())+INDEX(D:D, ROW())=0, 0, INDEX(C:C, ROW())/(INDEX(C:C, ROW())+INDEX(D:D, ROW())))</f>
        <v>0.93434935521688156</v>
      </c>
      <c r="F2240" s="1" t="s">
        <v>113</v>
      </c>
      <c r="G2240" s="1" t="s">
        <v>20</v>
      </c>
      <c r="H2240" s="1">
        <v>204654</v>
      </c>
      <c r="I2240" s="1">
        <v>428879</v>
      </c>
      <c r="J2240" s="7">
        <v>0.47699999999999998</v>
      </c>
      <c r="K2240" s="1" t="s">
        <v>21</v>
      </c>
      <c r="L2240" s="1" t="s">
        <v>29</v>
      </c>
      <c r="M2240" s="1" t="s">
        <v>29</v>
      </c>
      <c r="N2240" s="1" t="s">
        <v>22</v>
      </c>
    </row>
    <row r="2241" spans="1:14" x14ac:dyDescent="0.25">
      <c r="A2241" s="1">
        <v>2240</v>
      </c>
      <c r="B2241" s="2" t="str">
        <f>HYPERLINK("https://leetcode.com/problems/number-of-ways-to-buy-pens-and-pencils/", "Number of Ways to Buy Pens and Pencils")</f>
        <v>Number of Ways to Buy Pens and Pencils</v>
      </c>
      <c r="C2241" s="1">
        <v>477</v>
      </c>
      <c r="D2241" s="1">
        <v>36</v>
      </c>
      <c r="E2241" s="3">
        <f>IF(INDEX(C:C, ROW())+INDEX(D:D, ROW())=0, 0, INDEX(C:C, ROW())/(INDEX(C:C, ROW())+INDEX(D:D, ROW())))</f>
        <v>0.92982456140350878</v>
      </c>
      <c r="F2241" s="1" t="s">
        <v>602</v>
      </c>
      <c r="G2241" s="1" t="s">
        <v>24</v>
      </c>
      <c r="H2241" s="1">
        <v>38435</v>
      </c>
      <c r="I2241" s="1">
        <v>67936</v>
      </c>
      <c r="J2241" s="7">
        <v>0.56599999999999995</v>
      </c>
      <c r="K2241" s="1" t="s">
        <v>21</v>
      </c>
      <c r="L2241" s="1" t="s">
        <v>29</v>
      </c>
      <c r="M2241" s="1" t="s">
        <v>29</v>
      </c>
      <c r="N2241" s="1" t="s">
        <v>22</v>
      </c>
    </row>
    <row r="2242" spans="1:14" x14ac:dyDescent="0.25">
      <c r="A2242" s="1">
        <v>2241</v>
      </c>
      <c r="B2242" s="2" t="str">
        <f>HYPERLINK("https://leetcode.com/problems/design-an-atm-machine/", "Design an ATM Machine")</f>
        <v>Design an ATM Machine</v>
      </c>
      <c r="C2242" s="1">
        <v>311</v>
      </c>
      <c r="D2242" s="1">
        <v>384</v>
      </c>
      <c r="E2242" s="3">
        <f>IF(INDEX(C:C, ROW())+INDEX(D:D, ROW())=0, 0, INDEX(C:C, ROW())/(INDEX(C:C, ROW())+INDEX(D:D, ROW())))</f>
        <v>0.44748201438848922</v>
      </c>
      <c r="F2242" s="1" t="s">
        <v>1039</v>
      </c>
      <c r="G2242" s="1" t="s">
        <v>24</v>
      </c>
      <c r="H2242" s="1">
        <v>34265</v>
      </c>
      <c r="I2242" s="1">
        <v>76914</v>
      </c>
      <c r="J2242" s="7">
        <v>0.44500000000000001</v>
      </c>
      <c r="K2242" s="1" t="s">
        <v>21</v>
      </c>
      <c r="L2242" s="1" t="s">
        <v>29</v>
      </c>
      <c r="M2242" s="1" t="s">
        <v>29</v>
      </c>
      <c r="N2242" s="1" t="s">
        <v>22</v>
      </c>
    </row>
    <row r="2243" spans="1:14" x14ac:dyDescent="0.25">
      <c r="A2243" s="1">
        <v>2242</v>
      </c>
      <c r="B2243" s="2" t="str">
        <f>HYPERLINK("https://leetcode.com/problems/maximum-score-of-a-node-sequence/", "Maximum Score of a Node Sequence")</f>
        <v>Maximum Score of a Node Sequence</v>
      </c>
      <c r="C2243" s="1">
        <v>578</v>
      </c>
      <c r="D2243" s="1">
        <v>21</v>
      </c>
      <c r="E2243" s="3">
        <f>IF(INDEX(C:C, ROW())+INDEX(D:D, ROW())=0, 0, INDEX(C:C, ROW())/(INDEX(C:C, ROW())+INDEX(D:D, ROW())))</f>
        <v>0.96494156928213692</v>
      </c>
      <c r="F2243" s="1" t="s">
        <v>863</v>
      </c>
      <c r="G2243" s="1" t="s">
        <v>28</v>
      </c>
      <c r="H2243" s="1">
        <v>17094</v>
      </c>
      <c r="I2243" s="1">
        <v>42986</v>
      </c>
      <c r="J2243" s="7">
        <v>0.39800000000000002</v>
      </c>
      <c r="K2243" s="1" t="s">
        <v>21</v>
      </c>
      <c r="L2243" s="1" t="s">
        <v>29</v>
      </c>
      <c r="M2243" s="1" t="s">
        <v>29</v>
      </c>
      <c r="N2243" s="1" t="s">
        <v>22</v>
      </c>
    </row>
    <row r="2244" spans="1:14" x14ac:dyDescent="0.25">
      <c r="A2244" s="1">
        <v>2243</v>
      </c>
      <c r="B2244" s="2" t="str">
        <f>HYPERLINK("https://leetcode.com/problems/calculate-digit-sum-of-a-string/", "Calculate Digit Sum of a String")</f>
        <v>Calculate Digit Sum of a String</v>
      </c>
      <c r="C2244" s="1">
        <v>591</v>
      </c>
      <c r="D2244" s="1">
        <v>52</v>
      </c>
      <c r="E2244" s="3">
        <f>IF(INDEX(C:C, ROW())+INDEX(D:D, ROW())=0, 0, INDEX(C:C, ROW())/(INDEX(C:C, ROW())+INDEX(D:D, ROW())))</f>
        <v>0.91912908242612756</v>
      </c>
      <c r="F2244" s="1" t="s">
        <v>414</v>
      </c>
      <c r="G2244" s="1" t="s">
        <v>20</v>
      </c>
      <c r="H2244" s="1">
        <v>53524</v>
      </c>
      <c r="I2244" s="1">
        <v>79147</v>
      </c>
      <c r="J2244" s="7">
        <v>0.67600000000000005</v>
      </c>
      <c r="K2244" s="1" t="s">
        <v>21</v>
      </c>
      <c r="L2244" s="1" t="s">
        <v>29</v>
      </c>
      <c r="M2244" s="1" t="s">
        <v>29</v>
      </c>
      <c r="N2244" s="1" t="s">
        <v>22</v>
      </c>
    </row>
    <row r="2245" spans="1:14" x14ac:dyDescent="0.25">
      <c r="A2245" s="1">
        <v>2244</v>
      </c>
      <c r="B2245" s="2" t="str">
        <f>HYPERLINK("https://leetcode.com/problems/minimum-rounds-to-complete-all-tasks/", "Minimum Rounds to Complete All Tasks")</f>
        <v>Minimum Rounds to Complete All Tasks</v>
      </c>
      <c r="C2245" s="1">
        <v>2848</v>
      </c>
      <c r="D2245" s="1">
        <v>85</v>
      </c>
      <c r="E2245" s="3">
        <f>IF(INDEX(C:C, ROW())+INDEX(D:D, ROW())=0, 0, INDEX(C:C, ROW())/(INDEX(C:C, ROW())+INDEX(D:D, ROW())))</f>
        <v>0.97101943402659396</v>
      </c>
      <c r="F2245" s="1" t="s">
        <v>389</v>
      </c>
      <c r="G2245" s="1" t="s">
        <v>24</v>
      </c>
      <c r="H2245" s="1">
        <v>171366</v>
      </c>
      <c r="I2245" s="1">
        <v>271071</v>
      </c>
      <c r="J2245" s="7">
        <v>0.63200000000000001</v>
      </c>
      <c r="K2245" s="1" t="s">
        <v>21</v>
      </c>
      <c r="L2245" s="1" t="s">
        <v>21</v>
      </c>
      <c r="M2245" s="1" t="s">
        <v>29</v>
      </c>
      <c r="N2245" s="1" t="s">
        <v>22</v>
      </c>
    </row>
    <row r="2246" spans="1:14" x14ac:dyDescent="0.25">
      <c r="A2246" s="1">
        <v>2245</v>
      </c>
      <c r="B2246" s="2" t="str">
        <f>HYPERLINK("https://leetcode.com/problems/maximum-trailing-zeros-in-a-cornered-path/", "Maximum Trailing Zeros in a Cornered Path")</f>
        <v>Maximum Trailing Zeros in a Cornered Path</v>
      </c>
      <c r="C2246" s="1">
        <v>202</v>
      </c>
      <c r="D2246" s="1">
        <v>407</v>
      </c>
      <c r="E2246" s="3">
        <f>IF(INDEX(C:C, ROW())+INDEX(D:D, ROW())=0, 0, INDEX(C:C, ROW())/(INDEX(C:C, ROW())+INDEX(D:D, ROW())))</f>
        <v>0.33169129720853857</v>
      </c>
      <c r="F2246" s="1" t="s">
        <v>425</v>
      </c>
      <c r="G2246" s="1" t="s">
        <v>24</v>
      </c>
      <c r="H2246" s="1">
        <v>9517</v>
      </c>
      <c r="I2246" s="1">
        <v>25409</v>
      </c>
      <c r="J2246" s="7">
        <v>0.375</v>
      </c>
      <c r="K2246" s="1" t="s">
        <v>21</v>
      </c>
      <c r="L2246" s="1" t="s">
        <v>29</v>
      </c>
      <c r="M2246" s="1" t="s">
        <v>29</v>
      </c>
      <c r="N2246" s="1" t="s">
        <v>22</v>
      </c>
    </row>
    <row r="2247" spans="1:14" x14ac:dyDescent="0.25">
      <c r="A2247" s="1">
        <v>2246</v>
      </c>
      <c r="B2247" s="2" t="str">
        <f>HYPERLINK("https://leetcode.com/problems/longest-path-with-different-adjacent-characters/", "Longest Path With Different Adjacent Characters")</f>
        <v>Longest Path With Different Adjacent Characters</v>
      </c>
      <c r="C2247" s="1">
        <v>2532</v>
      </c>
      <c r="D2247" s="1">
        <v>61</v>
      </c>
      <c r="E2247" s="3">
        <f>IF(INDEX(C:C, ROW())+INDEX(D:D, ROW())=0, 0, INDEX(C:C, ROW())/(INDEX(C:C, ROW())+INDEX(D:D, ROW())))</f>
        <v>0.97647512533744696</v>
      </c>
      <c r="F2247" s="1" t="s">
        <v>420</v>
      </c>
      <c r="G2247" s="1" t="s">
        <v>28</v>
      </c>
      <c r="H2247" s="1">
        <v>91487</v>
      </c>
      <c r="I2247" s="1">
        <v>169585</v>
      </c>
      <c r="J2247" s="7">
        <v>0.53900000000000003</v>
      </c>
      <c r="K2247" s="1" t="s">
        <v>21</v>
      </c>
      <c r="L2247" s="1" t="s">
        <v>21</v>
      </c>
      <c r="M2247" s="1" t="s">
        <v>29</v>
      </c>
      <c r="N2247" s="1" t="s">
        <v>22</v>
      </c>
    </row>
    <row r="2248" spans="1:14" x14ac:dyDescent="0.25">
      <c r="A2248" s="1">
        <v>2247</v>
      </c>
      <c r="B2248" s="2" t="str">
        <f>HYPERLINK("https://leetcode.com/problems/maximum-cost-of-trip-with-k-highways/", "Maximum Cost of Trip With K Highways")</f>
        <v>Maximum Cost of Trip With K Highways</v>
      </c>
      <c r="C2248" s="1">
        <v>63</v>
      </c>
      <c r="D2248" s="1">
        <v>0</v>
      </c>
      <c r="E2248" s="3">
        <f>IF(INDEX(C:C, ROW())+INDEX(D:D, ROW())=0, 0, INDEX(C:C, ROW())/(INDEX(C:C, ROW())+INDEX(D:D, ROW())))</f>
        <v>1</v>
      </c>
      <c r="F2248" s="1" t="s">
        <v>677</v>
      </c>
      <c r="G2248" s="1" t="s">
        <v>28</v>
      </c>
      <c r="H2248" s="1">
        <v>2375</v>
      </c>
      <c r="I2248" s="1">
        <v>4653</v>
      </c>
      <c r="J2248" s="7">
        <v>0.51</v>
      </c>
      <c r="K2248" s="1" t="s">
        <v>29</v>
      </c>
      <c r="L2248" s="1" t="s">
        <v>29</v>
      </c>
      <c r="M2248" s="1" t="s">
        <v>29</v>
      </c>
      <c r="N2248" s="1" t="s">
        <v>22</v>
      </c>
    </row>
    <row r="2249" spans="1:14" x14ac:dyDescent="0.25">
      <c r="A2249" s="1">
        <v>2248</v>
      </c>
      <c r="B2249" s="2" t="str">
        <f>HYPERLINK("https://leetcode.com/problems/intersection-of-multiple-arrays/", "Intersection of Multiple Arrays")</f>
        <v>Intersection of Multiple Arrays</v>
      </c>
      <c r="C2249" s="1">
        <v>806</v>
      </c>
      <c r="D2249" s="1">
        <v>44</v>
      </c>
      <c r="E2249" s="3">
        <f>IF(INDEX(C:C, ROW())+INDEX(D:D, ROW())=0, 0, INDEX(C:C, ROW())/(INDEX(C:C, ROW())+INDEX(D:D, ROW())))</f>
        <v>0.94823529411764707</v>
      </c>
      <c r="F2249" s="1" t="s">
        <v>125</v>
      </c>
      <c r="G2249" s="1" t="s">
        <v>20</v>
      </c>
      <c r="H2249" s="1">
        <v>125624</v>
      </c>
      <c r="I2249" s="1">
        <v>183035</v>
      </c>
      <c r="J2249" s="7">
        <v>0.68600000000000005</v>
      </c>
      <c r="K2249" s="1" t="s">
        <v>21</v>
      </c>
      <c r="L2249" s="1" t="s">
        <v>29</v>
      </c>
      <c r="M2249" s="1" t="s">
        <v>29</v>
      </c>
      <c r="N2249" s="1" t="s">
        <v>22</v>
      </c>
    </row>
    <row r="2250" spans="1:14" x14ac:dyDescent="0.25">
      <c r="A2250" s="1">
        <v>2249</v>
      </c>
      <c r="B2250" s="2" t="str">
        <f>HYPERLINK("https://leetcode.com/problems/count-lattice-points-inside-a-circle/", "Count Lattice Points Inside a Circle")</f>
        <v>Count Lattice Points Inside a Circle</v>
      </c>
      <c r="C2250" s="1">
        <v>253</v>
      </c>
      <c r="D2250" s="1">
        <v>223</v>
      </c>
      <c r="E2250" s="3">
        <f>IF(INDEX(C:C, ROW())+INDEX(D:D, ROW())=0, 0, INDEX(C:C, ROW())/(INDEX(C:C, ROW())+INDEX(D:D, ROW())))</f>
        <v>0.53151260504201681</v>
      </c>
      <c r="F2250" s="1" t="s">
        <v>1065</v>
      </c>
      <c r="G2250" s="1" t="s">
        <v>24</v>
      </c>
      <c r="H2250" s="1">
        <v>32278</v>
      </c>
      <c r="I2250" s="1">
        <v>57166</v>
      </c>
      <c r="J2250" s="7">
        <v>0.56499999999999995</v>
      </c>
      <c r="K2250" s="1" t="s">
        <v>21</v>
      </c>
      <c r="L2250" s="1" t="s">
        <v>29</v>
      </c>
      <c r="M2250" s="1" t="s">
        <v>29</v>
      </c>
      <c r="N2250" s="1" t="s">
        <v>22</v>
      </c>
    </row>
    <row r="2251" spans="1:14" x14ac:dyDescent="0.25">
      <c r="A2251" s="1">
        <v>2250</v>
      </c>
      <c r="B2251" s="2" t="str">
        <f>HYPERLINK("https://leetcode.com/problems/count-number-of-rectangles-containing-each-point/", "Count Number of Rectangles Containing Each Point")</f>
        <v>Count Number of Rectangles Containing Each Point</v>
      </c>
      <c r="C2251" s="1">
        <v>554</v>
      </c>
      <c r="D2251" s="1">
        <v>141</v>
      </c>
      <c r="E2251" s="3">
        <f>IF(INDEX(C:C, ROW())+INDEX(D:D, ROW())=0, 0, INDEX(C:C, ROW())/(INDEX(C:C, ROW())+INDEX(D:D, ROW())))</f>
        <v>0.7971223021582734</v>
      </c>
      <c r="F2251" s="1" t="s">
        <v>873</v>
      </c>
      <c r="G2251" s="1" t="s">
        <v>24</v>
      </c>
      <c r="H2251" s="1">
        <v>22953</v>
      </c>
      <c r="I2251" s="1">
        <v>61429</v>
      </c>
      <c r="J2251" s="7">
        <v>0.374</v>
      </c>
      <c r="K2251" s="1" t="s">
        <v>21</v>
      </c>
      <c r="L2251" s="1" t="s">
        <v>29</v>
      </c>
      <c r="M2251" s="1" t="s">
        <v>29</v>
      </c>
      <c r="N2251" s="1" t="s">
        <v>22</v>
      </c>
    </row>
    <row r="2252" spans="1:14" x14ac:dyDescent="0.25">
      <c r="A2252" s="1">
        <v>2251</v>
      </c>
      <c r="B2252" s="2" t="str">
        <f>HYPERLINK("https://leetcode.com/problems/number-of-flowers-in-full-bloom/", "Number of Flowers in Full Bloom")</f>
        <v>Number of Flowers in Full Bloom</v>
      </c>
      <c r="C2252" s="1">
        <v>1814</v>
      </c>
      <c r="D2252" s="1">
        <v>46</v>
      </c>
      <c r="E2252" s="3">
        <f>IF(INDEX(C:C, ROW())+INDEX(D:D, ROW())=0, 0, INDEX(C:C, ROW())/(INDEX(C:C, ROW())+INDEX(D:D, ROW())))</f>
        <v>0.97526881720430103</v>
      </c>
      <c r="F2252" s="1" t="s">
        <v>536</v>
      </c>
      <c r="G2252" s="1" t="s">
        <v>28</v>
      </c>
      <c r="H2252" s="1">
        <v>106979</v>
      </c>
      <c r="I2252" s="1">
        <v>185313</v>
      </c>
      <c r="J2252" s="7">
        <v>0.57699999999999996</v>
      </c>
      <c r="K2252" s="1" t="s">
        <v>21</v>
      </c>
      <c r="L2252" s="1" t="s">
        <v>21</v>
      </c>
      <c r="M2252" s="1" t="s">
        <v>29</v>
      </c>
      <c r="N2252" s="1" t="s">
        <v>22</v>
      </c>
    </row>
    <row r="2253" spans="1:14" x14ac:dyDescent="0.25">
      <c r="A2253" s="1">
        <v>2252</v>
      </c>
      <c r="B2253" s="2" t="str">
        <f>HYPERLINK("https://leetcode.com/problems/dynamic-pivoting-of-a-table/", "Dynamic Pivoting of a Table")</f>
        <v>Dynamic Pivoting of a Table</v>
      </c>
      <c r="C2253" s="1">
        <v>34</v>
      </c>
      <c r="D2253" s="1">
        <v>10</v>
      </c>
      <c r="E2253" s="3">
        <f>IF(INDEX(C:C, ROW())+INDEX(D:D, ROW())=0, 0, INDEX(C:C, ROW())/(INDEX(C:C, ROW())+INDEX(D:D, ROW())))</f>
        <v>0.77272727272727271</v>
      </c>
      <c r="F2253" s="1" t="s">
        <v>297</v>
      </c>
      <c r="G2253" s="1" t="s">
        <v>28</v>
      </c>
      <c r="H2253" s="1">
        <v>2156</v>
      </c>
      <c r="I2253" s="1">
        <v>3780</v>
      </c>
      <c r="J2253" s="7">
        <v>0.56999999999999995</v>
      </c>
      <c r="K2253" s="1" t="s">
        <v>29</v>
      </c>
      <c r="L2253" s="1" t="s">
        <v>29</v>
      </c>
      <c r="M2253" s="1" t="s">
        <v>29</v>
      </c>
      <c r="N2253" s="1" t="s">
        <v>297</v>
      </c>
    </row>
    <row r="2254" spans="1:14" x14ac:dyDescent="0.25">
      <c r="A2254" s="1">
        <v>2253</v>
      </c>
      <c r="B2254" s="2" t="str">
        <f>HYPERLINK("https://leetcode.com/problems/dynamic-unpivoting-of-a-table/", "Dynamic Unpivoting of a Table")</f>
        <v>Dynamic Unpivoting of a Table</v>
      </c>
      <c r="C2254" s="1">
        <v>20</v>
      </c>
      <c r="D2254" s="1">
        <v>13</v>
      </c>
      <c r="E2254" s="3">
        <f>IF(INDEX(C:C, ROW())+INDEX(D:D, ROW())=0, 0, INDEX(C:C, ROW())/(INDEX(C:C, ROW())+INDEX(D:D, ROW())))</f>
        <v>0.60606060606060608</v>
      </c>
      <c r="F2254" s="1" t="s">
        <v>297</v>
      </c>
      <c r="G2254" s="1" t="s">
        <v>28</v>
      </c>
      <c r="H2254" s="1">
        <v>1424</v>
      </c>
      <c r="I2254" s="1">
        <v>2062</v>
      </c>
      <c r="J2254" s="7">
        <v>0.69099999999999995</v>
      </c>
      <c r="K2254" s="1" t="s">
        <v>29</v>
      </c>
      <c r="L2254" s="1" t="s">
        <v>29</v>
      </c>
      <c r="M2254" s="1" t="s">
        <v>29</v>
      </c>
      <c r="N2254" s="1" t="s">
        <v>297</v>
      </c>
    </row>
    <row r="2255" spans="1:14" x14ac:dyDescent="0.25">
      <c r="A2255" s="1">
        <v>2254</v>
      </c>
      <c r="B2255" s="2" t="str">
        <f>HYPERLINK("https://leetcode.com/problems/design-video-sharing-platform/", "Design Video Sharing Platform")</f>
        <v>Design Video Sharing Platform</v>
      </c>
      <c r="C2255" s="1">
        <v>87</v>
      </c>
      <c r="D2255" s="1">
        <v>14</v>
      </c>
      <c r="E2255" s="3">
        <f>IF(INDEX(C:C, ROW())+INDEX(D:D, ROW())=0, 0, INDEX(C:C, ROW())/(INDEX(C:C, ROW())+INDEX(D:D, ROW())))</f>
        <v>0.86138613861386137</v>
      </c>
      <c r="F2255" s="1" t="s">
        <v>1020</v>
      </c>
      <c r="G2255" s="1" t="s">
        <v>28</v>
      </c>
      <c r="H2255" s="1">
        <v>5447</v>
      </c>
      <c r="I2255" s="1">
        <v>8507</v>
      </c>
      <c r="J2255" s="7">
        <v>0.64</v>
      </c>
      <c r="K2255" s="1" t="s">
        <v>29</v>
      </c>
      <c r="L2255" s="1" t="s">
        <v>29</v>
      </c>
      <c r="M2255" s="1" t="s">
        <v>29</v>
      </c>
      <c r="N2255" s="1" t="s">
        <v>22</v>
      </c>
    </row>
    <row r="2256" spans="1:14" x14ac:dyDescent="0.25">
      <c r="A2256" s="1">
        <v>2255</v>
      </c>
      <c r="B2256" s="2" t="str">
        <f>HYPERLINK("https://leetcode.com/problems/count-prefixes-of-a-given-string/", "Count Prefixes of a Given String")</f>
        <v>Count Prefixes of a Given String</v>
      </c>
      <c r="C2256" s="1">
        <v>604</v>
      </c>
      <c r="D2256" s="1">
        <v>24</v>
      </c>
      <c r="E2256" s="3">
        <f>IF(INDEX(C:C, ROW())+INDEX(D:D, ROW())=0, 0, INDEX(C:C, ROW())/(INDEX(C:C, ROW())+INDEX(D:D, ROW())))</f>
        <v>0.96178343949044587</v>
      </c>
      <c r="F2256" s="1" t="s">
        <v>369</v>
      </c>
      <c r="G2256" s="1" t="s">
        <v>20</v>
      </c>
      <c r="H2256" s="1">
        <v>87584</v>
      </c>
      <c r="I2256" s="1">
        <v>118046</v>
      </c>
      <c r="J2256" s="7">
        <v>0.74199999999999999</v>
      </c>
      <c r="K2256" s="1" t="s">
        <v>21</v>
      </c>
      <c r="L2256" s="1" t="s">
        <v>29</v>
      </c>
      <c r="M2256" s="1" t="s">
        <v>29</v>
      </c>
      <c r="N2256" s="1" t="s">
        <v>22</v>
      </c>
    </row>
    <row r="2257" spans="1:14" x14ac:dyDescent="0.25">
      <c r="A2257" s="1">
        <v>2256</v>
      </c>
      <c r="B2257" s="2" t="str">
        <f>HYPERLINK("https://leetcode.com/problems/minimum-average-difference/", "Minimum Average Difference")</f>
        <v>Minimum Average Difference</v>
      </c>
      <c r="C2257" s="1">
        <v>1569</v>
      </c>
      <c r="D2257" s="1">
        <v>182</v>
      </c>
      <c r="E2257" s="3">
        <f>IF(INDEX(C:C, ROW())+INDEX(D:D, ROW())=0, 0, INDEX(C:C, ROW())/(INDEX(C:C, ROW())+INDEX(D:D, ROW())))</f>
        <v>0.89605939463163908</v>
      </c>
      <c r="F2257" s="1" t="s">
        <v>37</v>
      </c>
      <c r="G2257" s="1" t="s">
        <v>24</v>
      </c>
      <c r="H2257" s="1">
        <v>97002</v>
      </c>
      <c r="I2257" s="1">
        <v>221499</v>
      </c>
      <c r="J2257" s="7">
        <v>0.438</v>
      </c>
      <c r="K2257" s="1" t="s">
        <v>21</v>
      </c>
      <c r="L2257" s="1" t="s">
        <v>21</v>
      </c>
      <c r="M2257" s="1" t="s">
        <v>29</v>
      </c>
      <c r="N2257" s="1" t="s">
        <v>22</v>
      </c>
    </row>
    <row r="2258" spans="1:14" x14ac:dyDescent="0.25">
      <c r="A2258" s="1">
        <v>2257</v>
      </c>
      <c r="B2258" s="2" t="str">
        <f>HYPERLINK("https://leetcode.com/problems/count-unguarded-cells-in-the-grid/", "Count Unguarded Cells in the Grid")</f>
        <v>Count Unguarded Cells in the Grid</v>
      </c>
      <c r="C2258" s="1">
        <v>1291</v>
      </c>
      <c r="D2258" s="1">
        <v>91</v>
      </c>
      <c r="E2258" s="3">
        <f>IF(INDEX(C:C, ROW())+INDEX(D:D, ROW())=0, 0, INDEX(C:C, ROW())/(INDEX(C:C, ROW())+INDEX(D:D, ROW())))</f>
        <v>0.93415340086830678</v>
      </c>
      <c r="F2258" s="1" t="s">
        <v>77</v>
      </c>
      <c r="G2258" s="1" t="s">
        <v>24</v>
      </c>
      <c r="H2258" s="1">
        <v>204826</v>
      </c>
      <c r="I2258" s="1">
        <v>296841</v>
      </c>
      <c r="J2258" s="7">
        <v>0.69</v>
      </c>
      <c r="K2258" s="1" t="s">
        <v>21</v>
      </c>
      <c r="L2258" s="1" t="s">
        <v>21</v>
      </c>
      <c r="M2258" s="1" t="s">
        <v>29</v>
      </c>
      <c r="N2258" s="1" t="s">
        <v>22</v>
      </c>
    </row>
    <row r="2259" spans="1:14" x14ac:dyDescent="0.25">
      <c r="A2259" s="1">
        <v>2258</v>
      </c>
      <c r="B2259" s="2" t="str">
        <f>HYPERLINK("https://leetcode.com/problems/escape-the-spreading-fire/", "Escape the Spreading Fire")</f>
        <v>Escape the Spreading Fire</v>
      </c>
      <c r="C2259" s="1">
        <v>871</v>
      </c>
      <c r="D2259" s="1">
        <v>41</v>
      </c>
      <c r="E2259" s="3">
        <f>IF(INDEX(C:C, ROW())+INDEX(D:D, ROW())=0, 0, INDEX(C:C, ROW())/(INDEX(C:C, ROW())+INDEX(D:D, ROW())))</f>
        <v>0.95504385964912286</v>
      </c>
      <c r="F2259" s="1" t="s">
        <v>747</v>
      </c>
      <c r="G2259" s="1" t="s">
        <v>28</v>
      </c>
      <c r="H2259" s="1">
        <v>19672</v>
      </c>
      <c r="I2259" s="1">
        <v>52359</v>
      </c>
      <c r="J2259" s="7">
        <v>0.376</v>
      </c>
      <c r="K2259" s="1" t="s">
        <v>21</v>
      </c>
      <c r="L2259" s="1" t="s">
        <v>29</v>
      </c>
      <c r="M2259" s="1" t="s">
        <v>29</v>
      </c>
      <c r="N2259" s="1" t="s">
        <v>22</v>
      </c>
    </row>
    <row r="2260" spans="1:14" x14ac:dyDescent="0.25">
      <c r="A2260" s="1">
        <v>2259</v>
      </c>
      <c r="B2260" s="2" t="str">
        <f>HYPERLINK("https://leetcode.com/problems/remove-digit-from-number-to-maximize-result/", "Remove Digit From Number to Maximize Result")</f>
        <v>Remove Digit From Number to Maximize Result</v>
      </c>
      <c r="C2260" s="1">
        <v>946</v>
      </c>
      <c r="D2260" s="1">
        <v>66</v>
      </c>
      <c r="E2260" s="3">
        <f>IF(INDEX(C:C, ROW())+INDEX(D:D, ROW())=0, 0, INDEX(C:C, ROW())/(INDEX(C:C, ROW())+INDEX(D:D, ROW())))</f>
        <v>0.93478260869565222</v>
      </c>
      <c r="F2260" s="1" t="s">
        <v>727</v>
      </c>
      <c r="G2260" s="1" t="s">
        <v>20</v>
      </c>
      <c r="H2260" s="1">
        <v>127286</v>
      </c>
      <c r="I2260" s="1">
        <v>263997</v>
      </c>
      <c r="J2260" s="7">
        <v>0.48199999999999998</v>
      </c>
      <c r="K2260" s="1" t="s">
        <v>21</v>
      </c>
      <c r="L2260" s="1" t="s">
        <v>29</v>
      </c>
      <c r="M2260" s="1" t="s">
        <v>29</v>
      </c>
      <c r="N2260" s="1" t="s">
        <v>22</v>
      </c>
    </row>
    <row r="2261" spans="1:14" x14ac:dyDescent="0.25">
      <c r="A2261" s="1">
        <v>2260</v>
      </c>
      <c r="B2261" s="2" t="str">
        <f>HYPERLINK("https://leetcode.com/problems/minimum-consecutive-cards-to-pick-up/", "Minimum Consecutive Cards to Pick Up")</f>
        <v>Minimum Consecutive Cards to Pick Up</v>
      </c>
      <c r="C2261" s="1">
        <v>1086</v>
      </c>
      <c r="D2261" s="1">
        <v>45</v>
      </c>
      <c r="E2261" s="3">
        <f>IF(INDEX(C:C, ROW())+INDEX(D:D, ROW())=0, 0, INDEX(C:C, ROW())/(INDEX(C:C, ROW())+INDEX(D:D, ROW())))</f>
        <v>0.96021220159151188</v>
      </c>
      <c r="F2261" s="1" t="s">
        <v>185</v>
      </c>
      <c r="G2261" s="1" t="s">
        <v>24</v>
      </c>
      <c r="H2261" s="1">
        <v>118487</v>
      </c>
      <c r="I2261" s="1">
        <v>221377</v>
      </c>
      <c r="J2261" s="7">
        <v>0.53500000000000003</v>
      </c>
      <c r="K2261" s="1" t="s">
        <v>21</v>
      </c>
      <c r="L2261" s="1" t="s">
        <v>29</v>
      </c>
      <c r="M2261" s="1" t="s">
        <v>29</v>
      </c>
      <c r="N2261" s="1" t="s">
        <v>22</v>
      </c>
    </row>
    <row r="2262" spans="1:14" x14ac:dyDescent="0.25">
      <c r="A2262" s="1">
        <v>2261</v>
      </c>
      <c r="B2262" s="2" t="str">
        <f>HYPERLINK("https://leetcode.com/problems/k-divisible-elements-subarrays/", "K Divisible Elements Subarrays")</f>
        <v>K Divisible Elements Subarrays</v>
      </c>
      <c r="C2262" s="1">
        <v>736</v>
      </c>
      <c r="D2262" s="1">
        <v>162</v>
      </c>
      <c r="E2262" s="3">
        <f>IF(INDEX(C:C, ROW())+INDEX(D:D, ROW())=0, 0, INDEX(C:C, ROW())/(INDEX(C:C, ROW())+INDEX(D:D, ROW())))</f>
        <v>0.8195991091314031</v>
      </c>
      <c r="F2262" s="1" t="s">
        <v>788</v>
      </c>
      <c r="G2262" s="1" t="s">
        <v>24</v>
      </c>
      <c r="H2262" s="1">
        <v>48219</v>
      </c>
      <c r="I2262" s="1">
        <v>88047</v>
      </c>
      <c r="J2262" s="7">
        <v>0.54800000000000004</v>
      </c>
      <c r="K2262" s="1" t="s">
        <v>21</v>
      </c>
      <c r="L2262" s="1" t="s">
        <v>29</v>
      </c>
      <c r="M2262" s="1" t="s">
        <v>29</v>
      </c>
      <c r="N2262" s="1" t="s">
        <v>22</v>
      </c>
    </row>
    <row r="2263" spans="1:14" x14ac:dyDescent="0.25">
      <c r="A2263" s="1">
        <v>2262</v>
      </c>
      <c r="B2263" s="2" t="str">
        <f>HYPERLINK("https://leetcode.com/problems/total-appeal-of-a-string/", "Total Appeal of A String")</f>
        <v>Total Appeal of A String</v>
      </c>
      <c r="C2263" s="1">
        <v>1217</v>
      </c>
      <c r="D2263" s="1">
        <v>35</v>
      </c>
      <c r="E2263" s="3">
        <f>IF(INDEX(C:C, ROW())+INDEX(D:D, ROW())=0, 0, INDEX(C:C, ROW())/(INDEX(C:C, ROW())+INDEX(D:D, ROW())))</f>
        <v>0.97204472843450485</v>
      </c>
      <c r="F2263" s="1" t="s">
        <v>466</v>
      </c>
      <c r="G2263" s="1" t="s">
        <v>28</v>
      </c>
      <c r="H2263" s="1">
        <v>46226</v>
      </c>
      <c r="I2263" s="1">
        <v>82044</v>
      </c>
      <c r="J2263" s="7">
        <v>0.56299999999999994</v>
      </c>
      <c r="K2263" s="1" t="s">
        <v>21</v>
      </c>
      <c r="L2263" s="1" t="s">
        <v>29</v>
      </c>
      <c r="M2263" s="1" t="s">
        <v>29</v>
      </c>
      <c r="N2263" s="1" t="s">
        <v>22</v>
      </c>
    </row>
    <row r="2264" spans="1:14" x14ac:dyDescent="0.25">
      <c r="A2264" s="1">
        <v>2263</v>
      </c>
      <c r="B2264" s="2" t="str">
        <f>HYPERLINK("https://leetcode.com/problems/make-array-non-decreasing-or-non-increasing/", "Make Array Non-decreasing or Non-increasing")</f>
        <v>Make Array Non-decreasing or Non-increasing</v>
      </c>
      <c r="C2264" s="1">
        <v>94</v>
      </c>
      <c r="D2264" s="1">
        <v>13</v>
      </c>
      <c r="E2264" s="3">
        <f>IF(INDEX(C:C, ROW())+INDEX(D:D, ROW())=0, 0, INDEX(C:C, ROW())/(INDEX(C:C, ROW())+INDEX(D:D, ROW())))</f>
        <v>0.87850467289719625</v>
      </c>
      <c r="F2264" s="1" t="s">
        <v>265</v>
      </c>
      <c r="G2264" s="1" t="s">
        <v>28</v>
      </c>
      <c r="H2264" s="1">
        <v>4765</v>
      </c>
      <c r="I2264" s="1">
        <v>7269</v>
      </c>
      <c r="J2264" s="7">
        <v>0.65600000000000003</v>
      </c>
      <c r="K2264" s="1" t="s">
        <v>29</v>
      </c>
      <c r="L2264" s="1" t="s">
        <v>29</v>
      </c>
      <c r="M2264" s="1" t="s">
        <v>29</v>
      </c>
      <c r="N2264" s="1" t="s">
        <v>22</v>
      </c>
    </row>
    <row r="2265" spans="1:14" x14ac:dyDescent="0.25">
      <c r="A2265" s="1">
        <v>2264</v>
      </c>
      <c r="B2265" s="2" t="str">
        <f>HYPERLINK("https://leetcode.com/problems/largest-3-same-digit-number-in-string/", "Largest 3-Same-Digit Number in String")</f>
        <v>Largest 3-Same-Digit Number in String</v>
      </c>
      <c r="C2265" s="1">
        <v>1388</v>
      </c>
      <c r="D2265" s="1">
        <v>55</v>
      </c>
      <c r="E2265" s="3">
        <f>IF(INDEX(C:C, ROW())+INDEX(D:D, ROW())=0, 0, INDEX(C:C, ROW())/(INDEX(C:C, ROW())+INDEX(D:D, ROW())))</f>
        <v>0.96188496188496186</v>
      </c>
      <c r="F2265" s="1" t="s">
        <v>146</v>
      </c>
      <c r="G2265" s="1" t="s">
        <v>20</v>
      </c>
      <c r="H2265" s="1">
        <v>323917</v>
      </c>
      <c r="I2265" s="1">
        <v>445589</v>
      </c>
      <c r="J2265" s="7">
        <v>0.72699999999999998</v>
      </c>
      <c r="K2265" s="1" t="s">
        <v>21</v>
      </c>
      <c r="L2265" s="1" t="s">
        <v>21</v>
      </c>
      <c r="M2265" s="1" t="s">
        <v>29</v>
      </c>
      <c r="N2265" s="1" t="s">
        <v>22</v>
      </c>
    </row>
    <row r="2266" spans="1:14" x14ac:dyDescent="0.25">
      <c r="A2266" s="1">
        <v>2265</v>
      </c>
      <c r="B2266" s="2" t="str">
        <f>HYPERLINK("https://leetcode.com/problems/count-nodes-equal-to-average-of-subtree/", "Count Nodes Equal to Average of Subtree")</f>
        <v>Count Nodes Equal to Average of Subtree</v>
      </c>
      <c r="C2266" s="1">
        <v>2354</v>
      </c>
      <c r="D2266" s="1">
        <v>58</v>
      </c>
      <c r="E2266" s="3">
        <f>IF(INDEX(C:C, ROW())+INDEX(D:D, ROW())=0, 0, INDEX(C:C, ROW())/(INDEX(C:C, ROW())+INDEX(D:D, ROW())))</f>
        <v>0.97595356550580437</v>
      </c>
      <c r="F2266" s="1" t="s">
        <v>67</v>
      </c>
      <c r="G2266" s="1" t="s">
        <v>24</v>
      </c>
      <c r="H2266" s="1">
        <v>195876</v>
      </c>
      <c r="I2266" s="1">
        <v>225801</v>
      </c>
      <c r="J2266" s="7">
        <v>0.86699999999999999</v>
      </c>
      <c r="K2266" s="1" t="s">
        <v>21</v>
      </c>
      <c r="L2266" s="1" t="s">
        <v>21</v>
      </c>
      <c r="M2266" s="1" t="s">
        <v>29</v>
      </c>
      <c r="N2266" s="1" t="s">
        <v>22</v>
      </c>
    </row>
    <row r="2267" spans="1:14" x14ac:dyDescent="0.25">
      <c r="A2267" s="1">
        <v>2266</v>
      </c>
      <c r="B2267" s="2" t="str">
        <f>HYPERLINK("https://leetcode.com/problems/count-number-of-texts/", "Count Number of Texts")</f>
        <v>Count Number of Texts</v>
      </c>
      <c r="C2267" s="1">
        <v>940</v>
      </c>
      <c r="D2267" s="1">
        <v>36</v>
      </c>
      <c r="E2267" s="3">
        <f>IF(INDEX(C:C, ROW())+INDEX(D:D, ROW())=0, 0, INDEX(C:C, ROW())/(INDEX(C:C, ROW())+INDEX(D:D, ROW())))</f>
        <v>0.96311475409836067</v>
      </c>
      <c r="F2267" s="1" t="s">
        <v>728</v>
      </c>
      <c r="G2267" s="1" t="s">
        <v>24</v>
      </c>
      <c r="H2267" s="1">
        <v>29025</v>
      </c>
      <c r="I2267" s="1">
        <v>58152</v>
      </c>
      <c r="J2267" s="7">
        <v>0.499</v>
      </c>
      <c r="K2267" s="1" t="s">
        <v>21</v>
      </c>
      <c r="L2267" s="1" t="s">
        <v>29</v>
      </c>
      <c r="M2267" s="1" t="s">
        <v>29</v>
      </c>
      <c r="N2267" s="1" t="s">
        <v>22</v>
      </c>
    </row>
    <row r="2268" spans="1:14" x14ac:dyDescent="0.25">
      <c r="A2268" s="1">
        <v>2267</v>
      </c>
      <c r="B2268" s="2" t="str">
        <f>HYPERLINK("https://leetcode.com/problems/check-if-there-is-a-valid-parentheses-string-path/", " Check if There Is a Valid Parentheses String Path")</f>
        <v xml:space="preserve"> Check if There Is a Valid Parentheses String Path</v>
      </c>
      <c r="C2268" s="1">
        <v>541</v>
      </c>
      <c r="D2268" s="1">
        <v>9</v>
      </c>
      <c r="E2268" s="3">
        <f>IF(INDEX(C:C, ROW())+INDEX(D:D, ROW())=0, 0, INDEX(C:C, ROW())/(INDEX(C:C, ROW())+INDEX(D:D, ROW())))</f>
        <v>0.98363636363636364</v>
      </c>
      <c r="F2268" s="1" t="s">
        <v>94</v>
      </c>
      <c r="G2268" s="1" t="s">
        <v>28</v>
      </c>
      <c r="H2268" s="1">
        <v>19896</v>
      </c>
      <c r="I2268" s="1">
        <v>49643</v>
      </c>
      <c r="J2268" s="7">
        <v>0.40100000000000002</v>
      </c>
      <c r="K2268" s="1" t="s">
        <v>21</v>
      </c>
      <c r="L2268" s="1" t="s">
        <v>29</v>
      </c>
      <c r="M2268" s="1" t="s">
        <v>29</v>
      </c>
      <c r="N2268" s="1" t="s">
        <v>22</v>
      </c>
    </row>
    <row r="2269" spans="1:14" x14ac:dyDescent="0.25">
      <c r="A2269" s="1">
        <v>2268</v>
      </c>
      <c r="B2269" s="2" t="str">
        <f>HYPERLINK("https://leetcode.com/problems/minimum-number-of-keypresses/", "Minimum Number of Keypresses")</f>
        <v>Minimum Number of Keypresses</v>
      </c>
      <c r="C2269" s="1">
        <v>250</v>
      </c>
      <c r="D2269" s="1">
        <v>39</v>
      </c>
      <c r="E2269" s="3">
        <f>IF(INDEX(C:C, ROW())+INDEX(D:D, ROW())=0, 0, INDEX(C:C, ROW())/(INDEX(C:C, ROW())+INDEX(D:D, ROW())))</f>
        <v>0.86505190311418689</v>
      </c>
      <c r="F2269" s="1" t="s">
        <v>772</v>
      </c>
      <c r="G2269" s="1" t="s">
        <v>24</v>
      </c>
      <c r="H2269" s="1">
        <v>37009</v>
      </c>
      <c r="I2269" s="1">
        <v>51811</v>
      </c>
      <c r="J2269" s="7">
        <v>0.71399999999999997</v>
      </c>
      <c r="K2269" s="1" t="s">
        <v>29</v>
      </c>
      <c r="L2269" s="1" t="s">
        <v>29</v>
      </c>
      <c r="M2269" s="1" t="s">
        <v>29</v>
      </c>
      <c r="N2269" s="1" t="s">
        <v>22</v>
      </c>
    </row>
    <row r="2270" spans="1:14" x14ac:dyDescent="0.25">
      <c r="A2270" s="1">
        <v>2269</v>
      </c>
      <c r="B2270" s="2" t="str">
        <f>HYPERLINK("https://leetcode.com/problems/find-the-k-beauty-of-a-number/", "Find the K-Beauty of a Number")</f>
        <v>Find the K-Beauty of a Number</v>
      </c>
      <c r="C2270" s="1">
        <v>730</v>
      </c>
      <c r="D2270" s="1">
        <v>47</v>
      </c>
      <c r="E2270" s="3">
        <f>IF(INDEX(C:C, ROW())+INDEX(D:D, ROW())=0, 0, INDEX(C:C, ROW())/(INDEX(C:C, ROW())+INDEX(D:D, ROW())))</f>
        <v>0.93951093951093956</v>
      </c>
      <c r="F2270" s="1" t="s">
        <v>790</v>
      </c>
      <c r="G2270" s="1" t="s">
        <v>20</v>
      </c>
      <c r="H2270" s="1">
        <v>88651</v>
      </c>
      <c r="I2270" s="1">
        <v>140704</v>
      </c>
      <c r="J2270" s="7">
        <v>0.63</v>
      </c>
      <c r="K2270" s="1" t="s">
        <v>21</v>
      </c>
      <c r="L2270" s="1" t="s">
        <v>29</v>
      </c>
      <c r="M2270" s="1" t="s">
        <v>29</v>
      </c>
      <c r="N2270" s="1" t="s">
        <v>22</v>
      </c>
    </row>
    <row r="2271" spans="1:14" x14ac:dyDescent="0.25">
      <c r="A2271" s="1">
        <v>2270</v>
      </c>
      <c r="B2271" s="2" t="str">
        <f>HYPERLINK("https://leetcode.com/problems/number-of-ways-to-split-array/", "Number of Ways to Split Array")</f>
        <v>Number of Ways to Split Array</v>
      </c>
      <c r="C2271" s="1">
        <v>1195</v>
      </c>
      <c r="D2271" s="1">
        <v>100</v>
      </c>
      <c r="E2271" s="3">
        <f>IF(INDEX(C:C, ROW())+INDEX(D:D, ROW())=0, 0, INDEX(C:C, ROW())/(INDEX(C:C, ROW())+INDEX(D:D, ROW())))</f>
        <v>0.92277992277992282</v>
      </c>
      <c r="F2271" s="1" t="s">
        <v>37</v>
      </c>
      <c r="G2271" s="1" t="s">
        <v>24</v>
      </c>
      <c r="H2271" s="1">
        <v>233879</v>
      </c>
      <c r="I2271" s="1">
        <v>418365</v>
      </c>
      <c r="J2271" s="7">
        <v>0.55900000000000005</v>
      </c>
      <c r="K2271" s="1" t="s">
        <v>21</v>
      </c>
      <c r="L2271" s="1" t="s">
        <v>21</v>
      </c>
      <c r="M2271" s="1" t="s">
        <v>29</v>
      </c>
      <c r="N2271" s="1" t="s">
        <v>22</v>
      </c>
    </row>
    <row r="2272" spans="1:14" x14ac:dyDescent="0.25">
      <c r="A2272" s="1">
        <v>2271</v>
      </c>
      <c r="B2272" s="2" t="str">
        <f>HYPERLINK("https://leetcode.com/problems/maximum-white-tiles-covered-by-a-carpet/", "Maximum White Tiles Covered by a Carpet")</f>
        <v>Maximum White Tiles Covered by a Carpet</v>
      </c>
      <c r="C2272" s="1">
        <v>837</v>
      </c>
      <c r="D2272" s="1">
        <v>58</v>
      </c>
      <c r="E2272" s="3">
        <f>IF(INDEX(C:C, ROW())+INDEX(D:D, ROW())=0, 0, INDEX(C:C, ROW())/(INDEX(C:C, ROW())+INDEX(D:D, ROW())))</f>
        <v>0.93519553072625694</v>
      </c>
      <c r="F2272" s="1" t="s">
        <v>236</v>
      </c>
      <c r="G2272" s="1" t="s">
        <v>24</v>
      </c>
      <c r="H2272" s="1">
        <v>21557</v>
      </c>
      <c r="I2272" s="1">
        <v>60466</v>
      </c>
      <c r="J2272" s="7">
        <v>0.35699999999999998</v>
      </c>
      <c r="K2272" s="1" t="s">
        <v>21</v>
      </c>
      <c r="L2272" s="1" t="s">
        <v>29</v>
      </c>
      <c r="M2272" s="1" t="s">
        <v>29</v>
      </c>
      <c r="N2272" s="1" t="s">
        <v>22</v>
      </c>
    </row>
    <row r="2273" spans="1:14" x14ac:dyDescent="0.25">
      <c r="A2273" s="1">
        <v>2272</v>
      </c>
      <c r="B2273" s="2" t="str">
        <f>HYPERLINK("https://leetcode.com/problems/substring-with-largest-variance/", "Substring With Largest Variance")</f>
        <v>Substring With Largest Variance</v>
      </c>
      <c r="C2273" s="1">
        <v>1918</v>
      </c>
      <c r="D2273" s="1">
        <v>212</v>
      </c>
      <c r="E2273" s="3">
        <f>IF(INDEX(C:C, ROW())+INDEX(D:D, ROW())=0, 0, INDEX(C:C, ROW())/(INDEX(C:C, ROW())+INDEX(D:D, ROW())))</f>
        <v>0.9004694835680751</v>
      </c>
      <c r="F2273" s="1" t="s">
        <v>514</v>
      </c>
      <c r="G2273" s="1" t="s">
        <v>28</v>
      </c>
      <c r="H2273" s="1">
        <v>75639</v>
      </c>
      <c r="I2273" s="1">
        <v>164268</v>
      </c>
      <c r="J2273" s="7">
        <v>0.46</v>
      </c>
      <c r="K2273" s="1" t="s">
        <v>21</v>
      </c>
      <c r="L2273" s="1" t="s">
        <v>21</v>
      </c>
      <c r="M2273" s="1" t="s">
        <v>29</v>
      </c>
      <c r="N2273" s="1" t="s">
        <v>22</v>
      </c>
    </row>
    <row r="2274" spans="1:14" x14ac:dyDescent="0.25">
      <c r="A2274" s="1">
        <v>2273</v>
      </c>
      <c r="B2274" s="2" t="str">
        <f>HYPERLINK("https://leetcode.com/problems/find-resultant-array-after-removing-anagrams/", "Find Resultant Array After Removing Anagrams")</f>
        <v>Find Resultant Array After Removing Anagrams</v>
      </c>
      <c r="C2274" s="1">
        <v>1056</v>
      </c>
      <c r="D2274" s="1">
        <v>238</v>
      </c>
      <c r="E2274" s="3">
        <f>IF(INDEX(C:C, ROW())+INDEX(D:D, ROW())=0, 0, INDEX(C:C, ROW())/(INDEX(C:C, ROW())+INDEX(D:D, ROW())))</f>
        <v>0.81607418856259661</v>
      </c>
      <c r="F2274" s="1" t="s">
        <v>49</v>
      </c>
      <c r="G2274" s="1" t="s">
        <v>20</v>
      </c>
      <c r="H2274" s="1">
        <v>203964</v>
      </c>
      <c r="I2274" s="1">
        <v>291985</v>
      </c>
      <c r="J2274" s="7">
        <v>0.69899999999999995</v>
      </c>
      <c r="K2274" s="1" t="s">
        <v>21</v>
      </c>
      <c r="L2274" s="1" t="s">
        <v>21</v>
      </c>
      <c r="M2274" s="1" t="s">
        <v>29</v>
      </c>
      <c r="N2274" s="1" t="s">
        <v>22</v>
      </c>
    </row>
    <row r="2275" spans="1:14" x14ac:dyDescent="0.25">
      <c r="A2275" s="1">
        <v>2274</v>
      </c>
      <c r="B2275" s="2" t="str">
        <f>HYPERLINK("https://leetcode.com/problems/maximum-consecutive-floors-without-special-floors/", "Maximum Consecutive Floors Without Special Floors")</f>
        <v>Maximum Consecutive Floors Without Special Floors</v>
      </c>
      <c r="C2275" s="1">
        <v>430</v>
      </c>
      <c r="D2275" s="1">
        <v>41</v>
      </c>
      <c r="E2275" s="3">
        <f>IF(INDEX(C:C, ROW())+INDEX(D:D, ROW())=0, 0, INDEX(C:C, ROW())/(INDEX(C:C, ROW())+INDEX(D:D, ROW())))</f>
        <v>0.91295116772823781</v>
      </c>
      <c r="F2275" s="1" t="s">
        <v>42</v>
      </c>
      <c r="G2275" s="1" t="s">
        <v>24</v>
      </c>
      <c r="H2275" s="1">
        <v>40867</v>
      </c>
      <c r="I2275" s="1">
        <v>77880</v>
      </c>
      <c r="J2275" s="7">
        <v>0.52500000000000002</v>
      </c>
      <c r="K2275" s="1" t="s">
        <v>21</v>
      </c>
      <c r="L2275" s="1" t="s">
        <v>29</v>
      </c>
      <c r="M2275" s="1" t="s">
        <v>29</v>
      </c>
      <c r="N2275" s="1" t="s">
        <v>22</v>
      </c>
    </row>
    <row r="2276" spans="1:14" x14ac:dyDescent="0.25">
      <c r="A2276" s="1">
        <v>2275</v>
      </c>
      <c r="B2276" s="2" t="str">
        <f>HYPERLINK("https://leetcode.com/problems/largest-combination-with-bitwise-and-greater-than-zero/", "Largest Combination With Bitwise AND Greater Than Zero")</f>
        <v>Largest Combination With Bitwise AND Greater Than Zero</v>
      </c>
      <c r="C2276" s="1">
        <v>1132</v>
      </c>
      <c r="D2276" s="1">
        <v>60</v>
      </c>
      <c r="E2276" s="3">
        <f>IF(INDEX(C:C, ROW())+INDEX(D:D, ROW())=0, 0, INDEX(C:C, ROW())/(INDEX(C:C, ROW())+INDEX(D:D, ROW())))</f>
        <v>0.94966442953020136</v>
      </c>
      <c r="F2276" s="1" t="s">
        <v>657</v>
      </c>
      <c r="G2276" s="1" t="s">
        <v>24</v>
      </c>
      <c r="H2276" s="1">
        <v>155597</v>
      </c>
      <c r="I2276" s="1">
        <v>192580</v>
      </c>
      <c r="J2276" s="7">
        <v>0.80800000000000005</v>
      </c>
      <c r="K2276" s="1" t="s">
        <v>21</v>
      </c>
      <c r="L2276" s="1" t="s">
        <v>21</v>
      </c>
      <c r="M2276" s="1" t="s">
        <v>29</v>
      </c>
      <c r="N2276" s="1" t="s">
        <v>22</v>
      </c>
    </row>
    <row r="2277" spans="1:14" x14ac:dyDescent="0.25">
      <c r="A2277" s="1">
        <v>2276</v>
      </c>
      <c r="B2277" s="2" t="str">
        <f>HYPERLINK("https://leetcode.com/problems/count-integers-in-intervals/", "Count Integers in Intervals")</f>
        <v>Count Integers in Intervals</v>
      </c>
      <c r="C2277" s="1">
        <v>621</v>
      </c>
      <c r="D2277" s="1">
        <v>64</v>
      </c>
      <c r="E2277" s="3">
        <f>IF(INDEX(C:C, ROW())+INDEX(D:D, ROW())=0, 0, INDEX(C:C, ROW())/(INDEX(C:C, ROW())+INDEX(D:D, ROW())))</f>
        <v>0.90656934306569348</v>
      </c>
      <c r="F2277" s="1" t="s">
        <v>562</v>
      </c>
      <c r="G2277" s="1" t="s">
        <v>28</v>
      </c>
      <c r="H2277" s="1">
        <v>28508</v>
      </c>
      <c r="I2277" s="1">
        <v>79937</v>
      </c>
      <c r="J2277" s="7">
        <v>0.35699999999999998</v>
      </c>
      <c r="K2277" s="1" t="s">
        <v>21</v>
      </c>
      <c r="L2277" s="1" t="s">
        <v>29</v>
      </c>
      <c r="M2277" s="1" t="s">
        <v>29</v>
      </c>
      <c r="N2277" s="1" t="s">
        <v>22</v>
      </c>
    </row>
    <row r="2278" spans="1:14" x14ac:dyDescent="0.25">
      <c r="A2278" s="1">
        <v>2277</v>
      </c>
      <c r="B2278" s="2" t="str">
        <f>HYPERLINK("https://leetcode.com/problems/closest-node-to-path-in-tree/", "Closest Node to Path in Tree")</f>
        <v>Closest Node to Path in Tree</v>
      </c>
      <c r="C2278" s="1">
        <v>139</v>
      </c>
      <c r="D2278" s="1">
        <v>3</v>
      </c>
      <c r="E2278" s="3">
        <f>IF(INDEX(C:C, ROW())+INDEX(D:D, ROW())=0, 0, INDEX(C:C, ROW())/(INDEX(C:C, ROW())+INDEX(D:D, ROW())))</f>
        <v>0.97887323943661975</v>
      </c>
      <c r="F2278" s="1" t="s">
        <v>1075</v>
      </c>
      <c r="G2278" s="1" t="s">
        <v>28</v>
      </c>
      <c r="H2278" s="1">
        <v>6548</v>
      </c>
      <c r="I2278" s="1">
        <v>10502</v>
      </c>
      <c r="J2278" s="7">
        <v>0.624</v>
      </c>
      <c r="K2278" s="1" t="s">
        <v>29</v>
      </c>
      <c r="L2278" s="1" t="s">
        <v>29</v>
      </c>
      <c r="M2278" s="1" t="s">
        <v>29</v>
      </c>
      <c r="N2278" s="1" t="s">
        <v>22</v>
      </c>
    </row>
    <row r="2279" spans="1:14" x14ac:dyDescent="0.25">
      <c r="A2279" s="1">
        <v>2278</v>
      </c>
      <c r="B2279" s="2" t="str">
        <f>HYPERLINK("https://leetcode.com/problems/percentage-of-letter-in-string/", "Percentage of Letter in String")</f>
        <v>Percentage of Letter in String</v>
      </c>
      <c r="C2279" s="1">
        <v>560</v>
      </c>
      <c r="D2279" s="1">
        <v>64</v>
      </c>
      <c r="E2279" s="3">
        <f>IF(INDEX(C:C, ROW())+INDEX(D:D, ROW())=0, 0, INDEX(C:C, ROW())/(INDEX(C:C, ROW())+INDEX(D:D, ROW())))</f>
        <v>0.89743589743589747</v>
      </c>
      <c r="F2279" s="1" t="s">
        <v>146</v>
      </c>
      <c r="G2279" s="1" t="s">
        <v>20</v>
      </c>
      <c r="H2279" s="1">
        <v>98457</v>
      </c>
      <c r="I2279" s="1">
        <v>131193</v>
      </c>
      <c r="J2279" s="7">
        <v>0.75</v>
      </c>
      <c r="K2279" s="1" t="s">
        <v>21</v>
      </c>
      <c r="L2279" s="1" t="s">
        <v>29</v>
      </c>
      <c r="M2279" s="1" t="s">
        <v>29</v>
      </c>
      <c r="N2279" s="1" t="s">
        <v>22</v>
      </c>
    </row>
    <row r="2280" spans="1:14" x14ac:dyDescent="0.25">
      <c r="A2280" s="1">
        <v>2279</v>
      </c>
      <c r="B2280" s="2" t="str">
        <f>HYPERLINK("https://leetcode.com/problems/maximum-bags-with-full-capacity-of-rocks/", "Maximum Bags With Full Capacity of Rocks")</f>
        <v>Maximum Bags With Full Capacity of Rocks</v>
      </c>
      <c r="C2280" s="1">
        <v>1767</v>
      </c>
      <c r="D2280" s="1">
        <v>71</v>
      </c>
      <c r="E2280" s="3">
        <f>IF(INDEX(C:C, ROW())+INDEX(D:D, ROW())=0, 0, INDEX(C:C, ROW())/(INDEX(C:C, ROW())+INDEX(D:D, ROW())))</f>
        <v>0.96137105549510338</v>
      </c>
      <c r="F2280" s="1" t="s">
        <v>169</v>
      </c>
      <c r="G2280" s="1" t="s">
        <v>24</v>
      </c>
      <c r="H2280" s="1">
        <v>111513</v>
      </c>
      <c r="I2280" s="1">
        <v>164074</v>
      </c>
      <c r="J2280" s="7">
        <v>0.68</v>
      </c>
      <c r="K2280" s="1" t="s">
        <v>21</v>
      </c>
      <c r="L2280" s="1" t="s">
        <v>21</v>
      </c>
      <c r="M2280" s="1" t="s">
        <v>29</v>
      </c>
      <c r="N2280" s="1" t="s">
        <v>22</v>
      </c>
    </row>
    <row r="2281" spans="1:14" x14ac:dyDescent="0.25">
      <c r="A2281" s="1">
        <v>2280</v>
      </c>
      <c r="B2281" s="2" t="str">
        <f>HYPERLINK("https://leetcode.com/problems/minimum-lines-to-represent-a-line-chart/", "Minimum Lines to Represent a Line Chart")</f>
        <v>Minimum Lines to Represent a Line Chart</v>
      </c>
      <c r="C2281" s="1">
        <v>366</v>
      </c>
      <c r="D2281" s="1">
        <v>534</v>
      </c>
      <c r="E2281" s="3">
        <f>IF(INDEX(C:C, ROW())+INDEX(D:D, ROW())=0, 0, INDEX(C:C, ROW())/(INDEX(C:C, ROW())+INDEX(D:D, ROW())))</f>
        <v>0.40666666666666668</v>
      </c>
      <c r="F2281" s="1" t="s">
        <v>1006</v>
      </c>
      <c r="G2281" s="1" t="s">
        <v>24</v>
      </c>
      <c r="H2281" s="1">
        <v>31815</v>
      </c>
      <c r="I2281" s="1">
        <v>118691</v>
      </c>
      <c r="J2281" s="7">
        <v>0.26800000000000002</v>
      </c>
      <c r="K2281" s="1" t="s">
        <v>21</v>
      </c>
      <c r="L2281" s="1" t="s">
        <v>29</v>
      </c>
      <c r="M2281" s="1" t="s">
        <v>29</v>
      </c>
      <c r="N2281" s="1" t="s">
        <v>22</v>
      </c>
    </row>
    <row r="2282" spans="1:14" x14ac:dyDescent="0.25">
      <c r="A2282" s="1">
        <v>2281</v>
      </c>
      <c r="B2282" s="2" t="str">
        <f>HYPERLINK("https://leetcode.com/problems/sum-of-total-strength-of-wizards/", "Sum of Total Strength of Wizards")</f>
        <v>Sum of Total Strength of Wizards</v>
      </c>
      <c r="C2282" s="1">
        <v>1267</v>
      </c>
      <c r="D2282" s="1">
        <v>111</v>
      </c>
      <c r="E2282" s="3">
        <f>IF(INDEX(C:C, ROW())+INDEX(D:D, ROW())=0, 0, INDEX(C:C, ROW())/(INDEX(C:C, ROW())+INDEX(D:D, ROW())))</f>
        <v>0.91944847605224966</v>
      </c>
      <c r="F2282" s="1" t="s">
        <v>573</v>
      </c>
      <c r="G2282" s="1" t="s">
        <v>28</v>
      </c>
      <c r="H2282" s="1">
        <v>25247</v>
      </c>
      <c r="I2282" s="1">
        <v>86681</v>
      </c>
      <c r="J2282" s="7">
        <v>0.29099999999999998</v>
      </c>
      <c r="K2282" s="1" t="s">
        <v>21</v>
      </c>
      <c r="L2282" s="1" t="s">
        <v>21</v>
      </c>
      <c r="M2282" s="1" t="s">
        <v>29</v>
      </c>
      <c r="N2282" s="1" t="s">
        <v>22</v>
      </c>
    </row>
    <row r="2283" spans="1:14" x14ac:dyDescent="0.25">
      <c r="A2283" s="1">
        <v>2282</v>
      </c>
      <c r="B2283" s="2" t="str">
        <f>HYPERLINK("https://leetcode.com/problems/number-of-people-that-can-be-seen-in-a-grid/", "Number of People That Can Be Seen in a Grid")</f>
        <v>Number of People That Can Be Seen in a Grid</v>
      </c>
      <c r="C2283" s="1">
        <v>66</v>
      </c>
      <c r="D2283" s="1">
        <v>34</v>
      </c>
      <c r="E2283" s="3">
        <f>IF(INDEX(C:C, ROW())+INDEX(D:D, ROW())=0, 0, INDEX(C:C, ROW())/(INDEX(C:C, ROW())+INDEX(D:D, ROW())))</f>
        <v>0.66</v>
      </c>
      <c r="F2283" s="1" t="s">
        <v>1230</v>
      </c>
      <c r="G2283" s="1" t="s">
        <v>24</v>
      </c>
      <c r="H2283" s="1">
        <v>2610</v>
      </c>
      <c r="I2283" s="1">
        <v>5511</v>
      </c>
      <c r="J2283" s="7">
        <v>0.47399999999999998</v>
      </c>
      <c r="K2283" s="1" t="s">
        <v>29</v>
      </c>
      <c r="L2283" s="1" t="s">
        <v>29</v>
      </c>
      <c r="M2283" s="1" t="s">
        <v>29</v>
      </c>
      <c r="N2283" s="1" t="s">
        <v>22</v>
      </c>
    </row>
    <row r="2284" spans="1:14" x14ac:dyDescent="0.25">
      <c r="A2284" s="1">
        <v>2283</v>
      </c>
      <c r="B2284" s="2" t="str">
        <f>HYPERLINK("https://leetcode.com/problems/check-if-number-has-equal-digit-count-and-digit-value/", "Check if Number Has Equal Digit Count and Digit Value")</f>
        <v>Check if Number Has Equal Digit Count and Digit Value</v>
      </c>
      <c r="C2284" s="1">
        <v>675</v>
      </c>
      <c r="D2284" s="1">
        <v>101</v>
      </c>
      <c r="E2284" s="3">
        <f>IF(INDEX(C:C, ROW())+INDEX(D:D, ROW())=0, 0, INDEX(C:C, ROW())/(INDEX(C:C, ROW())+INDEX(D:D, ROW())))</f>
        <v>0.86984536082474229</v>
      </c>
      <c r="F2284" s="1" t="s">
        <v>237</v>
      </c>
      <c r="G2284" s="1" t="s">
        <v>20</v>
      </c>
      <c r="H2284" s="1">
        <v>83273</v>
      </c>
      <c r="I2284" s="1">
        <v>113976</v>
      </c>
      <c r="J2284" s="7">
        <v>0.73099999999999998</v>
      </c>
      <c r="K2284" s="1" t="s">
        <v>21</v>
      </c>
      <c r="L2284" s="1" t="s">
        <v>29</v>
      </c>
      <c r="M2284" s="1" t="s">
        <v>29</v>
      </c>
      <c r="N2284" s="1" t="s">
        <v>22</v>
      </c>
    </row>
    <row r="2285" spans="1:14" x14ac:dyDescent="0.25">
      <c r="A2285" s="1">
        <v>2284</v>
      </c>
      <c r="B2285" s="2" t="str">
        <f>HYPERLINK("https://leetcode.com/problems/sender-with-largest-word-count/", "Sender With Largest Word Count")</f>
        <v>Sender With Largest Word Count</v>
      </c>
      <c r="C2285" s="1">
        <v>466</v>
      </c>
      <c r="D2285" s="1">
        <v>41</v>
      </c>
      <c r="E2285" s="3">
        <f>IF(INDEX(C:C, ROW())+INDEX(D:D, ROW())=0, 0, INDEX(C:C, ROW())/(INDEX(C:C, ROW())+INDEX(D:D, ROW())))</f>
        <v>0.9191321499013807</v>
      </c>
      <c r="F2285" s="1" t="s">
        <v>467</v>
      </c>
      <c r="G2285" s="1" t="s">
        <v>24</v>
      </c>
      <c r="H2285" s="1">
        <v>44365</v>
      </c>
      <c r="I2285" s="1">
        <v>74576</v>
      </c>
      <c r="J2285" s="7">
        <v>0.59499999999999997</v>
      </c>
      <c r="K2285" s="1" t="s">
        <v>21</v>
      </c>
      <c r="L2285" s="1" t="s">
        <v>29</v>
      </c>
      <c r="M2285" s="1" t="s">
        <v>29</v>
      </c>
      <c r="N2285" s="1" t="s">
        <v>22</v>
      </c>
    </row>
    <row r="2286" spans="1:14" x14ac:dyDescent="0.25">
      <c r="A2286" s="1">
        <v>2285</v>
      </c>
      <c r="B2286" s="2" t="str">
        <f>HYPERLINK("https://leetcode.com/problems/maximum-total-importance-of-roads/", "Maximum Total Importance of Roads")</f>
        <v>Maximum Total Importance of Roads</v>
      </c>
      <c r="C2286" s="1">
        <v>1354</v>
      </c>
      <c r="D2286" s="1">
        <v>84</v>
      </c>
      <c r="E2286" s="3">
        <f>IF(INDEX(C:C, ROW())+INDEX(D:D, ROW())=0, 0, INDEX(C:C, ROW())/(INDEX(C:C, ROW())+INDEX(D:D, ROW())))</f>
        <v>0.94158553546592494</v>
      </c>
      <c r="F2286" s="1" t="s">
        <v>622</v>
      </c>
      <c r="G2286" s="1" t="s">
        <v>24</v>
      </c>
      <c r="H2286" s="1">
        <v>160554</v>
      </c>
      <c r="I2286" s="1">
        <v>232287</v>
      </c>
      <c r="J2286" s="7">
        <v>0.69099999999999995</v>
      </c>
      <c r="K2286" s="1" t="s">
        <v>21</v>
      </c>
      <c r="L2286" s="1" t="s">
        <v>21</v>
      </c>
      <c r="M2286" s="1" t="s">
        <v>29</v>
      </c>
      <c r="N2286" s="1" t="s">
        <v>22</v>
      </c>
    </row>
    <row r="2287" spans="1:14" x14ac:dyDescent="0.25">
      <c r="A2287" s="1">
        <v>2286</v>
      </c>
      <c r="B2287" s="2" t="str">
        <f>HYPERLINK("https://leetcode.com/problems/booking-concert-tickets-in-groups/", "Booking Concert Tickets in Groups")</f>
        <v>Booking Concert Tickets in Groups</v>
      </c>
      <c r="C2287" s="1">
        <v>350</v>
      </c>
      <c r="D2287" s="1">
        <v>60</v>
      </c>
      <c r="E2287" s="3">
        <f>IF(INDEX(C:C, ROW())+INDEX(D:D, ROW())=0, 0, INDEX(C:C, ROW())/(INDEX(C:C, ROW())+INDEX(D:D, ROW())))</f>
        <v>0.85365853658536583</v>
      </c>
      <c r="F2287" s="1" t="s">
        <v>1018</v>
      </c>
      <c r="G2287" s="1" t="s">
        <v>28</v>
      </c>
      <c r="H2287" s="1">
        <v>9523</v>
      </c>
      <c r="I2287" s="1">
        <v>49564</v>
      </c>
      <c r="J2287" s="7">
        <v>0.192</v>
      </c>
      <c r="K2287" s="1" t="s">
        <v>21</v>
      </c>
      <c r="L2287" s="1" t="s">
        <v>29</v>
      </c>
      <c r="M2287" s="1" t="s">
        <v>29</v>
      </c>
      <c r="N2287" s="1" t="s">
        <v>22</v>
      </c>
    </row>
    <row r="2288" spans="1:14" x14ac:dyDescent="0.25">
      <c r="A2288" s="1">
        <v>2287</v>
      </c>
      <c r="B2288" s="2" t="str">
        <f>HYPERLINK("https://leetcode.com/problems/rearrange-characters-to-make-target-string/", "Rearrange Characters to Make Target String")</f>
        <v>Rearrange Characters to Make Target String</v>
      </c>
      <c r="C2288" s="1">
        <v>523</v>
      </c>
      <c r="D2288" s="1">
        <v>38</v>
      </c>
      <c r="E2288" s="3">
        <f>IF(INDEX(C:C, ROW())+INDEX(D:D, ROW())=0, 0, INDEX(C:C, ROW())/(INDEX(C:C, ROW())+INDEX(D:D, ROW())))</f>
        <v>0.93226381461675578</v>
      </c>
      <c r="F2288" s="1" t="s">
        <v>237</v>
      </c>
      <c r="G2288" s="1" t="s">
        <v>20</v>
      </c>
      <c r="H2288" s="1">
        <v>55223</v>
      </c>
      <c r="I2288" s="1">
        <v>90477</v>
      </c>
      <c r="J2288" s="7">
        <v>0.61</v>
      </c>
      <c r="K2288" s="1" t="s">
        <v>21</v>
      </c>
      <c r="L2288" s="1" t="s">
        <v>29</v>
      </c>
      <c r="M2288" s="1" t="s">
        <v>29</v>
      </c>
      <c r="N2288" s="1" t="s">
        <v>22</v>
      </c>
    </row>
    <row r="2289" spans="1:14" x14ac:dyDescent="0.25">
      <c r="A2289" s="1">
        <v>2288</v>
      </c>
      <c r="B2289" s="2" t="str">
        <f>HYPERLINK("https://leetcode.com/problems/apply-discount-to-prices/", "Apply Discount to Prices")</f>
        <v>Apply Discount to Prices</v>
      </c>
      <c r="C2289" s="1">
        <v>222</v>
      </c>
      <c r="D2289" s="1">
        <v>1130</v>
      </c>
      <c r="E2289" s="3">
        <f>IF(INDEX(C:C, ROW())+INDEX(D:D, ROW())=0, 0, INDEX(C:C, ROW())/(INDEX(C:C, ROW())+INDEX(D:D, ROW())))</f>
        <v>0.16420118343195267</v>
      </c>
      <c r="F2289" s="1" t="s">
        <v>146</v>
      </c>
      <c r="G2289" s="1" t="s">
        <v>24</v>
      </c>
      <c r="H2289" s="1">
        <v>31338</v>
      </c>
      <c r="I2289" s="1">
        <v>92741</v>
      </c>
      <c r="J2289" s="7">
        <v>0.33800000000000002</v>
      </c>
      <c r="K2289" s="1" t="s">
        <v>21</v>
      </c>
      <c r="L2289" s="1" t="s">
        <v>29</v>
      </c>
      <c r="M2289" s="1" t="s">
        <v>29</v>
      </c>
      <c r="N2289" s="1" t="s">
        <v>22</v>
      </c>
    </row>
    <row r="2290" spans="1:14" x14ac:dyDescent="0.25">
      <c r="A2290" s="1">
        <v>2289</v>
      </c>
      <c r="B2290" s="2" t="str">
        <f>HYPERLINK("https://leetcode.com/problems/steps-to-make-array-non-decreasing/", "Steps to Make Array Non-decreasing")</f>
        <v>Steps to Make Array Non-decreasing</v>
      </c>
      <c r="C2290" s="1">
        <v>1405</v>
      </c>
      <c r="D2290" s="1">
        <v>149</v>
      </c>
      <c r="E2290" s="3">
        <f>IF(INDEX(C:C, ROW())+INDEX(D:D, ROW())=0, 0, INDEX(C:C, ROW())/(INDEX(C:C, ROW())+INDEX(D:D, ROW())))</f>
        <v>0.90411840411840416</v>
      </c>
      <c r="F2290" s="1" t="s">
        <v>613</v>
      </c>
      <c r="G2290" s="1" t="s">
        <v>24</v>
      </c>
      <c r="H2290" s="1">
        <v>30799</v>
      </c>
      <c r="I2290" s="1">
        <v>125200</v>
      </c>
      <c r="J2290" s="7">
        <v>0.246</v>
      </c>
      <c r="K2290" s="1" t="s">
        <v>21</v>
      </c>
      <c r="L2290" s="1" t="s">
        <v>29</v>
      </c>
      <c r="M2290" s="1" t="s">
        <v>29</v>
      </c>
      <c r="N2290" s="1" t="s">
        <v>22</v>
      </c>
    </row>
    <row r="2291" spans="1:14" x14ac:dyDescent="0.25">
      <c r="A2291" s="1">
        <v>2290</v>
      </c>
      <c r="B2291" s="2" t="str">
        <f>HYPERLINK("https://leetcode.com/problems/minimum-obstacle-removal-to-reach-corner/", "Minimum Obstacle Removal to Reach Corner")</f>
        <v>Minimum Obstacle Removal to Reach Corner</v>
      </c>
      <c r="C2291" s="1">
        <v>1660</v>
      </c>
      <c r="D2291" s="1">
        <v>29</v>
      </c>
      <c r="E2291" s="3">
        <f>IF(INDEX(C:C, ROW())+INDEX(D:D, ROW())=0, 0, INDEX(C:C, ROW())/(INDEX(C:C, ROW())+INDEX(D:D, ROW())))</f>
        <v>0.98283007696862046</v>
      </c>
      <c r="F2291" s="1" t="s">
        <v>415</v>
      </c>
      <c r="G2291" s="1" t="s">
        <v>28</v>
      </c>
      <c r="H2291" s="1">
        <v>120800</v>
      </c>
      <c r="I2291" s="1">
        <v>171458</v>
      </c>
      <c r="J2291" s="7">
        <v>0.70499999999999996</v>
      </c>
      <c r="K2291" s="1" t="s">
        <v>21</v>
      </c>
      <c r="L2291" s="1" t="s">
        <v>21</v>
      </c>
      <c r="M2291" s="1" t="s">
        <v>29</v>
      </c>
      <c r="N2291" s="1" t="s">
        <v>22</v>
      </c>
    </row>
    <row r="2292" spans="1:14" x14ac:dyDescent="0.25">
      <c r="A2292" s="1">
        <v>2291</v>
      </c>
      <c r="B2292" s="2" t="str">
        <f>HYPERLINK("https://leetcode.com/problems/maximum-profit-from-trading-stocks/", "Maximum Profit From Trading Stocks")</f>
        <v>Maximum Profit From Trading Stocks</v>
      </c>
      <c r="C2292" s="1">
        <v>190</v>
      </c>
      <c r="D2292" s="1">
        <v>9</v>
      </c>
      <c r="E2292" s="3">
        <f>IF(INDEX(C:C, ROW())+INDEX(D:D, ROW())=0, 0, INDEX(C:C, ROW())/(INDEX(C:C, ROW())+INDEX(D:D, ROW())))</f>
        <v>0.95477386934673369</v>
      </c>
      <c r="F2292" s="1" t="s">
        <v>30</v>
      </c>
      <c r="G2292" s="1" t="s">
        <v>24</v>
      </c>
      <c r="H2292" s="1">
        <v>17297</v>
      </c>
      <c r="I2292" s="1">
        <v>36000</v>
      </c>
      <c r="J2292" s="7">
        <v>0.48</v>
      </c>
      <c r="K2292" s="1" t="s">
        <v>29</v>
      </c>
      <c r="L2292" s="1" t="s">
        <v>29</v>
      </c>
      <c r="M2292" s="1" t="s">
        <v>29</v>
      </c>
      <c r="N2292" s="1" t="s">
        <v>22</v>
      </c>
    </row>
    <row r="2293" spans="1:14" x14ac:dyDescent="0.25">
      <c r="A2293" s="1">
        <v>2292</v>
      </c>
      <c r="B2293" s="2" t="str">
        <f>HYPERLINK("https://leetcode.com/problems/products-with-three-or-more-orders-in-two-consecutive-years/", "Products With Three or More Orders in Two Consecutive Years")</f>
        <v>Products With Three or More Orders in Two Consecutive Years</v>
      </c>
      <c r="C2293" s="1">
        <v>65</v>
      </c>
      <c r="D2293" s="1">
        <v>29</v>
      </c>
      <c r="E2293" s="3">
        <f>IF(INDEX(C:C, ROW())+INDEX(D:D, ROW())=0, 0, INDEX(C:C, ROW())/(INDEX(C:C, ROW())+INDEX(D:D, ROW())))</f>
        <v>0.69148936170212771</v>
      </c>
      <c r="F2293" s="1" t="s">
        <v>297</v>
      </c>
      <c r="G2293" s="1" t="s">
        <v>24</v>
      </c>
      <c r="H2293" s="1">
        <v>10461</v>
      </c>
      <c r="I2293" s="1">
        <v>25805</v>
      </c>
      <c r="J2293" s="7">
        <v>0.40500000000000003</v>
      </c>
      <c r="K2293" s="1" t="s">
        <v>29</v>
      </c>
      <c r="L2293" s="1" t="s">
        <v>29</v>
      </c>
      <c r="M2293" s="1" t="s">
        <v>29</v>
      </c>
      <c r="N2293" s="1" t="s">
        <v>297</v>
      </c>
    </row>
    <row r="2294" spans="1:14" x14ac:dyDescent="0.25">
      <c r="A2294" s="1">
        <v>2293</v>
      </c>
      <c r="B2294" s="2" t="str">
        <f>HYPERLINK("https://leetcode.com/problems/min-max-game/", "Min Max Game")</f>
        <v>Min Max Game</v>
      </c>
      <c r="C2294" s="1">
        <v>588</v>
      </c>
      <c r="D2294" s="1">
        <v>31</v>
      </c>
      <c r="E2294" s="3">
        <f>IF(INDEX(C:C, ROW())+INDEX(D:D, ROW())=0, 0, INDEX(C:C, ROW())/(INDEX(C:C, ROW())+INDEX(D:D, ROW())))</f>
        <v>0.94991922455573508</v>
      </c>
      <c r="F2294" s="1" t="s">
        <v>306</v>
      </c>
      <c r="G2294" s="1" t="s">
        <v>20</v>
      </c>
      <c r="H2294" s="1">
        <v>64931</v>
      </c>
      <c r="I2294" s="1">
        <v>101065</v>
      </c>
      <c r="J2294" s="7">
        <v>0.64200000000000002</v>
      </c>
      <c r="K2294" s="1" t="s">
        <v>21</v>
      </c>
      <c r="L2294" s="1" t="s">
        <v>29</v>
      </c>
      <c r="M2294" s="1" t="s">
        <v>29</v>
      </c>
      <c r="N2294" s="1" t="s">
        <v>22</v>
      </c>
    </row>
    <row r="2295" spans="1:14" x14ac:dyDescent="0.25">
      <c r="A2295" s="1">
        <v>2294</v>
      </c>
      <c r="B2295" s="2" t="str">
        <f>HYPERLINK("https://leetcode.com/problems/partition-array-such-that-maximum-difference-is-k/", "Partition Array Such That Maximum Difference Is K")</f>
        <v>Partition Array Such That Maximum Difference Is K</v>
      </c>
      <c r="C2295" s="1">
        <v>1174</v>
      </c>
      <c r="D2295" s="1">
        <v>46</v>
      </c>
      <c r="E2295" s="3">
        <f>IF(INDEX(C:C, ROW())+INDEX(D:D, ROW())=0, 0, INDEX(C:C, ROW())/(INDEX(C:C, ROW())+INDEX(D:D, ROW())))</f>
        <v>0.96229508196721314</v>
      </c>
      <c r="F2295" s="1" t="s">
        <v>169</v>
      </c>
      <c r="G2295" s="1" t="s">
        <v>24</v>
      </c>
      <c r="H2295" s="1">
        <v>168677</v>
      </c>
      <c r="I2295" s="1">
        <v>206075</v>
      </c>
      <c r="J2295" s="7">
        <v>0.81899999999999995</v>
      </c>
      <c r="K2295" s="1" t="s">
        <v>21</v>
      </c>
      <c r="L2295" s="1" t="s">
        <v>21</v>
      </c>
      <c r="M2295" s="1" t="s">
        <v>29</v>
      </c>
      <c r="N2295" s="1" t="s">
        <v>22</v>
      </c>
    </row>
    <row r="2296" spans="1:14" x14ac:dyDescent="0.25">
      <c r="A2296" s="1">
        <v>2295</v>
      </c>
      <c r="B2296" s="2" t="str">
        <f>HYPERLINK("https://leetcode.com/problems/replace-elements-in-an-array/", "Replace Elements in an Array")</f>
        <v>Replace Elements in an Array</v>
      </c>
      <c r="C2296" s="1">
        <v>680</v>
      </c>
      <c r="D2296" s="1">
        <v>39</v>
      </c>
      <c r="E2296" s="3">
        <f>IF(INDEX(C:C, ROW())+INDEX(D:D, ROW())=0, 0, INDEX(C:C, ROW())/(INDEX(C:C, ROW())+INDEX(D:D, ROW())))</f>
        <v>0.94575799721835885</v>
      </c>
      <c r="F2296" s="1" t="s">
        <v>736</v>
      </c>
      <c r="G2296" s="1" t="s">
        <v>24</v>
      </c>
      <c r="H2296" s="1">
        <v>46811</v>
      </c>
      <c r="I2296" s="1">
        <v>78553</v>
      </c>
      <c r="J2296" s="7">
        <v>0.59599999999999997</v>
      </c>
      <c r="K2296" s="1" t="s">
        <v>21</v>
      </c>
      <c r="L2296" s="1" t="s">
        <v>29</v>
      </c>
      <c r="M2296" s="1" t="s">
        <v>29</v>
      </c>
      <c r="N2296" s="1" t="s">
        <v>22</v>
      </c>
    </row>
    <row r="2297" spans="1:14" x14ac:dyDescent="0.25">
      <c r="A2297" s="1">
        <v>2296</v>
      </c>
      <c r="B2297" s="2" t="str">
        <f>HYPERLINK("https://leetcode.com/problems/design-a-text-editor/", "Design a Text Editor")</f>
        <v>Design a Text Editor</v>
      </c>
      <c r="C2297" s="1">
        <v>650</v>
      </c>
      <c r="D2297" s="1">
        <v>228</v>
      </c>
      <c r="E2297" s="3">
        <f>IF(INDEX(C:C, ROW())+INDEX(D:D, ROW())=0, 0, INDEX(C:C, ROW())/(INDEX(C:C, ROW())+INDEX(D:D, ROW())))</f>
        <v>0.74031890660592259</v>
      </c>
      <c r="F2297" s="1" t="s">
        <v>823</v>
      </c>
      <c r="G2297" s="1" t="s">
        <v>28</v>
      </c>
      <c r="H2297" s="1">
        <v>40778</v>
      </c>
      <c r="I2297" s="1">
        <v>81576</v>
      </c>
      <c r="J2297" s="7">
        <v>0.5</v>
      </c>
      <c r="K2297" s="1" t="s">
        <v>21</v>
      </c>
      <c r="L2297" s="1" t="s">
        <v>29</v>
      </c>
      <c r="M2297" s="1" t="s">
        <v>29</v>
      </c>
      <c r="N2297" s="1" t="s">
        <v>22</v>
      </c>
    </row>
    <row r="2298" spans="1:14" x14ac:dyDescent="0.25">
      <c r="A2298" s="1">
        <v>2297</v>
      </c>
      <c r="B2298" s="2" t="str">
        <f>HYPERLINK("https://leetcode.com/problems/jump-game-viii/", "Jump Game VIII")</f>
        <v>Jump Game VIII</v>
      </c>
      <c r="C2298" s="1">
        <v>172</v>
      </c>
      <c r="D2298" s="1">
        <v>49</v>
      </c>
      <c r="E2298" s="3">
        <f>IF(INDEX(C:C, ROW())+INDEX(D:D, ROW())=0, 0, INDEX(C:C, ROW())/(INDEX(C:C, ROW())+INDEX(D:D, ROW())))</f>
        <v>0.77828054298642535</v>
      </c>
      <c r="F2298" s="1" t="s">
        <v>1121</v>
      </c>
      <c r="G2298" s="1" t="s">
        <v>24</v>
      </c>
      <c r="H2298" s="1">
        <v>7877</v>
      </c>
      <c r="I2298" s="1">
        <v>17338</v>
      </c>
      <c r="J2298" s="7">
        <v>0.45400000000000001</v>
      </c>
      <c r="K2298" s="1" t="s">
        <v>29</v>
      </c>
      <c r="L2298" s="1" t="s">
        <v>29</v>
      </c>
      <c r="M2298" s="1" t="s">
        <v>29</v>
      </c>
      <c r="N2298" s="1" t="s">
        <v>22</v>
      </c>
    </row>
    <row r="2299" spans="1:14" x14ac:dyDescent="0.25">
      <c r="A2299" s="1">
        <v>2298</v>
      </c>
      <c r="B2299" s="2" t="str">
        <f>HYPERLINK("https://leetcode.com/problems/tasks-count-in-the-weekend/", "Tasks Count in the Weekend")</f>
        <v>Tasks Count in the Weekend</v>
      </c>
      <c r="C2299" s="1">
        <v>53</v>
      </c>
      <c r="D2299" s="1">
        <v>10</v>
      </c>
      <c r="E2299" s="3">
        <f>IF(INDEX(C:C, ROW())+INDEX(D:D, ROW())=0, 0, INDEX(C:C, ROW())/(INDEX(C:C, ROW())+INDEX(D:D, ROW())))</f>
        <v>0.84126984126984128</v>
      </c>
      <c r="F2299" s="1" t="s">
        <v>297</v>
      </c>
      <c r="G2299" s="1" t="s">
        <v>24</v>
      </c>
      <c r="H2299" s="1">
        <v>9100</v>
      </c>
      <c r="I2299" s="1">
        <v>11131</v>
      </c>
      <c r="J2299" s="7">
        <v>0.81799999999999995</v>
      </c>
      <c r="K2299" s="1" t="s">
        <v>29</v>
      </c>
      <c r="L2299" s="1" t="s">
        <v>29</v>
      </c>
      <c r="M2299" s="1" t="s">
        <v>29</v>
      </c>
      <c r="N2299" s="1" t="s">
        <v>297</v>
      </c>
    </row>
    <row r="2300" spans="1:14" x14ac:dyDescent="0.25">
      <c r="A2300" s="1">
        <v>2299</v>
      </c>
      <c r="B2300" s="2" t="str">
        <f>HYPERLINK("https://leetcode.com/problems/strong-password-checker-ii/", "Strong Password Checker II")</f>
        <v>Strong Password Checker II</v>
      </c>
      <c r="C2300" s="1">
        <v>381</v>
      </c>
      <c r="D2300" s="1">
        <v>41</v>
      </c>
      <c r="E2300" s="3">
        <f>IF(INDEX(C:C, ROW())+INDEX(D:D, ROW())=0, 0, INDEX(C:C, ROW())/(INDEX(C:C, ROW())+INDEX(D:D, ROW())))</f>
        <v>0.90284360189573465</v>
      </c>
      <c r="F2300" s="1" t="s">
        <v>146</v>
      </c>
      <c r="G2300" s="1" t="s">
        <v>20</v>
      </c>
      <c r="H2300" s="1">
        <v>56848</v>
      </c>
      <c r="I2300" s="1">
        <v>102759</v>
      </c>
      <c r="J2300" s="7">
        <v>0.55300000000000005</v>
      </c>
      <c r="K2300" s="1" t="s">
        <v>21</v>
      </c>
      <c r="L2300" s="1" t="s">
        <v>29</v>
      </c>
      <c r="M2300" s="1" t="s">
        <v>29</v>
      </c>
      <c r="N2300" s="1" t="s">
        <v>22</v>
      </c>
    </row>
    <row r="2301" spans="1:14" x14ac:dyDescent="0.25">
      <c r="A2301" s="1">
        <v>2300</v>
      </c>
      <c r="B2301" s="2" t="str">
        <f>HYPERLINK("https://leetcode.com/problems/successful-pairs-of-spells-and-potions/", "Successful Pairs of Spells and Potions")</f>
        <v>Successful Pairs of Spells and Potions</v>
      </c>
      <c r="C2301" s="1">
        <v>3195</v>
      </c>
      <c r="D2301" s="1">
        <v>105</v>
      </c>
      <c r="E2301" s="3">
        <f>IF(INDEX(C:C, ROW())+INDEX(D:D, ROW())=0, 0, INDEX(C:C, ROW())/(INDEX(C:C, ROW())+INDEX(D:D, ROW())))</f>
        <v>0.96818181818181814</v>
      </c>
      <c r="F2301" s="1" t="s">
        <v>277</v>
      </c>
      <c r="G2301" s="1" t="s">
        <v>24</v>
      </c>
      <c r="H2301" s="1">
        <v>376706</v>
      </c>
      <c r="I2301" s="1">
        <v>761873</v>
      </c>
      <c r="J2301" s="7">
        <v>0.49399999999999999</v>
      </c>
      <c r="K2301" s="1" t="s">
        <v>21</v>
      </c>
      <c r="L2301" s="1" t="s">
        <v>21</v>
      </c>
      <c r="M2301" s="1" t="s">
        <v>29</v>
      </c>
      <c r="N2301" s="1" t="s">
        <v>22</v>
      </c>
    </row>
    <row r="2302" spans="1:14" x14ac:dyDescent="0.25">
      <c r="A2302" s="1">
        <v>2301</v>
      </c>
      <c r="B2302" s="2" t="str">
        <f>HYPERLINK("https://leetcode.com/problems/match-substring-after-replacement/", "Match Substring After Replacement")</f>
        <v>Match Substring After Replacement</v>
      </c>
      <c r="C2302" s="1">
        <v>393</v>
      </c>
      <c r="D2302" s="1">
        <v>81</v>
      </c>
      <c r="E2302" s="3">
        <f>IF(INDEX(C:C, ROW())+INDEX(D:D, ROW())=0, 0, INDEX(C:C, ROW())/(INDEX(C:C, ROW())+INDEX(D:D, ROW())))</f>
        <v>0.82911392405063289</v>
      </c>
      <c r="F2302" s="1" t="s">
        <v>987</v>
      </c>
      <c r="G2302" s="1" t="s">
        <v>28</v>
      </c>
      <c r="H2302" s="1">
        <v>17708</v>
      </c>
      <c r="I2302" s="1">
        <v>41035</v>
      </c>
      <c r="J2302" s="7">
        <v>0.432</v>
      </c>
      <c r="K2302" s="1" t="s">
        <v>21</v>
      </c>
      <c r="L2302" s="1" t="s">
        <v>29</v>
      </c>
      <c r="M2302" s="1" t="s">
        <v>29</v>
      </c>
      <c r="N2302" s="1" t="s">
        <v>22</v>
      </c>
    </row>
    <row r="2303" spans="1:14" x14ac:dyDescent="0.25">
      <c r="A2303" s="1">
        <v>2302</v>
      </c>
      <c r="B2303" s="2" t="str">
        <f>HYPERLINK("https://leetcode.com/problems/count-subarrays-with-score-less-than-k/", "Count Subarrays With Score Less Than K")</f>
        <v>Count Subarrays With Score Less Than K</v>
      </c>
      <c r="C2303" s="1">
        <v>1609</v>
      </c>
      <c r="D2303" s="1">
        <v>61</v>
      </c>
      <c r="E2303" s="3">
        <f>IF(INDEX(C:C, ROW())+INDEX(D:D, ROW())=0, 0, INDEX(C:C, ROW())/(INDEX(C:C, ROW())+INDEX(D:D, ROW())))</f>
        <v>0.9634730538922156</v>
      </c>
      <c r="F2303" s="1" t="s">
        <v>88</v>
      </c>
      <c r="G2303" s="1" t="s">
        <v>28</v>
      </c>
      <c r="H2303" s="1">
        <v>144181</v>
      </c>
      <c r="I2303" s="1">
        <v>231342</v>
      </c>
      <c r="J2303" s="7">
        <v>0.623</v>
      </c>
      <c r="K2303" s="1" t="s">
        <v>21</v>
      </c>
      <c r="L2303" s="1" t="s">
        <v>21</v>
      </c>
      <c r="M2303" s="1" t="s">
        <v>29</v>
      </c>
      <c r="N2303" s="1" t="s">
        <v>22</v>
      </c>
    </row>
    <row r="2304" spans="1:14" x14ac:dyDescent="0.25">
      <c r="A2304" s="1">
        <v>2303</v>
      </c>
      <c r="B2304" s="2" t="str">
        <f>HYPERLINK("https://leetcode.com/problems/calculate-amount-paid-in-taxes/", "Calculate Amount Paid in Taxes")</f>
        <v>Calculate Amount Paid in Taxes</v>
      </c>
      <c r="C2304" s="1">
        <v>285</v>
      </c>
      <c r="D2304" s="1">
        <v>297</v>
      </c>
      <c r="E2304" s="3">
        <f>IF(INDEX(C:C, ROW())+INDEX(D:D, ROW())=0, 0, INDEX(C:C, ROW())/(INDEX(C:C, ROW())+INDEX(D:D, ROW())))</f>
        <v>0.48969072164948452</v>
      </c>
      <c r="F2304" s="1" t="s">
        <v>306</v>
      </c>
      <c r="G2304" s="1" t="s">
        <v>20</v>
      </c>
      <c r="H2304" s="1">
        <v>55780</v>
      </c>
      <c r="I2304" s="1">
        <v>80867</v>
      </c>
      <c r="J2304" s="7">
        <v>0.69</v>
      </c>
      <c r="K2304" s="1" t="s">
        <v>21</v>
      </c>
      <c r="L2304" s="1" t="s">
        <v>29</v>
      </c>
      <c r="M2304" s="1" t="s">
        <v>29</v>
      </c>
      <c r="N2304" s="1" t="s">
        <v>22</v>
      </c>
    </row>
    <row r="2305" spans="1:14" x14ac:dyDescent="0.25">
      <c r="A2305" s="1">
        <v>2304</v>
      </c>
      <c r="B2305" s="2" t="str">
        <f>HYPERLINK("https://leetcode.com/problems/minimum-path-cost-in-a-grid/", "Minimum Path Cost in a Grid")</f>
        <v>Minimum Path Cost in a Grid</v>
      </c>
      <c r="C2305" s="1">
        <v>972</v>
      </c>
      <c r="D2305" s="1">
        <v>177</v>
      </c>
      <c r="E2305" s="3">
        <f>IF(INDEX(C:C, ROW())+INDEX(D:D, ROW())=0, 0, INDEX(C:C, ROW())/(INDEX(C:C, ROW())+INDEX(D:D, ROW())))</f>
        <v>0.84595300261096606</v>
      </c>
      <c r="F2305" s="1" t="s">
        <v>94</v>
      </c>
      <c r="G2305" s="1" t="s">
        <v>24</v>
      </c>
      <c r="H2305" s="1">
        <v>40107</v>
      </c>
      <c r="I2305" s="1">
        <v>59047</v>
      </c>
      <c r="J2305" s="7">
        <v>0.67900000000000005</v>
      </c>
      <c r="K2305" s="1" t="s">
        <v>21</v>
      </c>
      <c r="L2305" s="1" t="s">
        <v>29</v>
      </c>
      <c r="M2305" s="1" t="s">
        <v>29</v>
      </c>
      <c r="N2305" s="1" t="s">
        <v>22</v>
      </c>
    </row>
    <row r="2306" spans="1:14" x14ac:dyDescent="0.25">
      <c r="A2306" s="1">
        <v>2305</v>
      </c>
      <c r="B2306" s="2" t="str">
        <f>HYPERLINK("https://leetcode.com/problems/fair-distribution-of-cookies/", "Fair Distribution of Cookies")</f>
        <v>Fair Distribution of Cookies</v>
      </c>
      <c r="C2306" s="1">
        <v>2728</v>
      </c>
      <c r="D2306" s="1">
        <v>126</v>
      </c>
      <c r="E2306" s="3">
        <f>IF(INDEX(C:C, ROW())+INDEX(D:D, ROW())=0, 0, INDEX(C:C, ROW())/(INDEX(C:C, ROW())+INDEX(D:D, ROW())))</f>
        <v>0.9558514365802383</v>
      </c>
      <c r="F2306" s="1" t="s">
        <v>309</v>
      </c>
      <c r="G2306" s="1" t="s">
        <v>24</v>
      </c>
      <c r="H2306" s="1">
        <v>118982</v>
      </c>
      <c r="I2306" s="1">
        <v>170456</v>
      </c>
      <c r="J2306" s="7">
        <v>0.69799999999999995</v>
      </c>
      <c r="K2306" s="1" t="s">
        <v>21</v>
      </c>
      <c r="L2306" s="1" t="s">
        <v>21</v>
      </c>
      <c r="M2306" s="1" t="s">
        <v>29</v>
      </c>
      <c r="N2306" s="1" t="s">
        <v>22</v>
      </c>
    </row>
    <row r="2307" spans="1:14" x14ac:dyDescent="0.25">
      <c r="A2307" s="1">
        <v>2306</v>
      </c>
      <c r="B2307" s="2" t="str">
        <f>HYPERLINK("https://leetcode.com/problems/naming-a-company/", "Naming a Company")</f>
        <v>Naming a Company</v>
      </c>
      <c r="C2307" s="1">
        <v>1965</v>
      </c>
      <c r="D2307" s="1">
        <v>74</v>
      </c>
      <c r="E2307" s="3">
        <f>IF(INDEX(C:C, ROW())+INDEX(D:D, ROW())=0, 0, INDEX(C:C, ROW())/(INDEX(C:C, ROW())+INDEX(D:D, ROW())))</f>
        <v>0.96370769985286908</v>
      </c>
      <c r="F2307" s="1" t="s">
        <v>507</v>
      </c>
      <c r="G2307" s="1" t="s">
        <v>28</v>
      </c>
      <c r="H2307" s="1">
        <v>65253</v>
      </c>
      <c r="I2307" s="1">
        <v>140377</v>
      </c>
      <c r="J2307" s="7">
        <v>0.46500000000000002</v>
      </c>
      <c r="K2307" s="1" t="s">
        <v>21</v>
      </c>
      <c r="L2307" s="1" t="s">
        <v>21</v>
      </c>
      <c r="M2307" s="1" t="s">
        <v>29</v>
      </c>
      <c r="N2307" s="1" t="s">
        <v>22</v>
      </c>
    </row>
    <row r="2308" spans="1:14" x14ac:dyDescent="0.25">
      <c r="A2308" s="1">
        <v>2307</v>
      </c>
      <c r="B2308" s="2" t="str">
        <f>HYPERLINK("https://leetcode.com/problems/check-for-contradictions-in-equations/", "Check for Contradictions in Equations")</f>
        <v>Check for Contradictions in Equations</v>
      </c>
      <c r="C2308" s="1">
        <v>68</v>
      </c>
      <c r="D2308" s="1">
        <v>27</v>
      </c>
      <c r="E2308" s="3">
        <f>IF(INDEX(C:C, ROW())+INDEX(D:D, ROW())=0, 0, INDEX(C:C, ROW())/(INDEX(C:C, ROW())+INDEX(D:D, ROW())))</f>
        <v>0.71578947368421053</v>
      </c>
      <c r="F2308" s="1" t="s">
        <v>1225</v>
      </c>
      <c r="G2308" s="1" t="s">
        <v>28</v>
      </c>
      <c r="H2308" s="1">
        <v>5180</v>
      </c>
      <c r="I2308" s="1">
        <v>11834</v>
      </c>
      <c r="J2308" s="7">
        <v>0.438</v>
      </c>
      <c r="K2308" s="1" t="s">
        <v>29</v>
      </c>
      <c r="L2308" s="1" t="s">
        <v>29</v>
      </c>
      <c r="M2308" s="1" t="s">
        <v>29</v>
      </c>
      <c r="N2308" s="1" t="s">
        <v>22</v>
      </c>
    </row>
    <row r="2309" spans="1:14" x14ac:dyDescent="0.25">
      <c r="A2309" s="1">
        <v>2308</v>
      </c>
      <c r="B2309" s="2" t="str">
        <f>HYPERLINK("https://leetcode.com/problems/arrange-table-by-gender/", "Arrange Table by Gender")</f>
        <v>Arrange Table by Gender</v>
      </c>
      <c r="C2309" s="1">
        <v>90</v>
      </c>
      <c r="D2309" s="1">
        <v>15</v>
      </c>
      <c r="E2309" s="3">
        <f>IF(INDEX(C:C, ROW())+INDEX(D:D, ROW())=0, 0, INDEX(C:C, ROW())/(INDEX(C:C, ROW())+INDEX(D:D, ROW())))</f>
        <v>0.8571428571428571</v>
      </c>
      <c r="F2309" s="1" t="s">
        <v>297</v>
      </c>
      <c r="G2309" s="1" t="s">
        <v>24</v>
      </c>
      <c r="H2309" s="1">
        <v>8425</v>
      </c>
      <c r="I2309" s="1">
        <v>11918</v>
      </c>
      <c r="J2309" s="7">
        <v>0.70699999999999996</v>
      </c>
      <c r="K2309" s="1" t="s">
        <v>29</v>
      </c>
      <c r="L2309" s="1" t="s">
        <v>29</v>
      </c>
      <c r="M2309" s="1" t="s">
        <v>29</v>
      </c>
      <c r="N2309" s="1" t="s">
        <v>297</v>
      </c>
    </row>
    <row r="2310" spans="1:14" x14ac:dyDescent="0.25">
      <c r="A2310" s="1">
        <v>2309</v>
      </c>
      <c r="B2310" s="2" t="str">
        <f>HYPERLINK("https://leetcode.com/problems/greatest-english-letter-in-upper-and-lower-case/", "Greatest English Letter in Upper and Lower Case")</f>
        <v>Greatest English Letter in Upper and Lower Case</v>
      </c>
      <c r="C2310" s="1">
        <v>522</v>
      </c>
      <c r="D2310" s="1">
        <v>33</v>
      </c>
      <c r="E2310" s="3">
        <f>IF(INDEX(C:C, ROW())+INDEX(D:D, ROW())=0, 0, INDEX(C:C, ROW())/(INDEX(C:C, ROW())+INDEX(D:D, ROW())))</f>
        <v>0.94054054054054059</v>
      </c>
      <c r="F2310" s="1" t="s">
        <v>904</v>
      </c>
      <c r="G2310" s="1" t="s">
        <v>20</v>
      </c>
      <c r="H2310" s="1">
        <v>71662</v>
      </c>
      <c r="I2310" s="1">
        <v>99720</v>
      </c>
      <c r="J2310" s="7">
        <v>0.71899999999999997</v>
      </c>
      <c r="K2310" s="1" t="s">
        <v>21</v>
      </c>
      <c r="L2310" s="1" t="s">
        <v>29</v>
      </c>
      <c r="M2310" s="1" t="s">
        <v>29</v>
      </c>
      <c r="N2310" s="1" t="s">
        <v>22</v>
      </c>
    </row>
    <row r="2311" spans="1:14" x14ac:dyDescent="0.25">
      <c r="A2311" s="1">
        <v>2310</v>
      </c>
      <c r="B2311" s="2" t="str">
        <f>HYPERLINK("https://leetcode.com/problems/sum-of-numbers-with-units-digit-k/", "Sum of Numbers With Units Digit K")</f>
        <v>Sum of Numbers With Units Digit K</v>
      </c>
      <c r="C2311" s="1">
        <v>428</v>
      </c>
      <c r="D2311" s="1">
        <v>338</v>
      </c>
      <c r="E2311" s="3">
        <f>IF(INDEX(C:C, ROW())+INDEX(D:D, ROW())=0, 0, INDEX(C:C, ROW())/(INDEX(C:C, ROW())+INDEX(D:D, ROW())))</f>
        <v>0.55874673629242821</v>
      </c>
      <c r="F2311" s="1" t="s">
        <v>961</v>
      </c>
      <c r="G2311" s="1" t="s">
        <v>24</v>
      </c>
      <c r="H2311" s="1">
        <v>32089</v>
      </c>
      <c r="I2311" s="1">
        <v>114206</v>
      </c>
      <c r="J2311" s="7">
        <v>0.28100000000000003</v>
      </c>
      <c r="K2311" s="1" t="s">
        <v>21</v>
      </c>
      <c r="L2311" s="1" t="s">
        <v>29</v>
      </c>
      <c r="M2311" s="1" t="s">
        <v>29</v>
      </c>
      <c r="N2311" s="1" t="s">
        <v>22</v>
      </c>
    </row>
    <row r="2312" spans="1:14" x14ac:dyDescent="0.25">
      <c r="A2312" s="1">
        <v>2311</v>
      </c>
      <c r="B2312" s="2" t="str">
        <f>HYPERLINK("https://leetcode.com/problems/longest-binary-subsequence-less-than-or-equal-to-k/", "Longest Binary Subsequence Less Than or Equal to K")</f>
        <v>Longest Binary Subsequence Less Than or Equal to K</v>
      </c>
      <c r="C2312" s="1">
        <v>1144</v>
      </c>
      <c r="D2312" s="1">
        <v>79</v>
      </c>
      <c r="E2312" s="3">
        <f>IF(INDEX(C:C, ROW())+INDEX(D:D, ROW())=0, 0, INDEX(C:C, ROW())/(INDEX(C:C, ROW())+INDEX(D:D, ROW())))</f>
        <v>0.93540474243663119</v>
      </c>
      <c r="F2312" s="1" t="s">
        <v>672</v>
      </c>
      <c r="G2312" s="1" t="s">
        <v>24</v>
      </c>
      <c r="H2312" s="1">
        <v>110971</v>
      </c>
      <c r="I2312" s="1">
        <v>209983</v>
      </c>
      <c r="J2312" s="7">
        <v>0.52800000000000002</v>
      </c>
      <c r="K2312" s="1" t="s">
        <v>21</v>
      </c>
      <c r="L2312" s="1" t="s">
        <v>21</v>
      </c>
      <c r="M2312" s="1" t="s">
        <v>29</v>
      </c>
      <c r="N2312" s="1" t="s">
        <v>22</v>
      </c>
    </row>
    <row r="2313" spans="1:14" x14ac:dyDescent="0.25">
      <c r="A2313" s="1">
        <v>2312</v>
      </c>
      <c r="B2313" s="2" t="str">
        <f>HYPERLINK("https://leetcode.com/problems/selling-pieces-of-wood/", "Selling Pieces of Wood")</f>
        <v>Selling Pieces of Wood</v>
      </c>
      <c r="C2313" s="1">
        <v>578</v>
      </c>
      <c r="D2313" s="1">
        <v>13</v>
      </c>
      <c r="E2313" s="3">
        <f>IF(INDEX(C:C, ROW())+INDEX(D:D, ROW())=0, 0, INDEX(C:C, ROW())/(INDEX(C:C, ROW())+INDEX(D:D, ROW())))</f>
        <v>0.97800338409475462</v>
      </c>
      <c r="F2313" s="1" t="s">
        <v>434</v>
      </c>
      <c r="G2313" s="1" t="s">
        <v>28</v>
      </c>
      <c r="H2313" s="1">
        <v>15403</v>
      </c>
      <c r="I2313" s="1">
        <v>29213</v>
      </c>
      <c r="J2313" s="7">
        <v>0.52700000000000002</v>
      </c>
      <c r="K2313" s="1" t="s">
        <v>21</v>
      </c>
      <c r="L2313" s="1" t="s">
        <v>29</v>
      </c>
      <c r="M2313" s="1" t="s">
        <v>29</v>
      </c>
      <c r="N2313" s="1" t="s">
        <v>22</v>
      </c>
    </row>
    <row r="2314" spans="1:14" x14ac:dyDescent="0.25">
      <c r="A2314" s="1">
        <v>2313</v>
      </c>
      <c r="B2314" s="2" t="str">
        <f>HYPERLINK("https://leetcode.com/problems/minimum-flips-in-binary-tree-to-get-result/", "Minimum Flips in Binary Tree to Get Result")</f>
        <v>Minimum Flips in Binary Tree to Get Result</v>
      </c>
      <c r="C2314" s="1">
        <v>112</v>
      </c>
      <c r="D2314" s="1">
        <v>2</v>
      </c>
      <c r="E2314" s="3">
        <f>IF(INDEX(C:C, ROW())+INDEX(D:D, ROW())=0, 0, INDEX(C:C, ROW())/(INDEX(C:C, ROW())+INDEX(D:D, ROW())))</f>
        <v>0.98245614035087714</v>
      </c>
      <c r="F2314" s="1" t="s">
        <v>68</v>
      </c>
      <c r="G2314" s="1" t="s">
        <v>28</v>
      </c>
      <c r="H2314" s="1">
        <v>5016</v>
      </c>
      <c r="I2314" s="1">
        <v>8837</v>
      </c>
      <c r="J2314" s="7">
        <v>0.56799999999999995</v>
      </c>
      <c r="K2314" s="1" t="s">
        <v>29</v>
      </c>
      <c r="L2314" s="1" t="s">
        <v>29</v>
      </c>
      <c r="M2314" s="1" t="s">
        <v>29</v>
      </c>
      <c r="N2314" s="1" t="s">
        <v>22</v>
      </c>
    </row>
    <row r="2315" spans="1:14" x14ac:dyDescent="0.25">
      <c r="A2315" s="1">
        <v>2314</v>
      </c>
      <c r="B2315" s="2" t="str">
        <f>HYPERLINK("https://leetcode.com/problems/the-first-day-of-the-maximum-recorded-degree-in-each-city/", "The First Day of the Maximum Recorded Degree in Each City")</f>
        <v>The First Day of the Maximum Recorded Degree in Each City</v>
      </c>
      <c r="C2315" s="1">
        <v>57</v>
      </c>
      <c r="D2315" s="1">
        <v>2</v>
      </c>
      <c r="E2315" s="3">
        <f>IF(INDEX(C:C, ROW())+INDEX(D:D, ROW())=0, 0, INDEX(C:C, ROW())/(INDEX(C:C, ROW())+INDEX(D:D, ROW())))</f>
        <v>0.96610169491525422</v>
      </c>
      <c r="F2315" s="1" t="s">
        <v>297</v>
      </c>
      <c r="G2315" s="1" t="s">
        <v>24</v>
      </c>
      <c r="H2315" s="1">
        <v>8298</v>
      </c>
      <c r="I2315" s="1">
        <v>11314</v>
      </c>
      <c r="J2315" s="7">
        <v>0.73299999999999998</v>
      </c>
      <c r="K2315" s="1" t="s">
        <v>29</v>
      </c>
      <c r="L2315" s="1" t="s">
        <v>29</v>
      </c>
      <c r="M2315" s="1" t="s">
        <v>29</v>
      </c>
      <c r="N2315" s="1" t="s">
        <v>297</v>
      </c>
    </row>
    <row r="2316" spans="1:14" x14ac:dyDescent="0.25">
      <c r="A2316" s="1">
        <v>2315</v>
      </c>
      <c r="B2316" s="2" t="str">
        <f>HYPERLINK("https://leetcode.com/problems/count-asterisks/", "Count Asterisks")</f>
        <v>Count Asterisks</v>
      </c>
      <c r="C2316" s="1">
        <v>681</v>
      </c>
      <c r="D2316" s="1">
        <v>118</v>
      </c>
      <c r="E2316" s="3">
        <f>IF(INDEX(C:C, ROW())+INDEX(D:D, ROW())=0, 0, INDEX(C:C, ROW())/(INDEX(C:C, ROW())+INDEX(D:D, ROW())))</f>
        <v>0.85231539424280356</v>
      </c>
      <c r="F2316" s="1" t="s">
        <v>146</v>
      </c>
      <c r="G2316" s="1" t="s">
        <v>20</v>
      </c>
      <c r="H2316" s="1">
        <v>95860</v>
      </c>
      <c r="I2316" s="1">
        <v>115119</v>
      </c>
      <c r="J2316" s="7">
        <v>0.83299999999999996</v>
      </c>
      <c r="K2316" s="1" t="s">
        <v>21</v>
      </c>
      <c r="L2316" s="1" t="s">
        <v>29</v>
      </c>
      <c r="M2316" s="1" t="s">
        <v>29</v>
      </c>
      <c r="N2316" s="1" t="s">
        <v>22</v>
      </c>
    </row>
    <row r="2317" spans="1:14" x14ac:dyDescent="0.25">
      <c r="A2317" s="1">
        <v>2316</v>
      </c>
      <c r="B2317" s="2" t="str">
        <f>HYPERLINK("https://leetcode.com/problems/count-unreachable-pairs-of-nodes-in-an-undirected-graph/", "Count Unreachable Pairs of Nodes in an Undirected Graph")</f>
        <v>Count Unreachable Pairs of Nodes in an Undirected Graph</v>
      </c>
      <c r="C2317" s="1">
        <v>2256</v>
      </c>
      <c r="D2317" s="1">
        <v>56</v>
      </c>
      <c r="E2317" s="3">
        <f>IF(INDEX(C:C, ROW())+INDEX(D:D, ROW())=0, 0, INDEX(C:C, ROW())/(INDEX(C:C, ROW())+INDEX(D:D, ROW())))</f>
        <v>0.97577854671280273</v>
      </c>
      <c r="F2317" s="1" t="s">
        <v>122</v>
      </c>
      <c r="G2317" s="1" t="s">
        <v>24</v>
      </c>
      <c r="H2317" s="1">
        <v>117786</v>
      </c>
      <c r="I2317" s="1">
        <v>236412</v>
      </c>
      <c r="J2317" s="7">
        <v>0.498</v>
      </c>
      <c r="K2317" s="1" t="s">
        <v>21</v>
      </c>
      <c r="L2317" s="1" t="s">
        <v>21</v>
      </c>
      <c r="M2317" s="1" t="s">
        <v>29</v>
      </c>
      <c r="N2317" s="1" t="s">
        <v>22</v>
      </c>
    </row>
    <row r="2318" spans="1:14" x14ac:dyDescent="0.25">
      <c r="A2318" s="1">
        <v>2317</v>
      </c>
      <c r="B2318" s="2" t="str">
        <f>HYPERLINK("https://leetcode.com/problems/maximum-xor-after-operations/", "Maximum XOR After Operations ")</f>
        <v xml:space="preserve">Maximum XOR After Operations </v>
      </c>
      <c r="C2318" s="1">
        <v>641</v>
      </c>
      <c r="D2318" s="1">
        <v>170</v>
      </c>
      <c r="E2318" s="3">
        <f>IF(INDEX(C:C, ROW())+INDEX(D:D, ROW())=0, 0, INDEX(C:C, ROW())/(INDEX(C:C, ROW())+INDEX(D:D, ROW())))</f>
        <v>0.79038224414303326</v>
      </c>
      <c r="F2318" s="1" t="s">
        <v>456</v>
      </c>
      <c r="G2318" s="1" t="s">
        <v>24</v>
      </c>
      <c r="H2318" s="1">
        <v>31284</v>
      </c>
      <c r="I2318" s="1">
        <v>39163</v>
      </c>
      <c r="J2318" s="7">
        <v>0.79900000000000004</v>
      </c>
      <c r="K2318" s="1" t="s">
        <v>21</v>
      </c>
      <c r="L2318" s="1" t="s">
        <v>29</v>
      </c>
      <c r="M2318" s="1" t="s">
        <v>29</v>
      </c>
      <c r="N2318" s="1" t="s">
        <v>22</v>
      </c>
    </row>
    <row r="2319" spans="1:14" x14ac:dyDescent="0.25">
      <c r="A2319" s="1">
        <v>2318</v>
      </c>
      <c r="B2319" s="2" t="str">
        <f>HYPERLINK("https://leetcode.com/problems/number-of-distinct-roll-sequences/", "Number of Distinct Roll Sequences")</f>
        <v>Number of Distinct Roll Sequences</v>
      </c>
      <c r="C2319" s="1">
        <v>456</v>
      </c>
      <c r="D2319" s="1">
        <v>20</v>
      </c>
      <c r="E2319" s="3">
        <f>IF(INDEX(C:C, ROW())+INDEX(D:D, ROW())=0, 0, INDEX(C:C, ROW())/(INDEX(C:C, ROW())+INDEX(D:D, ROW())))</f>
        <v>0.95798319327731096</v>
      </c>
      <c r="F2319" s="1" t="s">
        <v>709</v>
      </c>
      <c r="G2319" s="1" t="s">
        <v>28</v>
      </c>
      <c r="H2319" s="1">
        <v>13952</v>
      </c>
      <c r="I2319" s="1">
        <v>23995</v>
      </c>
      <c r="J2319" s="7">
        <v>0.58099999999999996</v>
      </c>
      <c r="K2319" s="1" t="s">
        <v>21</v>
      </c>
      <c r="L2319" s="1" t="s">
        <v>29</v>
      </c>
      <c r="M2319" s="1" t="s">
        <v>29</v>
      </c>
      <c r="N2319" s="1" t="s">
        <v>22</v>
      </c>
    </row>
    <row r="2320" spans="1:14" x14ac:dyDescent="0.25">
      <c r="A2320" s="1">
        <v>2319</v>
      </c>
      <c r="B2320" s="2" t="str">
        <f>HYPERLINK("https://leetcode.com/problems/check-if-matrix-is-x-matrix/", "Check if Matrix Is X-Matrix")</f>
        <v>Check if Matrix Is X-Matrix</v>
      </c>
      <c r="C2320" s="1">
        <v>546</v>
      </c>
      <c r="D2320" s="1">
        <v>26</v>
      </c>
      <c r="E2320" s="3">
        <f>IF(INDEX(C:C, ROW())+INDEX(D:D, ROW())=0, 0, INDEX(C:C, ROW())/(INDEX(C:C, ROW())+INDEX(D:D, ROW())))</f>
        <v>0.95454545454545459</v>
      </c>
      <c r="F2320" s="1" t="s">
        <v>266</v>
      </c>
      <c r="G2320" s="1" t="s">
        <v>20</v>
      </c>
      <c r="H2320" s="1">
        <v>72902</v>
      </c>
      <c r="I2320" s="1">
        <v>109814</v>
      </c>
      <c r="J2320" s="7">
        <v>0.66400000000000003</v>
      </c>
      <c r="K2320" s="1" t="s">
        <v>21</v>
      </c>
      <c r="L2320" s="1" t="s">
        <v>29</v>
      </c>
      <c r="M2320" s="1" t="s">
        <v>29</v>
      </c>
      <c r="N2320" s="1" t="s">
        <v>22</v>
      </c>
    </row>
    <row r="2321" spans="1:14" x14ac:dyDescent="0.25">
      <c r="A2321" s="1">
        <v>2320</v>
      </c>
      <c r="B2321" s="2" t="str">
        <f>HYPERLINK("https://leetcode.com/problems/count-number-of-ways-to-place-houses/", "Count Number of Ways to Place Houses")</f>
        <v>Count Number of Ways to Place Houses</v>
      </c>
      <c r="C2321" s="1">
        <v>643</v>
      </c>
      <c r="D2321" s="1">
        <v>202</v>
      </c>
      <c r="E2321" s="3">
        <f>IF(INDEX(C:C, ROW())+INDEX(D:D, ROW())=0, 0, INDEX(C:C, ROW())/(INDEX(C:C, ROW())+INDEX(D:D, ROW())))</f>
        <v>0.76094674556213016</v>
      </c>
      <c r="F2321" s="1" t="s">
        <v>251</v>
      </c>
      <c r="G2321" s="1" t="s">
        <v>24</v>
      </c>
      <c r="H2321" s="1">
        <v>35755</v>
      </c>
      <c r="I2321" s="1">
        <v>81685</v>
      </c>
      <c r="J2321" s="7">
        <v>0.438</v>
      </c>
      <c r="K2321" s="1" t="s">
        <v>21</v>
      </c>
      <c r="L2321" s="1" t="s">
        <v>29</v>
      </c>
      <c r="M2321" s="1" t="s">
        <v>29</v>
      </c>
      <c r="N2321" s="1" t="s">
        <v>22</v>
      </c>
    </row>
    <row r="2322" spans="1:14" x14ac:dyDescent="0.25">
      <c r="A2322" s="1">
        <v>2321</v>
      </c>
      <c r="B2322" s="2" t="str">
        <f>HYPERLINK("https://leetcode.com/problems/maximum-score-of-spliced-array/", "Maximum Score Of Spliced Array")</f>
        <v>Maximum Score Of Spliced Array</v>
      </c>
      <c r="C2322" s="1">
        <v>837</v>
      </c>
      <c r="D2322" s="1">
        <v>16</v>
      </c>
      <c r="E2322" s="3">
        <f>IF(INDEX(C:C, ROW())+INDEX(D:D, ROW())=0, 0, INDEX(C:C, ROW())/(INDEX(C:C, ROW())+INDEX(D:D, ROW())))</f>
        <v>0.98124267291910905</v>
      </c>
      <c r="F2322" s="1" t="s">
        <v>30</v>
      </c>
      <c r="G2322" s="1" t="s">
        <v>28</v>
      </c>
      <c r="H2322" s="1">
        <v>23616</v>
      </c>
      <c r="I2322" s="1">
        <v>40530</v>
      </c>
      <c r="J2322" s="7">
        <v>0.58299999999999996</v>
      </c>
      <c r="K2322" s="1" t="s">
        <v>21</v>
      </c>
      <c r="L2322" s="1" t="s">
        <v>29</v>
      </c>
      <c r="M2322" s="1" t="s">
        <v>29</v>
      </c>
      <c r="N2322" s="1" t="s">
        <v>22</v>
      </c>
    </row>
    <row r="2323" spans="1:14" x14ac:dyDescent="0.25">
      <c r="A2323" s="1">
        <v>2322</v>
      </c>
      <c r="B2323" s="2" t="str">
        <f>HYPERLINK("https://leetcode.com/problems/minimum-score-after-removals-on-a-tree/", "Minimum Score After Removals on a Tree")</f>
        <v>Minimum Score After Removals on a Tree</v>
      </c>
      <c r="C2323" s="1">
        <v>814</v>
      </c>
      <c r="D2323" s="1">
        <v>47</v>
      </c>
      <c r="E2323" s="3">
        <f>IF(INDEX(C:C, ROW())+INDEX(D:D, ROW())=0, 0, INDEX(C:C, ROW())/(INDEX(C:C, ROW())+INDEX(D:D, ROW())))</f>
        <v>0.94541231126596981</v>
      </c>
      <c r="F2323" s="1" t="s">
        <v>769</v>
      </c>
      <c r="G2323" s="1" t="s">
        <v>28</v>
      </c>
      <c r="H2323" s="1">
        <v>69335</v>
      </c>
      <c r="I2323" s="1">
        <v>90988</v>
      </c>
      <c r="J2323" s="7">
        <v>0.76200000000000001</v>
      </c>
      <c r="K2323" s="1" t="s">
        <v>21</v>
      </c>
      <c r="L2323" s="1" t="s">
        <v>21</v>
      </c>
      <c r="M2323" s="1" t="s">
        <v>29</v>
      </c>
      <c r="N2323" s="1" t="s">
        <v>22</v>
      </c>
    </row>
    <row r="2324" spans="1:14" x14ac:dyDescent="0.25">
      <c r="A2324" s="1">
        <v>2323</v>
      </c>
      <c r="B2324" s="2" t="str">
        <f>HYPERLINK("https://leetcode.com/problems/find-minimum-time-to-finish-all-jobs-ii/", "Find Minimum Time to Finish All Jobs II")</f>
        <v>Find Minimum Time to Finish All Jobs II</v>
      </c>
      <c r="C2324" s="1">
        <v>69</v>
      </c>
      <c r="D2324" s="1">
        <v>19</v>
      </c>
      <c r="E2324" s="3">
        <f>IF(INDEX(C:C, ROW())+INDEX(D:D, ROW())=0, 0, INDEX(C:C, ROW())/(INDEX(C:C, ROW())+INDEX(D:D, ROW())))</f>
        <v>0.78409090909090906</v>
      </c>
      <c r="F2324" s="1" t="s">
        <v>169</v>
      </c>
      <c r="G2324" s="1" t="s">
        <v>24</v>
      </c>
      <c r="H2324" s="1">
        <v>12557</v>
      </c>
      <c r="I2324" s="1">
        <v>19030</v>
      </c>
      <c r="J2324" s="7">
        <v>0.66</v>
      </c>
      <c r="K2324" s="1" t="s">
        <v>29</v>
      </c>
      <c r="L2324" s="1" t="s">
        <v>29</v>
      </c>
      <c r="M2324" s="1" t="s">
        <v>29</v>
      </c>
      <c r="N2324" s="1" t="s">
        <v>22</v>
      </c>
    </row>
    <row r="2325" spans="1:14" x14ac:dyDescent="0.25">
      <c r="A2325" s="1">
        <v>2324</v>
      </c>
      <c r="B2325" s="2" t="str">
        <f>HYPERLINK("https://leetcode.com/problems/product-sales-analysis-iv/", "Product Sales Analysis IV")</f>
        <v>Product Sales Analysis IV</v>
      </c>
      <c r="C2325" s="1">
        <v>61</v>
      </c>
      <c r="D2325" s="1">
        <v>1</v>
      </c>
      <c r="E2325" s="3">
        <f>IF(INDEX(C:C, ROW())+INDEX(D:D, ROW())=0, 0, INDEX(C:C, ROW())/(INDEX(C:C, ROW())+INDEX(D:D, ROW())))</f>
        <v>0.9838709677419355</v>
      </c>
      <c r="F2325" s="1" t="s">
        <v>297</v>
      </c>
      <c r="G2325" s="1" t="s">
        <v>24</v>
      </c>
      <c r="H2325" s="1">
        <v>11180</v>
      </c>
      <c r="I2325" s="1">
        <v>14729</v>
      </c>
      <c r="J2325" s="7">
        <v>0.75900000000000001</v>
      </c>
      <c r="K2325" s="1" t="s">
        <v>29</v>
      </c>
      <c r="L2325" s="1" t="s">
        <v>29</v>
      </c>
      <c r="M2325" s="1" t="s">
        <v>29</v>
      </c>
      <c r="N2325" s="1" t="s">
        <v>297</v>
      </c>
    </row>
    <row r="2326" spans="1:14" x14ac:dyDescent="0.25">
      <c r="A2326" s="1">
        <v>2325</v>
      </c>
      <c r="B2326" s="2" t="str">
        <f>HYPERLINK("https://leetcode.com/problems/decode-the-message/", "Decode the Message")</f>
        <v>Decode the Message</v>
      </c>
      <c r="C2326" s="1">
        <v>1125</v>
      </c>
      <c r="D2326" s="1">
        <v>113</v>
      </c>
      <c r="E2326" s="3">
        <f>IF(INDEX(C:C, ROW())+INDEX(D:D, ROW())=0, 0, INDEX(C:C, ROW())/(INDEX(C:C, ROW())+INDEX(D:D, ROW())))</f>
        <v>0.90872374798061384</v>
      </c>
      <c r="F2326" s="1" t="s">
        <v>131</v>
      </c>
      <c r="G2326" s="1" t="s">
        <v>20</v>
      </c>
      <c r="H2326" s="1">
        <v>151329</v>
      </c>
      <c r="I2326" s="1">
        <v>176343</v>
      </c>
      <c r="J2326" s="7">
        <v>0.85799999999999998</v>
      </c>
      <c r="K2326" s="1" t="s">
        <v>21</v>
      </c>
      <c r="L2326" s="1" t="s">
        <v>29</v>
      </c>
      <c r="M2326" s="1" t="s">
        <v>29</v>
      </c>
      <c r="N2326" s="1" t="s">
        <v>22</v>
      </c>
    </row>
    <row r="2327" spans="1:14" x14ac:dyDescent="0.25">
      <c r="A2327" s="1">
        <v>2326</v>
      </c>
      <c r="B2327" s="2" t="str">
        <f>HYPERLINK("https://leetcode.com/problems/spiral-matrix-iv/", "Spiral Matrix IV")</f>
        <v>Spiral Matrix IV</v>
      </c>
      <c r="C2327" s="1">
        <v>1315</v>
      </c>
      <c r="D2327" s="1">
        <v>56</v>
      </c>
      <c r="E2327" s="3">
        <f>IF(INDEX(C:C, ROW())+INDEX(D:D, ROW())=0, 0, INDEX(C:C, ROW())/(INDEX(C:C, ROW())+INDEX(D:D, ROW())))</f>
        <v>0.95915390226112329</v>
      </c>
      <c r="F2327" s="1" t="s">
        <v>633</v>
      </c>
      <c r="G2327" s="1" t="s">
        <v>24</v>
      </c>
      <c r="H2327" s="1">
        <v>180984</v>
      </c>
      <c r="I2327" s="1">
        <v>219938</v>
      </c>
      <c r="J2327" s="7">
        <v>0.82299999999999995</v>
      </c>
      <c r="K2327" s="1" t="s">
        <v>21</v>
      </c>
      <c r="L2327" s="1" t="s">
        <v>21</v>
      </c>
      <c r="M2327" s="1" t="s">
        <v>29</v>
      </c>
      <c r="N2327" s="1" t="s">
        <v>22</v>
      </c>
    </row>
    <row r="2328" spans="1:14" x14ac:dyDescent="0.25">
      <c r="A2328" s="1">
        <v>2327</v>
      </c>
      <c r="B2328" s="2" t="str">
        <f>HYPERLINK("https://leetcode.com/problems/number-of-people-aware-of-a-secret/", "Number of People Aware of a Secret")</f>
        <v>Number of People Aware of a Secret</v>
      </c>
      <c r="C2328" s="1">
        <v>1493</v>
      </c>
      <c r="D2328" s="1">
        <v>163</v>
      </c>
      <c r="E2328" s="3">
        <f>IF(INDEX(C:C, ROW())+INDEX(D:D, ROW())=0, 0, INDEX(C:C, ROW())/(INDEX(C:C, ROW())+INDEX(D:D, ROW())))</f>
        <v>0.90157004830917875</v>
      </c>
      <c r="F2328" s="1" t="s">
        <v>591</v>
      </c>
      <c r="G2328" s="1" t="s">
        <v>24</v>
      </c>
      <c r="H2328" s="1">
        <v>125925</v>
      </c>
      <c r="I2328" s="1">
        <v>206844</v>
      </c>
      <c r="J2328" s="7">
        <v>0.60899999999999999</v>
      </c>
      <c r="K2328" s="1" t="s">
        <v>21</v>
      </c>
      <c r="L2328" s="1" t="s">
        <v>21</v>
      </c>
      <c r="M2328" s="1" t="s">
        <v>29</v>
      </c>
      <c r="N2328" s="1" t="s">
        <v>22</v>
      </c>
    </row>
    <row r="2329" spans="1:14" x14ac:dyDescent="0.25">
      <c r="A2329" s="1">
        <v>2328</v>
      </c>
      <c r="B2329" s="2" t="str">
        <f>HYPERLINK("https://leetcode.com/problems/number-of-increasing-paths-in-a-grid/", "Number of Increasing Paths in a Grid")</f>
        <v>Number of Increasing Paths in a Grid</v>
      </c>
      <c r="C2329" s="1">
        <v>2105</v>
      </c>
      <c r="D2329" s="1">
        <v>45</v>
      </c>
      <c r="E2329" s="3">
        <f>IF(INDEX(C:C, ROW())+INDEX(D:D, ROW())=0, 0, INDEX(C:C, ROW())/(INDEX(C:C, ROW())+INDEX(D:D, ROW())))</f>
        <v>0.97906976744186047</v>
      </c>
      <c r="F2329" s="1" t="s">
        <v>140</v>
      </c>
      <c r="G2329" s="1" t="s">
        <v>28</v>
      </c>
      <c r="H2329" s="1">
        <v>81618</v>
      </c>
      <c r="I2329" s="1">
        <v>142164</v>
      </c>
      <c r="J2329" s="7">
        <v>0.57399999999999995</v>
      </c>
      <c r="K2329" s="1" t="s">
        <v>21</v>
      </c>
      <c r="L2329" s="1" t="s">
        <v>21</v>
      </c>
      <c r="M2329" s="1" t="s">
        <v>29</v>
      </c>
      <c r="N2329" s="1" t="s">
        <v>22</v>
      </c>
    </row>
    <row r="2330" spans="1:14" x14ac:dyDescent="0.25">
      <c r="A2330" s="1">
        <v>2329</v>
      </c>
      <c r="B2330" s="2" t="str">
        <f>HYPERLINK("https://leetcode.com/problems/product-sales-analysis-v/", "Product Sales Analysis V")</f>
        <v>Product Sales Analysis V</v>
      </c>
      <c r="C2330" s="1">
        <v>35</v>
      </c>
      <c r="D2330" s="1">
        <v>7</v>
      </c>
      <c r="E2330" s="3">
        <f>IF(INDEX(C:C, ROW())+INDEX(D:D, ROW())=0, 0, INDEX(C:C, ROW())/(INDEX(C:C, ROW())+INDEX(D:D, ROW())))</f>
        <v>0.83333333333333337</v>
      </c>
      <c r="F2330" s="1" t="s">
        <v>297</v>
      </c>
      <c r="G2330" s="1" t="s">
        <v>20</v>
      </c>
      <c r="H2330" s="1">
        <v>10518</v>
      </c>
      <c r="I2330" s="1">
        <v>14858</v>
      </c>
      <c r="J2330" s="7">
        <v>0.70799999999999996</v>
      </c>
      <c r="K2330" s="1" t="s">
        <v>29</v>
      </c>
      <c r="L2330" s="1" t="s">
        <v>29</v>
      </c>
      <c r="M2330" s="1" t="s">
        <v>29</v>
      </c>
      <c r="N2330" s="1" t="s">
        <v>297</v>
      </c>
    </row>
    <row r="2331" spans="1:14" x14ac:dyDescent="0.25">
      <c r="A2331" s="1">
        <v>2330</v>
      </c>
      <c r="B2331" s="2" t="str">
        <f>HYPERLINK("https://leetcode.com/problems/valid-palindrome-iv/", "Valid Palindrome IV")</f>
        <v>Valid Palindrome IV</v>
      </c>
      <c r="C2331" s="1">
        <v>111</v>
      </c>
      <c r="D2331" s="1">
        <v>35</v>
      </c>
      <c r="E2331" s="3">
        <f>IF(INDEX(C:C, ROW())+INDEX(D:D, ROW())=0, 0, INDEX(C:C, ROW())/(INDEX(C:C, ROW())+INDEX(D:D, ROW())))</f>
        <v>0.76027397260273977</v>
      </c>
      <c r="F2331" s="1" t="s">
        <v>117</v>
      </c>
      <c r="G2331" s="1" t="s">
        <v>24</v>
      </c>
      <c r="H2331" s="1">
        <v>20682</v>
      </c>
      <c r="I2331" s="1">
        <v>27325</v>
      </c>
      <c r="J2331" s="7">
        <v>0.75700000000000001</v>
      </c>
      <c r="K2331" s="1" t="s">
        <v>29</v>
      </c>
      <c r="L2331" s="1" t="s">
        <v>29</v>
      </c>
      <c r="M2331" s="1" t="s">
        <v>29</v>
      </c>
      <c r="N2331" s="1" t="s">
        <v>22</v>
      </c>
    </row>
    <row r="2332" spans="1:14" x14ac:dyDescent="0.25">
      <c r="A2332" s="1">
        <v>2331</v>
      </c>
      <c r="B2332" s="2" t="str">
        <f>HYPERLINK("https://leetcode.com/problems/evaluate-boolean-binary-tree/", "Evaluate Boolean Binary Tree")</f>
        <v>Evaluate Boolean Binary Tree</v>
      </c>
      <c r="C2332" s="1">
        <v>1544</v>
      </c>
      <c r="D2332" s="1">
        <v>44</v>
      </c>
      <c r="E2332" s="3">
        <f>IF(INDEX(C:C, ROW())+INDEX(D:D, ROW())=0, 0, INDEX(C:C, ROW())/(INDEX(C:C, ROW())+INDEX(D:D, ROW())))</f>
        <v>0.97229219143576828</v>
      </c>
      <c r="F2332" s="1" t="s">
        <v>67</v>
      </c>
      <c r="G2332" s="1" t="s">
        <v>20</v>
      </c>
      <c r="H2332" s="1">
        <v>223311</v>
      </c>
      <c r="I2332" s="1">
        <v>270913</v>
      </c>
      <c r="J2332" s="7">
        <v>0.82399999999999995</v>
      </c>
      <c r="K2332" s="1" t="s">
        <v>21</v>
      </c>
      <c r="L2332" s="1" t="s">
        <v>21</v>
      </c>
      <c r="M2332" s="1" t="s">
        <v>29</v>
      </c>
      <c r="N2332" s="1" t="s">
        <v>22</v>
      </c>
    </row>
    <row r="2333" spans="1:14" x14ac:dyDescent="0.25">
      <c r="A2333" s="1">
        <v>2332</v>
      </c>
      <c r="B2333" s="2" t="str">
        <f>HYPERLINK("https://leetcode.com/problems/the-latest-time-to-catch-a-bus/", "The Latest Time to Catch a Bus")</f>
        <v>The Latest Time to Catch a Bus</v>
      </c>
      <c r="C2333" s="1">
        <v>529</v>
      </c>
      <c r="D2333" s="1">
        <v>798</v>
      </c>
      <c r="E2333" s="3">
        <f>IF(INDEX(C:C, ROW())+INDEX(D:D, ROW())=0, 0, INDEX(C:C, ROW())/(INDEX(C:C, ROW())+INDEX(D:D, ROW())))</f>
        <v>0.39864355689525244</v>
      </c>
      <c r="F2333" s="1" t="s">
        <v>277</v>
      </c>
      <c r="G2333" s="1" t="s">
        <v>24</v>
      </c>
      <c r="H2333" s="1">
        <v>35091</v>
      </c>
      <c r="I2333" s="1">
        <v>117207</v>
      </c>
      <c r="J2333" s="7">
        <v>0.29899999999999999</v>
      </c>
      <c r="K2333" s="1" t="s">
        <v>21</v>
      </c>
      <c r="L2333" s="1" t="s">
        <v>29</v>
      </c>
      <c r="M2333" s="1" t="s">
        <v>29</v>
      </c>
      <c r="N2333" s="1" t="s">
        <v>22</v>
      </c>
    </row>
    <row r="2334" spans="1:14" x14ac:dyDescent="0.25">
      <c r="A2334" s="1">
        <v>2333</v>
      </c>
      <c r="B2334" s="2" t="str">
        <f>HYPERLINK("https://leetcode.com/problems/minimum-sum-of-squared-difference/", "Minimum Sum of Squared Difference")</f>
        <v>Minimum Sum of Squared Difference</v>
      </c>
      <c r="C2334" s="1">
        <v>669</v>
      </c>
      <c r="D2334" s="1">
        <v>52</v>
      </c>
      <c r="E2334" s="3">
        <f>IF(INDEX(C:C, ROW())+INDEX(D:D, ROW())=0, 0, INDEX(C:C, ROW())/(INDEX(C:C, ROW())+INDEX(D:D, ROW())))</f>
        <v>0.92787794729542306</v>
      </c>
      <c r="F2334" s="1" t="s">
        <v>814</v>
      </c>
      <c r="G2334" s="1" t="s">
        <v>24</v>
      </c>
      <c r="H2334" s="1">
        <v>18794</v>
      </c>
      <c r="I2334" s="1">
        <v>70253</v>
      </c>
      <c r="J2334" s="7">
        <v>0.26800000000000002</v>
      </c>
      <c r="K2334" s="1" t="s">
        <v>21</v>
      </c>
      <c r="L2334" s="1" t="s">
        <v>29</v>
      </c>
      <c r="M2334" s="1" t="s">
        <v>29</v>
      </c>
      <c r="N2334" s="1" t="s">
        <v>22</v>
      </c>
    </row>
    <row r="2335" spans="1:14" x14ac:dyDescent="0.25">
      <c r="A2335" s="1">
        <v>2334</v>
      </c>
      <c r="B2335" s="2" t="str">
        <f>HYPERLINK("https://leetcode.com/problems/subarray-with-elements-greater-than-varying-threshold/", "Subarray With Elements Greater Than Varying Threshold")</f>
        <v>Subarray With Elements Greater Than Varying Threshold</v>
      </c>
      <c r="C2335" s="1">
        <v>611</v>
      </c>
      <c r="D2335" s="1">
        <v>11</v>
      </c>
      <c r="E2335" s="3">
        <f>IF(INDEX(C:C, ROW())+INDEX(D:D, ROW())=0, 0, INDEX(C:C, ROW())/(INDEX(C:C, ROW())+INDEX(D:D, ROW())))</f>
        <v>0.98231511254019288</v>
      </c>
      <c r="F2335" s="1" t="s">
        <v>845</v>
      </c>
      <c r="G2335" s="1" t="s">
        <v>28</v>
      </c>
      <c r="H2335" s="1">
        <v>17583</v>
      </c>
      <c r="I2335" s="1">
        <v>38869</v>
      </c>
      <c r="J2335" s="7">
        <v>0.45200000000000001</v>
      </c>
      <c r="K2335" s="1" t="s">
        <v>21</v>
      </c>
      <c r="L2335" s="1" t="s">
        <v>29</v>
      </c>
      <c r="M2335" s="1" t="s">
        <v>29</v>
      </c>
      <c r="N2335" s="1" t="s">
        <v>22</v>
      </c>
    </row>
    <row r="2336" spans="1:14" x14ac:dyDescent="0.25">
      <c r="A2336" s="1">
        <v>2335</v>
      </c>
      <c r="B2336" s="2" t="str">
        <f>HYPERLINK("https://leetcode.com/problems/minimum-amount-of-time-to-fill-cups/", "Minimum Amount of Time to Fill Cups")</f>
        <v>Minimum Amount of Time to Fill Cups</v>
      </c>
      <c r="C2336" s="1">
        <v>763</v>
      </c>
      <c r="D2336" s="1">
        <v>94</v>
      </c>
      <c r="E2336" s="3">
        <f>IF(INDEX(C:C, ROW())+INDEX(D:D, ROW())=0, 0, INDEX(C:C, ROW())/(INDEX(C:C, ROW())+INDEX(D:D, ROW())))</f>
        <v>0.89031505250875143</v>
      </c>
      <c r="F2336" s="1" t="s">
        <v>302</v>
      </c>
      <c r="G2336" s="1" t="s">
        <v>20</v>
      </c>
      <c r="H2336" s="1">
        <v>66587</v>
      </c>
      <c r="I2336" s="1">
        <v>110966</v>
      </c>
      <c r="J2336" s="7">
        <v>0.6</v>
      </c>
      <c r="K2336" s="1" t="s">
        <v>21</v>
      </c>
      <c r="L2336" s="1" t="s">
        <v>29</v>
      </c>
      <c r="M2336" s="1" t="s">
        <v>29</v>
      </c>
      <c r="N2336" s="1" t="s">
        <v>22</v>
      </c>
    </row>
    <row r="2337" spans="1:14" x14ac:dyDescent="0.25">
      <c r="A2337" s="1">
        <v>2336</v>
      </c>
      <c r="B2337" s="2" t="str">
        <f>HYPERLINK("https://leetcode.com/problems/smallest-number-in-infinite-set/", "Smallest Number in Infinite Set")</f>
        <v>Smallest Number in Infinite Set</v>
      </c>
      <c r="C2337" s="1">
        <v>1843</v>
      </c>
      <c r="D2337" s="1">
        <v>232</v>
      </c>
      <c r="E2337" s="3">
        <f>IF(INDEX(C:C, ROW())+INDEX(D:D, ROW())=0, 0, INDEX(C:C, ROW())/(INDEX(C:C, ROW())+INDEX(D:D, ROW())))</f>
        <v>0.88819277108433736</v>
      </c>
      <c r="F2337" s="1" t="s">
        <v>530</v>
      </c>
      <c r="G2337" s="1" t="s">
        <v>24</v>
      </c>
      <c r="H2337" s="1">
        <v>226799</v>
      </c>
      <c r="I2337" s="1">
        <v>321367</v>
      </c>
      <c r="J2337" s="7">
        <v>0.70599999999999996</v>
      </c>
      <c r="K2337" s="1" t="s">
        <v>21</v>
      </c>
      <c r="L2337" s="1" t="s">
        <v>21</v>
      </c>
      <c r="M2337" s="1" t="s">
        <v>29</v>
      </c>
      <c r="N2337" s="1" t="s">
        <v>22</v>
      </c>
    </row>
    <row r="2338" spans="1:14" x14ac:dyDescent="0.25">
      <c r="A2338" s="1">
        <v>2337</v>
      </c>
      <c r="B2338" s="2" t="str">
        <f>HYPERLINK("https://leetcode.com/problems/move-pieces-to-obtain-a-string/", "Move Pieces to Obtain a String")</f>
        <v>Move Pieces to Obtain a String</v>
      </c>
      <c r="C2338" s="1">
        <v>1460</v>
      </c>
      <c r="D2338" s="1">
        <v>85</v>
      </c>
      <c r="E2338" s="3">
        <f>IF(INDEX(C:C, ROW())+INDEX(D:D, ROW())=0, 0, INDEX(C:C, ROW())/(INDEX(C:C, ROW())+INDEX(D:D, ROW())))</f>
        <v>0.94498381877022652</v>
      </c>
      <c r="F2338" s="1" t="s">
        <v>117</v>
      </c>
      <c r="G2338" s="1" t="s">
        <v>24</v>
      </c>
      <c r="H2338" s="1">
        <v>147825</v>
      </c>
      <c r="I2338" s="1">
        <v>260706</v>
      </c>
      <c r="J2338" s="7">
        <v>0.56699999999999995</v>
      </c>
      <c r="K2338" s="1" t="s">
        <v>21</v>
      </c>
      <c r="L2338" s="1" t="s">
        <v>21</v>
      </c>
      <c r="M2338" s="1" t="s">
        <v>29</v>
      </c>
      <c r="N2338" s="1" t="s">
        <v>22</v>
      </c>
    </row>
    <row r="2339" spans="1:14" x14ac:dyDescent="0.25">
      <c r="A2339" s="1">
        <v>2338</v>
      </c>
      <c r="B2339" s="2" t="str">
        <f>HYPERLINK("https://leetcode.com/problems/count-the-number-of-ideal-arrays/", "Count the Number of Ideal Arrays")</f>
        <v>Count the Number of Ideal Arrays</v>
      </c>
      <c r="C2339" s="1">
        <v>844</v>
      </c>
      <c r="D2339" s="1">
        <v>133</v>
      </c>
      <c r="E2339" s="3">
        <f>IF(INDEX(C:C, ROW())+INDEX(D:D, ROW())=0, 0, INDEX(C:C, ROW())/(INDEX(C:C, ROW())+INDEX(D:D, ROW())))</f>
        <v>0.86386898669396106</v>
      </c>
      <c r="F2339" s="1" t="s">
        <v>752</v>
      </c>
      <c r="G2339" s="1" t="s">
        <v>28</v>
      </c>
      <c r="H2339" s="1">
        <v>69366</v>
      </c>
      <c r="I2339" s="1">
        <v>121891</v>
      </c>
      <c r="J2339" s="7">
        <v>0.56899999999999995</v>
      </c>
      <c r="K2339" s="1" t="s">
        <v>21</v>
      </c>
      <c r="L2339" s="1" t="s">
        <v>21</v>
      </c>
      <c r="M2339" s="1" t="s">
        <v>29</v>
      </c>
      <c r="N2339" s="1" t="s">
        <v>22</v>
      </c>
    </row>
    <row r="2340" spans="1:14" x14ac:dyDescent="0.25">
      <c r="A2340" s="1">
        <v>2339</v>
      </c>
      <c r="B2340" s="2" t="str">
        <f>HYPERLINK("https://leetcode.com/problems/all-the-matches-of-the-league/", "All the Matches of the League")</f>
        <v>All the Matches of the League</v>
      </c>
      <c r="C2340" s="1">
        <v>49</v>
      </c>
      <c r="D2340" s="1">
        <v>4</v>
      </c>
      <c r="E2340" s="3">
        <f>IF(INDEX(C:C, ROW())+INDEX(D:D, ROW())=0, 0, INDEX(C:C, ROW())/(INDEX(C:C, ROW())+INDEX(D:D, ROW())))</f>
        <v>0.92452830188679247</v>
      </c>
      <c r="F2340" s="1" t="s">
        <v>297</v>
      </c>
      <c r="G2340" s="1" t="s">
        <v>20</v>
      </c>
      <c r="H2340" s="1">
        <v>11333</v>
      </c>
      <c r="I2340" s="1">
        <v>12800</v>
      </c>
      <c r="J2340" s="7">
        <v>0.88500000000000001</v>
      </c>
      <c r="K2340" s="1" t="s">
        <v>29</v>
      </c>
      <c r="L2340" s="1" t="s">
        <v>29</v>
      </c>
      <c r="M2340" s="1" t="s">
        <v>29</v>
      </c>
      <c r="N2340" s="1" t="s">
        <v>297</v>
      </c>
    </row>
    <row r="2341" spans="1:14" x14ac:dyDescent="0.25">
      <c r="A2341" s="1">
        <v>2340</v>
      </c>
      <c r="B2341" s="2" t="str">
        <f>HYPERLINK("https://leetcode.com/problems/minimum-adjacent-swaps-to-make-a-valid-array/", "Minimum Adjacent Swaps to Make a Valid Array")</f>
        <v>Minimum Adjacent Swaps to Make a Valid Array</v>
      </c>
      <c r="C2341" s="1">
        <v>196</v>
      </c>
      <c r="D2341" s="1">
        <v>27</v>
      </c>
      <c r="E2341" s="3">
        <f>IF(INDEX(C:C, ROW())+INDEX(D:D, ROW())=0, 0, INDEX(C:C, ROW())/(INDEX(C:C, ROW())+INDEX(D:D, ROW())))</f>
        <v>0.87892376681614348</v>
      </c>
      <c r="F2341" s="1" t="s">
        <v>96</v>
      </c>
      <c r="G2341" s="1" t="s">
        <v>24</v>
      </c>
      <c r="H2341" s="1">
        <v>40512</v>
      </c>
      <c r="I2341" s="1">
        <v>56089</v>
      </c>
      <c r="J2341" s="7">
        <v>0.72199999999999998</v>
      </c>
      <c r="K2341" s="1" t="s">
        <v>29</v>
      </c>
      <c r="L2341" s="1" t="s">
        <v>29</v>
      </c>
      <c r="M2341" s="1" t="s">
        <v>29</v>
      </c>
      <c r="N2341" s="1" t="s">
        <v>22</v>
      </c>
    </row>
    <row r="2342" spans="1:14" x14ac:dyDescent="0.25">
      <c r="A2342" s="1">
        <v>2341</v>
      </c>
      <c r="B2342" s="2" t="str">
        <f>HYPERLINK("https://leetcode.com/problems/maximum-number-of-pairs-in-array/", "Maximum Number of Pairs in Array")</f>
        <v>Maximum Number of Pairs in Array</v>
      </c>
      <c r="C2342" s="1">
        <v>739</v>
      </c>
      <c r="D2342" s="1">
        <v>19</v>
      </c>
      <c r="E2342" s="3">
        <f>IF(INDEX(C:C, ROW())+INDEX(D:D, ROW())=0, 0, INDEX(C:C, ROW())/(INDEX(C:C, ROW())+INDEX(D:D, ROW())))</f>
        <v>0.97493403693931402</v>
      </c>
      <c r="F2342" s="1" t="s">
        <v>294</v>
      </c>
      <c r="G2342" s="1" t="s">
        <v>20</v>
      </c>
      <c r="H2342" s="1">
        <v>90460</v>
      </c>
      <c r="I2342" s="1">
        <v>119016</v>
      </c>
      <c r="J2342" s="7">
        <v>0.76</v>
      </c>
      <c r="K2342" s="1" t="s">
        <v>21</v>
      </c>
      <c r="L2342" s="1" t="s">
        <v>29</v>
      </c>
      <c r="M2342" s="1" t="s">
        <v>29</v>
      </c>
      <c r="N2342" s="1" t="s">
        <v>22</v>
      </c>
    </row>
    <row r="2343" spans="1:14" x14ac:dyDescent="0.25">
      <c r="A2343" s="1">
        <v>2342</v>
      </c>
      <c r="B2343" s="2" t="str">
        <f>HYPERLINK("https://leetcode.com/problems/max-sum-of-a-pair-with-equal-sum-of-digits/", "Max Sum of a Pair With Equal Sum of Digits")</f>
        <v>Max Sum of a Pair With Equal Sum of Digits</v>
      </c>
      <c r="C2343" s="1">
        <v>1405</v>
      </c>
      <c r="D2343" s="1">
        <v>46</v>
      </c>
      <c r="E2343" s="3">
        <f>IF(INDEX(C:C, ROW())+INDEX(D:D, ROW())=0, 0, INDEX(C:C, ROW())/(INDEX(C:C, ROW())+INDEX(D:D, ROW())))</f>
        <v>0.96829772570640937</v>
      </c>
      <c r="F2343" s="1" t="s">
        <v>542</v>
      </c>
      <c r="G2343" s="1" t="s">
        <v>24</v>
      </c>
      <c r="H2343" s="1">
        <v>248306</v>
      </c>
      <c r="I2343" s="1">
        <v>376433</v>
      </c>
      <c r="J2343" s="7">
        <v>0.66</v>
      </c>
      <c r="K2343" s="1" t="s">
        <v>21</v>
      </c>
      <c r="L2343" s="1" t="s">
        <v>21</v>
      </c>
      <c r="M2343" s="1" t="s">
        <v>29</v>
      </c>
      <c r="N2343" s="1" t="s">
        <v>22</v>
      </c>
    </row>
    <row r="2344" spans="1:14" x14ac:dyDescent="0.25">
      <c r="A2344" s="1">
        <v>2343</v>
      </c>
      <c r="B2344" s="2" t="str">
        <f>HYPERLINK("https://leetcode.com/problems/query-kth-smallest-trimmed-number/", "Query Kth Smallest Trimmed Number")</f>
        <v>Query Kth Smallest Trimmed Number</v>
      </c>
      <c r="C2344" s="1">
        <v>345</v>
      </c>
      <c r="D2344" s="1">
        <v>443</v>
      </c>
      <c r="E2344" s="3">
        <f>IF(INDEX(C:C, ROW())+INDEX(D:D, ROW())=0, 0, INDEX(C:C, ROW())/(INDEX(C:C, ROW())+INDEX(D:D, ROW())))</f>
        <v>0.43781725888324874</v>
      </c>
      <c r="F2344" s="1" t="s">
        <v>1019</v>
      </c>
      <c r="G2344" s="1" t="s">
        <v>24</v>
      </c>
      <c r="H2344" s="1">
        <v>39592</v>
      </c>
      <c r="I2344" s="1">
        <v>84103</v>
      </c>
      <c r="J2344" s="7">
        <v>0.47099999999999997</v>
      </c>
      <c r="K2344" s="1" t="s">
        <v>21</v>
      </c>
      <c r="L2344" s="1" t="s">
        <v>29</v>
      </c>
      <c r="M2344" s="1" t="s">
        <v>29</v>
      </c>
      <c r="N2344" s="1" t="s">
        <v>22</v>
      </c>
    </row>
    <row r="2345" spans="1:14" x14ac:dyDescent="0.25">
      <c r="A2345" s="1">
        <v>2344</v>
      </c>
      <c r="B2345" s="2" t="str">
        <f>HYPERLINK("https://leetcode.com/problems/minimum-deletions-to-make-array-divisible/", "Minimum Deletions to Make Array Divisible")</f>
        <v>Minimum Deletions to Make Array Divisible</v>
      </c>
      <c r="C2345" s="1">
        <v>585</v>
      </c>
      <c r="D2345" s="1">
        <v>131</v>
      </c>
      <c r="E2345" s="3">
        <f>IF(INDEX(C:C, ROW())+INDEX(D:D, ROW())=0, 0, INDEX(C:C, ROW())/(INDEX(C:C, ROW())+INDEX(D:D, ROW())))</f>
        <v>0.81703910614525144</v>
      </c>
      <c r="F2345" s="1" t="s">
        <v>859</v>
      </c>
      <c r="G2345" s="1" t="s">
        <v>28</v>
      </c>
      <c r="H2345" s="1">
        <v>42747</v>
      </c>
      <c r="I2345" s="1">
        <v>71547</v>
      </c>
      <c r="J2345" s="7">
        <v>0.59699999999999998</v>
      </c>
      <c r="K2345" s="1" t="s">
        <v>21</v>
      </c>
      <c r="L2345" s="1" t="s">
        <v>29</v>
      </c>
      <c r="M2345" s="1" t="s">
        <v>29</v>
      </c>
      <c r="N2345" s="1" t="s">
        <v>22</v>
      </c>
    </row>
    <row r="2346" spans="1:14" x14ac:dyDescent="0.25">
      <c r="A2346" s="1">
        <v>2345</v>
      </c>
      <c r="B2346" s="2" t="str">
        <f>HYPERLINK("https://leetcode.com/problems/finding-the-number-of-visible-mountains/", "Finding the Number of Visible Mountains")</f>
        <v>Finding the Number of Visible Mountains</v>
      </c>
      <c r="C2346" s="1">
        <v>182</v>
      </c>
      <c r="D2346" s="1">
        <v>80</v>
      </c>
      <c r="E2346" s="3">
        <f>IF(INDEX(C:C, ROW())+INDEX(D:D, ROW())=0, 0, INDEX(C:C, ROW())/(INDEX(C:C, ROW())+INDEX(D:D, ROW())))</f>
        <v>0.69465648854961837</v>
      </c>
      <c r="F2346" s="1" t="s">
        <v>299</v>
      </c>
      <c r="G2346" s="1" t="s">
        <v>24</v>
      </c>
      <c r="H2346" s="1">
        <v>13017</v>
      </c>
      <c r="I2346" s="1">
        <v>35031</v>
      </c>
      <c r="J2346" s="7">
        <v>0.372</v>
      </c>
      <c r="K2346" s="1" t="s">
        <v>29</v>
      </c>
      <c r="L2346" s="1" t="s">
        <v>29</v>
      </c>
      <c r="M2346" s="1" t="s">
        <v>29</v>
      </c>
      <c r="N2346" s="1" t="s">
        <v>22</v>
      </c>
    </row>
    <row r="2347" spans="1:14" x14ac:dyDescent="0.25">
      <c r="A2347" s="1">
        <v>2346</v>
      </c>
      <c r="B2347" s="2" t="str">
        <f>HYPERLINK("https://leetcode.com/problems/compute-the-rank-as-a-percentage/", "Compute the Rank as a Percentage")</f>
        <v>Compute the Rank as a Percentage</v>
      </c>
      <c r="C2347" s="1">
        <v>31</v>
      </c>
      <c r="D2347" s="1">
        <v>79</v>
      </c>
      <c r="E2347" s="3">
        <f>IF(INDEX(C:C, ROW())+INDEX(D:D, ROW())=0, 0, INDEX(C:C, ROW())/(INDEX(C:C, ROW())+INDEX(D:D, ROW())))</f>
        <v>0.2818181818181818</v>
      </c>
      <c r="F2347" s="1" t="s">
        <v>297</v>
      </c>
      <c r="G2347" s="1" t="s">
        <v>24</v>
      </c>
      <c r="H2347" s="1">
        <v>7298</v>
      </c>
      <c r="I2347" s="1">
        <v>21537</v>
      </c>
      <c r="J2347" s="7">
        <v>0.33900000000000002</v>
      </c>
      <c r="K2347" s="1" t="s">
        <v>29</v>
      </c>
      <c r="L2347" s="1" t="s">
        <v>29</v>
      </c>
      <c r="M2347" s="1" t="s">
        <v>29</v>
      </c>
      <c r="N2347" s="1" t="s">
        <v>297</v>
      </c>
    </row>
    <row r="2348" spans="1:14" x14ac:dyDescent="0.25">
      <c r="A2348" s="1">
        <v>2347</v>
      </c>
      <c r="B2348" s="2" t="str">
        <f>HYPERLINK("https://leetcode.com/problems/best-poker-hand/", "Best Poker Hand")</f>
        <v>Best Poker Hand</v>
      </c>
      <c r="C2348" s="1">
        <v>402</v>
      </c>
      <c r="D2348" s="1">
        <v>44</v>
      </c>
      <c r="E2348" s="3">
        <f>IF(INDEX(C:C, ROW())+INDEX(D:D, ROW())=0, 0, INDEX(C:C, ROW())/(INDEX(C:C, ROW())+INDEX(D:D, ROW())))</f>
        <v>0.90134529147982068</v>
      </c>
      <c r="F2348" s="1" t="s">
        <v>294</v>
      </c>
      <c r="G2348" s="1" t="s">
        <v>20</v>
      </c>
      <c r="H2348" s="1">
        <v>53213</v>
      </c>
      <c r="I2348" s="1">
        <v>86374</v>
      </c>
      <c r="J2348" s="7">
        <v>0.61599999999999999</v>
      </c>
      <c r="K2348" s="1" t="s">
        <v>21</v>
      </c>
      <c r="L2348" s="1" t="s">
        <v>29</v>
      </c>
      <c r="M2348" s="1" t="s">
        <v>29</v>
      </c>
      <c r="N2348" s="1" t="s">
        <v>22</v>
      </c>
    </row>
    <row r="2349" spans="1:14" x14ac:dyDescent="0.25">
      <c r="A2349" s="1">
        <v>2348</v>
      </c>
      <c r="B2349" s="2" t="str">
        <f>HYPERLINK("https://leetcode.com/problems/number-of-zero-filled-subarrays/", "Number of Zero-Filled Subarrays")</f>
        <v>Number of Zero-Filled Subarrays</v>
      </c>
      <c r="C2349" s="1">
        <v>2782</v>
      </c>
      <c r="D2349" s="1">
        <v>95</v>
      </c>
      <c r="E2349" s="3">
        <f>IF(INDEX(C:C, ROW())+INDEX(D:D, ROW())=0, 0, INDEX(C:C, ROW())/(INDEX(C:C, ROW())+INDEX(D:D, ROW())))</f>
        <v>0.96697949252693782</v>
      </c>
      <c r="F2349" s="1" t="s">
        <v>115</v>
      </c>
      <c r="G2349" s="1" t="s">
        <v>24</v>
      </c>
      <c r="H2349" s="1">
        <v>305578</v>
      </c>
      <c r="I2349" s="1">
        <v>435746</v>
      </c>
      <c r="J2349" s="7">
        <v>0.70099999999999996</v>
      </c>
      <c r="K2349" s="1" t="s">
        <v>21</v>
      </c>
      <c r="L2349" s="1" t="s">
        <v>21</v>
      </c>
      <c r="M2349" s="1" t="s">
        <v>29</v>
      </c>
      <c r="N2349" s="1" t="s">
        <v>22</v>
      </c>
    </row>
    <row r="2350" spans="1:14" x14ac:dyDescent="0.25">
      <c r="A2350" s="1">
        <v>2349</v>
      </c>
      <c r="B2350" s="2" t="str">
        <f>HYPERLINK("https://leetcode.com/problems/design-a-number-container-system/", "Design a Number Container System")</f>
        <v>Design a Number Container System</v>
      </c>
      <c r="C2350" s="1">
        <v>965</v>
      </c>
      <c r="D2350" s="1">
        <v>74</v>
      </c>
      <c r="E2350" s="3">
        <f>IF(INDEX(C:C, ROW())+INDEX(D:D, ROW())=0, 0, INDEX(C:C, ROW())/(INDEX(C:C, ROW())+INDEX(D:D, ROW())))</f>
        <v>0.92877767083734364</v>
      </c>
      <c r="F2350" s="1" t="s">
        <v>530</v>
      </c>
      <c r="G2350" s="1" t="s">
        <v>24</v>
      </c>
      <c r="H2350" s="1">
        <v>148570</v>
      </c>
      <c r="I2350" s="1">
        <v>260191</v>
      </c>
      <c r="J2350" s="7">
        <v>0.57099999999999995</v>
      </c>
      <c r="K2350" s="1" t="s">
        <v>21</v>
      </c>
      <c r="L2350" s="1" t="s">
        <v>21</v>
      </c>
      <c r="M2350" s="1" t="s">
        <v>29</v>
      </c>
      <c r="N2350" s="1" t="s">
        <v>22</v>
      </c>
    </row>
    <row r="2351" spans="1:14" x14ac:dyDescent="0.25">
      <c r="A2351" s="1">
        <v>2350</v>
      </c>
      <c r="B2351" s="2" t="str">
        <f>HYPERLINK("https://leetcode.com/problems/shortest-impossible-sequence-of-rolls/", "Shortest Impossible Sequence of Rolls")</f>
        <v>Shortest Impossible Sequence of Rolls</v>
      </c>
      <c r="C2351" s="1">
        <v>668</v>
      </c>
      <c r="D2351" s="1">
        <v>51</v>
      </c>
      <c r="E2351" s="3">
        <f>IF(INDEX(C:C, ROW())+INDEX(D:D, ROW())=0, 0, INDEX(C:C, ROW())/(INDEX(C:C, ROW())+INDEX(D:D, ROW())))</f>
        <v>0.9290681502086231</v>
      </c>
      <c r="F2351" s="1" t="s">
        <v>368</v>
      </c>
      <c r="G2351" s="1" t="s">
        <v>28</v>
      </c>
      <c r="H2351" s="1">
        <v>18832</v>
      </c>
      <c r="I2351" s="1">
        <v>27176</v>
      </c>
      <c r="J2351" s="7">
        <v>0.69299999999999995</v>
      </c>
      <c r="K2351" s="1" t="s">
        <v>21</v>
      </c>
      <c r="L2351" s="1" t="s">
        <v>29</v>
      </c>
      <c r="M2351" s="1" t="s">
        <v>29</v>
      </c>
      <c r="N2351" s="1" t="s">
        <v>22</v>
      </c>
    </row>
    <row r="2352" spans="1:14" x14ac:dyDescent="0.25">
      <c r="A2352" s="1">
        <v>2351</v>
      </c>
      <c r="B2352" s="2" t="str">
        <f>HYPERLINK("https://leetcode.com/problems/first-letter-to-appear-twice/", "First Letter to Appear Twice")</f>
        <v>First Letter to Appear Twice</v>
      </c>
      <c r="C2352" s="1">
        <v>1180</v>
      </c>
      <c r="D2352" s="1">
        <v>65</v>
      </c>
      <c r="E2352" s="3">
        <f>IF(INDEX(C:C, ROW())+INDEX(D:D, ROW())=0, 0, INDEX(C:C, ROW())/(INDEX(C:C, ROW())+INDEX(D:D, ROW())))</f>
        <v>0.94779116465863456</v>
      </c>
      <c r="F2352" s="1" t="s">
        <v>662</v>
      </c>
      <c r="G2352" s="1" t="s">
        <v>20</v>
      </c>
      <c r="H2352" s="1">
        <v>192431</v>
      </c>
      <c r="I2352" s="1">
        <v>256944</v>
      </c>
      <c r="J2352" s="7">
        <v>0.749</v>
      </c>
      <c r="K2352" s="1" t="s">
        <v>21</v>
      </c>
      <c r="L2352" s="1" t="s">
        <v>29</v>
      </c>
      <c r="M2352" s="1" t="s">
        <v>29</v>
      </c>
      <c r="N2352" s="1" t="s">
        <v>22</v>
      </c>
    </row>
    <row r="2353" spans="1:14" x14ac:dyDescent="0.25">
      <c r="A2353" s="1">
        <v>2352</v>
      </c>
      <c r="B2353" s="2" t="str">
        <f>HYPERLINK("https://leetcode.com/problems/equal-row-and-column-pairs/", "Equal Row and Column Pairs")</f>
        <v>Equal Row and Column Pairs</v>
      </c>
      <c r="C2353" s="1">
        <v>2482</v>
      </c>
      <c r="D2353" s="1">
        <v>192</v>
      </c>
      <c r="E2353" s="3">
        <f>IF(INDEX(C:C, ROW())+INDEX(D:D, ROW())=0, 0, INDEX(C:C, ROW())/(INDEX(C:C, ROW())+INDEX(D:D, ROW())))</f>
        <v>0.9281974569932685</v>
      </c>
      <c r="F2353" s="1" t="s">
        <v>428</v>
      </c>
      <c r="G2353" s="1" t="s">
        <v>24</v>
      </c>
      <c r="H2353" s="1">
        <v>393021</v>
      </c>
      <c r="I2353" s="1">
        <v>555040</v>
      </c>
      <c r="J2353" s="7">
        <v>0.70799999999999996</v>
      </c>
      <c r="K2353" s="1" t="s">
        <v>21</v>
      </c>
      <c r="L2353" s="1" t="s">
        <v>21</v>
      </c>
      <c r="M2353" s="1" t="s">
        <v>29</v>
      </c>
      <c r="N2353" s="1" t="s">
        <v>22</v>
      </c>
    </row>
    <row r="2354" spans="1:14" x14ac:dyDescent="0.25">
      <c r="A2354" s="1">
        <v>2353</v>
      </c>
      <c r="B2354" s="2" t="str">
        <f>HYPERLINK("https://leetcode.com/problems/design-a-food-rating-system/", "Design a Food Rating System")</f>
        <v>Design a Food Rating System</v>
      </c>
      <c r="C2354" s="1">
        <v>1958</v>
      </c>
      <c r="D2354" s="1">
        <v>328</v>
      </c>
      <c r="E2354" s="3">
        <f>IF(INDEX(C:C, ROW())+INDEX(D:D, ROW())=0, 0, INDEX(C:C, ROW())/(INDEX(C:C, ROW())+INDEX(D:D, ROW())))</f>
        <v>0.85651793525809272</v>
      </c>
      <c r="F2354" s="1" t="s">
        <v>509</v>
      </c>
      <c r="G2354" s="1" t="s">
        <v>24</v>
      </c>
      <c r="H2354" s="1">
        <v>180878</v>
      </c>
      <c r="I2354" s="1">
        <v>342118</v>
      </c>
      <c r="J2354" s="7">
        <v>0.52900000000000003</v>
      </c>
      <c r="K2354" s="1" t="s">
        <v>21</v>
      </c>
      <c r="L2354" s="1" t="s">
        <v>21</v>
      </c>
      <c r="M2354" s="1" t="s">
        <v>29</v>
      </c>
      <c r="N2354" s="1" t="s">
        <v>22</v>
      </c>
    </row>
    <row r="2355" spans="1:14" x14ac:dyDescent="0.25">
      <c r="A2355" s="1">
        <v>2354</v>
      </c>
      <c r="B2355" s="2" t="str">
        <f>HYPERLINK("https://leetcode.com/problems/number-of-excellent-pairs/", "Number of Excellent Pairs")</f>
        <v>Number of Excellent Pairs</v>
      </c>
      <c r="C2355" s="1">
        <v>619</v>
      </c>
      <c r="D2355" s="1">
        <v>25</v>
      </c>
      <c r="E2355" s="3">
        <f>IF(INDEX(C:C, ROW())+INDEX(D:D, ROW())=0, 0, INDEX(C:C, ROW())/(INDEX(C:C, ROW())+INDEX(D:D, ROW())))</f>
        <v>0.96118012422360244</v>
      </c>
      <c r="F2355" s="1" t="s">
        <v>838</v>
      </c>
      <c r="G2355" s="1" t="s">
        <v>28</v>
      </c>
      <c r="H2355" s="1">
        <v>18374</v>
      </c>
      <c r="I2355" s="1">
        <v>37511</v>
      </c>
      <c r="J2355" s="7">
        <v>0.49</v>
      </c>
      <c r="K2355" s="1" t="s">
        <v>21</v>
      </c>
      <c r="L2355" s="1" t="s">
        <v>29</v>
      </c>
      <c r="M2355" s="1" t="s">
        <v>29</v>
      </c>
      <c r="N2355" s="1" t="s">
        <v>22</v>
      </c>
    </row>
    <row r="2356" spans="1:14" x14ac:dyDescent="0.25">
      <c r="A2356" s="1">
        <v>2355</v>
      </c>
      <c r="B2356" s="2" t="str">
        <f>HYPERLINK("https://leetcode.com/problems/maximum-number-of-books-you-can-take/", "Maximum Number of Books You Can Take")</f>
        <v>Maximum Number of Books You Can Take</v>
      </c>
      <c r="C2356" s="1">
        <v>295</v>
      </c>
      <c r="D2356" s="1">
        <v>41</v>
      </c>
      <c r="E2356" s="3">
        <f>IF(INDEX(C:C, ROW())+INDEX(D:D, ROW())=0, 0, INDEX(C:C, ROW())/(INDEX(C:C, ROW())+INDEX(D:D, ROW())))</f>
        <v>0.87797619047619047</v>
      </c>
      <c r="F2356" s="1" t="s">
        <v>151</v>
      </c>
      <c r="G2356" s="1" t="s">
        <v>28</v>
      </c>
      <c r="H2356" s="1">
        <v>13372</v>
      </c>
      <c r="I2356" s="1">
        <v>33897</v>
      </c>
      <c r="J2356" s="7">
        <v>0.39400000000000002</v>
      </c>
      <c r="K2356" s="1" t="s">
        <v>29</v>
      </c>
      <c r="L2356" s="1" t="s">
        <v>21</v>
      </c>
      <c r="M2356" s="1" t="s">
        <v>29</v>
      </c>
      <c r="N2356" s="1" t="s">
        <v>22</v>
      </c>
    </row>
    <row r="2357" spans="1:14" x14ac:dyDescent="0.25">
      <c r="A2357" s="1">
        <v>2356</v>
      </c>
      <c r="B2357" s="2" t="str">
        <f>HYPERLINK("https://leetcode.com/problems/number-of-unique-subjects-taught-by-each-teacher/", "Number of Unique Subjects Taught by Each Teacher")</f>
        <v>Number of Unique Subjects Taught by Each Teacher</v>
      </c>
      <c r="C2357" s="1">
        <v>730</v>
      </c>
      <c r="D2357" s="1">
        <v>54</v>
      </c>
      <c r="E2357" s="3">
        <f>IF(INDEX(C:C, ROW())+INDEX(D:D, ROW())=0, 0, INDEX(C:C, ROW())/(INDEX(C:C, ROW())+INDEX(D:D, ROW())))</f>
        <v>0.93112244897959184</v>
      </c>
      <c r="F2357" s="1" t="s">
        <v>297</v>
      </c>
      <c r="G2357" s="1" t="s">
        <v>20</v>
      </c>
      <c r="H2357" s="1">
        <v>495328</v>
      </c>
      <c r="I2357" s="1">
        <v>555116</v>
      </c>
      <c r="J2357" s="7">
        <v>0.89200000000000002</v>
      </c>
      <c r="K2357" s="1" t="s">
        <v>21</v>
      </c>
      <c r="L2357" s="1" t="s">
        <v>21</v>
      </c>
      <c r="M2357" s="1" t="s">
        <v>29</v>
      </c>
      <c r="N2357" s="1" t="s">
        <v>297</v>
      </c>
    </row>
    <row r="2358" spans="1:14" x14ac:dyDescent="0.25">
      <c r="A2358" s="1">
        <v>2357</v>
      </c>
      <c r="B2358" s="2" t="str">
        <f>HYPERLINK("https://leetcode.com/problems/make-array-zero-by-subtracting-equal-amounts/", "Make Array Zero by Subtracting Equal Amounts")</f>
        <v>Make Array Zero by Subtracting Equal Amounts</v>
      </c>
      <c r="C2358" s="1">
        <v>1314</v>
      </c>
      <c r="D2358" s="1">
        <v>61</v>
      </c>
      <c r="E2358" s="3">
        <f>IF(INDEX(C:C, ROW())+INDEX(D:D, ROW())=0, 0, INDEX(C:C, ROW())/(INDEX(C:C, ROW())+INDEX(D:D, ROW())))</f>
        <v>0.95563636363636362</v>
      </c>
      <c r="F2358" s="1" t="s">
        <v>635</v>
      </c>
      <c r="G2358" s="1" t="s">
        <v>20</v>
      </c>
      <c r="H2358" s="1">
        <v>176303</v>
      </c>
      <c r="I2358" s="1">
        <v>239104</v>
      </c>
      <c r="J2358" s="7">
        <v>0.73699999999999999</v>
      </c>
      <c r="K2358" s="1" t="s">
        <v>21</v>
      </c>
      <c r="L2358" s="1" t="s">
        <v>29</v>
      </c>
      <c r="M2358" s="1" t="s">
        <v>29</v>
      </c>
      <c r="N2358" s="1" t="s">
        <v>22</v>
      </c>
    </row>
    <row r="2359" spans="1:14" x14ac:dyDescent="0.25">
      <c r="A2359" s="1">
        <v>2358</v>
      </c>
      <c r="B2359" s="2" t="str">
        <f>HYPERLINK("https://leetcode.com/problems/maximum-number-of-groups-entering-a-competition/", "Maximum Number of Groups Entering a Competition")</f>
        <v>Maximum Number of Groups Entering a Competition</v>
      </c>
      <c r="C2359" s="1">
        <v>713</v>
      </c>
      <c r="D2359" s="1">
        <v>121</v>
      </c>
      <c r="E2359" s="3">
        <f>IF(INDEX(C:C, ROW())+INDEX(D:D, ROW())=0, 0, INDEX(C:C, ROW())/(INDEX(C:C, ROW())+INDEX(D:D, ROW())))</f>
        <v>0.85491606714628299</v>
      </c>
      <c r="F2359" s="1" t="s">
        <v>795</v>
      </c>
      <c r="G2359" s="1" t="s">
        <v>24</v>
      </c>
      <c r="H2359" s="1">
        <v>44619</v>
      </c>
      <c r="I2359" s="1">
        <v>65118</v>
      </c>
      <c r="J2359" s="7">
        <v>0.68500000000000005</v>
      </c>
      <c r="K2359" s="1" t="s">
        <v>21</v>
      </c>
      <c r="L2359" s="1" t="s">
        <v>29</v>
      </c>
      <c r="M2359" s="1" t="s">
        <v>29</v>
      </c>
      <c r="N2359" s="1" t="s">
        <v>22</v>
      </c>
    </row>
    <row r="2360" spans="1:14" x14ac:dyDescent="0.25">
      <c r="A2360" s="1">
        <v>2359</v>
      </c>
      <c r="B2360" s="2" t="str">
        <f>HYPERLINK("https://leetcode.com/problems/find-closest-node-to-given-two-nodes/", "Find Closest Node to Given Two Nodes")</f>
        <v>Find Closest Node to Given Two Nodes</v>
      </c>
      <c r="C2360" s="1">
        <v>2096</v>
      </c>
      <c r="D2360" s="1">
        <v>470</v>
      </c>
      <c r="E2360" s="3">
        <f>IF(INDEX(C:C, ROW())+INDEX(D:D, ROW())=0, 0, INDEX(C:C, ROW())/(INDEX(C:C, ROW())+INDEX(D:D, ROW())))</f>
        <v>0.81683554169914263</v>
      </c>
      <c r="F2360" s="1" t="s">
        <v>488</v>
      </c>
      <c r="G2360" s="1" t="s">
        <v>24</v>
      </c>
      <c r="H2360" s="1">
        <v>167178</v>
      </c>
      <c r="I2360" s="1">
        <v>315708</v>
      </c>
      <c r="J2360" s="7">
        <v>0.53</v>
      </c>
      <c r="K2360" s="1" t="s">
        <v>21</v>
      </c>
      <c r="L2360" s="1" t="s">
        <v>21</v>
      </c>
      <c r="M2360" s="1" t="s">
        <v>29</v>
      </c>
      <c r="N2360" s="1" t="s">
        <v>22</v>
      </c>
    </row>
    <row r="2361" spans="1:14" x14ac:dyDescent="0.25">
      <c r="A2361" s="1">
        <v>2360</v>
      </c>
      <c r="B2361" s="2" t="str">
        <f>HYPERLINK("https://leetcode.com/problems/longest-cycle-in-a-graph/", "Longest Cycle in a Graph")</f>
        <v>Longest Cycle in a Graph</v>
      </c>
      <c r="C2361" s="1">
        <v>2539</v>
      </c>
      <c r="D2361" s="1">
        <v>51</v>
      </c>
      <c r="E2361" s="3">
        <f>IF(INDEX(C:C, ROW())+INDEX(D:D, ROW())=0, 0, INDEX(C:C, ROW())/(INDEX(C:C, ROW())+INDEX(D:D, ROW())))</f>
        <v>0.9803088803088803</v>
      </c>
      <c r="F2361" s="1" t="s">
        <v>72</v>
      </c>
      <c r="G2361" s="1" t="s">
        <v>28</v>
      </c>
      <c r="H2361" s="1">
        <v>103534</v>
      </c>
      <c r="I2361" s="1">
        <v>205285</v>
      </c>
      <c r="J2361" s="7">
        <v>0.504</v>
      </c>
      <c r="K2361" s="1" t="s">
        <v>21</v>
      </c>
      <c r="L2361" s="1" t="s">
        <v>21</v>
      </c>
      <c r="M2361" s="1" t="s">
        <v>29</v>
      </c>
      <c r="N2361" s="1" t="s">
        <v>22</v>
      </c>
    </row>
    <row r="2362" spans="1:14" x14ac:dyDescent="0.25">
      <c r="A2362" s="1">
        <v>2361</v>
      </c>
      <c r="B2362" s="2" t="str">
        <f>HYPERLINK("https://leetcode.com/problems/minimum-costs-using-the-train-line/", "Minimum Costs Using the Train Line")</f>
        <v>Minimum Costs Using the Train Line</v>
      </c>
      <c r="C2362" s="1">
        <v>196</v>
      </c>
      <c r="D2362" s="1">
        <v>33</v>
      </c>
      <c r="E2362" s="3">
        <f>IF(INDEX(C:C, ROW())+INDEX(D:D, ROW())=0, 0, INDEX(C:C, ROW())/(INDEX(C:C, ROW())+INDEX(D:D, ROW())))</f>
        <v>0.85589519650655022</v>
      </c>
      <c r="F2362" s="1" t="s">
        <v>30</v>
      </c>
      <c r="G2362" s="1" t="s">
        <v>28</v>
      </c>
      <c r="H2362" s="1">
        <v>14917</v>
      </c>
      <c r="I2362" s="1">
        <v>19157</v>
      </c>
      <c r="J2362" s="7">
        <v>0.77900000000000003</v>
      </c>
      <c r="K2362" s="1" t="s">
        <v>29</v>
      </c>
      <c r="L2362" s="1" t="s">
        <v>21</v>
      </c>
      <c r="M2362" s="1" t="s">
        <v>29</v>
      </c>
      <c r="N2362" s="1" t="s">
        <v>22</v>
      </c>
    </row>
    <row r="2363" spans="1:14" x14ac:dyDescent="0.25">
      <c r="A2363" s="1">
        <v>2362</v>
      </c>
      <c r="B2363" s="2" t="str">
        <f>HYPERLINK("https://leetcode.com/problems/generate-the-invoice/", "Generate the Invoice")</f>
        <v>Generate the Invoice</v>
      </c>
      <c r="C2363" s="1">
        <v>35</v>
      </c>
      <c r="D2363" s="1">
        <v>29</v>
      </c>
      <c r="E2363" s="3">
        <f>IF(INDEX(C:C, ROW())+INDEX(D:D, ROW())=0, 0, INDEX(C:C, ROW())/(INDEX(C:C, ROW())+INDEX(D:D, ROW())))</f>
        <v>0.546875</v>
      </c>
      <c r="F2363" s="1" t="s">
        <v>297</v>
      </c>
      <c r="G2363" s="1" t="s">
        <v>28</v>
      </c>
      <c r="H2363" s="1">
        <v>5452</v>
      </c>
      <c r="I2363" s="1">
        <v>7207</v>
      </c>
      <c r="J2363" s="7">
        <v>0.75600000000000001</v>
      </c>
      <c r="K2363" s="1" t="s">
        <v>29</v>
      </c>
      <c r="L2363" s="1" t="s">
        <v>29</v>
      </c>
      <c r="M2363" s="1" t="s">
        <v>29</v>
      </c>
      <c r="N2363" s="1" t="s">
        <v>297</v>
      </c>
    </row>
    <row r="2364" spans="1:14" x14ac:dyDescent="0.25">
      <c r="A2364" s="1">
        <v>2363</v>
      </c>
      <c r="B2364" s="2" t="str">
        <f>HYPERLINK("https://leetcode.com/problems/merge-similar-items/", "Merge Similar Items")</f>
        <v>Merge Similar Items</v>
      </c>
      <c r="C2364" s="1">
        <v>607</v>
      </c>
      <c r="D2364" s="1">
        <v>31</v>
      </c>
      <c r="E2364" s="3">
        <f>IF(INDEX(C:C, ROW())+INDEX(D:D, ROW())=0, 0, INDEX(C:C, ROW())/(INDEX(C:C, ROW())+INDEX(D:D, ROW())))</f>
        <v>0.95141065830721006</v>
      </c>
      <c r="F2364" s="1" t="s">
        <v>848</v>
      </c>
      <c r="G2364" s="1" t="s">
        <v>20</v>
      </c>
      <c r="H2364" s="1">
        <v>79106</v>
      </c>
      <c r="I2364" s="1">
        <v>102246</v>
      </c>
      <c r="J2364" s="7">
        <v>0.77400000000000002</v>
      </c>
      <c r="K2364" s="1" t="s">
        <v>21</v>
      </c>
      <c r="L2364" s="1" t="s">
        <v>29</v>
      </c>
      <c r="M2364" s="1" t="s">
        <v>29</v>
      </c>
      <c r="N2364" s="1" t="s">
        <v>22</v>
      </c>
    </row>
    <row r="2365" spans="1:14" x14ac:dyDescent="0.25">
      <c r="A2365" s="1">
        <v>2364</v>
      </c>
      <c r="B2365" s="2" t="str">
        <f>HYPERLINK("https://leetcode.com/problems/count-number-of-bad-pairs/", "Count Number of Bad Pairs")</f>
        <v>Count Number of Bad Pairs</v>
      </c>
      <c r="C2365" s="1">
        <v>1788</v>
      </c>
      <c r="D2365" s="1">
        <v>62</v>
      </c>
      <c r="E2365" s="3">
        <f>IF(INDEX(C:C, ROW())+INDEX(D:D, ROW())=0, 0, INDEX(C:C, ROW())/(INDEX(C:C, ROW())+INDEX(D:D, ROW())))</f>
        <v>0.9664864864864865</v>
      </c>
      <c r="F2365" s="1" t="s">
        <v>233</v>
      </c>
      <c r="G2365" s="1" t="s">
        <v>24</v>
      </c>
      <c r="H2365" s="1">
        <v>184933</v>
      </c>
      <c r="I2365" s="1">
        <v>341028</v>
      </c>
      <c r="J2365" s="7">
        <v>0.54200000000000004</v>
      </c>
      <c r="K2365" s="1" t="s">
        <v>21</v>
      </c>
      <c r="L2365" s="1" t="s">
        <v>21</v>
      </c>
      <c r="M2365" s="1" t="s">
        <v>29</v>
      </c>
      <c r="N2365" s="1" t="s">
        <v>22</v>
      </c>
    </row>
    <row r="2366" spans="1:14" x14ac:dyDescent="0.25">
      <c r="A2366" s="1">
        <v>2365</v>
      </c>
      <c r="B2366" s="2" t="str">
        <f>HYPERLINK("https://leetcode.com/problems/task-scheduler-ii/", "Task Scheduler II")</f>
        <v>Task Scheduler II</v>
      </c>
      <c r="C2366" s="1">
        <v>619</v>
      </c>
      <c r="D2366" s="1">
        <v>76</v>
      </c>
      <c r="E2366" s="3">
        <f>IF(INDEX(C:C, ROW())+INDEX(D:D, ROW())=0, 0, INDEX(C:C, ROW())/(INDEX(C:C, ROW())+INDEX(D:D, ROW())))</f>
        <v>0.89064748201438848</v>
      </c>
      <c r="F2366" s="1" t="s">
        <v>736</v>
      </c>
      <c r="G2366" s="1" t="s">
        <v>24</v>
      </c>
      <c r="H2366" s="1">
        <v>56617</v>
      </c>
      <c r="I2366" s="1">
        <v>103576</v>
      </c>
      <c r="J2366" s="7">
        <v>0.54700000000000004</v>
      </c>
      <c r="K2366" s="1" t="s">
        <v>21</v>
      </c>
      <c r="L2366" s="1" t="s">
        <v>29</v>
      </c>
      <c r="M2366" s="1" t="s">
        <v>29</v>
      </c>
      <c r="N2366" s="1" t="s">
        <v>22</v>
      </c>
    </row>
    <row r="2367" spans="1:14" x14ac:dyDescent="0.25">
      <c r="A2367" s="1">
        <v>2366</v>
      </c>
      <c r="B2367" s="2" t="str">
        <f>HYPERLINK("https://leetcode.com/problems/minimum-replacements-to-sort-the-array/", "Minimum Replacements to Sort the Array")</f>
        <v>Minimum Replacements to Sort the Array</v>
      </c>
      <c r="C2367" s="1">
        <v>2080</v>
      </c>
      <c r="D2367" s="1">
        <v>69</v>
      </c>
      <c r="E2367" s="3">
        <f>IF(INDEX(C:C, ROW())+INDEX(D:D, ROW())=0, 0, INDEX(C:C, ROW())/(INDEX(C:C, ROW())+INDEX(D:D, ROW())))</f>
        <v>0.96789204281060959</v>
      </c>
      <c r="F2367" s="1" t="s">
        <v>435</v>
      </c>
      <c r="G2367" s="1" t="s">
        <v>28</v>
      </c>
      <c r="H2367" s="1">
        <v>74133</v>
      </c>
      <c r="I2367" s="1">
        <v>139312</v>
      </c>
      <c r="J2367" s="7">
        <v>0.53200000000000003</v>
      </c>
      <c r="K2367" s="1" t="s">
        <v>21</v>
      </c>
      <c r="L2367" s="1" t="s">
        <v>21</v>
      </c>
      <c r="M2367" s="1" t="s">
        <v>29</v>
      </c>
      <c r="N2367" s="1" t="s">
        <v>22</v>
      </c>
    </row>
    <row r="2368" spans="1:14" x14ac:dyDescent="0.25">
      <c r="A2368" s="1">
        <v>2367</v>
      </c>
      <c r="B2368" s="2" t="str">
        <f>HYPERLINK("https://leetcode.com/problems/number-of-arithmetic-triplets/", "Number of Arithmetic Triplets")</f>
        <v>Number of Arithmetic Triplets</v>
      </c>
      <c r="C2368" s="1">
        <v>1384</v>
      </c>
      <c r="D2368" s="1">
        <v>98</v>
      </c>
      <c r="E2368" s="3">
        <f>IF(INDEX(C:C, ROW())+INDEX(D:D, ROW())=0, 0, INDEX(C:C, ROW())/(INDEX(C:C, ROW())+INDEX(D:D, ROW())))</f>
        <v>0.93387314439946023</v>
      </c>
      <c r="F2368" s="1" t="s">
        <v>620</v>
      </c>
      <c r="G2368" s="1" t="s">
        <v>20</v>
      </c>
      <c r="H2368" s="1">
        <v>179980</v>
      </c>
      <c r="I2368" s="1">
        <v>210813</v>
      </c>
      <c r="J2368" s="7">
        <v>0.85399999999999998</v>
      </c>
      <c r="K2368" s="1" t="s">
        <v>21</v>
      </c>
      <c r="L2368" s="1" t="s">
        <v>29</v>
      </c>
      <c r="M2368" s="1" t="s">
        <v>29</v>
      </c>
      <c r="N2368" s="1" t="s">
        <v>22</v>
      </c>
    </row>
    <row r="2369" spans="1:14" x14ac:dyDescent="0.25">
      <c r="A2369" s="1">
        <v>2368</v>
      </c>
      <c r="B2369" s="2" t="str">
        <f>HYPERLINK("https://leetcode.com/problems/reachable-nodes-with-restrictions/", "Reachable Nodes With Restrictions")</f>
        <v>Reachable Nodes With Restrictions</v>
      </c>
      <c r="C2369" s="1">
        <v>769</v>
      </c>
      <c r="D2369" s="1">
        <v>33</v>
      </c>
      <c r="E2369" s="3">
        <f>IF(INDEX(C:C, ROW())+INDEX(D:D, ROW())=0, 0, INDEX(C:C, ROW())/(INDEX(C:C, ROW())+INDEX(D:D, ROW())))</f>
        <v>0.95885286783042389</v>
      </c>
      <c r="F2369" s="1" t="s">
        <v>775</v>
      </c>
      <c r="G2369" s="1" t="s">
        <v>24</v>
      </c>
      <c r="H2369" s="1">
        <v>85362</v>
      </c>
      <c r="I2369" s="1">
        <v>141833</v>
      </c>
      <c r="J2369" s="7">
        <v>0.60199999999999998</v>
      </c>
      <c r="K2369" s="1" t="s">
        <v>21</v>
      </c>
      <c r="L2369" s="1" t="s">
        <v>21</v>
      </c>
      <c r="M2369" s="1" t="s">
        <v>29</v>
      </c>
      <c r="N2369" s="1" t="s">
        <v>22</v>
      </c>
    </row>
    <row r="2370" spans="1:14" x14ac:dyDescent="0.25">
      <c r="A2370" s="1">
        <v>2369</v>
      </c>
      <c r="B2370" s="2" t="str">
        <f>HYPERLINK("https://leetcode.com/problems/check-if-there-is-a-valid-partition-for-the-array/", "Check if There is a Valid Partition For The Array")</f>
        <v>Check if There is a Valid Partition For The Array</v>
      </c>
      <c r="C2370" s="1">
        <v>2066</v>
      </c>
      <c r="D2370" s="1">
        <v>208</v>
      </c>
      <c r="E2370" s="3">
        <f>IF(INDEX(C:C, ROW())+INDEX(D:D, ROW())=0, 0, INDEX(C:C, ROW())/(INDEX(C:C, ROW())+INDEX(D:D, ROW())))</f>
        <v>0.90853122251539142</v>
      </c>
      <c r="F2370" s="1" t="s">
        <v>30</v>
      </c>
      <c r="G2370" s="1" t="s">
        <v>24</v>
      </c>
      <c r="H2370" s="1">
        <v>100598</v>
      </c>
      <c r="I2370" s="1">
        <v>192594</v>
      </c>
      <c r="J2370" s="7">
        <v>0.52200000000000002</v>
      </c>
      <c r="K2370" s="1" t="s">
        <v>21</v>
      </c>
      <c r="L2370" s="1" t="s">
        <v>21</v>
      </c>
      <c r="M2370" s="1" t="s">
        <v>29</v>
      </c>
      <c r="N2370" s="1" t="s">
        <v>22</v>
      </c>
    </row>
    <row r="2371" spans="1:14" x14ac:dyDescent="0.25">
      <c r="A2371" s="1">
        <v>2370</v>
      </c>
      <c r="B2371" s="2" t="str">
        <f>HYPERLINK("https://leetcode.com/problems/longest-ideal-subsequence/", "Longest Ideal Subsequence")</f>
        <v>Longest Ideal Subsequence</v>
      </c>
      <c r="C2371" s="1">
        <v>1528</v>
      </c>
      <c r="D2371" s="1">
        <v>82</v>
      </c>
      <c r="E2371" s="3">
        <f>IF(INDEX(C:C, ROW())+INDEX(D:D, ROW())=0, 0, INDEX(C:C, ROW())/(INDEX(C:C, ROW())+INDEX(D:D, ROW())))</f>
        <v>0.94906832298136645</v>
      </c>
      <c r="F2371" s="1" t="s">
        <v>466</v>
      </c>
      <c r="G2371" s="1" t="s">
        <v>24</v>
      </c>
      <c r="H2371" s="1">
        <v>123792</v>
      </c>
      <c r="I2371" s="1">
        <v>265356</v>
      </c>
      <c r="J2371" s="7">
        <v>0.46700000000000003</v>
      </c>
      <c r="K2371" s="1" t="s">
        <v>21</v>
      </c>
      <c r="L2371" s="1" t="s">
        <v>21</v>
      </c>
      <c r="M2371" s="1" t="s">
        <v>29</v>
      </c>
      <c r="N2371" s="1" t="s">
        <v>22</v>
      </c>
    </row>
    <row r="2372" spans="1:14" x14ac:dyDescent="0.25">
      <c r="A2372" s="1">
        <v>2371</v>
      </c>
      <c r="B2372" s="2" t="str">
        <f>HYPERLINK("https://leetcode.com/problems/minimize-maximum-value-in-a-grid/", "Minimize Maximum Value in a Grid")</f>
        <v>Minimize Maximum Value in a Grid</v>
      </c>
      <c r="C2372" s="1">
        <v>143</v>
      </c>
      <c r="D2372" s="1">
        <v>6</v>
      </c>
      <c r="E2372" s="3">
        <f>IF(INDEX(C:C, ROW())+INDEX(D:D, ROW())=0, 0, INDEX(C:C, ROW())/(INDEX(C:C, ROW())+INDEX(D:D, ROW())))</f>
        <v>0.95973154362416102</v>
      </c>
      <c r="F2372" s="1" t="s">
        <v>732</v>
      </c>
      <c r="G2372" s="1" t="s">
        <v>28</v>
      </c>
      <c r="H2372" s="1">
        <v>7389</v>
      </c>
      <c r="I2372" s="1">
        <v>10532</v>
      </c>
      <c r="J2372" s="7">
        <v>0.70199999999999996</v>
      </c>
      <c r="K2372" s="1" t="s">
        <v>29</v>
      </c>
      <c r="L2372" s="1" t="s">
        <v>21</v>
      </c>
      <c r="M2372" s="1" t="s">
        <v>29</v>
      </c>
      <c r="N2372" s="1" t="s">
        <v>22</v>
      </c>
    </row>
    <row r="2373" spans="1:14" x14ac:dyDescent="0.25">
      <c r="A2373" s="1">
        <v>2372</v>
      </c>
      <c r="B2373" s="2" t="str">
        <f>HYPERLINK("https://leetcode.com/problems/calculate-the-influence-of-each-salesperson/", "Calculate the Influence of Each Salesperson")</f>
        <v>Calculate the Influence of Each Salesperson</v>
      </c>
      <c r="C2373" s="1">
        <v>40</v>
      </c>
      <c r="D2373" s="1">
        <v>4</v>
      </c>
      <c r="E2373" s="3">
        <f>IF(INDEX(C:C, ROW())+INDEX(D:D, ROW())=0, 0, INDEX(C:C, ROW())/(INDEX(C:C, ROW())+INDEX(D:D, ROW())))</f>
        <v>0.90909090909090906</v>
      </c>
      <c r="F2373" s="1" t="s">
        <v>297</v>
      </c>
      <c r="G2373" s="1" t="s">
        <v>24</v>
      </c>
      <c r="H2373" s="1">
        <v>7931</v>
      </c>
      <c r="I2373" s="1">
        <v>9445</v>
      </c>
      <c r="J2373" s="7">
        <v>0.84</v>
      </c>
      <c r="K2373" s="1" t="s">
        <v>29</v>
      </c>
      <c r="L2373" s="1" t="s">
        <v>29</v>
      </c>
      <c r="M2373" s="1" t="s">
        <v>29</v>
      </c>
      <c r="N2373" s="1" t="s">
        <v>297</v>
      </c>
    </row>
    <row r="2374" spans="1:14" x14ac:dyDescent="0.25">
      <c r="A2374" s="1">
        <v>2373</v>
      </c>
      <c r="B2374" s="2" t="str">
        <f>HYPERLINK("https://leetcode.com/problems/largest-local-values-in-a-matrix/", "Largest Local Values in a Matrix")</f>
        <v>Largest Local Values in a Matrix</v>
      </c>
      <c r="C2374" s="1">
        <v>1319</v>
      </c>
      <c r="D2374" s="1">
        <v>182</v>
      </c>
      <c r="E2374" s="3">
        <f>IF(INDEX(C:C, ROW())+INDEX(D:D, ROW())=0, 0, INDEX(C:C, ROW())/(INDEX(C:C, ROW())+INDEX(D:D, ROW())))</f>
        <v>0.87874750166555626</v>
      </c>
      <c r="F2374" s="1" t="s">
        <v>266</v>
      </c>
      <c r="G2374" s="1" t="s">
        <v>20</v>
      </c>
      <c r="H2374" s="1">
        <v>197244</v>
      </c>
      <c r="I2374" s="1">
        <v>224857</v>
      </c>
      <c r="J2374" s="7">
        <v>0.877</v>
      </c>
      <c r="K2374" s="1" t="s">
        <v>21</v>
      </c>
      <c r="L2374" s="1" t="s">
        <v>21</v>
      </c>
      <c r="M2374" s="1" t="s">
        <v>29</v>
      </c>
      <c r="N2374" s="1" t="s">
        <v>22</v>
      </c>
    </row>
    <row r="2375" spans="1:14" x14ac:dyDescent="0.25">
      <c r="A2375" s="1">
        <v>2374</v>
      </c>
      <c r="B2375" s="2" t="str">
        <f>HYPERLINK("https://leetcode.com/problems/node-with-highest-edge-score/", "Node With Highest Edge Score")</f>
        <v>Node With Highest Edge Score</v>
      </c>
      <c r="C2375" s="1">
        <v>485</v>
      </c>
      <c r="D2375" s="1">
        <v>43</v>
      </c>
      <c r="E2375" s="3">
        <f>IF(INDEX(C:C, ROW())+INDEX(D:D, ROW())=0, 0, INDEX(C:C, ROW())/(INDEX(C:C, ROW())+INDEX(D:D, ROW())))</f>
        <v>0.91856060606060608</v>
      </c>
      <c r="F2375" s="1" t="s">
        <v>933</v>
      </c>
      <c r="G2375" s="1" t="s">
        <v>24</v>
      </c>
      <c r="H2375" s="1">
        <v>44355</v>
      </c>
      <c r="I2375" s="1">
        <v>90130</v>
      </c>
      <c r="J2375" s="7">
        <v>0.49199999999999999</v>
      </c>
      <c r="K2375" s="1" t="s">
        <v>21</v>
      </c>
      <c r="L2375" s="1" t="s">
        <v>29</v>
      </c>
      <c r="M2375" s="1" t="s">
        <v>29</v>
      </c>
      <c r="N2375" s="1" t="s">
        <v>22</v>
      </c>
    </row>
    <row r="2376" spans="1:14" x14ac:dyDescent="0.25">
      <c r="A2376" s="1">
        <v>2375</v>
      </c>
      <c r="B2376" s="2" t="str">
        <f>HYPERLINK("https://leetcode.com/problems/construct-smallest-number-from-di-string/", "Construct Smallest Number From DI String")</f>
        <v>Construct Smallest Number From DI String</v>
      </c>
      <c r="C2376" s="1">
        <v>1656</v>
      </c>
      <c r="D2376" s="1">
        <v>88</v>
      </c>
      <c r="E2376" s="3">
        <f>IF(INDEX(C:C, ROW())+INDEX(D:D, ROW())=0, 0, INDEX(C:C, ROW())/(INDEX(C:C, ROW())+INDEX(D:D, ROW())))</f>
        <v>0.94954128440366969</v>
      </c>
      <c r="F2376" s="1" t="s">
        <v>552</v>
      </c>
      <c r="G2376" s="1" t="s">
        <v>24</v>
      </c>
      <c r="H2376" s="1">
        <v>166829</v>
      </c>
      <c r="I2376" s="1">
        <v>194793</v>
      </c>
      <c r="J2376" s="7">
        <v>0.85599999999999998</v>
      </c>
      <c r="K2376" s="1" t="s">
        <v>21</v>
      </c>
      <c r="L2376" s="1" t="s">
        <v>21</v>
      </c>
      <c r="M2376" s="1" t="s">
        <v>29</v>
      </c>
      <c r="N2376" s="1" t="s">
        <v>22</v>
      </c>
    </row>
    <row r="2377" spans="1:14" x14ac:dyDescent="0.25">
      <c r="A2377" s="1">
        <v>2376</v>
      </c>
      <c r="B2377" s="2" t="str">
        <f>HYPERLINK("https://leetcode.com/problems/count-special-integers/", "Count Special Integers")</f>
        <v>Count Special Integers</v>
      </c>
      <c r="C2377" s="1">
        <v>626</v>
      </c>
      <c r="D2377" s="1">
        <v>35</v>
      </c>
      <c r="E2377" s="3">
        <f>IF(INDEX(C:C, ROW())+INDEX(D:D, ROW())=0, 0, INDEX(C:C, ROW())/(INDEX(C:C, ROW())+INDEX(D:D, ROW())))</f>
        <v>0.94704992435703483</v>
      </c>
      <c r="F2377" s="1" t="s">
        <v>250</v>
      </c>
      <c r="G2377" s="1" t="s">
        <v>28</v>
      </c>
      <c r="H2377" s="1">
        <v>16672</v>
      </c>
      <c r="I2377" s="1">
        <v>39960</v>
      </c>
      <c r="J2377" s="7">
        <v>0.41699999999999998</v>
      </c>
      <c r="K2377" s="1" t="s">
        <v>21</v>
      </c>
      <c r="L2377" s="1" t="s">
        <v>29</v>
      </c>
      <c r="M2377" s="1" t="s">
        <v>29</v>
      </c>
      <c r="N2377" s="1" t="s">
        <v>22</v>
      </c>
    </row>
    <row r="2378" spans="1:14" x14ac:dyDescent="0.25">
      <c r="A2378" s="1">
        <v>2377</v>
      </c>
      <c r="B2378" s="2" t="str">
        <f>HYPERLINK("https://leetcode.com/problems/sort-the-olympic-table/", "Sort the Olympic Table")</f>
        <v>Sort the Olympic Table</v>
      </c>
      <c r="C2378" s="1">
        <v>40</v>
      </c>
      <c r="D2378" s="1">
        <v>4</v>
      </c>
      <c r="E2378" s="3">
        <f>IF(INDEX(C:C, ROW())+INDEX(D:D, ROW())=0, 0, INDEX(C:C, ROW())/(INDEX(C:C, ROW())+INDEX(D:D, ROW())))</f>
        <v>0.90909090909090906</v>
      </c>
      <c r="F2378" s="1" t="s">
        <v>297</v>
      </c>
      <c r="G2378" s="1" t="s">
        <v>20</v>
      </c>
      <c r="H2378" s="1">
        <v>8841</v>
      </c>
      <c r="I2378" s="1">
        <v>11136</v>
      </c>
      <c r="J2378" s="7">
        <v>0.79400000000000004</v>
      </c>
      <c r="K2378" s="1" t="s">
        <v>29</v>
      </c>
      <c r="L2378" s="1" t="s">
        <v>29</v>
      </c>
      <c r="M2378" s="1" t="s">
        <v>29</v>
      </c>
      <c r="N2378" s="1" t="s">
        <v>297</v>
      </c>
    </row>
    <row r="2379" spans="1:14" x14ac:dyDescent="0.25">
      <c r="A2379" s="1">
        <v>2378</v>
      </c>
      <c r="B2379" s="2" t="str">
        <f>HYPERLINK("https://leetcode.com/problems/choose-edges-to-maximize-score-in-a-tree/", "Choose Edges to Maximize Score in a Tree")</f>
        <v>Choose Edges to Maximize Score in a Tree</v>
      </c>
      <c r="C2379" s="1">
        <v>60</v>
      </c>
      <c r="D2379" s="1">
        <v>13</v>
      </c>
      <c r="E2379" s="3">
        <f>IF(INDEX(C:C, ROW())+INDEX(D:D, ROW())=0, 0, INDEX(C:C, ROW())/(INDEX(C:C, ROW())+INDEX(D:D, ROW())))</f>
        <v>0.82191780821917804</v>
      </c>
      <c r="F2379" s="1" t="s">
        <v>1007</v>
      </c>
      <c r="G2379" s="1" t="s">
        <v>24</v>
      </c>
      <c r="H2379" s="1">
        <v>2090</v>
      </c>
      <c r="I2379" s="1">
        <v>3693</v>
      </c>
      <c r="J2379" s="7">
        <v>0.56599999999999995</v>
      </c>
      <c r="K2379" s="1" t="s">
        <v>29</v>
      </c>
      <c r="L2379" s="1" t="s">
        <v>29</v>
      </c>
      <c r="M2379" s="1" t="s">
        <v>29</v>
      </c>
      <c r="N2379" s="1" t="s">
        <v>22</v>
      </c>
    </row>
    <row r="2380" spans="1:14" x14ac:dyDescent="0.25">
      <c r="A2380" s="1">
        <v>2379</v>
      </c>
      <c r="B2380" s="2" t="str">
        <f>HYPERLINK("https://leetcode.com/problems/minimum-recolors-to-get-k-consecutive-black-blocks/", "Minimum Recolors to Get K Consecutive Black Blocks")</f>
        <v>Minimum Recolors to Get K Consecutive Black Blocks</v>
      </c>
      <c r="C2380" s="1">
        <v>1313</v>
      </c>
      <c r="D2380" s="1">
        <v>38</v>
      </c>
      <c r="E2380" s="3">
        <f>IF(INDEX(C:C, ROW())+INDEX(D:D, ROW())=0, 0, INDEX(C:C, ROW())/(INDEX(C:C, ROW())+INDEX(D:D, ROW())))</f>
        <v>0.97187268689859363</v>
      </c>
      <c r="F2380" s="1" t="s">
        <v>314</v>
      </c>
      <c r="G2380" s="1" t="s">
        <v>20</v>
      </c>
      <c r="H2380" s="1">
        <v>228173</v>
      </c>
      <c r="I2380" s="1">
        <v>332685</v>
      </c>
      <c r="J2380" s="7">
        <v>0.68600000000000005</v>
      </c>
      <c r="K2380" s="1" t="s">
        <v>21</v>
      </c>
      <c r="L2380" s="1" t="s">
        <v>21</v>
      </c>
      <c r="M2380" s="1" t="s">
        <v>29</v>
      </c>
      <c r="N2380" s="1" t="s">
        <v>22</v>
      </c>
    </row>
    <row r="2381" spans="1:14" x14ac:dyDescent="0.25">
      <c r="A2381" s="1">
        <v>2380</v>
      </c>
      <c r="B2381" s="2" t="str">
        <f>HYPERLINK("https://leetcode.com/problems/time-needed-to-rearrange-a-binary-string/", "Time Needed to Rearrange a Binary String")</f>
        <v>Time Needed to Rearrange a Binary String</v>
      </c>
      <c r="C2381" s="1">
        <v>550</v>
      </c>
      <c r="D2381" s="1">
        <v>116</v>
      </c>
      <c r="E2381" s="3">
        <f>IF(INDEX(C:C, ROW())+INDEX(D:D, ROW())=0, 0, INDEX(C:C, ROW())/(INDEX(C:C, ROW())+INDEX(D:D, ROW())))</f>
        <v>0.82582582582582587</v>
      </c>
      <c r="F2381" s="1" t="s">
        <v>879</v>
      </c>
      <c r="G2381" s="1" t="s">
        <v>24</v>
      </c>
      <c r="H2381" s="1">
        <v>42639</v>
      </c>
      <c r="I2381" s="1">
        <v>81066</v>
      </c>
      <c r="J2381" s="7">
        <v>0.52600000000000002</v>
      </c>
      <c r="K2381" s="1" t="s">
        <v>21</v>
      </c>
      <c r="L2381" s="1" t="s">
        <v>29</v>
      </c>
      <c r="M2381" s="1" t="s">
        <v>29</v>
      </c>
      <c r="N2381" s="1" t="s">
        <v>22</v>
      </c>
    </row>
    <row r="2382" spans="1:14" x14ac:dyDescent="0.25">
      <c r="A2382" s="1">
        <v>2381</v>
      </c>
      <c r="B2382" s="2" t="str">
        <f>HYPERLINK("https://leetcode.com/problems/shifting-letters-ii/", "Shifting Letters II")</f>
        <v>Shifting Letters II</v>
      </c>
      <c r="C2382" s="1">
        <v>1760</v>
      </c>
      <c r="D2382" s="1">
        <v>71</v>
      </c>
      <c r="E2382" s="3">
        <f>IF(INDEX(C:C, ROW())+INDEX(D:D, ROW())=0, 0, INDEX(C:C, ROW())/(INDEX(C:C, ROW())+INDEX(D:D, ROW())))</f>
        <v>0.96122337520480616</v>
      </c>
      <c r="F2382" s="1" t="s">
        <v>372</v>
      </c>
      <c r="G2382" s="1" t="s">
        <v>24</v>
      </c>
      <c r="H2382" s="1">
        <v>159313</v>
      </c>
      <c r="I2382" s="1">
        <v>297634</v>
      </c>
      <c r="J2382" s="7">
        <v>0.53500000000000003</v>
      </c>
      <c r="K2382" s="1" t="s">
        <v>21</v>
      </c>
      <c r="L2382" s="1" t="s">
        <v>21</v>
      </c>
      <c r="M2382" s="1" t="s">
        <v>29</v>
      </c>
      <c r="N2382" s="1" t="s">
        <v>22</v>
      </c>
    </row>
    <row r="2383" spans="1:14" x14ac:dyDescent="0.25">
      <c r="A2383" s="1">
        <v>2382</v>
      </c>
      <c r="B2383" s="2" t="str">
        <f>HYPERLINK("https://leetcode.com/problems/maximum-segment-sum-after-removals/", "Maximum Segment Sum After Removals")</f>
        <v>Maximum Segment Sum After Removals</v>
      </c>
      <c r="C2383" s="1">
        <v>497</v>
      </c>
      <c r="D2383" s="1">
        <v>5</v>
      </c>
      <c r="E2383" s="3">
        <f>IF(INDEX(C:C, ROW())+INDEX(D:D, ROW())=0, 0, INDEX(C:C, ROW())/(INDEX(C:C, ROW())+INDEX(D:D, ROW())))</f>
        <v>0.99003984063745021</v>
      </c>
      <c r="F2383" s="1" t="s">
        <v>924</v>
      </c>
      <c r="G2383" s="1" t="s">
        <v>28</v>
      </c>
      <c r="H2383" s="1">
        <v>12217</v>
      </c>
      <c r="I2383" s="1">
        <v>24793</v>
      </c>
      <c r="J2383" s="7">
        <v>0.49299999999999999</v>
      </c>
      <c r="K2383" s="1" t="s">
        <v>21</v>
      </c>
      <c r="L2383" s="1" t="s">
        <v>29</v>
      </c>
      <c r="M2383" s="1" t="s">
        <v>29</v>
      </c>
      <c r="N2383" s="1" t="s">
        <v>22</v>
      </c>
    </row>
    <row r="2384" spans="1:14" x14ac:dyDescent="0.25">
      <c r="A2384" s="1">
        <v>2383</v>
      </c>
      <c r="B2384" s="2" t="str">
        <f>HYPERLINK("https://leetcode.com/problems/minimum-hours-of-training-to-win-a-competition/", "Minimum Hours of Training to Win a Competition")</f>
        <v>Minimum Hours of Training to Win a Competition</v>
      </c>
      <c r="C2384" s="1">
        <v>386</v>
      </c>
      <c r="D2384" s="1">
        <v>298</v>
      </c>
      <c r="E2384" s="3">
        <f>IF(INDEX(C:C, ROW())+INDEX(D:D, ROW())=0, 0, INDEX(C:C, ROW())/(INDEX(C:C, ROW())+INDEX(D:D, ROW())))</f>
        <v>0.56432748538011701</v>
      </c>
      <c r="F2384" s="1" t="s">
        <v>96</v>
      </c>
      <c r="G2384" s="1" t="s">
        <v>20</v>
      </c>
      <c r="H2384" s="1">
        <v>39362</v>
      </c>
      <c r="I2384" s="1">
        <v>92823</v>
      </c>
      <c r="J2384" s="7">
        <v>0.42399999999999999</v>
      </c>
      <c r="K2384" s="1" t="s">
        <v>21</v>
      </c>
      <c r="L2384" s="1" t="s">
        <v>29</v>
      </c>
      <c r="M2384" s="1" t="s">
        <v>29</v>
      </c>
      <c r="N2384" s="1" t="s">
        <v>22</v>
      </c>
    </row>
    <row r="2385" spans="1:14" x14ac:dyDescent="0.25">
      <c r="A2385" s="1">
        <v>2384</v>
      </c>
      <c r="B2385" s="2" t="str">
        <f>HYPERLINK("https://leetcode.com/problems/largest-palindromic-number/", "Largest Palindromic Number")</f>
        <v>Largest Palindromic Number</v>
      </c>
      <c r="C2385" s="1">
        <v>669</v>
      </c>
      <c r="D2385" s="1">
        <v>237</v>
      </c>
      <c r="E2385" s="3">
        <f>IF(INDEX(C:C, ROW())+INDEX(D:D, ROW())=0, 0, INDEX(C:C, ROW())/(INDEX(C:C, ROW())+INDEX(D:D, ROW())))</f>
        <v>0.73841059602649006</v>
      </c>
      <c r="F2385" s="1" t="s">
        <v>539</v>
      </c>
      <c r="G2385" s="1" t="s">
        <v>24</v>
      </c>
      <c r="H2385" s="1">
        <v>53001</v>
      </c>
      <c r="I2385" s="1">
        <v>143165</v>
      </c>
      <c r="J2385" s="7">
        <v>0.37</v>
      </c>
      <c r="K2385" s="1" t="s">
        <v>21</v>
      </c>
      <c r="L2385" s="1" t="s">
        <v>29</v>
      </c>
      <c r="M2385" s="1" t="s">
        <v>29</v>
      </c>
      <c r="N2385" s="1" t="s">
        <v>22</v>
      </c>
    </row>
    <row r="2386" spans="1:14" x14ac:dyDescent="0.25">
      <c r="A2386" s="1">
        <v>2385</v>
      </c>
      <c r="B2386" s="2" t="str">
        <f>HYPERLINK("https://leetcode.com/problems/amount-of-time-for-binary-tree-to-be-infected/", "Amount of Time for Binary Tree to Be Infected")</f>
        <v>Amount of Time for Binary Tree to Be Infected</v>
      </c>
      <c r="C2386" s="1">
        <v>3214</v>
      </c>
      <c r="D2386" s="1">
        <v>70</v>
      </c>
      <c r="E2386" s="3">
        <f>IF(INDEX(C:C, ROW())+INDEX(D:D, ROW())=0, 0, INDEX(C:C, ROW())/(INDEX(C:C, ROW())+INDEX(D:D, ROW())))</f>
        <v>0.97868453105968334</v>
      </c>
      <c r="F2386" s="1" t="s">
        <v>107</v>
      </c>
      <c r="G2386" s="1" t="s">
        <v>24</v>
      </c>
      <c r="H2386" s="1">
        <v>200108</v>
      </c>
      <c r="I2386" s="1">
        <v>307318</v>
      </c>
      <c r="J2386" s="7">
        <v>0.65100000000000002</v>
      </c>
      <c r="K2386" s="1" t="s">
        <v>21</v>
      </c>
      <c r="L2386" s="1" t="s">
        <v>21</v>
      </c>
      <c r="M2386" s="1" t="s">
        <v>29</v>
      </c>
      <c r="N2386" s="1" t="s">
        <v>22</v>
      </c>
    </row>
    <row r="2387" spans="1:14" x14ac:dyDescent="0.25">
      <c r="A2387" s="1">
        <v>2386</v>
      </c>
      <c r="B2387" s="2" t="str">
        <f>HYPERLINK("https://leetcode.com/problems/find-the-k-sum-of-an-array/", "Find the K-Sum of an Array")</f>
        <v>Find the K-Sum of an Array</v>
      </c>
      <c r="C2387" s="1">
        <v>608</v>
      </c>
      <c r="D2387" s="1">
        <v>25</v>
      </c>
      <c r="E2387" s="3">
        <f>IF(INDEX(C:C, ROW())+INDEX(D:D, ROW())=0, 0, INDEX(C:C, ROW())/(INDEX(C:C, ROW())+INDEX(D:D, ROW())))</f>
        <v>0.96050552922590837</v>
      </c>
      <c r="F2387" s="1" t="s">
        <v>350</v>
      </c>
      <c r="G2387" s="1" t="s">
        <v>28</v>
      </c>
      <c r="H2387" s="1">
        <v>13483</v>
      </c>
      <c r="I2387" s="1">
        <v>32827</v>
      </c>
      <c r="J2387" s="7">
        <v>0.41099999999999998</v>
      </c>
      <c r="K2387" s="1" t="s">
        <v>21</v>
      </c>
      <c r="L2387" s="1" t="s">
        <v>29</v>
      </c>
      <c r="M2387" s="1" t="s">
        <v>29</v>
      </c>
      <c r="N2387" s="1" t="s">
        <v>22</v>
      </c>
    </row>
    <row r="2388" spans="1:14" x14ac:dyDescent="0.25">
      <c r="A2388" s="1">
        <v>2387</v>
      </c>
      <c r="B2388" s="2" t="str">
        <f>HYPERLINK("https://leetcode.com/problems/median-of-a-row-wise-sorted-matrix/", "Median of a Row Wise Sorted Matrix")</f>
        <v>Median of a Row Wise Sorted Matrix</v>
      </c>
      <c r="C2388" s="1">
        <v>88</v>
      </c>
      <c r="D2388" s="1">
        <v>9</v>
      </c>
      <c r="E2388" s="3">
        <f>IF(INDEX(C:C, ROW())+INDEX(D:D, ROW())=0, 0, INDEX(C:C, ROW())/(INDEX(C:C, ROW())+INDEX(D:D, ROW())))</f>
        <v>0.90721649484536082</v>
      </c>
      <c r="F2388" s="1" t="s">
        <v>73</v>
      </c>
      <c r="G2388" s="1" t="s">
        <v>24</v>
      </c>
      <c r="H2388" s="1">
        <v>5838</v>
      </c>
      <c r="I2388" s="1">
        <v>8236</v>
      </c>
      <c r="J2388" s="7">
        <v>0.70899999999999996</v>
      </c>
      <c r="K2388" s="1" t="s">
        <v>29</v>
      </c>
      <c r="L2388" s="1" t="s">
        <v>29</v>
      </c>
      <c r="M2388" s="1" t="s">
        <v>29</v>
      </c>
      <c r="N2388" s="1" t="s">
        <v>22</v>
      </c>
    </row>
    <row r="2389" spans="1:14" x14ac:dyDescent="0.25">
      <c r="A2389" s="1">
        <v>2388</v>
      </c>
      <c r="B2389" s="2" t="str">
        <f>HYPERLINK("https://leetcode.com/problems/change-null-values-in-a-table-to-the-previous-value/", "Change Null Values in a Table to the Previous Value")</f>
        <v>Change Null Values in a Table to the Previous Value</v>
      </c>
      <c r="C2389" s="1">
        <v>94</v>
      </c>
      <c r="D2389" s="1">
        <v>31</v>
      </c>
      <c r="E2389" s="3">
        <f>IF(INDEX(C:C, ROW())+INDEX(D:D, ROW())=0, 0, INDEX(C:C, ROW())/(INDEX(C:C, ROW())+INDEX(D:D, ROW())))</f>
        <v>0.752</v>
      </c>
      <c r="F2389" s="1" t="s">
        <v>297</v>
      </c>
      <c r="G2389" s="1" t="s">
        <v>24</v>
      </c>
      <c r="H2389" s="1">
        <v>6625</v>
      </c>
      <c r="I2389" s="1">
        <v>12942</v>
      </c>
      <c r="J2389" s="7">
        <v>0.51200000000000001</v>
      </c>
      <c r="K2389" s="1" t="s">
        <v>29</v>
      </c>
      <c r="L2389" s="1" t="s">
        <v>29</v>
      </c>
      <c r="M2389" s="1" t="s">
        <v>29</v>
      </c>
      <c r="N2389" s="1" t="s">
        <v>297</v>
      </c>
    </row>
    <row r="2390" spans="1:14" x14ac:dyDescent="0.25">
      <c r="A2390" s="1">
        <v>2389</v>
      </c>
      <c r="B2390" s="2" t="str">
        <f>HYPERLINK("https://leetcode.com/problems/longest-subsequence-with-limited-sum/", "Longest Subsequence With Limited Sum")</f>
        <v>Longest Subsequence With Limited Sum</v>
      </c>
      <c r="C2390" s="1">
        <v>2126</v>
      </c>
      <c r="D2390" s="1">
        <v>198</v>
      </c>
      <c r="E2390" s="3">
        <f>IF(INDEX(C:C, ROW())+INDEX(D:D, ROW())=0, 0, INDEX(C:C, ROW())/(INDEX(C:C, ROW())+INDEX(D:D, ROW())))</f>
        <v>0.91480206540447506</v>
      </c>
      <c r="F2390" s="1" t="s">
        <v>422</v>
      </c>
      <c r="G2390" s="1" t="s">
        <v>20</v>
      </c>
      <c r="H2390" s="1">
        <v>161170</v>
      </c>
      <c r="I2390" s="1">
        <v>219544</v>
      </c>
      <c r="J2390" s="7">
        <v>0.73399999999999999</v>
      </c>
      <c r="K2390" s="1" t="s">
        <v>21</v>
      </c>
      <c r="L2390" s="1" t="s">
        <v>21</v>
      </c>
      <c r="M2390" s="1" t="s">
        <v>29</v>
      </c>
      <c r="N2390" s="1" t="s">
        <v>22</v>
      </c>
    </row>
    <row r="2391" spans="1:14" x14ac:dyDescent="0.25">
      <c r="A2391" s="1">
        <v>2390</v>
      </c>
      <c r="B2391" s="2" t="str">
        <f>HYPERLINK("https://leetcode.com/problems/removing-stars-from-a-string/", "Removing Stars From a String")</f>
        <v>Removing Stars From a String</v>
      </c>
      <c r="C2391" s="1">
        <v>3205</v>
      </c>
      <c r="D2391" s="1">
        <v>233</v>
      </c>
      <c r="E2391" s="3">
        <f>IF(INDEX(C:C, ROW())+INDEX(D:D, ROW())=0, 0, INDEX(C:C, ROW())/(INDEX(C:C, ROW())+INDEX(D:D, ROW())))</f>
        <v>0.93222803955788247</v>
      </c>
      <c r="F2391" s="1" t="s">
        <v>365</v>
      </c>
      <c r="G2391" s="1" t="s">
        <v>24</v>
      </c>
      <c r="H2391" s="1">
        <v>602493</v>
      </c>
      <c r="I2391" s="1">
        <v>763096</v>
      </c>
      <c r="J2391" s="7">
        <v>0.79</v>
      </c>
      <c r="K2391" s="1" t="s">
        <v>21</v>
      </c>
      <c r="L2391" s="1" t="s">
        <v>21</v>
      </c>
      <c r="M2391" s="1" t="s">
        <v>29</v>
      </c>
      <c r="N2391" s="1" t="s">
        <v>22</v>
      </c>
    </row>
    <row r="2392" spans="1:14" x14ac:dyDescent="0.25">
      <c r="A2392" s="1">
        <v>2391</v>
      </c>
      <c r="B2392" s="2" t="str">
        <f>HYPERLINK("https://leetcode.com/problems/minimum-amount-of-time-to-collect-garbage/", "Minimum Amount of Time to Collect Garbage")</f>
        <v>Minimum Amount of Time to Collect Garbage</v>
      </c>
      <c r="C2392" s="1">
        <v>1630</v>
      </c>
      <c r="D2392" s="1">
        <v>245</v>
      </c>
      <c r="E2392" s="3">
        <f>IF(INDEX(C:C, ROW())+INDEX(D:D, ROW())=0, 0, INDEX(C:C, ROW())/(INDEX(C:C, ROW())+INDEX(D:D, ROW())))</f>
        <v>0.86933333333333329</v>
      </c>
      <c r="F2392" s="1" t="s">
        <v>372</v>
      </c>
      <c r="G2392" s="1" t="s">
        <v>24</v>
      </c>
      <c r="H2392" s="1">
        <v>153447</v>
      </c>
      <c r="I2392" s="1">
        <v>180286</v>
      </c>
      <c r="J2392" s="7">
        <v>0.85099999999999998</v>
      </c>
      <c r="K2392" s="1" t="s">
        <v>21</v>
      </c>
      <c r="L2392" s="1" t="s">
        <v>21</v>
      </c>
      <c r="M2392" s="1" t="s">
        <v>29</v>
      </c>
      <c r="N2392" s="1" t="s">
        <v>22</v>
      </c>
    </row>
    <row r="2393" spans="1:14" x14ac:dyDescent="0.25">
      <c r="A2393" s="1">
        <v>2392</v>
      </c>
      <c r="B2393" s="2" t="str">
        <f>HYPERLINK("https://leetcode.com/problems/build-a-matrix-with-conditions/", "Build a Matrix With Conditions")</f>
        <v>Build a Matrix With Conditions</v>
      </c>
      <c r="C2393" s="1">
        <v>1503</v>
      </c>
      <c r="D2393" s="1">
        <v>56</v>
      </c>
      <c r="E2393" s="3">
        <f>IF(INDEX(C:C, ROW())+INDEX(D:D, ROW())=0, 0, INDEX(C:C, ROW())/(INDEX(C:C, ROW())+INDEX(D:D, ROW())))</f>
        <v>0.96407953816549075</v>
      </c>
      <c r="F2393" s="1" t="s">
        <v>588</v>
      </c>
      <c r="G2393" s="1" t="s">
        <v>28</v>
      </c>
      <c r="H2393" s="1">
        <v>104862</v>
      </c>
      <c r="I2393" s="1">
        <v>132195</v>
      </c>
      <c r="J2393" s="7">
        <v>0.79300000000000004</v>
      </c>
      <c r="K2393" s="1" t="s">
        <v>21</v>
      </c>
      <c r="L2393" s="1" t="s">
        <v>21</v>
      </c>
      <c r="M2393" s="1" t="s">
        <v>29</v>
      </c>
      <c r="N2393" s="1" t="s">
        <v>22</v>
      </c>
    </row>
    <row r="2394" spans="1:14" x14ac:dyDescent="0.25">
      <c r="A2394" s="1">
        <v>2393</v>
      </c>
      <c r="B2394" s="2" t="str">
        <f>HYPERLINK("https://leetcode.com/problems/count-strictly-increasing-subarrays/", "Count Strictly Increasing Subarrays")</f>
        <v>Count Strictly Increasing Subarrays</v>
      </c>
      <c r="C2394" s="1">
        <v>143</v>
      </c>
      <c r="D2394" s="1">
        <v>2</v>
      </c>
      <c r="E2394" s="3">
        <f>IF(INDEX(C:C, ROW())+INDEX(D:D, ROW())=0, 0, INDEX(C:C, ROW())/(INDEX(C:C, ROW())+INDEX(D:D, ROW())))</f>
        <v>0.98620689655172411</v>
      </c>
      <c r="F2394" s="1" t="s">
        <v>457</v>
      </c>
      <c r="G2394" s="1" t="s">
        <v>24</v>
      </c>
      <c r="H2394" s="1">
        <v>8133</v>
      </c>
      <c r="I2394" s="1">
        <v>11409</v>
      </c>
      <c r="J2394" s="7">
        <v>0.71299999999999997</v>
      </c>
      <c r="K2394" s="1" t="s">
        <v>29</v>
      </c>
      <c r="L2394" s="1" t="s">
        <v>21</v>
      </c>
      <c r="M2394" s="1" t="s">
        <v>29</v>
      </c>
      <c r="N2394" s="1" t="s">
        <v>22</v>
      </c>
    </row>
    <row r="2395" spans="1:14" x14ac:dyDescent="0.25">
      <c r="A2395" s="1">
        <v>2394</v>
      </c>
      <c r="B2395" s="2" t="str">
        <f>HYPERLINK("https://leetcode.com/problems/employees-with-deductions/", "Employees With Deductions")</f>
        <v>Employees With Deductions</v>
      </c>
      <c r="C2395" s="1">
        <v>31</v>
      </c>
      <c r="D2395" s="1">
        <v>39</v>
      </c>
      <c r="E2395" s="3">
        <f>IF(INDEX(C:C, ROW())+INDEX(D:D, ROW())=0, 0, INDEX(C:C, ROW())/(INDEX(C:C, ROW())+INDEX(D:D, ROW())))</f>
        <v>0.44285714285714284</v>
      </c>
      <c r="F2395" s="1" t="s">
        <v>297</v>
      </c>
      <c r="G2395" s="1" t="s">
        <v>24</v>
      </c>
      <c r="H2395" s="1">
        <v>7211</v>
      </c>
      <c r="I2395" s="1">
        <v>17037</v>
      </c>
      <c r="J2395" s="7">
        <v>0.42299999999999999</v>
      </c>
      <c r="K2395" s="1" t="s">
        <v>29</v>
      </c>
      <c r="L2395" s="1" t="s">
        <v>29</v>
      </c>
      <c r="M2395" s="1" t="s">
        <v>29</v>
      </c>
      <c r="N2395" s="1" t="s">
        <v>297</v>
      </c>
    </row>
    <row r="2396" spans="1:14" x14ac:dyDescent="0.25">
      <c r="A2396" s="1">
        <v>2395</v>
      </c>
      <c r="B2396" s="2" t="str">
        <f>HYPERLINK("https://leetcode.com/problems/find-subarrays-with-equal-sum/", "Find Subarrays With Equal Sum")</f>
        <v>Find Subarrays With Equal Sum</v>
      </c>
      <c r="C2396" s="1">
        <v>611</v>
      </c>
      <c r="D2396" s="1">
        <v>33</v>
      </c>
      <c r="E2396" s="3">
        <f>IF(INDEX(C:C, ROW())+INDEX(D:D, ROW())=0, 0, INDEX(C:C, ROW())/(INDEX(C:C, ROW())+INDEX(D:D, ROW())))</f>
        <v>0.94875776397515532</v>
      </c>
      <c r="F2396" s="1" t="s">
        <v>19</v>
      </c>
      <c r="G2396" s="1" t="s">
        <v>20</v>
      </c>
      <c r="H2396" s="1">
        <v>71646</v>
      </c>
      <c r="I2396" s="1">
        <v>107134</v>
      </c>
      <c r="J2396" s="7">
        <v>0.66900000000000004</v>
      </c>
      <c r="K2396" s="1" t="s">
        <v>21</v>
      </c>
      <c r="L2396" s="1" t="s">
        <v>29</v>
      </c>
      <c r="M2396" s="1" t="s">
        <v>29</v>
      </c>
      <c r="N2396" s="1" t="s">
        <v>22</v>
      </c>
    </row>
    <row r="2397" spans="1:14" x14ac:dyDescent="0.25">
      <c r="A2397" s="1">
        <v>2396</v>
      </c>
      <c r="B2397" s="2" t="str">
        <f>HYPERLINK("https://leetcode.com/problems/strictly-palindromic-number/", "Strictly Palindromic Number")</f>
        <v>Strictly Palindromic Number</v>
      </c>
      <c r="C2397" s="1">
        <v>819</v>
      </c>
      <c r="D2397" s="1">
        <v>1759</v>
      </c>
      <c r="E2397" s="3">
        <f>IF(INDEX(C:C, ROW())+INDEX(D:D, ROW())=0, 0, INDEX(C:C, ROW())/(INDEX(C:C, ROW())+INDEX(D:D, ROW())))</f>
        <v>0.31768813033359194</v>
      </c>
      <c r="F2397" s="1" t="s">
        <v>766</v>
      </c>
      <c r="G2397" s="1" t="s">
        <v>24</v>
      </c>
      <c r="H2397" s="1">
        <v>175391</v>
      </c>
      <c r="I2397" s="1">
        <v>194393</v>
      </c>
      <c r="J2397" s="7">
        <v>0.90200000000000002</v>
      </c>
      <c r="K2397" s="1" t="s">
        <v>21</v>
      </c>
      <c r="L2397" s="1" t="s">
        <v>29</v>
      </c>
      <c r="M2397" s="1" t="s">
        <v>29</v>
      </c>
      <c r="N2397" s="1" t="s">
        <v>22</v>
      </c>
    </row>
    <row r="2398" spans="1:14" x14ac:dyDescent="0.25">
      <c r="A2398" s="1">
        <v>2397</v>
      </c>
      <c r="B2398" s="2" t="str">
        <f>HYPERLINK("https://leetcode.com/problems/maximum-rows-covered-by-columns/", "Maximum Rows Covered by Columns")</f>
        <v>Maximum Rows Covered by Columns</v>
      </c>
      <c r="C2398" s="1">
        <v>294</v>
      </c>
      <c r="D2398" s="1">
        <v>440</v>
      </c>
      <c r="E2398" s="3">
        <f>IF(INDEX(C:C, ROW())+INDEX(D:D, ROW())=0, 0, INDEX(C:C, ROW())/(INDEX(C:C, ROW())+INDEX(D:D, ROW())))</f>
        <v>0.40054495912806537</v>
      </c>
      <c r="F2398" s="1" t="s">
        <v>1046</v>
      </c>
      <c r="G2398" s="1" t="s">
        <v>24</v>
      </c>
      <c r="H2398" s="1">
        <v>19714</v>
      </c>
      <c r="I2398" s="1">
        <v>34169</v>
      </c>
      <c r="J2398" s="7">
        <v>0.57699999999999996</v>
      </c>
      <c r="K2398" s="1" t="s">
        <v>21</v>
      </c>
      <c r="L2398" s="1" t="s">
        <v>29</v>
      </c>
      <c r="M2398" s="1" t="s">
        <v>29</v>
      </c>
      <c r="N2398" s="1" t="s">
        <v>22</v>
      </c>
    </row>
    <row r="2399" spans="1:14" x14ac:dyDescent="0.25">
      <c r="A2399" s="1">
        <v>2398</v>
      </c>
      <c r="B2399" s="2" t="str">
        <f>HYPERLINK("https://leetcode.com/problems/maximum-number-of-robots-within-budget/", "Maximum Number of Robots Within Budget")</f>
        <v>Maximum Number of Robots Within Budget</v>
      </c>
      <c r="C2399" s="1">
        <v>904</v>
      </c>
      <c r="D2399" s="1">
        <v>21</v>
      </c>
      <c r="E2399" s="3">
        <f>IF(INDEX(C:C, ROW())+INDEX(D:D, ROW())=0, 0, INDEX(C:C, ROW())/(INDEX(C:C, ROW())+INDEX(D:D, ROW())))</f>
        <v>0.97729729729729731</v>
      </c>
      <c r="F2399" s="1" t="s">
        <v>254</v>
      </c>
      <c r="G2399" s="1" t="s">
        <v>28</v>
      </c>
      <c r="H2399" s="1">
        <v>33637</v>
      </c>
      <c r="I2399" s="1">
        <v>88495</v>
      </c>
      <c r="J2399" s="7">
        <v>0.38</v>
      </c>
      <c r="K2399" s="1" t="s">
        <v>21</v>
      </c>
      <c r="L2399" s="1" t="s">
        <v>29</v>
      </c>
      <c r="M2399" s="1" t="s">
        <v>29</v>
      </c>
      <c r="N2399" s="1" t="s">
        <v>22</v>
      </c>
    </row>
    <row r="2400" spans="1:14" x14ac:dyDescent="0.25">
      <c r="A2400" s="1">
        <v>2399</v>
      </c>
      <c r="B2400" s="2" t="str">
        <f>HYPERLINK("https://leetcode.com/problems/check-distances-between-same-letters/", "Check Distances Between Same Letters")</f>
        <v>Check Distances Between Same Letters</v>
      </c>
      <c r="C2400" s="1">
        <v>522</v>
      </c>
      <c r="D2400" s="1">
        <v>71</v>
      </c>
      <c r="E2400" s="3">
        <f>IF(INDEX(C:C, ROW())+INDEX(D:D, ROW())=0, 0, INDEX(C:C, ROW())/(INDEX(C:C, ROW())+INDEX(D:D, ROW())))</f>
        <v>0.8802698145025295</v>
      </c>
      <c r="F2400" s="1" t="s">
        <v>258</v>
      </c>
      <c r="G2400" s="1" t="s">
        <v>20</v>
      </c>
      <c r="H2400" s="1">
        <v>62422</v>
      </c>
      <c r="I2400" s="1">
        <v>87411</v>
      </c>
      <c r="J2400" s="7">
        <v>0.71399999999999997</v>
      </c>
      <c r="K2400" s="1" t="s">
        <v>21</v>
      </c>
      <c r="L2400" s="1" t="s">
        <v>29</v>
      </c>
      <c r="M2400" s="1" t="s">
        <v>29</v>
      </c>
      <c r="N2400" s="1" t="s">
        <v>22</v>
      </c>
    </row>
    <row r="2401" spans="1:14" x14ac:dyDescent="0.25">
      <c r="A2401" s="1">
        <v>2400</v>
      </c>
      <c r="B2401" s="2" t="str">
        <f>HYPERLINK("https://leetcode.com/problems/number-of-ways-to-reach-a-position-after-exactly-k-steps/", "Number of Ways to Reach a Position After Exactly k Steps")</f>
        <v>Number of Ways to Reach a Position After Exactly k Steps</v>
      </c>
      <c r="C2401" s="1">
        <v>839</v>
      </c>
      <c r="D2401" s="1">
        <v>68</v>
      </c>
      <c r="E2401" s="3">
        <f>IF(INDEX(C:C, ROW())+INDEX(D:D, ROW())=0, 0, INDEX(C:C, ROW())/(INDEX(C:C, ROW())+INDEX(D:D, ROW())))</f>
        <v>0.92502756339581038</v>
      </c>
      <c r="F2401" s="1" t="s">
        <v>70</v>
      </c>
      <c r="G2401" s="1" t="s">
        <v>24</v>
      </c>
      <c r="H2401" s="1">
        <v>38925</v>
      </c>
      <c r="I2401" s="1">
        <v>105789</v>
      </c>
      <c r="J2401" s="7">
        <v>0.36799999999999999</v>
      </c>
      <c r="K2401" s="1" t="s">
        <v>21</v>
      </c>
      <c r="L2401" s="1" t="s">
        <v>29</v>
      </c>
      <c r="M2401" s="1" t="s">
        <v>29</v>
      </c>
      <c r="N2401" s="1" t="s">
        <v>22</v>
      </c>
    </row>
    <row r="2402" spans="1:14" x14ac:dyDescent="0.25">
      <c r="A2402" s="1">
        <v>2401</v>
      </c>
      <c r="B2402" s="2" t="str">
        <f>HYPERLINK("https://leetcode.com/problems/longest-nice-subarray/", "Longest Nice Subarray")</f>
        <v>Longest Nice Subarray</v>
      </c>
      <c r="C2402" s="1">
        <v>2079</v>
      </c>
      <c r="D2402" s="1">
        <v>62</v>
      </c>
      <c r="E2402" s="3">
        <f>IF(INDEX(C:C, ROW())+INDEX(D:D, ROW())=0, 0, INDEX(C:C, ROW())/(INDEX(C:C, ROW())+INDEX(D:D, ROW())))</f>
        <v>0.9710415693601121</v>
      </c>
      <c r="F2402" s="1" t="s">
        <v>491</v>
      </c>
      <c r="G2402" s="1" t="s">
        <v>24</v>
      </c>
      <c r="H2402" s="1">
        <v>174856</v>
      </c>
      <c r="I2402" s="1">
        <v>269848</v>
      </c>
      <c r="J2402" s="7">
        <v>0.64800000000000002</v>
      </c>
      <c r="K2402" s="1" t="s">
        <v>21</v>
      </c>
      <c r="L2402" s="1" t="s">
        <v>21</v>
      </c>
      <c r="M2402" s="1" t="s">
        <v>29</v>
      </c>
      <c r="N2402" s="1" t="s">
        <v>22</v>
      </c>
    </row>
    <row r="2403" spans="1:14" x14ac:dyDescent="0.25">
      <c r="A2403" s="1">
        <v>2402</v>
      </c>
      <c r="B2403" s="2" t="str">
        <f>HYPERLINK("https://leetcode.com/problems/meeting-rooms-iii/", "Meeting Rooms III")</f>
        <v>Meeting Rooms III</v>
      </c>
      <c r="C2403" s="1">
        <v>2474</v>
      </c>
      <c r="D2403" s="1">
        <v>139</v>
      </c>
      <c r="E2403" s="3">
        <f>IF(INDEX(C:C, ROW())+INDEX(D:D, ROW())=0, 0, INDEX(C:C, ROW())/(INDEX(C:C, ROW())+INDEX(D:D, ROW())))</f>
        <v>0.94680443934175273</v>
      </c>
      <c r="F2403" s="1" t="s">
        <v>432</v>
      </c>
      <c r="G2403" s="1" t="s">
        <v>28</v>
      </c>
      <c r="H2403" s="1">
        <v>291117</v>
      </c>
      <c r="I2403" s="1">
        <v>563636</v>
      </c>
      <c r="J2403" s="7">
        <v>0.51600000000000001</v>
      </c>
      <c r="K2403" s="1" t="s">
        <v>21</v>
      </c>
      <c r="L2403" s="1" t="s">
        <v>21</v>
      </c>
      <c r="M2403" s="1" t="s">
        <v>29</v>
      </c>
      <c r="N2403" s="1" t="s">
        <v>22</v>
      </c>
    </row>
    <row r="2404" spans="1:14" x14ac:dyDescent="0.25">
      <c r="A2404" s="1">
        <v>2403</v>
      </c>
      <c r="B2404" s="2" t="str">
        <f>HYPERLINK("https://leetcode.com/problems/minimum-time-to-kill-all-monsters/", "Minimum Time to Kill All Monsters")</f>
        <v>Minimum Time to Kill All Monsters</v>
      </c>
      <c r="C2404" s="1">
        <v>51</v>
      </c>
      <c r="D2404" s="1">
        <v>5</v>
      </c>
      <c r="E2404" s="3">
        <f>IF(INDEX(C:C, ROW())+INDEX(D:D, ROW())=0, 0, INDEX(C:C, ROW())/(INDEX(C:C, ROW())+INDEX(D:D, ROW())))</f>
        <v>0.9107142857142857</v>
      </c>
      <c r="F2404" s="1" t="s">
        <v>462</v>
      </c>
      <c r="G2404" s="1" t="s">
        <v>28</v>
      </c>
      <c r="H2404" s="1">
        <v>1850</v>
      </c>
      <c r="I2404" s="1">
        <v>3234</v>
      </c>
      <c r="J2404" s="7">
        <v>0.57199999999999995</v>
      </c>
      <c r="K2404" s="1" t="s">
        <v>29</v>
      </c>
      <c r="L2404" s="1" t="s">
        <v>29</v>
      </c>
      <c r="M2404" s="1" t="s">
        <v>29</v>
      </c>
      <c r="N2404" s="1" t="s">
        <v>22</v>
      </c>
    </row>
    <row r="2405" spans="1:14" x14ac:dyDescent="0.25">
      <c r="A2405" s="1">
        <v>2404</v>
      </c>
      <c r="B2405" s="2" t="str">
        <f>HYPERLINK("https://leetcode.com/problems/most-frequent-even-element/", "Most Frequent Even Element")</f>
        <v>Most Frequent Even Element</v>
      </c>
      <c r="C2405" s="1">
        <v>1115</v>
      </c>
      <c r="D2405" s="1">
        <v>41</v>
      </c>
      <c r="E2405" s="3">
        <f>IF(INDEX(C:C, ROW())+INDEX(D:D, ROW())=0, 0, INDEX(C:C, ROW())/(INDEX(C:C, ROW())+INDEX(D:D, ROW())))</f>
        <v>0.9645328719723183</v>
      </c>
      <c r="F2405" s="1" t="s">
        <v>294</v>
      </c>
      <c r="G2405" s="1" t="s">
        <v>20</v>
      </c>
      <c r="H2405" s="1">
        <v>131961</v>
      </c>
      <c r="I2405" s="1">
        <v>247962</v>
      </c>
      <c r="J2405" s="7">
        <v>0.53200000000000003</v>
      </c>
      <c r="K2405" s="1" t="s">
        <v>21</v>
      </c>
      <c r="L2405" s="1" t="s">
        <v>29</v>
      </c>
      <c r="M2405" s="1" t="s">
        <v>29</v>
      </c>
      <c r="N2405" s="1" t="s">
        <v>22</v>
      </c>
    </row>
    <row r="2406" spans="1:14" x14ac:dyDescent="0.25">
      <c r="A2406" s="1">
        <v>2405</v>
      </c>
      <c r="B2406" s="2" t="str">
        <f>HYPERLINK("https://leetcode.com/problems/optimal-partition-of-string/", "Optimal Partition of String")</f>
        <v>Optimal Partition of String</v>
      </c>
      <c r="C2406" s="1">
        <v>2808</v>
      </c>
      <c r="D2406" s="1">
        <v>114</v>
      </c>
      <c r="E2406" s="3">
        <f>IF(INDEX(C:C, ROW())+INDEX(D:D, ROW())=0, 0, INDEX(C:C, ROW())/(INDEX(C:C, ROW())+INDEX(D:D, ROW())))</f>
        <v>0.96098562628336759</v>
      </c>
      <c r="F2406" s="1" t="s">
        <v>217</v>
      </c>
      <c r="G2406" s="1" t="s">
        <v>24</v>
      </c>
      <c r="H2406" s="1">
        <v>273425</v>
      </c>
      <c r="I2406" s="1">
        <v>348875</v>
      </c>
      <c r="J2406" s="7">
        <v>0.78400000000000003</v>
      </c>
      <c r="K2406" s="1" t="s">
        <v>21</v>
      </c>
      <c r="L2406" s="1" t="s">
        <v>21</v>
      </c>
      <c r="M2406" s="1" t="s">
        <v>29</v>
      </c>
      <c r="N2406" s="1" t="s">
        <v>22</v>
      </c>
    </row>
    <row r="2407" spans="1:14" x14ac:dyDescent="0.25">
      <c r="A2407" s="1">
        <v>2406</v>
      </c>
      <c r="B2407" s="2" t="str">
        <f>HYPERLINK("https://leetcode.com/problems/divide-intervals-into-minimum-number-of-groups/", "Divide Intervals Into Minimum Number of Groups")</f>
        <v>Divide Intervals Into Minimum Number of Groups</v>
      </c>
      <c r="C2407" s="1">
        <v>1459</v>
      </c>
      <c r="D2407" s="1">
        <v>42</v>
      </c>
      <c r="E2407" s="3">
        <f>IF(INDEX(C:C, ROW())+INDEX(D:D, ROW())=0, 0, INDEX(C:C, ROW())/(INDEX(C:C, ROW())+INDEX(D:D, ROW())))</f>
        <v>0.97201865423051304</v>
      </c>
      <c r="F2407" s="1" t="s">
        <v>191</v>
      </c>
      <c r="G2407" s="1" t="s">
        <v>24</v>
      </c>
      <c r="H2407" s="1">
        <v>142191</v>
      </c>
      <c r="I2407" s="1">
        <v>223688</v>
      </c>
      <c r="J2407" s="7">
        <v>0.63600000000000001</v>
      </c>
      <c r="K2407" s="1" t="s">
        <v>21</v>
      </c>
      <c r="L2407" s="1" t="s">
        <v>21</v>
      </c>
      <c r="M2407" s="1" t="s">
        <v>29</v>
      </c>
      <c r="N2407" s="1" t="s">
        <v>22</v>
      </c>
    </row>
    <row r="2408" spans="1:14" x14ac:dyDescent="0.25">
      <c r="A2408" s="1">
        <v>2407</v>
      </c>
      <c r="B2408" s="2" t="str">
        <f>HYPERLINK("https://leetcode.com/problems/longest-increasing-subsequence-ii/", "Longest Increasing Subsequence II")</f>
        <v>Longest Increasing Subsequence II</v>
      </c>
      <c r="C2408" s="1">
        <v>954</v>
      </c>
      <c r="D2408" s="1">
        <v>41</v>
      </c>
      <c r="E2408" s="3">
        <f>IF(INDEX(C:C, ROW())+INDEX(D:D, ROW())=0, 0, INDEX(C:C, ROW())/(INDEX(C:C, ROW())+INDEX(D:D, ROW())))</f>
        <v>0.95879396984924625</v>
      </c>
      <c r="F2408" s="1" t="s">
        <v>724</v>
      </c>
      <c r="G2408" s="1" t="s">
        <v>28</v>
      </c>
      <c r="H2408" s="1">
        <v>23571</v>
      </c>
      <c r="I2408" s="1">
        <v>90648</v>
      </c>
      <c r="J2408" s="7">
        <v>0.26</v>
      </c>
      <c r="K2408" s="1" t="s">
        <v>21</v>
      </c>
      <c r="L2408" s="1" t="s">
        <v>29</v>
      </c>
      <c r="M2408" s="1" t="s">
        <v>29</v>
      </c>
      <c r="N2408" s="1" t="s">
        <v>22</v>
      </c>
    </row>
    <row r="2409" spans="1:14" x14ac:dyDescent="0.25">
      <c r="A2409" s="1">
        <v>2408</v>
      </c>
      <c r="B2409" s="2" t="str">
        <f>HYPERLINK("https://leetcode.com/problems/design-sql/", "Design SQL")</f>
        <v>Design SQL</v>
      </c>
      <c r="C2409" s="1">
        <v>81</v>
      </c>
      <c r="D2409" s="1">
        <v>105</v>
      </c>
      <c r="E2409" s="3">
        <f>IF(INDEX(C:C, ROW())+INDEX(D:D, ROW())=0, 0, INDEX(C:C, ROW())/(INDEX(C:C, ROW())+INDEX(D:D, ROW())))</f>
        <v>0.43548387096774194</v>
      </c>
      <c r="F2409" s="1" t="s">
        <v>843</v>
      </c>
      <c r="G2409" s="1" t="s">
        <v>24</v>
      </c>
      <c r="H2409" s="1">
        <v>19635</v>
      </c>
      <c r="I2409" s="1">
        <v>30382</v>
      </c>
      <c r="J2409" s="7">
        <v>0.64600000000000002</v>
      </c>
      <c r="K2409" s="1" t="s">
        <v>29</v>
      </c>
      <c r="L2409" s="1" t="s">
        <v>29</v>
      </c>
      <c r="M2409" s="1" t="s">
        <v>29</v>
      </c>
      <c r="N2409" s="1" t="s">
        <v>22</v>
      </c>
    </row>
    <row r="2410" spans="1:14" x14ac:dyDescent="0.25">
      <c r="A2410" s="1">
        <v>2409</v>
      </c>
      <c r="B2410" s="2" t="str">
        <f>HYPERLINK("https://leetcode.com/problems/count-days-spent-together/", "Count Days Spent Together")</f>
        <v>Count Days Spent Together</v>
      </c>
      <c r="C2410" s="1">
        <v>283</v>
      </c>
      <c r="D2410" s="1">
        <v>593</v>
      </c>
      <c r="E2410" s="3">
        <f>IF(INDEX(C:C, ROW())+INDEX(D:D, ROW())=0, 0, INDEX(C:C, ROW())/(INDEX(C:C, ROW())+INDEX(D:D, ROW())))</f>
        <v>0.3230593607305936</v>
      </c>
      <c r="F2410" s="1" t="s">
        <v>228</v>
      </c>
      <c r="G2410" s="1" t="s">
        <v>20</v>
      </c>
      <c r="H2410" s="1">
        <v>30245</v>
      </c>
      <c r="I2410" s="1">
        <v>63528</v>
      </c>
      <c r="J2410" s="7">
        <v>0.47599999999999998</v>
      </c>
      <c r="K2410" s="1" t="s">
        <v>21</v>
      </c>
      <c r="L2410" s="1" t="s">
        <v>29</v>
      </c>
      <c r="M2410" s="1" t="s">
        <v>29</v>
      </c>
      <c r="N2410" s="1" t="s">
        <v>22</v>
      </c>
    </row>
    <row r="2411" spans="1:14" x14ac:dyDescent="0.25">
      <c r="A2411" s="1">
        <v>2410</v>
      </c>
      <c r="B2411" s="2" t="str">
        <f>HYPERLINK("https://leetcode.com/problems/maximum-matching-of-players-with-trainers/", "Maximum Matching of Players With Trainers")</f>
        <v>Maximum Matching of Players With Trainers</v>
      </c>
      <c r="C2411" s="1">
        <v>917</v>
      </c>
      <c r="D2411" s="1">
        <v>34</v>
      </c>
      <c r="E2411" s="3">
        <f>IF(INDEX(C:C, ROW())+INDEX(D:D, ROW())=0, 0, INDEX(C:C, ROW())/(INDEX(C:C, ROW())+INDEX(D:D, ROW())))</f>
        <v>0.96424815983175605</v>
      </c>
      <c r="F2411" s="1" t="s">
        <v>203</v>
      </c>
      <c r="G2411" s="1" t="s">
        <v>24</v>
      </c>
      <c r="H2411" s="1">
        <v>179028</v>
      </c>
      <c r="I2411" s="1">
        <v>238053</v>
      </c>
      <c r="J2411" s="7">
        <v>0.752</v>
      </c>
      <c r="K2411" s="1" t="s">
        <v>21</v>
      </c>
      <c r="L2411" s="1" t="s">
        <v>21</v>
      </c>
      <c r="M2411" s="1" t="s">
        <v>29</v>
      </c>
      <c r="N2411" s="1" t="s">
        <v>22</v>
      </c>
    </row>
    <row r="2412" spans="1:14" x14ac:dyDescent="0.25">
      <c r="A2412" s="1">
        <v>2411</v>
      </c>
      <c r="B2412" s="2" t="str">
        <f>HYPERLINK("https://leetcode.com/problems/smallest-subarrays-with-maximum-bitwise-or/", "Smallest Subarrays With Maximum Bitwise OR")</f>
        <v>Smallest Subarrays With Maximum Bitwise OR</v>
      </c>
      <c r="C2412" s="1">
        <v>1044</v>
      </c>
      <c r="D2412" s="1">
        <v>74</v>
      </c>
      <c r="E2412" s="3">
        <f>IF(INDEX(C:C, ROW())+INDEX(D:D, ROW())=0, 0, INDEX(C:C, ROW())/(INDEX(C:C, ROW())+INDEX(D:D, ROW())))</f>
        <v>0.9338103756708408</v>
      </c>
      <c r="F2412" s="1" t="s">
        <v>704</v>
      </c>
      <c r="G2412" s="1" t="s">
        <v>24</v>
      </c>
      <c r="H2412" s="1">
        <v>94721</v>
      </c>
      <c r="I2412" s="1">
        <v>152709</v>
      </c>
      <c r="J2412" s="7">
        <v>0.62</v>
      </c>
      <c r="K2412" s="1" t="s">
        <v>21</v>
      </c>
      <c r="L2412" s="1" t="s">
        <v>21</v>
      </c>
      <c r="M2412" s="1" t="s">
        <v>29</v>
      </c>
      <c r="N2412" s="1" t="s">
        <v>22</v>
      </c>
    </row>
    <row r="2413" spans="1:14" x14ac:dyDescent="0.25">
      <c r="A2413" s="1">
        <v>2412</v>
      </c>
      <c r="B2413" s="2" t="str">
        <f>HYPERLINK("https://leetcode.com/problems/minimum-money-required-before-transactions/", "Minimum Money Required Before Transactions")</f>
        <v>Minimum Money Required Before Transactions</v>
      </c>
      <c r="C2413" s="1">
        <v>415</v>
      </c>
      <c r="D2413" s="1">
        <v>37</v>
      </c>
      <c r="E2413" s="3">
        <f>IF(INDEX(C:C, ROW())+INDEX(D:D, ROW())=0, 0, INDEX(C:C, ROW())/(INDEX(C:C, ROW())+INDEX(D:D, ROW())))</f>
        <v>0.91814159292035402</v>
      </c>
      <c r="F2413" s="1" t="s">
        <v>169</v>
      </c>
      <c r="G2413" s="1" t="s">
        <v>28</v>
      </c>
      <c r="H2413" s="1">
        <v>13409</v>
      </c>
      <c r="I2413" s="1">
        <v>31905</v>
      </c>
      <c r="J2413" s="7">
        <v>0.42</v>
      </c>
      <c r="K2413" s="1" t="s">
        <v>21</v>
      </c>
      <c r="L2413" s="1" t="s">
        <v>29</v>
      </c>
      <c r="M2413" s="1" t="s">
        <v>29</v>
      </c>
      <c r="N2413" s="1" t="s">
        <v>22</v>
      </c>
    </row>
    <row r="2414" spans="1:14" x14ac:dyDescent="0.25">
      <c r="A2414" s="1">
        <v>2413</v>
      </c>
      <c r="B2414" s="2" t="str">
        <f>HYPERLINK("https://leetcode.com/problems/smallest-even-multiple/", "Smallest Even Multiple")</f>
        <v>Smallest Even Multiple</v>
      </c>
      <c r="C2414" s="1">
        <v>1047</v>
      </c>
      <c r="D2414" s="1">
        <v>126</v>
      </c>
      <c r="E2414" s="3">
        <f>IF(INDEX(C:C, ROW())+INDEX(D:D, ROW())=0, 0, INDEX(C:C, ROW())/(INDEX(C:C, ROW())+INDEX(D:D, ROW())))</f>
        <v>0.89258312020460362</v>
      </c>
      <c r="F2414" s="1" t="s">
        <v>513</v>
      </c>
      <c r="G2414" s="1" t="s">
        <v>20</v>
      </c>
      <c r="H2414" s="1">
        <v>281971</v>
      </c>
      <c r="I2414" s="1">
        <v>319300</v>
      </c>
      <c r="J2414" s="7">
        <v>0.88300000000000001</v>
      </c>
      <c r="K2414" s="1" t="s">
        <v>21</v>
      </c>
      <c r="L2414" s="1" t="s">
        <v>29</v>
      </c>
      <c r="M2414" s="1" t="s">
        <v>29</v>
      </c>
      <c r="N2414" s="1" t="s">
        <v>22</v>
      </c>
    </row>
    <row r="2415" spans="1:14" x14ac:dyDescent="0.25">
      <c r="A2415" s="1">
        <v>2414</v>
      </c>
      <c r="B2415" s="2" t="str">
        <f>HYPERLINK("https://leetcode.com/problems/length-of-the-longest-alphabetical-continuous-substring/", "Length of the Longest Alphabetical Continuous Substring")</f>
        <v>Length of the Longest Alphabetical Continuous Substring</v>
      </c>
      <c r="C2415" s="1">
        <v>552</v>
      </c>
      <c r="D2415" s="1">
        <v>38</v>
      </c>
      <c r="E2415" s="3">
        <f>IF(INDEX(C:C, ROW())+INDEX(D:D, ROW())=0, 0, INDEX(C:C, ROW())/(INDEX(C:C, ROW())+INDEX(D:D, ROW())))</f>
        <v>0.93559322033898307</v>
      </c>
      <c r="F2415" s="1" t="s">
        <v>146</v>
      </c>
      <c r="G2415" s="1" t="s">
        <v>24</v>
      </c>
      <c r="H2415" s="1">
        <v>62547</v>
      </c>
      <c r="I2415" s="1">
        <v>103700</v>
      </c>
      <c r="J2415" s="7">
        <v>0.60299999999999998</v>
      </c>
      <c r="K2415" s="1" t="s">
        <v>21</v>
      </c>
      <c r="L2415" s="1" t="s">
        <v>29</v>
      </c>
      <c r="M2415" s="1" t="s">
        <v>29</v>
      </c>
      <c r="N2415" s="1" t="s">
        <v>22</v>
      </c>
    </row>
    <row r="2416" spans="1:14" x14ac:dyDescent="0.25">
      <c r="A2416" s="1">
        <v>2415</v>
      </c>
      <c r="B2416" s="2" t="str">
        <f>HYPERLINK("https://leetcode.com/problems/reverse-odd-levels-of-binary-tree/", "Reverse Odd Levels of Binary Tree")</f>
        <v>Reverse Odd Levels of Binary Tree</v>
      </c>
      <c r="C2416" s="1">
        <v>1758</v>
      </c>
      <c r="D2416" s="1">
        <v>74</v>
      </c>
      <c r="E2416" s="3">
        <f>IF(INDEX(C:C, ROW())+INDEX(D:D, ROW())=0, 0, INDEX(C:C, ROW())/(INDEX(C:C, ROW())+INDEX(D:D, ROW())))</f>
        <v>0.95960698689956336</v>
      </c>
      <c r="F2416" s="1" t="s">
        <v>80</v>
      </c>
      <c r="G2416" s="1" t="s">
        <v>24</v>
      </c>
      <c r="H2416" s="1">
        <v>185287</v>
      </c>
      <c r="I2416" s="1">
        <v>213774</v>
      </c>
      <c r="J2416" s="7">
        <v>0.86699999999999999</v>
      </c>
      <c r="K2416" s="1" t="s">
        <v>21</v>
      </c>
      <c r="L2416" s="1" t="s">
        <v>21</v>
      </c>
      <c r="M2416" s="1" t="s">
        <v>29</v>
      </c>
      <c r="N2416" s="1" t="s">
        <v>22</v>
      </c>
    </row>
    <row r="2417" spans="1:14" x14ac:dyDescent="0.25">
      <c r="A2417" s="1">
        <v>2416</v>
      </c>
      <c r="B2417" s="2" t="str">
        <f>HYPERLINK("https://leetcode.com/problems/sum-of-prefix-scores-of-strings/", "Sum of Prefix Scores of Strings")</f>
        <v>Sum of Prefix Scores of Strings</v>
      </c>
      <c r="C2417" s="1">
        <v>1193</v>
      </c>
      <c r="D2417" s="1">
        <v>111</v>
      </c>
      <c r="E2417" s="3">
        <f>IF(INDEX(C:C, ROW())+INDEX(D:D, ROW())=0, 0, INDEX(C:C, ROW())/(INDEX(C:C, ROW())+INDEX(D:D, ROW())))</f>
        <v>0.91487730061349692</v>
      </c>
      <c r="F2417" s="1" t="s">
        <v>658</v>
      </c>
      <c r="G2417" s="1" t="s">
        <v>28</v>
      </c>
      <c r="H2417" s="1">
        <v>120399</v>
      </c>
      <c r="I2417" s="1">
        <v>198035</v>
      </c>
      <c r="J2417" s="7">
        <v>0.60799999999999998</v>
      </c>
      <c r="K2417" s="1" t="s">
        <v>21</v>
      </c>
      <c r="L2417" s="1" t="s">
        <v>21</v>
      </c>
      <c r="M2417" s="1" t="s">
        <v>29</v>
      </c>
      <c r="N2417" s="1" t="s">
        <v>22</v>
      </c>
    </row>
    <row r="2418" spans="1:14" x14ac:dyDescent="0.25">
      <c r="A2418" s="1">
        <v>2417</v>
      </c>
      <c r="B2418" s="2" t="str">
        <f>HYPERLINK("https://leetcode.com/problems/closest-fair-integer/", "Closest Fair Integer")</f>
        <v>Closest Fair Integer</v>
      </c>
      <c r="C2418" s="1">
        <v>29</v>
      </c>
      <c r="D2418" s="1">
        <v>13</v>
      </c>
      <c r="E2418" s="3">
        <f>IF(INDEX(C:C, ROW())+INDEX(D:D, ROW())=0, 0, INDEX(C:C, ROW())/(INDEX(C:C, ROW())+INDEX(D:D, ROW())))</f>
        <v>0.69047619047619047</v>
      </c>
      <c r="F2418" s="1" t="s">
        <v>602</v>
      </c>
      <c r="G2418" s="1" t="s">
        <v>24</v>
      </c>
      <c r="H2418" s="1">
        <v>1407</v>
      </c>
      <c r="I2418" s="1">
        <v>3166</v>
      </c>
      <c r="J2418" s="7">
        <v>0.44400000000000001</v>
      </c>
      <c r="K2418" s="1" t="s">
        <v>29</v>
      </c>
      <c r="L2418" s="1" t="s">
        <v>29</v>
      </c>
      <c r="M2418" s="1" t="s">
        <v>29</v>
      </c>
      <c r="N2418" s="1" t="s">
        <v>22</v>
      </c>
    </row>
    <row r="2419" spans="1:14" x14ac:dyDescent="0.25">
      <c r="A2419" s="1">
        <v>2418</v>
      </c>
      <c r="B2419" s="2" t="str">
        <f>HYPERLINK("https://leetcode.com/problems/sort-the-people/", "Sort the People")</f>
        <v>Sort the People</v>
      </c>
      <c r="C2419" s="1">
        <v>1854</v>
      </c>
      <c r="D2419" s="1">
        <v>40</v>
      </c>
      <c r="E2419" s="3">
        <f>IF(INDEX(C:C, ROW())+INDEX(D:D, ROW())=0, 0, INDEX(C:C, ROW())/(INDEX(C:C, ROW())+INDEX(D:D, ROW())))</f>
        <v>0.97888067581837379</v>
      </c>
      <c r="F2419" s="1" t="s">
        <v>49</v>
      </c>
      <c r="G2419" s="1" t="s">
        <v>20</v>
      </c>
      <c r="H2419" s="1">
        <v>374503</v>
      </c>
      <c r="I2419" s="1">
        <v>441669</v>
      </c>
      <c r="J2419" s="7">
        <v>0.84799999999999998</v>
      </c>
      <c r="K2419" s="1" t="s">
        <v>21</v>
      </c>
      <c r="L2419" s="1" t="s">
        <v>21</v>
      </c>
      <c r="M2419" s="1" t="s">
        <v>29</v>
      </c>
      <c r="N2419" s="1" t="s">
        <v>22</v>
      </c>
    </row>
    <row r="2420" spans="1:14" x14ac:dyDescent="0.25">
      <c r="A2420" s="1">
        <v>2419</v>
      </c>
      <c r="B2420" s="2" t="str">
        <f>HYPERLINK("https://leetcode.com/problems/longest-subarray-with-maximum-bitwise-and/", "Longest Subarray With Maximum Bitwise AND")</f>
        <v>Longest Subarray With Maximum Bitwise AND</v>
      </c>
      <c r="C2420" s="1">
        <v>1315</v>
      </c>
      <c r="D2420" s="1">
        <v>110</v>
      </c>
      <c r="E2420" s="3">
        <f>IF(INDEX(C:C, ROW())+INDEX(D:D, ROW())=0, 0, INDEX(C:C, ROW())/(INDEX(C:C, ROW())+INDEX(D:D, ROW())))</f>
        <v>0.92280701754385963</v>
      </c>
      <c r="F2420" s="1" t="s">
        <v>634</v>
      </c>
      <c r="G2420" s="1" t="s">
        <v>24</v>
      </c>
      <c r="H2420" s="1">
        <v>253044</v>
      </c>
      <c r="I2420" s="1">
        <v>386993</v>
      </c>
      <c r="J2420" s="7">
        <v>0.65400000000000003</v>
      </c>
      <c r="K2420" s="1" t="s">
        <v>21</v>
      </c>
      <c r="L2420" s="1" t="s">
        <v>21</v>
      </c>
      <c r="M2420" s="1" t="s">
        <v>29</v>
      </c>
      <c r="N2420" s="1" t="s">
        <v>22</v>
      </c>
    </row>
    <row r="2421" spans="1:14" x14ac:dyDescent="0.25">
      <c r="A2421" s="1">
        <v>2420</v>
      </c>
      <c r="B2421" s="2" t="str">
        <f>HYPERLINK("https://leetcode.com/problems/find-all-good-indices/", "Find All Good Indices")</f>
        <v>Find All Good Indices</v>
      </c>
      <c r="C2421" s="1">
        <v>672</v>
      </c>
      <c r="D2421" s="1">
        <v>40</v>
      </c>
      <c r="E2421" s="3">
        <f>IF(INDEX(C:C, ROW())+INDEX(D:D, ROW())=0, 0, INDEX(C:C, ROW())/(INDEX(C:C, ROW())+INDEX(D:D, ROW())))</f>
        <v>0.9438202247191011</v>
      </c>
      <c r="F2421" s="1" t="s">
        <v>407</v>
      </c>
      <c r="G2421" s="1" t="s">
        <v>24</v>
      </c>
      <c r="H2421" s="1">
        <v>31623</v>
      </c>
      <c r="I2421" s="1">
        <v>77677</v>
      </c>
      <c r="J2421" s="7">
        <v>0.40699999999999997</v>
      </c>
      <c r="K2421" s="1" t="s">
        <v>21</v>
      </c>
      <c r="L2421" s="1" t="s">
        <v>29</v>
      </c>
      <c r="M2421" s="1" t="s">
        <v>29</v>
      </c>
      <c r="N2421" s="1" t="s">
        <v>22</v>
      </c>
    </row>
    <row r="2422" spans="1:14" x14ac:dyDescent="0.25">
      <c r="A2422" s="1">
        <v>2421</v>
      </c>
      <c r="B2422" s="2" t="str">
        <f>HYPERLINK("https://leetcode.com/problems/number-of-good-paths/", "Number of Good Paths")</f>
        <v>Number of Good Paths</v>
      </c>
      <c r="C2422" s="1">
        <v>2444</v>
      </c>
      <c r="D2422" s="1">
        <v>113</v>
      </c>
      <c r="E2422" s="3">
        <f>IF(INDEX(C:C, ROW())+INDEX(D:D, ROW())=0, 0, INDEX(C:C, ROW())/(INDEX(C:C, ROW())+INDEX(D:D, ROW())))</f>
        <v>0.95580758701603441</v>
      </c>
      <c r="F2422" s="1" t="s">
        <v>439</v>
      </c>
      <c r="G2422" s="1" t="s">
        <v>28</v>
      </c>
      <c r="H2422" s="1">
        <v>64477</v>
      </c>
      <c r="I2422" s="1">
        <v>114579</v>
      </c>
      <c r="J2422" s="7">
        <v>0.56299999999999994</v>
      </c>
      <c r="K2422" s="1" t="s">
        <v>21</v>
      </c>
      <c r="L2422" s="1" t="s">
        <v>21</v>
      </c>
      <c r="M2422" s="1" t="s">
        <v>29</v>
      </c>
      <c r="N2422" s="1" t="s">
        <v>22</v>
      </c>
    </row>
    <row r="2423" spans="1:14" x14ac:dyDescent="0.25">
      <c r="A2423" s="1">
        <v>2422</v>
      </c>
      <c r="B2423" s="2" t="str">
        <f>HYPERLINK("https://leetcode.com/problems/merge-operations-to-turn-array-into-a-palindrome/", "Merge Operations to Turn Array Into a Palindrome")</f>
        <v>Merge Operations to Turn Array Into a Palindrome</v>
      </c>
      <c r="C2423" s="1">
        <v>151</v>
      </c>
      <c r="D2423" s="1">
        <v>16</v>
      </c>
      <c r="E2423" s="3">
        <f>IF(INDEX(C:C, ROW())+INDEX(D:D, ROW())=0, 0, INDEX(C:C, ROW())/(INDEX(C:C, ROW())+INDEX(D:D, ROW())))</f>
        <v>0.90419161676646709</v>
      </c>
      <c r="F2423" s="1" t="s">
        <v>32</v>
      </c>
      <c r="G2423" s="1" t="s">
        <v>24</v>
      </c>
      <c r="H2423" s="1">
        <v>18911</v>
      </c>
      <c r="I2423" s="1">
        <v>27438</v>
      </c>
      <c r="J2423" s="7">
        <v>0.68899999999999995</v>
      </c>
      <c r="K2423" s="1" t="s">
        <v>29</v>
      </c>
      <c r="L2423" s="1" t="s">
        <v>29</v>
      </c>
      <c r="M2423" s="1" t="s">
        <v>29</v>
      </c>
      <c r="N2423" s="1" t="s">
        <v>22</v>
      </c>
    </row>
    <row r="2424" spans="1:14" x14ac:dyDescent="0.25">
      <c r="A2424" s="1">
        <v>2423</v>
      </c>
      <c r="B2424" s="2" t="str">
        <f>HYPERLINK("https://leetcode.com/problems/remove-letter-to-equalize-frequency/", "Remove Letter To Equalize Frequency")</f>
        <v>Remove Letter To Equalize Frequency</v>
      </c>
      <c r="C2424" s="1">
        <v>793</v>
      </c>
      <c r="D2424" s="1">
        <v>1352</v>
      </c>
      <c r="E2424" s="3">
        <f>IF(INDEX(C:C, ROW())+INDEX(D:D, ROW())=0, 0, INDEX(C:C, ROW())/(INDEX(C:C, ROW())+INDEX(D:D, ROW())))</f>
        <v>0.36969696969696969</v>
      </c>
      <c r="F2424" s="1" t="s">
        <v>237</v>
      </c>
      <c r="G2424" s="1" t="s">
        <v>20</v>
      </c>
      <c r="H2424" s="1">
        <v>74964</v>
      </c>
      <c r="I2424" s="1">
        <v>390054</v>
      </c>
      <c r="J2424" s="7">
        <v>0.192</v>
      </c>
      <c r="K2424" s="1" t="s">
        <v>21</v>
      </c>
      <c r="L2424" s="1" t="s">
        <v>29</v>
      </c>
      <c r="M2424" s="1" t="s">
        <v>29</v>
      </c>
      <c r="N2424" s="1" t="s">
        <v>22</v>
      </c>
    </row>
    <row r="2425" spans="1:14" x14ac:dyDescent="0.25">
      <c r="A2425" s="1">
        <v>2424</v>
      </c>
      <c r="B2425" s="2" t="str">
        <f>HYPERLINK("https://leetcode.com/problems/longest-uploaded-prefix/", "Longest Uploaded Prefix")</f>
        <v>Longest Uploaded Prefix</v>
      </c>
      <c r="C2425" s="1">
        <v>386</v>
      </c>
      <c r="D2425" s="1">
        <v>32</v>
      </c>
      <c r="E2425" s="3">
        <f>IF(INDEX(C:C, ROW())+INDEX(D:D, ROW())=0, 0, INDEX(C:C, ROW())/(INDEX(C:C, ROW())+INDEX(D:D, ROW())))</f>
        <v>0.92344497607655507</v>
      </c>
      <c r="F2425" s="1" t="s">
        <v>995</v>
      </c>
      <c r="G2425" s="1" t="s">
        <v>24</v>
      </c>
      <c r="H2425" s="1">
        <v>28129</v>
      </c>
      <c r="I2425" s="1">
        <v>51357</v>
      </c>
      <c r="J2425" s="7">
        <v>0.54800000000000004</v>
      </c>
      <c r="K2425" s="1" t="s">
        <v>21</v>
      </c>
      <c r="L2425" s="1" t="s">
        <v>29</v>
      </c>
      <c r="M2425" s="1" t="s">
        <v>29</v>
      </c>
      <c r="N2425" s="1" t="s">
        <v>22</v>
      </c>
    </row>
    <row r="2426" spans="1:14" x14ac:dyDescent="0.25">
      <c r="A2426" s="1">
        <v>2425</v>
      </c>
      <c r="B2426" s="2" t="str">
        <f>HYPERLINK("https://leetcode.com/problems/bitwise-xor-of-all-pairings/", "Bitwise XOR of All Pairings")</f>
        <v>Bitwise XOR of All Pairings</v>
      </c>
      <c r="C2426" s="1">
        <v>919</v>
      </c>
      <c r="D2426" s="1">
        <v>59</v>
      </c>
      <c r="E2426" s="3">
        <f>IF(INDEX(C:C, ROW())+INDEX(D:D, ROW())=0, 0, INDEX(C:C, ROW())/(INDEX(C:C, ROW())+INDEX(D:D, ROW())))</f>
        <v>0.93967280163599187</v>
      </c>
      <c r="F2426" s="1" t="s">
        <v>634</v>
      </c>
      <c r="G2426" s="1" t="s">
        <v>24</v>
      </c>
      <c r="H2426" s="1">
        <v>152069</v>
      </c>
      <c r="I2426" s="1">
        <v>227160</v>
      </c>
      <c r="J2426" s="7">
        <v>0.66900000000000004</v>
      </c>
      <c r="K2426" s="1" t="s">
        <v>21</v>
      </c>
      <c r="L2426" s="1" t="s">
        <v>21</v>
      </c>
      <c r="M2426" s="1" t="s">
        <v>29</v>
      </c>
      <c r="N2426" s="1" t="s">
        <v>22</v>
      </c>
    </row>
    <row r="2427" spans="1:14" x14ac:dyDescent="0.25">
      <c r="A2427" s="1">
        <v>2426</v>
      </c>
      <c r="B2427" s="2" t="str">
        <f>HYPERLINK("https://leetcode.com/problems/number-of-pairs-satisfying-inequality/", "Number of Pairs Satisfying Inequality")</f>
        <v>Number of Pairs Satisfying Inequality</v>
      </c>
      <c r="C2427" s="1">
        <v>576</v>
      </c>
      <c r="D2427" s="1">
        <v>11</v>
      </c>
      <c r="E2427" s="3">
        <f>IF(INDEX(C:C, ROW())+INDEX(D:D, ROW())=0, 0, INDEX(C:C, ROW())/(INDEX(C:C, ROW())+INDEX(D:D, ROW())))</f>
        <v>0.98126064735945484</v>
      </c>
      <c r="F2427" s="1" t="s">
        <v>147</v>
      </c>
      <c r="G2427" s="1" t="s">
        <v>28</v>
      </c>
      <c r="H2427" s="1">
        <v>18593</v>
      </c>
      <c r="I2427" s="1">
        <v>39744</v>
      </c>
      <c r="J2427" s="7">
        <v>0.46800000000000003</v>
      </c>
      <c r="K2427" s="1" t="s">
        <v>21</v>
      </c>
      <c r="L2427" s="1" t="s">
        <v>29</v>
      </c>
      <c r="M2427" s="1" t="s">
        <v>29</v>
      </c>
      <c r="N2427" s="1" t="s">
        <v>22</v>
      </c>
    </row>
    <row r="2428" spans="1:14" x14ac:dyDescent="0.25">
      <c r="A2428" s="1">
        <v>2427</v>
      </c>
      <c r="B2428" s="2" t="str">
        <f>HYPERLINK("https://leetcode.com/problems/number-of-common-factors/", "Number of Common Factors")</f>
        <v>Number of Common Factors</v>
      </c>
      <c r="C2428" s="1">
        <v>678</v>
      </c>
      <c r="D2428" s="1">
        <v>13</v>
      </c>
      <c r="E2428" s="3">
        <f>IF(INDEX(C:C, ROW())+INDEX(D:D, ROW())=0, 0, INDEX(C:C, ROW())/(INDEX(C:C, ROW())+INDEX(D:D, ROW())))</f>
        <v>0.98118668596237335</v>
      </c>
      <c r="F2428" s="1" t="s">
        <v>812</v>
      </c>
      <c r="G2428" s="1" t="s">
        <v>20</v>
      </c>
      <c r="H2428" s="1">
        <v>153895</v>
      </c>
      <c r="I2428" s="1">
        <v>192679</v>
      </c>
      <c r="J2428" s="7">
        <v>0.79900000000000004</v>
      </c>
      <c r="K2428" s="1" t="s">
        <v>21</v>
      </c>
      <c r="L2428" s="1" t="s">
        <v>29</v>
      </c>
      <c r="M2428" s="1" t="s">
        <v>29</v>
      </c>
      <c r="N2428" s="1" t="s">
        <v>22</v>
      </c>
    </row>
    <row r="2429" spans="1:14" x14ac:dyDescent="0.25">
      <c r="A2429" s="1">
        <v>2428</v>
      </c>
      <c r="B2429" s="2" t="str">
        <f>HYPERLINK("https://leetcode.com/problems/maximum-sum-of-an-hourglass/", "Maximum Sum of an Hourglass")</f>
        <v>Maximum Sum of an Hourglass</v>
      </c>
      <c r="C2429" s="1">
        <v>493</v>
      </c>
      <c r="D2429" s="1">
        <v>72</v>
      </c>
      <c r="E2429" s="3">
        <f>IF(INDEX(C:C, ROW())+INDEX(D:D, ROW())=0, 0, INDEX(C:C, ROW())/(INDEX(C:C, ROW())+INDEX(D:D, ROW())))</f>
        <v>0.87256637168141593</v>
      </c>
      <c r="F2429" s="1" t="s">
        <v>425</v>
      </c>
      <c r="G2429" s="1" t="s">
        <v>24</v>
      </c>
      <c r="H2429" s="1">
        <v>53132</v>
      </c>
      <c r="I2429" s="1">
        <v>69566</v>
      </c>
      <c r="J2429" s="7">
        <v>0.76400000000000001</v>
      </c>
      <c r="K2429" s="1" t="s">
        <v>21</v>
      </c>
      <c r="L2429" s="1" t="s">
        <v>29</v>
      </c>
      <c r="M2429" s="1" t="s">
        <v>29</v>
      </c>
      <c r="N2429" s="1" t="s">
        <v>22</v>
      </c>
    </row>
    <row r="2430" spans="1:14" x14ac:dyDescent="0.25">
      <c r="A2430" s="1">
        <v>2429</v>
      </c>
      <c r="B2430" s="2" t="str">
        <f>HYPERLINK("https://leetcode.com/problems/minimize-xor/", "Minimize XOR")</f>
        <v>Minimize XOR</v>
      </c>
      <c r="C2430" s="1">
        <v>1090</v>
      </c>
      <c r="D2430" s="1">
        <v>77</v>
      </c>
      <c r="E2430" s="3">
        <f>IF(INDEX(C:C, ROW())+INDEX(D:D, ROW())=0, 0, INDEX(C:C, ROW())/(INDEX(C:C, ROW())+INDEX(D:D, ROW())))</f>
        <v>0.93401885175664101</v>
      </c>
      <c r="F2430" s="1" t="s">
        <v>691</v>
      </c>
      <c r="G2430" s="1" t="s">
        <v>24</v>
      </c>
      <c r="H2430" s="1">
        <v>138994</v>
      </c>
      <c r="I2430" s="1">
        <v>222588</v>
      </c>
      <c r="J2430" s="7">
        <v>0.624</v>
      </c>
      <c r="K2430" s="1" t="s">
        <v>21</v>
      </c>
      <c r="L2430" s="1" t="s">
        <v>21</v>
      </c>
      <c r="M2430" s="1" t="s">
        <v>29</v>
      </c>
      <c r="N2430" s="1" t="s">
        <v>22</v>
      </c>
    </row>
    <row r="2431" spans="1:14" x14ac:dyDescent="0.25">
      <c r="A2431" s="1">
        <v>2430</v>
      </c>
      <c r="B2431" s="2" t="str">
        <f>HYPERLINK("https://leetcode.com/problems/maximum-deletions-on-a-string/", "Maximum Deletions on a String")</f>
        <v>Maximum Deletions on a String</v>
      </c>
      <c r="C2431" s="1">
        <v>520</v>
      </c>
      <c r="D2431" s="1">
        <v>61</v>
      </c>
      <c r="E2431" s="3">
        <f>IF(INDEX(C:C, ROW())+INDEX(D:D, ROW())=0, 0, INDEX(C:C, ROW())/(INDEX(C:C, ROW())+INDEX(D:D, ROW())))</f>
        <v>0.89500860585197939</v>
      </c>
      <c r="F2431" s="1" t="s">
        <v>908</v>
      </c>
      <c r="G2431" s="1" t="s">
        <v>28</v>
      </c>
      <c r="H2431" s="1">
        <v>17110</v>
      </c>
      <c r="I2431" s="1">
        <v>47970</v>
      </c>
      <c r="J2431" s="7">
        <v>0.35699999999999998</v>
      </c>
      <c r="K2431" s="1" t="s">
        <v>21</v>
      </c>
      <c r="L2431" s="1" t="s">
        <v>29</v>
      </c>
      <c r="M2431" s="1" t="s">
        <v>29</v>
      </c>
      <c r="N2431" s="1" t="s">
        <v>22</v>
      </c>
    </row>
    <row r="2432" spans="1:14" x14ac:dyDescent="0.25">
      <c r="A2432" s="1">
        <v>2431</v>
      </c>
      <c r="B2432" s="2" t="str">
        <f>HYPERLINK("https://leetcode.com/problems/maximize-total-tastiness-of-purchased-fruits/", "Maximize Total Tastiness of Purchased Fruits")</f>
        <v>Maximize Total Tastiness of Purchased Fruits</v>
      </c>
      <c r="C2432" s="1">
        <v>55</v>
      </c>
      <c r="D2432" s="1">
        <v>2</v>
      </c>
      <c r="E2432" s="3">
        <f>IF(INDEX(C:C, ROW())+INDEX(D:D, ROW())=0, 0, INDEX(C:C, ROW())/(INDEX(C:C, ROW())+INDEX(D:D, ROW())))</f>
        <v>0.96491228070175439</v>
      </c>
      <c r="F2432" s="1" t="s">
        <v>30</v>
      </c>
      <c r="G2432" s="1" t="s">
        <v>24</v>
      </c>
      <c r="H2432" s="1">
        <v>3943</v>
      </c>
      <c r="I2432" s="1">
        <v>6110</v>
      </c>
      <c r="J2432" s="7">
        <v>0.64500000000000002</v>
      </c>
      <c r="K2432" s="1" t="s">
        <v>29</v>
      </c>
      <c r="L2432" s="1" t="s">
        <v>29</v>
      </c>
      <c r="M2432" s="1" t="s">
        <v>29</v>
      </c>
      <c r="N2432" s="1" t="s">
        <v>22</v>
      </c>
    </row>
    <row r="2433" spans="1:14" x14ac:dyDescent="0.25">
      <c r="A2433" s="1">
        <v>2432</v>
      </c>
      <c r="B2433" s="2" t="str">
        <f>HYPERLINK("https://leetcode.com/problems/the-employee-that-worked-on-the-longest-task/", "The Employee That Worked on the Longest Task")</f>
        <v>The Employee That Worked on the Longest Task</v>
      </c>
      <c r="C2433" s="1">
        <v>293</v>
      </c>
      <c r="D2433" s="1">
        <v>72</v>
      </c>
      <c r="E2433" s="3">
        <f>IF(INDEX(C:C, ROW())+INDEX(D:D, ROW())=0, 0, INDEX(C:C, ROW())/(INDEX(C:C, ROW())+INDEX(D:D, ROW())))</f>
        <v>0.80273972602739729</v>
      </c>
      <c r="F2433" s="1" t="s">
        <v>113</v>
      </c>
      <c r="G2433" s="1" t="s">
        <v>20</v>
      </c>
      <c r="H2433" s="1">
        <v>43362</v>
      </c>
      <c r="I2433" s="1">
        <v>84349</v>
      </c>
      <c r="J2433" s="7">
        <v>0.51400000000000001</v>
      </c>
      <c r="K2433" s="1" t="s">
        <v>21</v>
      </c>
      <c r="L2433" s="1" t="s">
        <v>29</v>
      </c>
      <c r="M2433" s="1" t="s">
        <v>29</v>
      </c>
      <c r="N2433" s="1" t="s">
        <v>22</v>
      </c>
    </row>
    <row r="2434" spans="1:14" x14ac:dyDescent="0.25">
      <c r="A2434" s="1">
        <v>2433</v>
      </c>
      <c r="B2434" s="2" t="str">
        <f>HYPERLINK("https://leetcode.com/problems/find-the-original-array-of-prefix-xor/", "Find The Original Array of Prefix Xor")</f>
        <v>Find The Original Array of Prefix Xor</v>
      </c>
      <c r="C2434" s="1">
        <v>1502</v>
      </c>
      <c r="D2434" s="1">
        <v>91</v>
      </c>
      <c r="E2434" s="3">
        <f>IF(INDEX(C:C, ROW())+INDEX(D:D, ROW())=0, 0, INDEX(C:C, ROW())/(INDEX(C:C, ROW())+INDEX(D:D, ROW())))</f>
        <v>0.94287507846829877</v>
      </c>
      <c r="F2434" s="1" t="s">
        <v>65</v>
      </c>
      <c r="G2434" s="1" t="s">
        <v>24</v>
      </c>
      <c r="H2434" s="1">
        <v>187826</v>
      </c>
      <c r="I2434" s="1">
        <v>212689</v>
      </c>
      <c r="J2434" s="7">
        <v>0.88300000000000001</v>
      </c>
      <c r="K2434" s="1" t="s">
        <v>21</v>
      </c>
      <c r="L2434" s="1" t="s">
        <v>21</v>
      </c>
      <c r="M2434" s="1" t="s">
        <v>29</v>
      </c>
      <c r="N2434" s="1" t="s">
        <v>22</v>
      </c>
    </row>
    <row r="2435" spans="1:14" x14ac:dyDescent="0.25">
      <c r="A2435" s="1">
        <v>2434</v>
      </c>
      <c r="B2435" s="2" t="str">
        <f>HYPERLINK("https://leetcode.com/problems/using-a-robot-to-print-the-lexicographically-smallest-string/", "Using a Robot to Print the Lexicographically Smallest String")</f>
        <v>Using a Robot to Print the Lexicographically Smallest String</v>
      </c>
      <c r="C2435" s="1">
        <v>1152</v>
      </c>
      <c r="D2435" s="1">
        <v>308</v>
      </c>
      <c r="E2435" s="3">
        <f>IF(INDEX(C:C, ROW())+INDEX(D:D, ROW())=0, 0, INDEX(C:C, ROW())/(INDEX(C:C, ROW())+INDEX(D:D, ROW())))</f>
        <v>0.78904109589041094</v>
      </c>
      <c r="F2435" s="1" t="s">
        <v>669</v>
      </c>
      <c r="G2435" s="1" t="s">
        <v>24</v>
      </c>
      <c r="H2435" s="1">
        <v>107550</v>
      </c>
      <c r="I2435" s="1">
        <v>172050</v>
      </c>
      <c r="J2435" s="7">
        <v>0.625</v>
      </c>
      <c r="K2435" s="1" t="s">
        <v>21</v>
      </c>
      <c r="L2435" s="1" t="s">
        <v>21</v>
      </c>
      <c r="M2435" s="1" t="s">
        <v>29</v>
      </c>
      <c r="N2435" s="1" t="s">
        <v>22</v>
      </c>
    </row>
    <row r="2436" spans="1:14" x14ac:dyDescent="0.25">
      <c r="A2436" s="1">
        <v>2435</v>
      </c>
      <c r="B2436" s="2" t="str">
        <f>HYPERLINK("https://leetcode.com/problems/paths-in-matrix-whose-sum-is-divisible-by-k/", "Paths in Matrix Whose Sum Is Divisible by K")</f>
        <v>Paths in Matrix Whose Sum Is Divisible by K</v>
      </c>
      <c r="C2436" s="1">
        <v>1340</v>
      </c>
      <c r="D2436" s="1">
        <v>46</v>
      </c>
      <c r="E2436" s="3">
        <f>IF(INDEX(C:C, ROW())+INDEX(D:D, ROW())=0, 0, INDEX(C:C, ROW())/(INDEX(C:C, ROW())+INDEX(D:D, ROW())))</f>
        <v>0.96681096681096679</v>
      </c>
      <c r="F2436" s="1" t="s">
        <v>94</v>
      </c>
      <c r="G2436" s="1" t="s">
        <v>28</v>
      </c>
      <c r="H2436" s="1">
        <v>102609</v>
      </c>
      <c r="I2436" s="1">
        <v>174724</v>
      </c>
      <c r="J2436" s="7">
        <v>0.58699999999999997</v>
      </c>
      <c r="K2436" s="1" t="s">
        <v>21</v>
      </c>
      <c r="L2436" s="1" t="s">
        <v>21</v>
      </c>
      <c r="M2436" s="1" t="s">
        <v>29</v>
      </c>
      <c r="N2436" s="1" t="s">
        <v>22</v>
      </c>
    </row>
    <row r="2437" spans="1:14" x14ac:dyDescent="0.25">
      <c r="A2437" s="1">
        <v>2436</v>
      </c>
      <c r="B2437" s="2" t="str">
        <f>HYPERLINK("https://leetcode.com/problems/minimum-split-into-subarrays-with-gcd-greater-than-one/", "Minimum Split Into Subarrays With GCD Greater Than One")</f>
        <v>Minimum Split Into Subarrays With GCD Greater Than One</v>
      </c>
      <c r="C2437" s="1">
        <v>45</v>
      </c>
      <c r="D2437" s="1">
        <v>11</v>
      </c>
      <c r="E2437" s="3">
        <f>IF(INDEX(C:C, ROW())+INDEX(D:D, ROW())=0, 0, INDEX(C:C, ROW())/(INDEX(C:C, ROW())+INDEX(D:D, ROW())))</f>
        <v>0.8035714285714286</v>
      </c>
      <c r="F2437" s="1" t="s">
        <v>1277</v>
      </c>
      <c r="G2437" s="1" t="s">
        <v>24</v>
      </c>
      <c r="H2437" s="1">
        <v>2887</v>
      </c>
      <c r="I2437" s="1">
        <v>4114</v>
      </c>
      <c r="J2437" s="7">
        <v>0.70199999999999996</v>
      </c>
      <c r="K2437" s="1" t="s">
        <v>29</v>
      </c>
      <c r="L2437" s="1" t="s">
        <v>29</v>
      </c>
      <c r="M2437" s="1" t="s">
        <v>29</v>
      </c>
      <c r="N2437" s="1" t="s">
        <v>22</v>
      </c>
    </row>
    <row r="2438" spans="1:14" x14ac:dyDescent="0.25">
      <c r="A2438" s="1">
        <v>2437</v>
      </c>
      <c r="B2438" s="2" t="str">
        <f>HYPERLINK("https://leetcode.com/problems/number-of-valid-clock-times/", "Number of Valid Clock Times")</f>
        <v>Number of Valid Clock Times</v>
      </c>
      <c r="C2438" s="1">
        <v>306</v>
      </c>
      <c r="D2438" s="1">
        <v>246</v>
      </c>
      <c r="E2438" s="3">
        <f>IF(INDEX(C:C, ROW())+INDEX(D:D, ROW())=0, 0, INDEX(C:C, ROW())/(INDEX(C:C, ROW())+INDEX(D:D, ROW())))</f>
        <v>0.55434782608695654</v>
      </c>
      <c r="F2438" s="1" t="s">
        <v>831</v>
      </c>
      <c r="G2438" s="1" t="s">
        <v>20</v>
      </c>
      <c r="H2438" s="1">
        <v>37868</v>
      </c>
      <c r="I2438" s="1">
        <v>79110</v>
      </c>
      <c r="J2438" s="7">
        <v>0.47899999999999998</v>
      </c>
      <c r="K2438" s="1" t="s">
        <v>21</v>
      </c>
      <c r="L2438" s="1" t="s">
        <v>29</v>
      </c>
      <c r="M2438" s="1" t="s">
        <v>29</v>
      </c>
      <c r="N2438" s="1" t="s">
        <v>22</v>
      </c>
    </row>
    <row r="2439" spans="1:14" x14ac:dyDescent="0.25">
      <c r="A2439" s="1">
        <v>2438</v>
      </c>
      <c r="B2439" s="2" t="str">
        <f>HYPERLINK("https://leetcode.com/problems/range-product-queries-of-powers/", "Range Product Queries of Powers")</f>
        <v>Range Product Queries of Powers</v>
      </c>
      <c r="C2439" s="1">
        <v>686</v>
      </c>
      <c r="D2439" s="1">
        <v>151</v>
      </c>
      <c r="E2439" s="3">
        <f>IF(INDEX(C:C, ROW())+INDEX(D:D, ROW())=0, 0, INDEX(C:C, ROW())/(INDEX(C:C, ROW())+INDEX(D:D, ROW())))</f>
        <v>0.81959378733572286</v>
      </c>
      <c r="F2439" s="1" t="s">
        <v>489</v>
      </c>
      <c r="G2439" s="1" t="s">
        <v>24</v>
      </c>
      <c r="H2439" s="1">
        <v>118058</v>
      </c>
      <c r="I2439" s="1">
        <v>192172</v>
      </c>
      <c r="J2439" s="7">
        <v>0.61399999999999999</v>
      </c>
      <c r="K2439" s="1" t="s">
        <v>21</v>
      </c>
      <c r="L2439" s="1" t="s">
        <v>21</v>
      </c>
      <c r="M2439" s="1" t="s">
        <v>29</v>
      </c>
      <c r="N2439" s="1" t="s">
        <v>22</v>
      </c>
    </row>
    <row r="2440" spans="1:14" x14ac:dyDescent="0.25">
      <c r="A2440" s="1">
        <v>2439</v>
      </c>
      <c r="B2440" s="2" t="str">
        <f>HYPERLINK("https://leetcode.com/problems/minimize-maximum-of-array/", "Minimize Maximum of Array")</f>
        <v>Minimize Maximum of Array</v>
      </c>
      <c r="C2440" s="1">
        <v>2580</v>
      </c>
      <c r="D2440" s="1">
        <v>644</v>
      </c>
      <c r="E2440" s="3">
        <f>IF(INDEX(C:C, ROW())+INDEX(D:D, ROW())=0, 0, INDEX(C:C, ROW())/(INDEX(C:C, ROW())+INDEX(D:D, ROW())))</f>
        <v>0.80024813895781632</v>
      </c>
      <c r="F2440" s="1" t="s">
        <v>118</v>
      </c>
      <c r="G2440" s="1" t="s">
        <v>24</v>
      </c>
      <c r="H2440" s="1">
        <v>98381</v>
      </c>
      <c r="I2440" s="1">
        <v>211620</v>
      </c>
      <c r="J2440" s="7">
        <v>0.46500000000000002</v>
      </c>
      <c r="K2440" s="1" t="s">
        <v>21</v>
      </c>
      <c r="L2440" s="1" t="s">
        <v>21</v>
      </c>
      <c r="M2440" s="1" t="s">
        <v>29</v>
      </c>
      <c r="N2440" s="1" t="s">
        <v>22</v>
      </c>
    </row>
    <row r="2441" spans="1:14" x14ac:dyDescent="0.25">
      <c r="A2441" s="1">
        <v>2440</v>
      </c>
      <c r="B2441" s="2" t="str">
        <f>HYPERLINK("https://leetcode.com/problems/create-components-with-same-value/", "Create Components With Same Value")</f>
        <v>Create Components With Same Value</v>
      </c>
      <c r="C2441" s="1">
        <v>439</v>
      </c>
      <c r="D2441" s="1">
        <v>7</v>
      </c>
      <c r="E2441" s="3">
        <f>IF(INDEX(C:C, ROW())+INDEX(D:D, ROW())=0, 0, INDEX(C:C, ROW())/(INDEX(C:C, ROW())+INDEX(D:D, ROW())))</f>
        <v>0.98430493273542596</v>
      </c>
      <c r="F2441" s="1" t="s">
        <v>956</v>
      </c>
      <c r="G2441" s="1" t="s">
        <v>28</v>
      </c>
      <c r="H2441" s="1">
        <v>10897</v>
      </c>
      <c r="I2441" s="1">
        <v>20451</v>
      </c>
      <c r="J2441" s="7">
        <v>0.53300000000000003</v>
      </c>
      <c r="K2441" s="1" t="s">
        <v>21</v>
      </c>
      <c r="L2441" s="1" t="s">
        <v>29</v>
      </c>
      <c r="M2441" s="1" t="s">
        <v>29</v>
      </c>
      <c r="N2441" s="1" t="s">
        <v>22</v>
      </c>
    </row>
    <row r="2442" spans="1:14" x14ac:dyDescent="0.25">
      <c r="A2442" s="1">
        <v>2441</v>
      </c>
      <c r="B2442" s="2" t="str">
        <f>HYPERLINK("https://leetcode.com/problems/largest-positive-integer-that-exists-with-its-negative/", "Largest Positive Integer That Exists With Its Negative")</f>
        <v>Largest Positive Integer That Exists With Its Negative</v>
      </c>
      <c r="C2442" s="1">
        <v>1060</v>
      </c>
      <c r="D2442" s="1">
        <v>25</v>
      </c>
      <c r="E2442" s="3">
        <f>IF(INDEX(C:C, ROW())+INDEX(D:D, ROW())=0, 0, INDEX(C:C, ROW())/(INDEX(C:C, ROW())+INDEX(D:D, ROW())))</f>
        <v>0.97695852534562211</v>
      </c>
      <c r="F2442" s="1" t="s">
        <v>347</v>
      </c>
      <c r="G2442" s="1" t="s">
        <v>20</v>
      </c>
      <c r="H2442" s="1">
        <v>264372</v>
      </c>
      <c r="I2442" s="1">
        <v>354729</v>
      </c>
      <c r="J2442" s="7">
        <v>0.745</v>
      </c>
      <c r="K2442" s="1" t="s">
        <v>21</v>
      </c>
      <c r="L2442" s="1" t="s">
        <v>21</v>
      </c>
      <c r="M2442" s="1" t="s">
        <v>29</v>
      </c>
      <c r="N2442" s="1" t="s">
        <v>22</v>
      </c>
    </row>
    <row r="2443" spans="1:14" x14ac:dyDescent="0.25">
      <c r="A2443" s="1">
        <v>2442</v>
      </c>
      <c r="B2443" s="2" t="str">
        <f>HYPERLINK("https://leetcode.com/problems/count-number-of-distinct-integers-after-reverse-operations/", "Count Number of Distinct Integers After Reverse Operations")</f>
        <v>Count Number of Distinct Integers After Reverse Operations</v>
      </c>
      <c r="C2443" s="1">
        <v>741</v>
      </c>
      <c r="D2443" s="1">
        <v>60</v>
      </c>
      <c r="E2443" s="3">
        <f>IF(INDEX(C:C, ROW())+INDEX(D:D, ROW())=0, 0, INDEX(C:C, ROW())/(INDEX(C:C, ROW())+INDEX(D:D, ROW())))</f>
        <v>0.92509363295880154</v>
      </c>
      <c r="F2443" s="1" t="s">
        <v>233</v>
      </c>
      <c r="G2443" s="1" t="s">
        <v>24</v>
      </c>
      <c r="H2443" s="1">
        <v>98471</v>
      </c>
      <c r="I2443" s="1">
        <v>121101</v>
      </c>
      <c r="J2443" s="7">
        <v>0.81299999999999994</v>
      </c>
      <c r="K2443" s="1" t="s">
        <v>21</v>
      </c>
      <c r="L2443" s="1" t="s">
        <v>29</v>
      </c>
      <c r="M2443" s="1" t="s">
        <v>29</v>
      </c>
      <c r="N2443" s="1" t="s">
        <v>22</v>
      </c>
    </row>
    <row r="2444" spans="1:14" x14ac:dyDescent="0.25">
      <c r="A2444" s="1">
        <v>2443</v>
      </c>
      <c r="B2444" s="2" t="str">
        <f>HYPERLINK("https://leetcode.com/problems/sum-of-number-and-its-reverse/", "Sum of Number and Its Reverse")</f>
        <v>Sum of Number and Its Reverse</v>
      </c>
      <c r="C2444" s="1">
        <v>279</v>
      </c>
      <c r="D2444" s="1">
        <v>306</v>
      </c>
      <c r="E2444" s="3">
        <f>IF(INDEX(C:C, ROW())+INDEX(D:D, ROW())=0, 0, INDEX(C:C, ROW())/(INDEX(C:C, ROW())+INDEX(D:D, ROW())))</f>
        <v>0.47692307692307695</v>
      </c>
      <c r="F2444" s="1" t="s">
        <v>602</v>
      </c>
      <c r="G2444" s="1" t="s">
        <v>24</v>
      </c>
      <c r="H2444" s="1">
        <v>45927</v>
      </c>
      <c r="I2444" s="1">
        <v>93102</v>
      </c>
      <c r="J2444" s="7">
        <v>0.49299999999999999</v>
      </c>
      <c r="K2444" s="1" t="s">
        <v>21</v>
      </c>
      <c r="L2444" s="1" t="s">
        <v>29</v>
      </c>
      <c r="M2444" s="1" t="s">
        <v>29</v>
      </c>
      <c r="N2444" s="1" t="s">
        <v>22</v>
      </c>
    </row>
    <row r="2445" spans="1:14" x14ac:dyDescent="0.25">
      <c r="A2445" s="1">
        <v>2444</v>
      </c>
      <c r="B2445" s="2" t="str">
        <f>HYPERLINK("https://leetcode.com/problems/count-subarrays-with-fixed-bounds/", "Count Subarrays With Fixed Bounds")</f>
        <v>Count Subarrays With Fixed Bounds</v>
      </c>
      <c r="C2445" s="1">
        <v>3759</v>
      </c>
      <c r="D2445" s="1">
        <v>96</v>
      </c>
      <c r="E2445" s="3">
        <f>IF(INDEX(C:C, ROW())+INDEX(D:D, ROW())=0, 0, INDEX(C:C, ROW())/(INDEX(C:C, ROW())+INDEX(D:D, ROW())))</f>
        <v>0.97509727626459142</v>
      </c>
      <c r="F2445" s="1" t="s">
        <v>327</v>
      </c>
      <c r="G2445" s="1" t="s">
        <v>28</v>
      </c>
      <c r="H2445" s="1">
        <v>232748</v>
      </c>
      <c r="I2445" s="1">
        <v>336091</v>
      </c>
      <c r="J2445" s="7">
        <v>0.69299999999999995</v>
      </c>
      <c r="K2445" s="1" t="s">
        <v>21</v>
      </c>
      <c r="L2445" s="1" t="s">
        <v>21</v>
      </c>
      <c r="M2445" s="1" t="s">
        <v>29</v>
      </c>
      <c r="N2445" s="1" t="s">
        <v>22</v>
      </c>
    </row>
    <row r="2446" spans="1:14" x14ac:dyDescent="0.25">
      <c r="A2446" s="1">
        <v>2445</v>
      </c>
      <c r="B2446" s="2" t="str">
        <f>HYPERLINK("https://leetcode.com/problems/number-of-nodes-with-value-one/", "Number of Nodes With Value One")</f>
        <v>Number of Nodes With Value One</v>
      </c>
      <c r="C2446" s="1">
        <v>81</v>
      </c>
      <c r="D2446" s="1">
        <v>10</v>
      </c>
      <c r="E2446" s="3">
        <f>IF(INDEX(C:C, ROW())+INDEX(D:D, ROW())=0, 0, INDEX(C:C, ROW())/(INDEX(C:C, ROW())+INDEX(D:D, ROW())))</f>
        <v>0.89010989010989006</v>
      </c>
      <c r="F2446" s="1" t="s">
        <v>574</v>
      </c>
      <c r="G2446" s="1" t="s">
        <v>24</v>
      </c>
      <c r="H2446" s="1">
        <v>2863</v>
      </c>
      <c r="I2446" s="1">
        <v>4325</v>
      </c>
      <c r="J2446" s="7">
        <v>0.66200000000000003</v>
      </c>
      <c r="K2446" s="1" t="s">
        <v>29</v>
      </c>
      <c r="L2446" s="1" t="s">
        <v>29</v>
      </c>
      <c r="M2446" s="1" t="s">
        <v>29</v>
      </c>
      <c r="N2446" s="1" t="s">
        <v>22</v>
      </c>
    </row>
    <row r="2447" spans="1:14" x14ac:dyDescent="0.25">
      <c r="A2447" s="1">
        <v>2446</v>
      </c>
      <c r="B2447" s="2" t="str">
        <f>HYPERLINK("https://leetcode.com/problems/determine-if-two-events-have-conflict/", "Determine if Two Events Have Conflict")</f>
        <v>Determine if Two Events Have Conflict</v>
      </c>
      <c r="C2447" s="1">
        <v>534</v>
      </c>
      <c r="D2447" s="1">
        <v>72</v>
      </c>
      <c r="E2447" s="3">
        <f>IF(INDEX(C:C, ROW())+INDEX(D:D, ROW())=0, 0, INDEX(C:C, ROW())/(INDEX(C:C, ROW())+INDEX(D:D, ROW())))</f>
        <v>0.88118811881188119</v>
      </c>
      <c r="F2447" s="1" t="s">
        <v>369</v>
      </c>
      <c r="G2447" s="1" t="s">
        <v>20</v>
      </c>
      <c r="H2447" s="1">
        <v>63224</v>
      </c>
      <c r="I2447" s="1">
        <v>119163</v>
      </c>
      <c r="J2447" s="7">
        <v>0.53100000000000003</v>
      </c>
      <c r="K2447" s="1" t="s">
        <v>21</v>
      </c>
      <c r="L2447" s="1" t="s">
        <v>29</v>
      </c>
      <c r="M2447" s="1" t="s">
        <v>29</v>
      </c>
      <c r="N2447" s="1" t="s">
        <v>22</v>
      </c>
    </row>
    <row r="2448" spans="1:14" x14ac:dyDescent="0.25">
      <c r="A2448" s="1">
        <v>2447</v>
      </c>
      <c r="B2448" s="2" t="str">
        <f>HYPERLINK("https://leetcode.com/problems/number-of-subarrays-with-gcd-equal-to-k/", "Number of Subarrays With GCD Equal to K")</f>
        <v>Number of Subarrays With GCD Equal to K</v>
      </c>
      <c r="C2448" s="1">
        <v>463</v>
      </c>
      <c r="D2448" s="1">
        <v>71</v>
      </c>
      <c r="E2448" s="3">
        <f>IF(INDEX(C:C, ROW())+INDEX(D:D, ROW())=0, 0, INDEX(C:C, ROW())/(INDEX(C:C, ROW())+INDEX(D:D, ROW())))</f>
        <v>0.86704119850187267</v>
      </c>
      <c r="F2448" s="1" t="s">
        <v>640</v>
      </c>
      <c r="G2448" s="1" t="s">
        <v>24</v>
      </c>
      <c r="H2448" s="1">
        <v>33738</v>
      </c>
      <c r="I2448" s="1">
        <v>64443</v>
      </c>
      <c r="J2448" s="7">
        <v>0.52400000000000002</v>
      </c>
      <c r="K2448" s="1" t="s">
        <v>21</v>
      </c>
      <c r="L2448" s="1" t="s">
        <v>29</v>
      </c>
      <c r="M2448" s="1" t="s">
        <v>29</v>
      </c>
      <c r="N2448" s="1" t="s">
        <v>22</v>
      </c>
    </row>
    <row r="2449" spans="1:14" x14ac:dyDescent="0.25">
      <c r="A2449" s="1">
        <v>2448</v>
      </c>
      <c r="B2449" s="2" t="str">
        <f>HYPERLINK("https://leetcode.com/problems/minimum-cost-to-make-array-equal/", "Minimum Cost to Make Array Equal")</f>
        <v>Minimum Cost to Make Array Equal</v>
      </c>
      <c r="C2449" s="1">
        <v>2518</v>
      </c>
      <c r="D2449" s="1">
        <v>37</v>
      </c>
      <c r="E2449" s="3">
        <f>IF(INDEX(C:C, ROW())+INDEX(D:D, ROW())=0, 0, INDEX(C:C, ROW())/(INDEX(C:C, ROW())+INDEX(D:D, ROW())))</f>
        <v>0.98551859099804306</v>
      </c>
      <c r="F2449" s="1" t="s">
        <v>422</v>
      </c>
      <c r="G2449" s="1" t="s">
        <v>28</v>
      </c>
      <c r="H2449" s="1">
        <v>77070</v>
      </c>
      <c r="I2449" s="1">
        <v>165086</v>
      </c>
      <c r="J2449" s="7">
        <v>0.46700000000000003</v>
      </c>
      <c r="K2449" s="1" t="s">
        <v>21</v>
      </c>
      <c r="L2449" s="1" t="s">
        <v>21</v>
      </c>
      <c r="M2449" s="1" t="s">
        <v>29</v>
      </c>
      <c r="N2449" s="1" t="s">
        <v>22</v>
      </c>
    </row>
    <row r="2450" spans="1:14" x14ac:dyDescent="0.25">
      <c r="A2450" s="1">
        <v>2449</v>
      </c>
      <c r="B2450" s="2" t="str">
        <f>HYPERLINK("https://leetcode.com/problems/minimum-number-of-operations-to-make-arrays-similar/", "Minimum Number of Operations to Make Arrays Similar")</f>
        <v>Minimum Number of Operations to Make Arrays Similar</v>
      </c>
      <c r="C2450" s="1">
        <v>449</v>
      </c>
      <c r="D2450" s="1">
        <v>16</v>
      </c>
      <c r="E2450" s="3">
        <f>IF(INDEX(C:C, ROW())+INDEX(D:D, ROW())=0, 0, INDEX(C:C, ROW())/(INDEX(C:C, ROW())+INDEX(D:D, ROW())))</f>
        <v>0.96559139784946235</v>
      </c>
      <c r="F2450" s="1" t="s">
        <v>169</v>
      </c>
      <c r="G2450" s="1" t="s">
        <v>28</v>
      </c>
      <c r="H2450" s="1">
        <v>17221</v>
      </c>
      <c r="I2450" s="1">
        <v>28001</v>
      </c>
      <c r="J2450" s="7">
        <v>0.61499999999999999</v>
      </c>
      <c r="K2450" s="1" t="s">
        <v>21</v>
      </c>
      <c r="L2450" s="1" t="s">
        <v>29</v>
      </c>
      <c r="M2450" s="1" t="s">
        <v>29</v>
      </c>
      <c r="N2450" s="1" t="s">
        <v>22</v>
      </c>
    </row>
    <row r="2451" spans="1:14" x14ac:dyDescent="0.25">
      <c r="A2451" s="1">
        <v>2450</v>
      </c>
      <c r="B2451" s="2" t="str">
        <f>HYPERLINK("https://leetcode.com/problems/number-of-distinct-binary-strings-after-applying-operations/", "Number of Distinct Binary Strings After Applying Operations")</f>
        <v>Number of Distinct Binary Strings After Applying Operations</v>
      </c>
      <c r="C2451" s="1">
        <v>39</v>
      </c>
      <c r="D2451" s="1">
        <v>9</v>
      </c>
      <c r="E2451" s="3">
        <f>IF(INDEX(C:C, ROW())+INDEX(D:D, ROW())=0, 0, INDEX(C:C, ROW())/(INDEX(C:C, ROW())+INDEX(D:D, ROW())))</f>
        <v>0.8125</v>
      </c>
      <c r="F2451" s="1" t="s">
        <v>228</v>
      </c>
      <c r="G2451" s="1" t="s">
        <v>24</v>
      </c>
      <c r="H2451" s="1">
        <v>1352</v>
      </c>
      <c r="I2451" s="1">
        <v>2120</v>
      </c>
      <c r="J2451" s="7">
        <v>0.63800000000000001</v>
      </c>
      <c r="K2451" s="1" t="s">
        <v>29</v>
      </c>
      <c r="L2451" s="1" t="s">
        <v>29</v>
      </c>
      <c r="M2451" s="1" t="s">
        <v>29</v>
      </c>
      <c r="N2451" s="1" t="s">
        <v>22</v>
      </c>
    </row>
    <row r="2452" spans="1:14" x14ac:dyDescent="0.25">
      <c r="A2452" s="1">
        <v>2451</v>
      </c>
      <c r="B2452" s="2" t="str">
        <f>HYPERLINK("https://leetcode.com/problems/odd-string-difference/", "Odd String Difference")</f>
        <v>Odd String Difference</v>
      </c>
      <c r="C2452" s="1">
        <v>432</v>
      </c>
      <c r="D2452" s="1">
        <v>123</v>
      </c>
      <c r="E2452" s="3">
        <f>IF(INDEX(C:C, ROW())+INDEX(D:D, ROW())=0, 0, INDEX(C:C, ROW())/(INDEX(C:C, ROW())+INDEX(D:D, ROW())))</f>
        <v>0.77837837837837842</v>
      </c>
      <c r="F2452" s="1" t="s">
        <v>258</v>
      </c>
      <c r="G2452" s="1" t="s">
        <v>20</v>
      </c>
      <c r="H2452" s="1">
        <v>43489</v>
      </c>
      <c r="I2452" s="1">
        <v>70376</v>
      </c>
      <c r="J2452" s="7">
        <v>0.61799999999999999</v>
      </c>
      <c r="K2452" s="1" t="s">
        <v>21</v>
      </c>
      <c r="L2452" s="1" t="s">
        <v>29</v>
      </c>
      <c r="M2452" s="1" t="s">
        <v>29</v>
      </c>
      <c r="N2452" s="1" t="s">
        <v>22</v>
      </c>
    </row>
    <row r="2453" spans="1:14" x14ac:dyDescent="0.25">
      <c r="A2453" s="1">
        <v>2452</v>
      </c>
      <c r="B2453" s="2" t="str">
        <f>HYPERLINK("https://leetcode.com/problems/words-within-two-edits-of-dictionary/", "Words Within Two Edits of Dictionary")</f>
        <v>Words Within Two Edits of Dictionary</v>
      </c>
      <c r="C2453" s="1">
        <v>325</v>
      </c>
      <c r="D2453" s="1">
        <v>25</v>
      </c>
      <c r="E2453" s="3">
        <f>IF(INDEX(C:C, ROW())+INDEX(D:D, ROW())=0, 0, INDEX(C:C, ROW())/(INDEX(C:C, ROW())+INDEX(D:D, ROW())))</f>
        <v>0.9285714285714286</v>
      </c>
      <c r="F2453" s="1" t="s">
        <v>54</v>
      </c>
      <c r="G2453" s="1" t="s">
        <v>24</v>
      </c>
      <c r="H2453" s="1">
        <v>28952</v>
      </c>
      <c r="I2453" s="1">
        <v>46882</v>
      </c>
      <c r="J2453" s="7">
        <v>0.61799999999999999</v>
      </c>
      <c r="K2453" s="1" t="s">
        <v>21</v>
      </c>
      <c r="L2453" s="1" t="s">
        <v>29</v>
      </c>
      <c r="M2453" s="1" t="s">
        <v>29</v>
      </c>
      <c r="N2453" s="1" t="s">
        <v>22</v>
      </c>
    </row>
    <row r="2454" spans="1:14" x14ac:dyDescent="0.25">
      <c r="A2454" s="1">
        <v>2453</v>
      </c>
      <c r="B2454" s="2" t="str">
        <f>HYPERLINK("https://leetcode.com/problems/destroy-sequential-targets/", "Destroy Sequential Targets")</f>
        <v>Destroy Sequential Targets</v>
      </c>
      <c r="C2454" s="1">
        <v>610</v>
      </c>
      <c r="D2454" s="1">
        <v>34</v>
      </c>
      <c r="E2454" s="3">
        <f>IF(INDEX(C:C, ROW())+INDEX(D:D, ROW())=0, 0, INDEX(C:C, ROW())/(INDEX(C:C, ROW())+INDEX(D:D, ROW())))</f>
        <v>0.94720496894409933</v>
      </c>
      <c r="F2454" s="1" t="s">
        <v>294</v>
      </c>
      <c r="G2454" s="1" t="s">
        <v>24</v>
      </c>
      <c r="H2454" s="1">
        <v>23003</v>
      </c>
      <c r="I2454" s="1">
        <v>55169</v>
      </c>
      <c r="J2454" s="7">
        <v>0.41699999999999998</v>
      </c>
      <c r="K2454" s="1" t="s">
        <v>21</v>
      </c>
      <c r="L2454" s="1" t="s">
        <v>29</v>
      </c>
      <c r="M2454" s="1" t="s">
        <v>29</v>
      </c>
      <c r="N2454" s="1" t="s">
        <v>22</v>
      </c>
    </row>
    <row r="2455" spans="1:14" x14ac:dyDescent="0.25">
      <c r="A2455" s="1">
        <v>2454</v>
      </c>
      <c r="B2455" s="2" t="str">
        <f>HYPERLINK("https://leetcode.com/problems/next-greater-element-iv/", "Next Greater Element IV")</f>
        <v>Next Greater Element IV</v>
      </c>
      <c r="C2455" s="1">
        <v>747</v>
      </c>
      <c r="D2455" s="1">
        <v>12</v>
      </c>
      <c r="E2455" s="3">
        <f>IF(INDEX(C:C, ROW())+INDEX(D:D, ROW())=0, 0, INDEX(C:C, ROW())/(INDEX(C:C, ROW())+INDEX(D:D, ROW())))</f>
        <v>0.98418972332015808</v>
      </c>
      <c r="F2455" s="1" t="s">
        <v>781</v>
      </c>
      <c r="G2455" s="1" t="s">
        <v>28</v>
      </c>
      <c r="H2455" s="1">
        <v>17907</v>
      </c>
      <c r="I2455" s="1">
        <v>43197</v>
      </c>
      <c r="J2455" s="7">
        <v>0.41499999999999998</v>
      </c>
      <c r="K2455" s="1" t="s">
        <v>21</v>
      </c>
      <c r="L2455" s="1" t="s">
        <v>29</v>
      </c>
      <c r="M2455" s="1" t="s">
        <v>29</v>
      </c>
      <c r="N2455" s="1" t="s">
        <v>22</v>
      </c>
    </row>
    <row r="2456" spans="1:14" x14ac:dyDescent="0.25">
      <c r="A2456" s="1">
        <v>2455</v>
      </c>
      <c r="B2456" s="2" t="str">
        <f>HYPERLINK("https://leetcode.com/problems/average-value-of-even-numbers-that-are-divisible-by-three/", "Average Value of Even Numbers That Are Divisible by Three")</f>
        <v>Average Value of Even Numbers That Are Divisible by Three</v>
      </c>
      <c r="C2456" s="1">
        <v>374</v>
      </c>
      <c r="D2456" s="1">
        <v>42</v>
      </c>
      <c r="E2456" s="3">
        <f>IF(INDEX(C:C, ROW())+INDEX(D:D, ROW())=0, 0, INDEX(C:C, ROW())/(INDEX(C:C, ROW())+INDEX(D:D, ROW())))</f>
        <v>0.89903846153846156</v>
      </c>
      <c r="F2456" s="1" t="s">
        <v>115</v>
      </c>
      <c r="G2456" s="1" t="s">
        <v>20</v>
      </c>
      <c r="H2456" s="1">
        <v>92117</v>
      </c>
      <c r="I2456" s="1">
        <v>146565</v>
      </c>
      <c r="J2456" s="7">
        <v>0.629</v>
      </c>
      <c r="K2456" s="1" t="s">
        <v>21</v>
      </c>
      <c r="L2456" s="1" t="s">
        <v>29</v>
      </c>
      <c r="M2456" s="1" t="s">
        <v>29</v>
      </c>
      <c r="N2456" s="1" t="s">
        <v>22</v>
      </c>
    </row>
    <row r="2457" spans="1:14" x14ac:dyDescent="0.25">
      <c r="A2457" s="1">
        <v>2456</v>
      </c>
      <c r="B2457" s="2" t="str">
        <f>HYPERLINK("https://leetcode.com/problems/most-popular-video-creator/", "Most Popular Video Creator")</f>
        <v>Most Popular Video Creator</v>
      </c>
      <c r="C2457" s="1">
        <v>308</v>
      </c>
      <c r="D2457" s="1">
        <v>385</v>
      </c>
      <c r="E2457" s="3">
        <f>IF(INDEX(C:C, ROW())+INDEX(D:D, ROW())=0, 0, INDEX(C:C, ROW())/(INDEX(C:C, ROW())+INDEX(D:D, ROW())))</f>
        <v>0.44444444444444442</v>
      </c>
      <c r="F2457" s="1" t="s">
        <v>1009</v>
      </c>
      <c r="G2457" s="1" t="s">
        <v>24</v>
      </c>
      <c r="H2457" s="1">
        <v>28149</v>
      </c>
      <c r="I2457" s="1">
        <v>62212</v>
      </c>
      <c r="J2457" s="7">
        <v>0.45200000000000001</v>
      </c>
      <c r="K2457" s="1" t="s">
        <v>21</v>
      </c>
      <c r="L2457" s="1" t="s">
        <v>29</v>
      </c>
      <c r="M2457" s="1" t="s">
        <v>29</v>
      </c>
      <c r="N2457" s="1" t="s">
        <v>22</v>
      </c>
    </row>
    <row r="2458" spans="1:14" x14ac:dyDescent="0.25">
      <c r="A2458" s="1">
        <v>2457</v>
      </c>
      <c r="B2458" s="2" t="str">
        <f>HYPERLINK("https://leetcode.com/problems/minimum-addition-to-make-integer-beautiful/", "Minimum Addition to Make Integer Beautiful")</f>
        <v>Minimum Addition to Make Integer Beautiful</v>
      </c>
      <c r="C2458" s="1">
        <v>549</v>
      </c>
      <c r="D2458" s="1">
        <v>26</v>
      </c>
      <c r="E2458" s="3">
        <f>IF(INDEX(C:C, ROW())+INDEX(D:D, ROW())=0, 0, INDEX(C:C, ROW())/(INDEX(C:C, ROW())+INDEX(D:D, ROW())))</f>
        <v>0.95478260869565212</v>
      </c>
      <c r="F2458" s="1" t="s">
        <v>296</v>
      </c>
      <c r="G2458" s="1" t="s">
        <v>24</v>
      </c>
      <c r="H2458" s="1">
        <v>24855</v>
      </c>
      <c r="I2458" s="1">
        <v>64492</v>
      </c>
      <c r="J2458" s="7">
        <v>0.38500000000000001</v>
      </c>
      <c r="K2458" s="1" t="s">
        <v>21</v>
      </c>
      <c r="L2458" s="1" t="s">
        <v>29</v>
      </c>
      <c r="M2458" s="1" t="s">
        <v>29</v>
      </c>
      <c r="N2458" s="1" t="s">
        <v>22</v>
      </c>
    </row>
    <row r="2459" spans="1:14" x14ac:dyDescent="0.25">
      <c r="A2459" s="1">
        <v>2458</v>
      </c>
      <c r="B2459" s="2" t="str">
        <f>HYPERLINK("https://leetcode.com/problems/height-of-binary-tree-after-subtree-removal-queries/", "Height of Binary Tree After Subtree Removal Queries")</f>
        <v>Height of Binary Tree After Subtree Removal Queries</v>
      </c>
      <c r="C2459" s="1">
        <v>1548</v>
      </c>
      <c r="D2459" s="1">
        <v>38</v>
      </c>
      <c r="E2459" s="3">
        <f>IF(INDEX(C:C, ROW())+INDEX(D:D, ROW())=0, 0, INDEX(C:C, ROW())/(INDEX(C:C, ROW())+INDEX(D:D, ROW())))</f>
        <v>0.97604035308953341</v>
      </c>
      <c r="F2459" s="1" t="s">
        <v>574</v>
      </c>
      <c r="G2459" s="1" t="s">
        <v>28</v>
      </c>
      <c r="H2459" s="1">
        <v>104249</v>
      </c>
      <c r="I2459" s="1">
        <v>189915</v>
      </c>
      <c r="J2459" s="7">
        <v>0.54900000000000004</v>
      </c>
      <c r="K2459" s="1" t="s">
        <v>21</v>
      </c>
      <c r="L2459" s="1" t="s">
        <v>21</v>
      </c>
      <c r="M2459" s="1" t="s">
        <v>29</v>
      </c>
      <c r="N2459" s="1" t="s">
        <v>22</v>
      </c>
    </row>
    <row r="2460" spans="1:14" x14ac:dyDescent="0.25">
      <c r="A2460" s="1">
        <v>2459</v>
      </c>
      <c r="B2460" s="2" t="str">
        <f>HYPERLINK("https://leetcode.com/problems/sort-array-by-moving-items-to-empty-space/", "Sort Array by Moving Items to Empty Space")</f>
        <v>Sort Array by Moving Items to Empty Space</v>
      </c>
      <c r="C2460" s="1">
        <v>63</v>
      </c>
      <c r="D2460" s="1">
        <v>1</v>
      </c>
      <c r="E2460" s="3">
        <f>IF(INDEX(C:C, ROW())+INDEX(D:D, ROW())=0, 0, INDEX(C:C, ROW())/(INDEX(C:C, ROW())+INDEX(D:D, ROW())))</f>
        <v>0.984375</v>
      </c>
      <c r="F2460" s="1" t="s">
        <v>92</v>
      </c>
      <c r="G2460" s="1" t="s">
        <v>28</v>
      </c>
      <c r="H2460" s="1">
        <v>2911</v>
      </c>
      <c r="I2460" s="1">
        <v>6375</v>
      </c>
      <c r="J2460" s="7">
        <v>0.45700000000000002</v>
      </c>
      <c r="K2460" s="1" t="s">
        <v>29</v>
      </c>
      <c r="L2460" s="1" t="s">
        <v>29</v>
      </c>
      <c r="M2460" s="1" t="s">
        <v>29</v>
      </c>
      <c r="N2460" s="1" t="s">
        <v>22</v>
      </c>
    </row>
    <row r="2461" spans="1:14" x14ac:dyDescent="0.25">
      <c r="A2461" s="1">
        <v>2460</v>
      </c>
      <c r="B2461" s="2" t="str">
        <f>HYPERLINK("https://leetcode.com/problems/apply-operations-to-an-array/", "Apply Operations to an Array")</f>
        <v>Apply Operations to an Array</v>
      </c>
      <c r="C2461" s="1">
        <v>1127</v>
      </c>
      <c r="D2461" s="1">
        <v>66</v>
      </c>
      <c r="E2461" s="3">
        <f>IF(INDEX(C:C, ROW())+INDEX(D:D, ROW())=0, 0, INDEX(C:C, ROW())/(INDEX(C:C, ROW())+INDEX(D:D, ROW())))</f>
        <v>0.94467728415758589</v>
      </c>
      <c r="F2461" s="1" t="s">
        <v>303</v>
      </c>
      <c r="G2461" s="1" t="s">
        <v>20</v>
      </c>
      <c r="H2461" s="1">
        <v>269541</v>
      </c>
      <c r="I2461" s="1">
        <v>360664</v>
      </c>
      <c r="J2461" s="7">
        <v>0.747</v>
      </c>
      <c r="K2461" s="1" t="s">
        <v>21</v>
      </c>
      <c r="L2461" s="1" t="s">
        <v>21</v>
      </c>
      <c r="M2461" s="1" t="s">
        <v>29</v>
      </c>
      <c r="N2461" s="1" t="s">
        <v>22</v>
      </c>
    </row>
    <row r="2462" spans="1:14" x14ac:dyDescent="0.25">
      <c r="A2462" s="1">
        <v>2461</v>
      </c>
      <c r="B2462" s="2" t="str">
        <f>HYPERLINK("https://leetcode.com/problems/maximum-sum-of-distinct-subarrays-with-length-k/", "Maximum Sum of Distinct Subarrays With Length K")</f>
        <v>Maximum Sum of Distinct Subarrays With Length K</v>
      </c>
      <c r="C2462" s="1">
        <v>2292</v>
      </c>
      <c r="D2462" s="1">
        <v>48</v>
      </c>
      <c r="E2462" s="3">
        <f>IF(INDEX(C:C, ROW())+INDEX(D:D, ROW())=0, 0, INDEX(C:C, ROW())/(INDEX(C:C, ROW())+INDEX(D:D, ROW())))</f>
        <v>0.97948717948717945</v>
      </c>
      <c r="F2462" s="1" t="s">
        <v>185</v>
      </c>
      <c r="G2462" s="1" t="s">
        <v>24</v>
      </c>
      <c r="H2462" s="1">
        <v>254934</v>
      </c>
      <c r="I2462" s="1">
        <v>595392</v>
      </c>
      <c r="J2462" s="7">
        <v>0.42799999999999999</v>
      </c>
      <c r="K2462" s="1" t="s">
        <v>21</v>
      </c>
      <c r="L2462" s="1" t="s">
        <v>21</v>
      </c>
      <c r="M2462" s="1" t="s">
        <v>29</v>
      </c>
      <c r="N2462" s="1" t="s">
        <v>22</v>
      </c>
    </row>
    <row r="2463" spans="1:14" x14ac:dyDescent="0.25">
      <c r="A2463" s="1">
        <v>2462</v>
      </c>
      <c r="B2463" s="2" t="str">
        <f>HYPERLINK("https://leetcode.com/problems/total-cost-to-hire-k-workers/", "Total Cost to Hire K Workers")</f>
        <v>Total Cost to Hire K Workers</v>
      </c>
      <c r="C2463" s="1">
        <v>2074</v>
      </c>
      <c r="D2463" s="1">
        <v>753</v>
      </c>
      <c r="E2463" s="3">
        <f>IF(INDEX(C:C, ROW())+INDEX(D:D, ROW())=0, 0, INDEX(C:C, ROW())/(INDEX(C:C, ROW())+INDEX(D:D, ROW())))</f>
        <v>0.73363990095507603</v>
      </c>
      <c r="F2463" s="1" t="s">
        <v>494</v>
      </c>
      <c r="G2463" s="1" t="s">
        <v>24</v>
      </c>
      <c r="H2463" s="1">
        <v>161559</v>
      </c>
      <c r="I2463" s="1">
        <v>371269</v>
      </c>
      <c r="J2463" s="7">
        <v>0.435</v>
      </c>
      <c r="K2463" s="1" t="s">
        <v>21</v>
      </c>
      <c r="L2463" s="1" t="s">
        <v>21</v>
      </c>
      <c r="M2463" s="1" t="s">
        <v>29</v>
      </c>
      <c r="N2463" s="1" t="s">
        <v>22</v>
      </c>
    </row>
    <row r="2464" spans="1:14" x14ac:dyDescent="0.25">
      <c r="A2464" s="1">
        <v>2463</v>
      </c>
      <c r="B2464" s="2" t="str">
        <f>HYPERLINK("https://leetcode.com/problems/minimum-total-distance-traveled/", "Minimum Total Distance Traveled")</f>
        <v>Minimum Total Distance Traveled</v>
      </c>
      <c r="C2464" s="1">
        <v>964</v>
      </c>
      <c r="D2464" s="1">
        <v>33</v>
      </c>
      <c r="E2464" s="3">
        <f>IF(INDEX(C:C, ROW())+INDEX(D:D, ROW())=0, 0, INDEX(C:C, ROW())/(INDEX(C:C, ROW())+INDEX(D:D, ROW())))</f>
        <v>0.96690070210631895</v>
      </c>
      <c r="F2464" s="1" t="s">
        <v>270</v>
      </c>
      <c r="G2464" s="1" t="s">
        <v>28</v>
      </c>
      <c r="H2464" s="1">
        <v>75313</v>
      </c>
      <c r="I2464" s="1">
        <v>128013</v>
      </c>
      <c r="J2464" s="7">
        <v>0.58799999999999997</v>
      </c>
      <c r="K2464" s="1" t="s">
        <v>21</v>
      </c>
      <c r="L2464" s="1" t="s">
        <v>21</v>
      </c>
      <c r="M2464" s="1" t="s">
        <v>29</v>
      </c>
      <c r="N2464" s="1" t="s">
        <v>22</v>
      </c>
    </row>
    <row r="2465" spans="1:14" x14ac:dyDescent="0.25">
      <c r="A2465" s="1">
        <v>2464</v>
      </c>
      <c r="B2465" s="2" t="str">
        <f>HYPERLINK("https://leetcode.com/problems/minimum-subarrays-in-a-valid-split/", "Minimum Subarrays in a Valid Split")</f>
        <v>Minimum Subarrays in a Valid Split</v>
      </c>
      <c r="C2465" s="1">
        <v>40</v>
      </c>
      <c r="D2465" s="1">
        <v>9</v>
      </c>
      <c r="E2465" s="3">
        <f>IF(INDEX(C:C, ROW())+INDEX(D:D, ROW())=0, 0, INDEX(C:C, ROW())/(INDEX(C:C, ROW())+INDEX(D:D, ROW())))</f>
        <v>0.81632653061224492</v>
      </c>
      <c r="F2465" s="1" t="s">
        <v>1193</v>
      </c>
      <c r="G2465" s="1" t="s">
        <v>24</v>
      </c>
      <c r="H2465" s="1">
        <v>3494</v>
      </c>
      <c r="I2465" s="1">
        <v>5405</v>
      </c>
      <c r="J2465" s="7">
        <v>0.64600000000000002</v>
      </c>
      <c r="K2465" s="1" t="s">
        <v>29</v>
      </c>
      <c r="L2465" s="1" t="s">
        <v>21</v>
      </c>
      <c r="M2465" s="1" t="s">
        <v>29</v>
      </c>
      <c r="N2465" s="1" t="s">
        <v>22</v>
      </c>
    </row>
    <row r="2466" spans="1:14" x14ac:dyDescent="0.25">
      <c r="A2466" s="1">
        <v>2465</v>
      </c>
      <c r="B2466" s="2" t="str">
        <f>HYPERLINK("https://leetcode.com/problems/number-of-distinct-averages/", "Number of Distinct Averages")</f>
        <v>Number of Distinct Averages</v>
      </c>
      <c r="C2466" s="1">
        <v>426</v>
      </c>
      <c r="D2466" s="1">
        <v>35</v>
      </c>
      <c r="E2466" s="3">
        <f>IF(INDEX(C:C, ROW())+INDEX(D:D, ROW())=0, 0, INDEX(C:C, ROW())/(INDEX(C:C, ROW())+INDEX(D:D, ROW())))</f>
        <v>0.92407809110629069</v>
      </c>
      <c r="F2466" s="1" t="s">
        <v>347</v>
      </c>
      <c r="G2466" s="1" t="s">
        <v>20</v>
      </c>
      <c r="H2466" s="1">
        <v>72835</v>
      </c>
      <c r="I2466" s="1">
        <v>123651</v>
      </c>
      <c r="J2466" s="7">
        <v>0.58899999999999997</v>
      </c>
      <c r="K2466" s="1" t="s">
        <v>21</v>
      </c>
      <c r="L2466" s="1" t="s">
        <v>29</v>
      </c>
      <c r="M2466" s="1" t="s">
        <v>29</v>
      </c>
      <c r="N2466" s="1" t="s">
        <v>22</v>
      </c>
    </row>
    <row r="2467" spans="1:14" x14ac:dyDescent="0.25">
      <c r="A2467" s="1">
        <v>2466</v>
      </c>
      <c r="B2467" s="2" t="str">
        <f>HYPERLINK("https://leetcode.com/problems/count-ways-to-build-good-strings/", "Count Ways To Build Good Strings")</f>
        <v>Count Ways To Build Good Strings</v>
      </c>
      <c r="C2467" s="1">
        <v>2218</v>
      </c>
      <c r="D2467" s="1">
        <v>210</v>
      </c>
      <c r="E2467" s="3">
        <f>IF(INDEX(C:C, ROW())+INDEX(D:D, ROW())=0, 0, INDEX(C:C, ROW())/(INDEX(C:C, ROW())+INDEX(D:D, ROW())))</f>
        <v>0.91350906095551898</v>
      </c>
      <c r="F2467" s="1" t="s">
        <v>251</v>
      </c>
      <c r="G2467" s="1" t="s">
        <v>24</v>
      </c>
      <c r="H2467" s="1">
        <v>179144</v>
      </c>
      <c r="I2467" s="1">
        <v>303787</v>
      </c>
      <c r="J2467" s="7">
        <v>0.59</v>
      </c>
      <c r="K2467" s="1" t="s">
        <v>21</v>
      </c>
      <c r="L2467" s="1" t="s">
        <v>21</v>
      </c>
      <c r="M2467" s="1" t="s">
        <v>29</v>
      </c>
      <c r="N2467" s="1" t="s">
        <v>22</v>
      </c>
    </row>
    <row r="2468" spans="1:14" x14ac:dyDescent="0.25">
      <c r="A2468" s="1">
        <v>2467</v>
      </c>
      <c r="B2468" s="2" t="str">
        <f>HYPERLINK("https://leetcode.com/problems/most-profitable-path-in-a-tree/", "Most Profitable Path in a Tree")</f>
        <v>Most Profitable Path in a Tree</v>
      </c>
      <c r="C2468" s="1">
        <v>1395</v>
      </c>
      <c r="D2468" s="1">
        <v>245</v>
      </c>
      <c r="E2468" s="3">
        <f>IF(INDEX(C:C, ROW())+INDEX(D:D, ROW())=0, 0, INDEX(C:C, ROW())/(INDEX(C:C, ROW())+INDEX(D:D, ROW())))</f>
        <v>0.85060975609756095</v>
      </c>
      <c r="F2468" s="1" t="s">
        <v>616</v>
      </c>
      <c r="G2468" s="1" t="s">
        <v>24</v>
      </c>
      <c r="H2468" s="1">
        <v>108571</v>
      </c>
      <c r="I2468" s="1">
        <v>161211</v>
      </c>
      <c r="J2468" s="7">
        <v>0.67300000000000004</v>
      </c>
      <c r="K2468" s="1" t="s">
        <v>21</v>
      </c>
      <c r="L2468" s="1" t="s">
        <v>21</v>
      </c>
      <c r="M2468" s="1" t="s">
        <v>29</v>
      </c>
      <c r="N2468" s="1" t="s">
        <v>22</v>
      </c>
    </row>
    <row r="2469" spans="1:14" x14ac:dyDescent="0.25">
      <c r="A2469" s="1">
        <v>2468</v>
      </c>
      <c r="B2469" s="2" t="str">
        <f>HYPERLINK("https://leetcode.com/problems/split-message-based-on-limit/", "Split Message Based on Limit")</f>
        <v>Split Message Based on Limit</v>
      </c>
      <c r="C2469" s="1">
        <v>198</v>
      </c>
      <c r="D2469" s="1">
        <v>201</v>
      </c>
      <c r="E2469" s="3">
        <f>IF(INDEX(C:C, ROW())+INDEX(D:D, ROW())=0, 0, INDEX(C:C, ROW())/(INDEX(C:C, ROW())+INDEX(D:D, ROW())))</f>
        <v>0.49624060150375937</v>
      </c>
      <c r="F2469" s="1" t="s">
        <v>831</v>
      </c>
      <c r="G2469" s="1" t="s">
        <v>28</v>
      </c>
      <c r="H2469" s="1">
        <v>22070</v>
      </c>
      <c r="I2469" s="1">
        <v>52501</v>
      </c>
      <c r="J2469" s="7">
        <v>0.42</v>
      </c>
      <c r="K2469" s="1" t="s">
        <v>21</v>
      </c>
      <c r="L2469" s="1" t="s">
        <v>29</v>
      </c>
      <c r="M2469" s="1" t="s">
        <v>29</v>
      </c>
      <c r="N2469" s="1" t="s">
        <v>22</v>
      </c>
    </row>
    <row r="2470" spans="1:14" x14ac:dyDescent="0.25">
      <c r="A2470" s="1">
        <v>2469</v>
      </c>
      <c r="B2470" s="2" t="str">
        <f>HYPERLINK("https://leetcode.com/problems/convert-the-temperature/", "Convert the Temperature")</f>
        <v>Convert the Temperature</v>
      </c>
      <c r="C2470" s="1">
        <v>745</v>
      </c>
      <c r="D2470" s="1">
        <v>369</v>
      </c>
      <c r="E2470" s="3">
        <f>IF(INDEX(C:C, ROW())+INDEX(D:D, ROW())=0, 0, INDEX(C:C, ROW())/(INDEX(C:C, ROW())+INDEX(D:D, ROW())))</f>
        <v>0.66876122082585276</v>
      </c>
      <c r="F2470" s="1" t="s">
        <v>84</v>
      </c>
      <c r="G2470" s="1" t="s">
        <v>20</v>
      </c>
      <c r="H2470" s="1">
        <v>293524</v>
      </c>
      <c r="I2470" s="1">
        <v>325052</v>
      </c>
      <c r="J2470" s="7">
        <v>0.90300000000000002</v>
      </c>
      <c r="K2470" s="1" t="s">
        <v>21</v>
      </c>
      <c r="L2470" s="1" t="s">
        <v>29</v>
      </c>
      <c r="M2470" s="1" t="s">
        <v>29</v>
      </c>
      <c r="N2470" s="1" t="s">
        <v>22</v>
      </c>
    </row>
    <row r="2471" spans="1:14" x14ac:dyDescent="0.25">
      <c r="A2471" s="1">
        <v>2470</v>
      </c>
      <c r="B2471" s="2" t="str">
        <f>HYPERLINK("https://leetcode.com/problems/number-of-subarrays-with-lcm-equal-to-k/", "Number of Subarrays With LCM Equal to K")</f>
        <v>Number of Subarrays With LCM Equal to K</v>
      </c>
      <c r="C2471" s="1">
        <v>383</v>
      </c>
      <c r="D2471" s="1">
        <v>41</v>
      </c>
      <c r="E2471" s="3">
        <f>IF(INDEX(C:C, ROW())+INDEX(D:D, ROW())=0, 0, INDEX(C:C, ROW())/(INDEX(C:C, ROW())+INDEX(D:D, ROW())))</f>
        <v>0.90330188679245282</v>
      </c>
      <c r="F2471" s="1" t="s">
        <v>640</v>
      </c>
      <c r="G2471" s="1" t="s">
        <v>24</v>
      </c>
      <c r="H2471" s="1">
        <v>31359</v>
      </c>
      <c r="I2471" s="1">
        <v>72394</v>
      </c>
      <c r="J2471" s="7">
        <v>0.433</v>
      </c>
      <c r="K2471" s="1" t="s">
        <v>21</v>
      </c>
      <c r="L2471" s="1" t="s">
        <v>29</v>
      </c>
      <c r="M2471" s="1" t="s">
        <v>29</v>
      </c>
      <c r="N2471" s="1" t="s">
        <v>22</v>
      </c>
    </row>
    <row r="2472" spans="1:14" x14ac:dyDescent="0.25">
      <c r="A2472" s="1">
        <v>2471</v>
      </c>
      <c r="B2472" s="2" t="str">
        <f>HYPERLINK("https://leetcode.com/problems/minimum-number-of-operations-to-sort-a-binary-tree-by-level/", "Minimum Number of Operations to Sort a Binary Tree by Level")</f>
        <v>Minimum Number of Operations to Sort a Binary Tree by Level</v>
      </c>
      <c r="C2472" s="1">
        <v>1246</v>
      </c>
      <c r="D2472" s="1">
        <v>44</v>
      </c>
      <c r="E2472" s="3">
        <f>IF(INDEX(C:C, ROW())+INDEX(D:D, ROW())=0, 0, INDEX(C:C, ROW())/(INDEX(C:C, ROW())+INDEX(D:D, ROW())))</f>
        <v>0.96589147286821708</v>
      </c>
      <c r="F2472" s="1" t="s">
        <v>79</v>
      </c>
      <c r="G2472" s="1" t="s">
        <v>24</v>
      </c>
      <c r="H2472" s="1">
        <v>113419</v>
      </c>
      <c r="I2472" s="1">
        <v>152775</v>
      </c>
      <c r="J2472" s="7">
        <v>0.74199999999999999</v>
      </c>
      <c r="K2472" s="1" t="s">
        <v>21</v>
      </c>
      <c r="L2472" s="1" t="s">
        <v>21</v>
      </c>
      <c r="M2472" s="1" t="s">
        <v>29</v>
      </c>
      <c r="N2472" s="1" t="s">
        <v>22</v>
      </c>
    </row>
    <row r="2473" spans="1:14" x14ac:dyDescent="0.25">
      <c r="A2473" s="1">
        <v>2472</v>
      </c>
      <c r="B2473" s="2" t="str">
        <f>HYPERLINK("https://leetcode.com/problems/maximum-number-of-non-overlapping-palindrome-substrings/", "Maximum Number of Non-overlapping Palindrome Substrings")</f>
        <v>Maximum Number of Non-overlapping Palindrome Substrings</v>
      </c>
      <c r="C2473" s="1">
        <v>502</v>
      </c>
      <c r="D2473" s="1">
        <v>10</v>
      </c>
      <c r="E2473" s="3">
        <f>IF(INDEX(C:C, ROW())+INDEX(D:D, ROW())=0, 0, INDEX(C:C, ROW())/(INDEX(C:C, ROW())+INDEX(D:D, ROW())))</f>
        <v>0.98046875</v>
      </c>
      <c r="F2473" s="1" t="s">
        <v>920</v>
      </c>
      <c r="G2473" s="1" t="s">
        <v>28</v>
      </c>
      <c r="H2473" s="1">
        <v>23567</v>
      </c>
      <c r="I2473" s="1">
        <v>54434</v>
      </c>
      <c r="J2473" s="7">
        <v>0.433</v>
      </c>
      <c r="K2473" s="1" t="s">
        <v>21</v>
      </c>
      <c r="L2473" s="1" t="s">
        <v>29</v>
      </c>
      <c r="M2473" s="1" t="s">
        <v>29</v>
      </c>
      <c r="N2473" s="1" t="s">
        <v>22</v>
      </c>
    </row>
    <row r="2474" spans="1:14" x14ac:dyDescent="0.25">
      <c r="A2474" s="1">
        <v>2473</v>
      </c>
      <c r="B2474" s="2" t="str">
        <f>HYPERLINK("https://leetcode.com/problems/minimum-cost-to-buy-apples/", "Minimum Cost to Buy Apples")</f>
        <v>Minimum Cost to Buy Apples</v>
      </c>
      <c r="C2474" s="1">
        <v>117</v>
      </c>
      <c r="D2474" s="1">
        <v>27</v>
      </c>
      <c r="E2474" s="3">
        <f>IF(INDEX(C:C, ROW())+INDEX(D:D, ROW())=0, 0, INDEX(C:C, ROW())/(INDEX(C:C, ROW())+INDEX(D:D, ROW())))</f>
        <v>0.8125</v>
      </c>
      <c r="F2474" s="1" t="s">
        <v>318</v>
      </c>
      <c r="G2474" s="1" t="s">
        <v>24</v>
      </c>
      <c r="H2474" s="1">
        <v>7279</v>
      </c>
      <c r="I2474" s="1">
        <v>10825</v>
      </c>
      <c r="J2474" s="7">
        <v>0.67200000000000004</v>
      </c>
      <c r="K2474" s="1" t="s">
        <v>29</v>
      </c>
      <c r="L2474" s="1" t="s">
        <v>21</v>
      </c>
      <c r="M2474" s="1" t="s">
        <v>29</v>
      </c>
      <c r="N2474" s="1" t="s">
        <v>22</v>
      </c>
    </row>
    <row r="2475" spans="1:14" x14ac:dyDescent="0.25">
      <c r="A2475" s="1">
        <v>2474</v>
      </c>
      <c r="B2475" s="2" t="str">
        <f>HYPERLINK("https://leetcode.com/problems/customers-with-strictly-increasing-purchases/", "Customers With Strictly Increasing Purchases")</f>
        <v>Customers With Strictly Increasing Purchases</v>
      </c>
      <c r="C2475" s="1">
        <v>46</v>
      </c>
      <c r="D2475" s="1">
        <v>6</v>
      </c>
      <c r="E2475" s="3">
        <f>IF(INDEX(C:C, ROW())+INDEX(D:D, ROW())=0, 0, INDEX(C:C, ROW())/(INDEX(C:C, ROW())+INDEX(D:D, ROW())))</f>
        <v>0.88461538461538458</v>
      </c>
      <c r="F2475" s="1" t="s">
        <v>297</v>
      </c>
      <c r="G2475" s="1" t="s">
        <v>28</v>
      </c>
      <c r="H2475" s="1">
        <v>5673</v>
      </c>
      <c r="I2475" s="1">
        <v>11576</v>
      </c>
      <c r="J2475" s="7">
        <v>0.49</v>
      </c>
      <c r="K2475" s="1" t="s">
        <v>29</v>
      </c>
      <c r="L2475" s="1" t="s">
        <v>29</v>
      </c>
      <c r="M2475" s="1" t="s">
        <v>29</v>
      </c>
      <c r="N2475" s="1" t="s">
        <v>297</v>
      </c>
    </row>
    <row r="2476" spans="1:14" x14ac:dyDescent="0.25">
      <c r="A2476" s="1">
        <v>2475</v>
      </c>
      <c r="B2476" s="2" t="str">
        <f>HYPERLINK("https://leetcode.com/problems/number-of-unequal-triplets-in-array/", "Number of Unequal Triplets in Array")</f>
        <v>Number of Unequal Triplets in Array</v>
      </c>
      <c r="C2476" s="1">
        <v>451</v>
      </c>
      <c r="D2476" s="1">
        <v>49</v>
      </c>
      <c r="E2476" s="3">
        <f>IF(INDEX(C:C, ROW())+INDEX(D:D, ROW())=0, 0, INDEX(C:C, ROW())/(INDEX(C:C, ROW())+INDEX(D:D, ROW())))</f>
        <v>0.90200000000000002</v>
      </c>
      <c r="F2476" s="1" t="s">
        <v>92</v>
      </c>
      <c r="G2476" s="1" t="s">
        <v>20</v>
      </c>
      <c r="H2476" s="1">
        <v>60944</v>
      </c>
      <c r="I2476" s="1">
        <v>83179</v>
      </c>
      <c r="J2476" s="7">
        <v>0.73299999999999998</v>
      </c>
      <c r="K2476" s="1" t="s">
        <v>21</v>
      </c>
      <c r="L2476" s="1" t="s">
        <v>29</v>
      </c>
      <c r="M2476" s="1" t="s">
        <v>29</v>
      </c>
      <c r="N2476" s="1" t="s">
        <v>22</v>
      </c>
    </row>
    <row r="2477" spans="1:14" x14ac:dyDescent="0.25">
      <c r="A2477" s="1">
        <v>2476</v>
      </c>
      <c r="B2477" s="2" t="str">
        <f>HYPERLINK("https://leetcode.com/problems/closest-nodes-queries-in-a-binary-search-tree/", "Closest Nodes Queries in a Binary Search Tree")</f>
        <v>Closest Nodes Queries in a Binary Search Tree</v>
      </c>
      <c r="C2477" s="1">
        <v>535</v>
      </c>
      <c r="D2477" s="1">
        <v>142</v>
      </c>
      <c r="E2477" s="3">
        <f>IF(INDEX(C:C, ROW())+INDEX(D:D, ROW())=0, 0, INDEX(C:C, ROW())/(INDEX(C:C, ROW())+INDEX(D:D, ROW())))</f>
        <v>0.79025110782865582</v>
      </c>
      <c r="F2477" s="1" t="s">
        <v>893</v>
      </c>
      <c r="G2477" s="1" t="s">
        <v>24</v>
      </c>
      <c r="H2477" s="1">
        <v>37923</v>
      </c>
      <c r="I2477" s="1">
        <v>85974</v>
      </c>
      <c r="J2477" s="7">
        <v>0.441</v>
      </c>
      <c r="K2477" s="1" t="s">
        <v>21</v>
      </c>
      <c r="L2477" s="1" t="s">
        <v>29</v>
      </c>
      <c r="M2477" s="1" t="s">
        <v>29</v>
      </c>
      <c r="N2477" s="1" t="s">
        <v>22</v>
      </c>
    </row>
    <row r="2478" spans="1:14" x14ac:dyDescent="0.25">
      <c r="A2478" s="1">
        <v>2477</v>
      </c>
      <c r="B2478" s="2" t="str">
        <f>HYPERLINK("https://leetcode.com/problems/minimum-fuel-cost-to-report-to-the-capital/", "Minimum Fuel Cost to Report to the Capital")</f>
        <v>Minimum Fuel Cost to Report to the Capital</v>
      </c>
      <c r="C2478" s="1">
        <v>2311</v>
      </c>
      <c r="D2478" s="1">
        <v>96</v>
      </c>
      <c r="E2478" s="3">
        <f>IF(INDEX(C:C, ROW())+INDEX(D:D, ROW())=0, 0, INDEX(C:C, ROW())/(INDEX(C:C, ROW())+INDEX(D:D, ROW())))</f>
        <v>0.96011632737847941</v>
      </c>
      <c r="F2478" s="1" t="s">
        <v>455</v>
      </c>
      <c r="G2478" s="1" t="s">
        <v>24</v>
      </c>
      <c r="H2478" s="1">
        <v>86162</v>
      </c>
      <c r="I2478" s="1">
        <v>133102</v>
      </c>
      <c r="J2478" s="7">
        <v>0.64700000000000002</v>
      </c>
      <c r="K2478" s="1" t="s">
        <v>21</v>
      </c>
      <c r="L2478" s="1" t="s">
        <v>21</v>
      </c>
      <c r="M2478" s="1" t="s">
        <v>29</v>
      </c>
      <c r="N2478" s="1" t="s">
        <v>22</v>
      </c>
    </row>
    <row r="2479" spans="1:14" x14ac:dyDescent="0.25">
      <c r="A2479" s="1">
        <v>2478</v>
      </c>
      <c r="B2479" s="2" t="str">
        <f>HYPERLINK("https://leetcode.com/problems/number-of-beautiful-partitions/", "Number of Beautiful Partitions")</f>
        <v>Number of Beautiful Partitions</v>
      </c>
      <c r="C2479" s="1">
        <v>371</v>
      </c>
      <c r="D2479" s="1">
        <v>18</v>
      </c>
      <c r="E2479" s="3">
        <f>IF(INDEX(C:C, ROW())+INDEX(D:D, ROW())=0, 0, INDEX(C:C, ROW())/(INDEX(C:C, ROW())+INDEX(D:D, ROW())))</f>
        <v>0.95372750642673521</v>
      </c>
      <c r="F2479" s="1" t="s">
        <v>701</v>
      </c>
      <c r="G2479" s="1" t="s">
        <v>28</v>
      </c>
      <c r="H2479" s="1">
        <v>13155</v>
      </c>
      <c r="I2479" s="1">
        <v>40106</v>
      </c>
      <c r="J2479" s="7">
        <v>0.32800000000000001</v>
      </c>
      <c r="K2479" s="1" t="s">
        <v>21</v>
      </c>
      <c r="L2479" s="1" t="s">
        <v>29</v>
      </c>
      <c r="M2479" s="1" t="s">
        <v>29</v>
      </c>
      <c r="N2479" s="1" t="s">
        <v>22</v>
      </c>
    </row>
    <row r="2480" spans="1:14" x14ac:dyDescent="0.25">
      <c r="A2480" s="1">
        <v>2479</v>
      </c>
      <c r="B2480" s="2" t="str">
        <f>HYPERLINK("https://leetcode.com/problems/maximum-xor-of-two-non-overlapping-subtrees/", "Maximum XOR of Two Non-Overlapping Subtrees")</f>
        <v>Maximum XOR of Two Non-Overlapping Subtrees</v>
      </c>
      <c r="C2480" s="1">
        <v>32</v>
      </c>
      <c r="D2480" s="1">
        <v>5</v>
      </c>
      <c r="E2480" s="3">
        <f>IF(INDEX(C:C, ROW())+INDEX(D:D, ROW())=0, 0, INDEX(C:C, ROW())/(INDEX(C:C, ROW())+INDEX(D:D, ROW())))</f>
        <v>0.86486486486486491</v>
      </c>
      <c r="F2480" s="1" t="s">
        <v>1300</v>
      </c>
      <c r="G2480" s="1" t="s">
        <v>28</v>
      </c>
      <c r="H2480" s="1">
        <v>948</v>
      </c>
      <c r="I2480" s="1">
        <v>1824</v>
      </c>
      <c r="J2480" s="7">
        <v>0.52</v>
      </c>
      <c r="K2480" s="1" t="s">
        <v>29</v>
      </c>
      <c r="L2480" s="1" t="s">
        <v>29</v>
      </c>
      <c r="M2480" s="1" t="s">
        <v>29</v>
      </c>
      <c r="N2480" s="1" t="s">
        <v>22</v>
      </c>
    </row>
    <row r="2481" spans="1:14" x14ac:dyDescent="0.25">
      <c r="A2481" s="1">
        <v>2480</v>
      </c>
      <c r="B2481" s="2" t="str">
        <f>HYPERLINK("https://leetcode.com/problems/form-a-chemical-bond/", "Form a Chemical Bond")</f>
        <v>Form a Chemical Bond</v>
      </c>
      <c r="C2481" s="1">
        <v>31</v>
      </c>
      <c r="D2481" s="1">
        <v>11</v>
      </c>
      <c r="E2481" s="3">
        <f>IF(INDEX(C:C, ROW())+INDEX(D:D, ROW())=0, 0, INDEX(C:C, ROW())/(INDEX(C:C, ROW())+INDEX(D:D, ROW())))</f>
        <v>0.73809523809523814</v>
      </c>
      <c r="F2481" s="1" t="s">
        <v>297</v>
      </c>
      <c r="G2481" s="1" t="s">
        <v>20</v>
      </c>
      <c r="H2481" s="1">
        <v>7222</v>
      </c>
      <c r="I2481" s="1">
        <v>9044</v>
      </c>
      <c r="J2481" s="7">
        <v>0.79900000000000004</v>
      </c>
      <c r="K2481" s="1" t="s">
        <v>29</v>
      </c>
      <c r="L2481" s="1" t="s">
        <v>29</v>
      </c>
      <c r="M2481" s="1" t="s">
        <v>29</v>
      </c>
      <c r="N2481" s="1" t="s">
        <v>297</v>
      </c>
    </row>
    <row r="2482" spans="1:14" x14ac:dyDescent="0.25">
      <c r="A2482" s="1">
        <v>2481</v>
      </c>
      <c r="B2482" s="2" t="str">
        <f>HYPERLINK("https://leetcode.com/problems/minimum-cuts-to-divide-a-circle/", "Minimum Cuts to Divide a Circle")</f>
        <v>Minimum Cuts to Divide a Circle</v>
      </c>
      <c r="C2482" s="1">
        <v>321</v>
      </c>
      <c r="D2482" s="1">
        <v>63</v>
      </c>
      <c r="E2482" s="3">
        <f>IF(INDEX(C:C, ROW())+INDEX(D:D, ROW())=0, 0, INDEX(C:C, ROW())/(INDEX(C:C, ROW())+INDEX(D:D, ROW())))</f>
        <v>0.8359375</v>
      </c>
      <c r="F2482" s="1" t="s">
        <v>477</v>
      </c>
      <c r="G2482" s="1" t="s">
        <v>20</v>
      </c>
      <c r="H2482" s="1">
        <v>71224</v>
      </c>
      <c r="I2482" s="1">
        <v>127062</v>
      </c>
      <c r="J2482" s="7">
        <v>0.56100000000000005</v>
      </c>
      <c r="K2482" s="1" t="s">
        <v>21</v>
      </c>
      <c r="L2482" s="1" t="s">
        <v>29</v>
      </c>
      <c r="M2482" s="1" t="s">
        <v>29</v>
      </c>
      <c r="N2482" s="1" t="s">
        <v>22</v>
      </c>
    </row>
    <row r="2483" spans="1:14" x14ac:dyDescent="0.25">
      <c r="A2483" s="1">
        <v>2482</v>
      </c>
      <c r="B2483" s="2" t="str">
        <f>HYPERLINK("https://leetcode.com/problems/difference-between-ones-and-zeros-in-row-and-column/", "Difference Between Ones and Zeros in Row and Column")</f>
        <v>Difference Between Ones and Zeros in Row and Column</v>
      </c>
      <c r="C2483" s="1">
        <v>1241</v>
      </c>
      <c r="D2483" s="1">
        <v>86</v>
      </c>
      <c r="E2483" s="3">
        <f>IF(INDEX(C:C, ROW())+INDEX(D:D, ROW())=0, 0, INDEX(C:C, ROW())/(INDEX(C:C, ROW())+INDEX(D:D, ROW())))</f>
        <v>0.93519216277317252</v>
      </c>
      <c r="F2483" s="1" t="s">
        <v>77</v>
      </c>
      <c r="G2483" s="1" t="s">
        <v>24</v>
      </c>
      <c r="H2483" s="1">
        <v>142394</v>
      </c>
      <c r="I2483" s="1">
        <v>168670</v>
      </c>
      <c r="J2483" s="7">
        <v>0.84399999999999997</v>
      </c>
      <c r="K2483" s="1" t="s">
        <v>21</v>
      </c>
      <c r="L2483" s="1" t="s">
        <v>21</v>
      </c>
      <c r="M2483" s="1" t="s">
        <v>29</v>
      </c>
      <c r="N2483" s="1" t="s">
        <v>22</v>
      </c>
    </row>
    <row r="2484" spans="1:14" x14ac:dyDescent="0.25">
      <c r="A2484" s="1">
        <v>2483</v>
      </c>
      <c r="B2484" s="2" t="str">
        <f>HYPERLINK("https://leetcode.com/problems/minimum-penalty-for-a-shop/", "Minimum Penalty for a Shop")</f>
        <v>Minimum Penalty for a Shop</v>
      </c>
      <c r="C2484" s="1">
        <v>2450</v>
      </c>
      <c r="D2484" s="1">
        <v>136</v>
      </c>
      <c r="E2484" s="3">
        <f>IF(INDEX(C:C, ROW())+INDEX(D:D, ROW())=0, 0, INDEX(C:C, ROW())/(INDEX(C:C, ROW())+INDEX(D:D, ROW())))</f>
        <v>0.94740912606341843</v>
      </c>
      <c r="F2484" s="1" t="s">
        <v>438</v>
      </c>
      <c r="G2484" s="1" t="s">
        <v>24</v>
      </c>
      <c r="H2484" s="1">
        <v>231536</v>
      </c>
      <c r="I2484" s="1">
        <v>325082</v>
      </c>
      <c r="J2484" s="7">
        <v>0.71199999999999997</v>
      </c>
      <c r="K2484" s="1" t="s">
        <v>21</v>
      </c>
      <c r="L2484" s="1" t="s">
        <v>21</v>
      </c>
      <c r="M2484" s="1" t="s">
        <v>21</v>
      </c>
      <c r="N2484" s="1" t="s">
        <v>22</v>
      </c>
    </row>
    <row r="2485" spans="1:14" x14ac:dyDescent="0.25">
      <c r="A2485" s="1">
        <v>2484</v>
      </c>
      <c r="B2485" s="2" t="str">
        <f>HYPERLINK("https://leetcode.com/problems/count-palindromic-subsequences/", "Count Palindromic Subsequences")</f>
        <v>Count Palindromic Subsequences</v>
      </c>
      <c r="C2485" s="1">
        <v>609</v>
      </c>
      <c r="D2485" s="1">
        <v>31</v>
      </c>
      <c r="E2485" s="3">
        <f>IF(INDEX(C:C, ROW())+INDEX(D:D, ROW())=0, 0, INDEX(C:C, ROW())/(INDEX(C:C, ROW())+INDEX(D:D, ROW())))</f>
        <v>0.95156249999999998</v>
      </c>
      <c r="F2485" s="1" t="s">
        <v>82</v>
      </c>
      <c r="G2485" s="1" t="s">
        <v>28</v>
      </c>
      <c r="H2485" s="1">
        <v>21191</v>
      </c>
      <c r="I2485" s="1">
        <v>51714</v>
      </c>
      <c r="J2485" s="7">
        <v>0.41</v>
      </c>
      <c r="K2485" s="1" t="s">
        <v>21</v>
      </c>
      <c r="L2485" s="1" t="s">
        <v>29</v>
      </c>
      <c r="M2485" s="1" t="s">
        <v>29</v>
      </c>
      <c r="N2485" s="1" t="s">
        <v>22</v>
      </c>
    </row>
    <row r="2486" spans="1:14" x14ac:dyDescent="0.25">
      <c r="A2486" s="1">
        <v>2485</v>
      </c>
      <c r="B2486" s="2" t="str">
        <f>HYPERLINK("https://leetcode.com/problems/find-the-pivot-integer/", "Find the Pivot Integer")</f>
        <v>Find the Pivot Integer</v>
      </c>
      <c r="C2486" s="1">
        <v>1430</v>
      </c>
      <c r="D2486" s="1">
        <v>60</v>
      </c>
      <c r="E2486" s="3">
        <f>IF(INDEX(C:C, ROW())+INDEX(D:D, ROW())=0, 0, INDEX(C:C, ROW())/(INDEX(C:C, ROW())+INDEX(D:D, ROW())))</f>
        <v>0.95973154362416102</v>
      </c>
      <c r="F2486" s="1" t="s">
        <v>608</v>
      </c>
      <c r="G2486" s="1" t="s">
        <v>20</v>
      </c>
      <c r="H2486" s="1">
        <v>296990</v>
      </c>
      <c r="I2486" s="1">
        <v>354331</v>
      </c>
      <c r="J2486" s="7">
        <v>0.83799999999999997</v>
      </c>
      <c r="K2486" s="1" t="s">
        <v>21</v>
      </c>
      <c r="L2486" s="1" t="s">
        <v>21</v>
      </c>
      <c r="M2486" s="1" t="s">
        <v>29</v>
      </c>
      <c r="N2486" s="1" t="s">
        <v>22</v>
      </c>
    </row>
    <row r="2487" spans="1:14" x14ac:dyDescent="0.25">
      <c r="A2487" s="1">
        <v>2486</v>
      </c>
      <c r="B2487" s="2" t="str">
        <f>HYPERLINK("https://leetcode.com/problems/append-characters-to-string-to-make-subsequence/", "Append Characters to String to Make Subsequence")</f>
        <v>Append Characters to String to Make Subsequence</v>
      </c>
      <c r="C2487" s="1">
        <v>1187</v>
      </c>
      <c r="D2487" s="1">
        <v>90</v>
      </c>
      <c r="E2487" s="3">
        <f>IF(INDEX(C:C, ROW())+INDEX(D:D, ROW())=0, 0, INDEX(C:C, ROW())/(INDEX(C:C, ROW())+INDEX(D:D, ROW())))</f>
        <v>0.92952231793265461</v>
      </c>
      <c r="F2487" s="1" t="s">
        <v>158</v>
      </c>
      <c r="G2487" s="1" t="s">
        <v>24</v>
      </c>
      <c r="H2487" s="1">
        <v>220376</v>
      </c>
      <c r="I2487" s="1">
        <v>301924</v>
      </c>
      <c r="J2487" s="7">
        <v>0.73</v>
      </c>
      <c r="K2487" s="1" t="s">
        <v>21</v>
      </c>
      <c r="L2487" s="1" t="s">
        <v>21</v>
      </c>
      <c r="M2487" s="1" t="s">
        <v>29</v>
      </c>
      <c r="N2487" s="1" t="s">
        <v>22</v>
      </c>
    </row>
    <row r="2488" spans="1:14" x14ac:dyDescent="0.25">
      <c r="A2488" s="1">
        <v>2487</v>
      </c>
      <c r="B2488" s="2" t="str">
        <f>HYPERLINK("https://leetcode.com/problems/remove-nodes-from-linked-list/", "Remove Nodes From Linked List")</f>
        <v>Remove Nodes From Linked List</v>
      </c>
      <c r="C2488" s="1">
        <v>2398</v>
      </c>
      <c r="D2488" s="1">
        <v>88</v>
      </c>
      <c r="E2488" s="3">
        <f>IF(INDEX(C:C, ROW())+INDEX(D:D, ROW())=0, 0, INDEX(C:C, ROW())/(INDEX(C:C, ROW())+INDEX(D:D, ROW())))</f>
        <v>0.96460176991150437</v>
      </c>
      <c r="F2488" s="1" t="s">
        <v>442</v>
      </c>
      <c r="G2488" s="1" t="s">
        <v>24</v>
      </c>
      <c r="H2488" s="1">
        <v>262724</v>
      </c>
      <c r="I2488" s="1">
        <v>351242</v>
      </c>
      <c r="J2488" s="7">
        <v>0.748</v>
      </c>
      <c r="K2488" s="1" t="s">
        <v>21</v>
      </c>
      <c r="L2488" s="1" t="s">
        <v>21</v>
      </c>
      <c r="M2488" s="1" t="s">
        <v>29</v>
      </c>
      <c r="N2488" s="1" t="s">
        <v>22</v>
      </c>
    </row>
    <row r="2489" spans="1:14" x14ac:dyDescent="0.25">
      <c r="A2489" s="1">
        <v>2488</v>
      </c>
      <c r="B2489" s="2" t="str">
        <f>HYPERLINK("https://leetcode.com/problems/count-subarrays-with-median-k/", "Count Subarrays With Median K")</f>
        <v>Count Subarrays With Median K</v>
      </c>
      <c r="C2489" s="1">
        <v>653</v>
      </c>
      <c r="D2489" s="1">
        <v>17</v>
      </c>
      <c r="E2489" s="3">
        <f>IF(INDEX(C:C, ROW())+INDEX(D:D, ROW())=0, 0, INDEX(C:C, ROW())/(INDEX(C:C, ROW())+INDEX(D:D, ROW())))</f>
        <v>0.97462686567164181</v>
      </c>
      <c r="F2489" s="1" t="s">
        <v>39</v>
      </c>
      <c r="G2489" s="1" t="s">
        <v>28</v>
      </c>
      <c r="H2489" s="1">
        <v>19096</v>
      </c>
      <c r="I2489" s="1">
        <v>40103</v>
      </c>
      <c r="J2489" s="7">
        <v>0.47599999999999998</v>
      </c>
      <c r="K2489" s="1" t="s">
        <v>21</v>
      </c>
      <c r="L2489" s="1" t="s">
        <v>29</v>
      </c>
      <c r="M2489" s="1" t="s">
        <v>29</v>
      </c>
      <c r="N2489" s="1" t="s">
        <v>22</v>
      </c>
    </row>
    <row r="2490" spans="1:14" x14ac:dyDescent="0.25">
      <c r="A2490" s="1">
        <v>2489</v>
      </c>
      <c r="B2490" s="2" t="str">
        <f>HYPERLINK("https://leetcode.com/problems/number-of-substrings-with-fixed-ratio/", "Number of Substrings With Fixed Ratio")</f>
        <v>Number of Substrings With Fixed Ratio</v>
      </c>
      <c r="C2490" s="1">
        <v>55</v>
      </c>
      <c r="D2490" s="1">
        <v>3</v>
      </c>
      <c r="E2490" s="3">
        <f>IF(INDEX(C:C, ROW())+INDEX(D:D, ROW())=0, 0, INDEX(C:C, ROW())/(INDEX(C:C, ROW())+INDEX(D:D, ROW())))</f>
        <v>0.94827586206896552</v>
      </c>
      <c r="F2490" s="1" t="s">
        <v>1253</v>
      </c>
      <c r="G2490" s="1" t="s">
        <v>24</v>
      </c>
      <c r="H2490" s="1">
        <v>1681</v>
      </c>
      <c r="I2490" s="1">
        <v>2945</v>
      </c>
      <c r="J2490" s="7">
        <v>0.57099999999999995</v>
      </c>
      <c r="K2490" s="1" t="s">
        <v>29</v>
      </c>
      <c r="L2490" s="1" t="s">
        <v>29</v>
      </c>
      <c r="M2490" s="1" t="s">
        <v>29</v>
      </c>
      <c r="N2490" s="1" t="s">
        <v>22</v>
      </c>
    </row>
    <row r="2491" spans="1:14" x14ac:dyDescent="0.25">
      <c r="A2491" s="1">
        <v>2490</v>
      </c>
      <c r="B2491" s="2" t="str">
        <f>HYPERLINK("https://leetcode.com/problems/circular-sentence/", "Circular Sentence")</f>
        <v>Circular Sentence</v>
      </c>
      <c r="C2491" s="1">
        <v>761</v>
      </c>
      <c r="D2491" s="1">
        <v>28</v>
      </c>
      <c r="E2491" s="3">
        <f>IF(INDEX(C:C, ROW())+INDEX(D:D, ROW())=0, 0, INDEX(C:C, ROW())/(INDEX(C:C, ROW())+INDEX(D:D, ROW())))</f>
        <v>0.96451204055766793</v>
      </c>
      <c r="F2491" s="1" t="s">
        <v>146</v>
      </c>
      <c r="G2491" s="1" t="s">
        <v>20</v>
      </c>
      <c r="H2491" s="1">
        <v>188128</v>
      </c>
      <c r="I2491" s="1">
        <v>268000</v>
      </c>
      <c r="J2491" s="7">
        <v>0.70199999999999996</v>
      </c>
      <c r="K2491" s="1" t="s">
        <v>21</v>
      </c>
      <c r="L2491" s="1" t="s">
        <v>21</v>
      </c>
      <c r="M2491" s="1" t="s">
        <v>29</v>
      </c>
      <c r="N2491" s="1" t="s">
        <v>22</v>
      </c>
    </row>
    <row r="2492" spans="1:14" x14ac:dyDescent="0.25">
      <c r="A2492" s="1">
        <v>2491</v>
      </c>
      <c r="B2492" s="2" t="str">
        <f>HYPERLINK("https://leetcode.com/problems/divide-players-into-teams-of-equal-skill/", "Divide Players Into Teams of Equal Skill")</f>
        <v>Divide Players Into Teams of Equal Skill</v>
      </c>
      <c r="C2492" s="1">
        <v>1076</v>
      </c>
      <c r="D2492" s="1">
        <v>35</v>
      </c>
      <c r="E2492" s="3">
        <f>IF(INDEX(C:C, ROW())+INDEX(D:D, ROW())=0, 0, INDEX(C:C, ROW())/(INDEX(C:C, ROW())+INDEX(D:D, ROW())))</f>
        <v>0.96849684968496852</v>
      </c>
      <c r="F2492" s="1" t="s">
        <v>347</v>
      </c>
      <c r="G2492" s="1" t="s">
        <v>24</v>
      </c>
      <c r="H2492" s="1">
        <v>200220</v>
      </c>
      <c r="I2492" s="1">
        <v>290616</v>
      </c>
      <c r="J2492" s="7">
        <v>0.68899999999999995</v>
      </c>
      <c r="K2492" s="1" t="s">
        <v>21</v>
      </c>
      <c r="L2492" s="1" t="s">
        <v>21</v>
      </c>
      <c r="M2492" s="1" t="s">
        <v>29</v>
      </c>
      <c r="N2492" s="1" t="s">
        <v>22</v>
      </c>
    </row>
    <row r="2493" spans="1:14" x14ac:dyDescent="0.25">
      <c r="A2493" s="1">
        <v>2492</v>
      </c>
      <c r="B2493" s="2" t="str">
        <f>HYPERLINK("https://leetcode.com/problems/minimum-score-of-a-path-between-two-cities/", "Minimum Score of a Path Between Two Cities")</f>
        <v>Minimum Score of a Path Between Two Cities</v>
      </c>
      <c r="C2493" s="1">
        <v>1904</v>
      </c>
      <c r="D2493" s="1">
        <v>323</v>
      </c>
      <c r="E2493" s="3">
        <f>IF(INDEX(C:C, ROW())+INDEX(D:D, ROW())=0, 0, INDEX(C:C, ROW())/(INDEX(C:C, ROW())+INDEX(D:D, ROW())))</f>
        <v>0.85496183206106868</v>
      </c>
      <c r="F2493" s="1" t="s">
        <v>122</v>
      </c>
      <c r="G2493" s="1" t="s">
        <v>24</v>
      </c>
      <c r="H2493" s="1">
        <v>108026</v>
      </c>
      <c r="I2493" s="1">
        <v>184489</v>
      </c>
      <c r="J2493" s="7">
        <v>0.58599999999999997</v>
      </c>
      <c r="K2493" s="1" t="s">
        <v>21</v>
      </c>
      <c r="L2493" s="1" t="s">
        <v>21</v>
      </c>
      <c r="M2493" s="1" t="s">
        <v>29</v>
      </c>
      <c r="N2493" s="1" t="s">
        <v>22</v>
      </c>
    </row>
    <row r="2494" spans="1:14" x14ac:dyDescent="0.25">
      <c r="A2494" s="1">
        <v>2493</v>
      </c>
      <c r="B2494" s="2" t="str">
        <f>HYPERLINK("https://leetcode.com/problems/divide-nodes-into-the-maximum-number-of-groups/", "Divide Nodes Into the Maximum Number of Groups")</f>
        <v>Divide Nodes Into the Maximum Number of Groups</v>
      </c>
      <c r="C2494" s="1">
        <v>985</v>
      </c>
      <c r="D2494" s="1">
        <v>74</v>
      </c>
      <c r="E2494" s="3">
        <f>IF(INDEX(C:C, ROW())+INDEX(D:D, ROW())=0, 0, INDEX(C:C, ROW())/(INDEX(C:C, ROW())+INDEX(D:D, ROW())))</f>
        <v>0.93012275731822469</v>
      </c>
      <c r="F2494" s="1" t="s">
        <v>122</v>
      </c>
      <c r="G2494" s="1" t="s">
        <v>28</v>
      </c>
      <c r="H2494" s="1">
        <v>86023</v>
      </c>
      <c r="I2494" s="1">
        <v>128329</v>
      </c>
      <c r="J2494" s="7">
        <v>0.67</v>
      </c>
      <c r="K2494" s="1" t="s">
        <v>21</v>
      </c>
      <c r="L2494" s="1" t="s">
        <v>21</v>
      </c>
      <c r="M2494" s="1" t="s">
        <v>29</v>
      </c>
      <c r="N2494" s="1" t="s">
        <v>22</v>
      </c>
    </row>
    <row r="2495" spans="1:14" x14ac:dyDescent="0.25">
      <c r="A2495" s="1">
        <v>2494</v>
      </c>
      <c r="B2495" s="2" t="str">
        <f>HYPERLINK("https://leetcode.com/problems/merge-overlapping-events-in-the-same-hall/", "Merge Overlapping Events in the Same Hall")</f>
        <v>Merge Overlapping Events in the Same Hall</v>
      </c>
      <c r="C2495" s="1">
        <v>54</v>
      </c>
      <c r="D2495" s="1">
        <v>8</v>
      </c>
      <c r="E2495" s="3">
        <f>IF(INDEX(C:C, ROW())+INDEX(D:D, ROW())=0, 0, INDEX(C:C, ROW())/(INDEX(C:C, ROW())+INDEX(D:D, ROW())))</f>
        <v>0.87096774193548387</v>
      </c>
      <c r="F2495" s="1" t="s">
        <v>297</v>
      </c>
      <c r="G2495" s="1" t="s">
        <v>28</v>
      </c>
      <c r="H2495" s="1">
        <v>3079</v>
      </c>
      <c r="I2495" s="1">
        <v>8291</v>
      </c>
      <c r="J2495" s="7">
        <v>0.371</v>
      </c>
      <c r="K2495" s="1" t="s">
        <v>29</v>
      </c>
      <c r="L2495" s="1" t="s">
        <v>29</v>
      </c>
      <c r="M2495" s="1" t="s">
        <v>29</v>
      </c>
      <c r="N2495" s="1" t="s">
        <v>297</v>
      </c>
    </row>
    <row r="2496" spans="1:14" x14ac:dyDescent="0.25">
      <c r="A2496" s="1">
        <v>2495</v>
      </c>
      <c r="B2496" s="2" t="str">
        <f>HYPERLINK("https://leetcode.com/problems/number-of-subarrays-having-even-product/", "Number of Subarrays Having Even Product")</f>
        <v>Number of Subarrays Having Even Product</v>
      </c>
      <c r="C2496" s="1">
        <v>54</v>
      </c>
      <c r="D2496" s="1">
        <v>5</v>
      </c>
      <c r="E2496" s="3">
        <f>IF(INDEX(C:C, ROW())+INDEX(D:D, ROW())=0, 0, INDEX(C:C, ROW())/(INDEX(C:C, ROW())+INDEX(D:D, ROW())))</f>
        <v>0.9152542372881356</v>
      </c>
      <c r="F2496" s="1" t="s">
        <v>457</v>
      </c>
      <c r="G2496" s="1" t="s">
        <v>24</v>
      </c>
      <c r="H2496" s="1">
        <v>2753</v>
      </c>
      <c r="I2496" s="1">
        <v>4357</v>
      </c>
      <c r="J2496" s="7">
        <v>0.63200000000000001</v>
      </c>
      <c r="K2496" s="1" t="s">
        <v>29</v>
      </c>
      <c r="L2496" s="1" t="s">
        <v>29</v>
      </c>
      <c r="M2496" s="1" t="s">
        <v>29</v>
      </c>
      <c r="N2496" s="1" t="s">
        <v>22</v>
      </c>
    </row>
    <row r="2497" spans="1:14" x14ac:dyDescent="0.25">
      <c r="A2497" s="1">
        <v>2496</v>
      </c>
      <c r="B2497" s="2" t="str">
        <f>HYPERLINK("https://leetcode.com/problems/maximum-value-of-a-string-in-an-array/", "Maximum Value of a String in an Array")</f>
        <v>Maximum Value of a String in an Array</v>
      </c>
      <c r="C2497" s="1">
        <v>435</v>
      </c>
      <c r="D2497" s="1">
        <v>24</v>
      </c>
      <c r="E2497" s="3">
        <f>IF(INDEX(C:C, ROW())+INDEX(D:D, ROW())=0, 0, INDEX(C:C, ROW())/(INDEX(C:C, ROW())+INDEX(D:D, ROW())))</f>
        <v>0.94771241830065356</v>
      </c>
      <c r="F2497" s="1" t="s">
        <v>369</v>
      </c>
      <c r="G2497" s="1" t="s">
        <v>20</v>
      </c>
      <c r="H2497" s="1">
        <v>63366</v>
      </c>
      <c r="I2497" s="1">
        <v>85480</v>
      </c>
      <c r="J2497" s="7">
        <v>0.74099999999999999</v>
      </c>
      <c r="K2497" s="1" t="s">
        <v>21</v>
      </c>
      <c r="L2497" s="1" t="s">
        <v>29</v>
      </c>
      <c r="M2497" s="1" t="s">
        <v>29</v>
      </c>
      <c r="N2497" s="1" t="s">
        <v>22</v>
      </c>
    </row>
    <row r="2498" spans="1:14" x14ac:dyDescent="0.25">
      <c r="A2498" s="1">
        <v>2497</v>
      </c>
      <c r="B2498" s="2" t="str">
        <f>HYPERLINK("https://leetcode.com/problems/maximum-star-sum-of-a-graph/", "Maximum Star Sum of a Graph")</f>
        <v>Maximum Star Sum of a Graph</v>
      </c>
      <c r="C2498" s="1">
        <v>451</v>
      </c>
      <c r="D2498" s="1">
        <v>60</v>
      </c>
      <c r="E2498" s="3">
        <f>IF(INDEX(C:C, ROW())+INDEX(D:D, ROW())=0, 0, INDEX(C:C, ROW())/(INDEX(C:C, ROW())+INDEX(D:D, ROW())))</f>
        <v>0.88258317025440314</v>
      </c>
      <c r="F2498" s="1" t="s">
        <v>951</v>
      </c>
      <c r="G2498" s="1" t="s">
        <v>24</v>
      </c>
      <c r="H2498" s="1">
        <v>30260</v>
      </c>
      <c r="I2498" s="1">
        <v>72123</v>
      </c>
      <c r="J2498" s="7">
        <v>0.42</v>
      </c>
      <c r="K2498" s="1" t="s">
        <v>21</v>
      </c>
      <c r="L2498" s="1" t="s">
        <v>29</v>
      </c>
      <c r="M2498" s="1" t="s">
        <v>29</v>
      </c>
      <c r="N2498" s="1" t="s">
        <v>22</v>
      </c>
    </row>
    <row r="2499" spans="1:14" x14ac:dyDescent="0.25">
      <c r="A2499" s="1">
        <v>2498</v>
      </c>
      <c r="B2499" s="2" t="str">
        <f>HYPERLINK("https://leetcode.com/problems/frog-jump-ii/", "Frog Jump II")</f>
        <v>Frog Jump II</v>
      </c>
      <c r="C2499" s="1">
        <v>867</v>
      </c>
      <c r="D2499" s="1">
        <v>127</v>
      </c>
      <c r="E2499" s="3">
        <f>IF(INDEX(C:C, ROW())+INDEX(D:D, ROW())=0, 0, INDEX(C:C, ROW())/(INDEX(C:C, ROW())+INDEX(D:D, ROW())))</f>
        <v>0.87223340040241448</v>
      </c>
      <c r="F2499" s="1" t="s">
        <v>533</v>
      </c>
      <c r="G2499" s="1" t="s">
        <v>24</v>
      </c>
      <c r="H2499" s="1">
        <v>37565</v>
      </c>
      <c r="I2499" s="1">
        <v>60169</v>
      </c>
      <c r="J2499" s="7">
        <v>0.624</v>
      </c>
      <c r="K2499" s="1" t="s">
        <v>21</v>
      </c>
      <c r="L2499" s="1" t="s">
        <v>29</v>
      </c>
      <c r="M2499" s="1" t="s">
        <v>29</v>
      </c>
      <c r="N2499" s="1" t="s">
        <v>22</v>
      </c>
    </row>
    <row r="2500" spans="1:14" x14ac:dyDescent="0.25">
      <c r="A2500" s="1">
        <v>2499</v>
      </c>
      <c r="B2500" s="2" t="str">
        <f>HYPERLINK("https://leetcode.com/problems/minimum-total-cost-to-make-arrays-unequal/", "Minimum Total Cost to Make Arrays Unequal")</f>
        <v>Minimum Total Cost to Make Arrays Unequal</v>
      </c>
      <c r="C2500" s="1">
        <v>234</v>
      </c>
      <c r="D2500" s="1">
        <v>12</v>
      </c>
      <c r="E2500" s="3">
        <f>IF(INDEX(C:C, ROW())+INDEX(D:D, ROW())=0, 0, INDEX(C:C, ROW())/(INDEX(C:C, ROW())+INDEX(D:D, ROW())))</f>
        <v>0.95121951219512191</v>
      </c>
      <c r="F2500" s="1" t="s">
        <v>389</v>
      </c>
      <c r="G2500" s="1" t="s">
        <v>28</v>
      </c>
      <c r="H2500" s="1">
        <v>6247</v>
      </c>
      <c r="I2500" s="1">
        <v>15162</v>
      </c>
      <c r="J2500" s="7">
        <v>0.41199999999999998</v>
      </c>
      <c r="K2500" s="1" t="s">
        <v>21</v>
      </c>
      <c r="L2500" s="1" t="s">
        <v>29</v>
      </c>
      <c r="M2500" s="1" t="s">
        <v>29</v>
      </c>
      <c r="N2500" s="1" t="s">
        <v>22</v>
      </c>
    </row>
    <row r="2501" spans="1:14" x14ac:dyDescent="0.25">
      <c r="A2501" s="1">
        <v>2500</v>
      </c>
      <c r="B2501" s="2" t="str">
        <f>HYPERLINK("https://leetcode.com/problems/delete-greatest-value-in-each-row/", "Delete Greatest Value in Each Row")</f>
        <v>Delete Greatest Value in Each Row</v>
      </c>
      <c r="C2501" s="1">
        <v>705</v>
      </c>
      <c r="D2501" s="1">
        <v>53</v>
      </c>
      <c r="E2501" s="3">
        <f>IF(INDEX(C:C, ROW())+INDEX(D:D, ROW())=0, 0, INDEX(C:C, ROW())/(INDEX(C:C, ROW())+INDEX(D:D, ROW())))</f>
        <v>0.93007915567282318</v>
      </c>
      <c r="F2501" s="1" t="s">
        <v>801</v>
      </c>
      <c r="G2501" s="1" t="s">
        <v>20</v>
      </c>
      <c r="H2501" s="1">
        <v>90161</v>
      </c>
      <c r="I2501" s="1">
        <v>113006</v>
      </c>
      <c r="J2501" s="7">
        <v>0.79800000000000004</v>
      </c>
      <c r="K2501" s="1" t="s">
        <v>21</v>
      </c>
      <c r="L2501" s="1" t="s">
        <v>29</v>
      </c>
      <c r="M2501" s="1" t="s">
        <v>29</v>
      </c>
      <c r="N2501" s="1" t="s">
        <v>22</v>
      </c>
    </row>
    <row r="2502" spans="1:14" x14ac:dyDescent="0.25">
      <c r="A2502" s="1">
        <v>2501</v>
      </c>
      <c r="B2502" s="2" t="str">
        <f>HYPERLINK("https://leetcode.com/problems/longest-square-streak-in-an-array/", "Longest Square Streak in an Array")</f>
        <v>Longest Square Streak in an Array</v>
      </c>
      <c r="C2502" s="1">
        <v>1008</v>
      </c>
      <c r="D2502" s="1">
        <v>34</v>
      </c>
      <c r="E2502" s="3">
        <f>IF(INDEX(C:C, ROW())+INDEX(D:D, ROW())=0, 0, INDEX(C:C, ROW())/(INDEX(C:C, ROW())+INDEX(D:D, ROW())))</f>
        <v>0.96737044145873319</v>
      </c>
      <c r="F2502" s="1" t="s">
        <v>612</v>
      </c>
      <c r="G2502" s="1" t="s">
        <v>24</v>
      </c>
      <c r="H2502" s="1">
        <v>155392</v>
      </c>
      <c r="I2502" s="1">
        <v>292627</v>
      </c>
      <c r="J2502" s="7">
        <v>0.53100000000000003</v>
      </c>
      <c r="K2502" s="1" t="s">
        <v>21</v>
      </c>
      <c r="L2502" s="1" t="s">
        <v>21</v>
      </c>
      <c r="M2502" s="1" t="s">
        <v>29</v>
      </c>
      <c r="N2502" s="1" t="s">
        <v>22</v>
      </c>
    </row>
    <row r="2503" spans="1:14" x14ac:dyDescent="0.25">
      <c r="A2503" s="1">
        <v>2502</v>
      </c>
      <c r="B2503" s="2" t="str">
        <f>HYPERLINK("https://leetcode.com/problems/design-memory-allocator/", "Design Memory Allocator")</f>
        <v>Design Memory Allocator</v>
      </c>
      <c r="C2503" s="1">
        <v>354</v>
      </c>
      <c r="D2503" s="1">
        <v>99</v>
      </c>
      <c r="E2503" s="3">
        <f>IF(INDEX(C:C, ROW())+INDEX(D:D, ROW())=0, 0, INDEX(C:C, ROW())/(INDEX(C:C, ROW())+INDEX(D:D, ROW())))</f>
        <v>0.7814569536423841</v>
      </c>
      <c r="F2503" s="1" t="s">
        <v>833</v>
      </c>
      <c r="G2503" s="1" t="s">
        <v>24</v>
      </c>
      <c r="H2503" s="1">
        <v>42787</v>
      </c>
      <c r="I2503" s="1">
        <v>86161</v>
      </c>
      <c r="J2503" s="7">
        <v>0.497</v>
      </c>
      <c r="K2503" s="1" t="s">
        <v>21</v>
      </c>
      <c r="L2503" s="1" t="s">
        <v>29</v>
      </c>
      <c r="M2503" s="1" t="s">
        <v>29</v>
      </c>
      <c r="N2503" s="1" t="s">
        <v>22</v>
      </c>
    </row>
    <row r="2504" spans="1:14" x14ac:dyDescent="0.25">
      <c r="A2504" s="1">
        <v>2503</v>
      </c>
      <c r="B2504" s="2" t="str">
        <f>HYPERLINK("https://leetcode.com/problems/maximum-number-of-points-from-grid-queries/", "Maximum Number of Points From Grid Queries")</f>
        <v>Maximum Number of Points From Grid Queries</v>
      </c>
      <c r="C2504" s="1">
        <v>1100</v>
      </c>
      <c r="D2504" s="1">
        <v>50</v>
      </c>
      <c r="E2504" s="3">
        <f>IF(INDEX(C:C, ROW())+INDEX(D:D, ROW())=0, 0, INDEX(C:C, ROW())/(INDEX(C:C, ROW())+INDEX(D:D, ROW())))</f>
        <v>0.95652173913043481</v>
      </c>
      <c r="F2504" s="1" t="s">
        <v>687</v>
      </c>
      <c r="G2504" s="1" t="s">
        <v>28</v>
      </c>
      <c r="H2504" s="1">
        <v>97018</v>
      </c>
      <c r="I2504" s="1">
        <v>163498</v>
      </c>
      <c r="J2504" s="7">
        <v>0.59299999999999997</v>
      </c>
      <c r="K2504" s="1" t="s">
        <v>21</v>
      </c>
      <c r="L2504" s="1" t="s">
        <v>21</v>
      </c>
      <c r="M2504" s="1" t="s">
        <v>29</v>
      </c>
      <c r="N2504" s="1" t="s">
        <v>22</v>
      </c>
    </row>
    <row r="2505" spans="1:14" x14ac:dyDescent="0.25">
      <c r="A2505" s="1">
        <v>2504</v>
      </c>
      <c r="B2505" s="2" t="str">
        <f>HYPERLINK("https://leetcode.com/problems/concatenate-the-name-and-the-profession/", "Concatenate the Name and the Profession")</f>
        <v>Concatenate the Name and the Profession</v>
      </c>
      <c r="C2505" s="1">
        <v>32</v>
      </c>
      <c r="D2505" s="1">
        <v>4</v>
      </c>
      <c r="E2505" s="3">
        <f>IF(INDEX(C:C, ROW())+INDEX(D:D, ROW())=0, 0, INDEX(C:C, ROW())/(INDEX(C:C, ROW())+INDEX(D:D, ROW())))</f>
        <v>0.88888888888888884</v>
      </c>
      <c r="F2505" s="1" t="s">
        <v>297</v>
      </c>
      <c r="G2505" s="1" t="s">
        <v>20</v>
      </c>
      <c r="H2505" s="1">
        <v>6927</v>
      </c>
      <c r="I2505" s="1">
        <v>8657</v>
      </c>
      <c r="J2505" s="7">
        <v>0.8</v>
      </c>
      <c r="K2505" s="1" t="s">
        <v>29</v>
      </c>
      <c r="L2505" s="1" t="s">
        <v>29</v>
      </c>
      <c r="M2505" s="1" t="s">
        <v>29</v>
      </c>
      <c r="N2505" s="1" t="s">
        <v>297</v>
      </c>
    </row>
    <row r="2506" spans="1:14" x14ac:dyDescent="0.25">
      <c r="A2506" s="1">
        <v>2505</v>
      </c>
      <c r="B2506" s="2" t="str">
        <f>HYPERLINK("https://leetcode.com/problems/bitwise-or-of-all-subsequence-sums/", "Bitwise OR of All Subsequence Sums")</f>
        <v>Bitwise OR of All Subsequence Sums</v>
      </c>
      <c r="C2506" s="1">
        <v>55</v>
      </c>
      <c r="D2506" s="1">
        <v>17</v>
      </c>
      <c r="E2506" s="3">
        <f>IF(INDEX(C:C, ROW())+INDEX(D:D, ROW())=0, 0, INDEX(C:C, ROW())/(INDEX(C:C, ROW())+INDEX(D:D, ROW())))</f>
        <v>0.76388888888888884</v>
      </c>
      <c r="F2506" s="1" t="s">
        <v>1254</v>
      </c>
      <c r="G2506" s="1" t="s">
        <v>24</v>
      </c>
      <c r="H2506" s="1">
        <v>4413</v>
      </c>
      <c r="I2506" s="1">
        <v>6879</v>
      </c>
      <c r="J2506" s="7">
        <v>0.64200000000000002</v>
      </c>
      <c r="K2506" s="1" t="s">
        <v>29</v>
      </c>
      <c r="L2506" s="1" t="s">
        <v>29</v>
      </c>
      <c r="M2506" s="1" t="s">
        <v>29</v>
      </c>
      <c r="N2506" s="1" t="s">
        <v>22</v>
      </c>
    </row>
    <row r="2507" spans="1:14" x14ac:dyDescent="0.25">
      <c r="A2507" s="1">
        <v>2506</v>
      </c>
      <c r="B2507" s="2" t="str">
        <f>HYPERLINK("https://leetcode.com/problems/count-pairs-of-similar-strings/", "Count Pairs Of Similar Strings")</f>
        <v>Count Pairs Of Similar Strings</v>
      </c>
      <c r="C2507" s="1">
        <v>586</v>
      </c>
      <c r="D2507" s="1">
        <v>41</v>
      </c>
      <c r="E2507" s="3">
        <f>IF(INDEX(C:C, ROW())+INDEX(D:D, ROW())=0, 0, INDEX(C:C, ROW())/(INDEX(C:C, ROW())+INDEX(D:D, ROW())))</f>
        <v>0.93460925039872411</v>
      </c>
      <c r="F2507" s="1" t="s">
        <v>460</v>
      </c>
      <c r="G2507" s="1" t="s">
        <v>20</v>
      </c>
      <c r="H2507" s="1">
        <v>70399</v>
      </c>
      <c r="I2507" s="1">
        <v>95744</v>
      </c>
      <c r="J2507" s="7">
        <v>0.73499999999999999</v>
      </c>
      <c r="K2507" s="1" t="s">
        <v>21</v>
      </c>
      <c r="L2507" s="1" t="s">
        <v>29</v>
      </c>
      <c r="M2507" s="1" t="s">
        <v>29</v>
      </c>
      <c r="N2507" s="1" t="s">
        <v>22</v>
      </c>
    </row>
    <row r="2508" spans="1:14" x14ac:dyDescent="0.25">
      <c r="A2508" s="1">
        <v>2507</v>
      </c>
      <c r="B2508" s="2" t="str">
        <f>HYPERLINK("https://leetcode.com/problems/smallest-value-after-replacing-with-sum-of-prime-factors/", "Smallest Value After Replacing With Sum of Prime Factors")</f>
        <v>Smallest Value After Replacing With Sum of Prime Factors</v>
      </c>
      <c r="C2508" s="1">
        <v>455</v>
      </c>
      <c r="D2508" s="1">
        <v>29</v>
      </c>
      <c r="E2508" s="3">
        <f>IF(INDEX(C:C, ROW())+INDEX(D:D, ROW())=0, 0, INDEX(C:C, ROW())/(INDEX(C:C, ROW())+INDEX(D:D, ROW())))</f>
        <v>0.94008264462809921</v>
      </c>
      <c r="F2508" s="1" t="s">
        <v>242</v>
      </c>
      <c r="G2508" s="1" t="s">
        <v>24</v>
      </c>
      <c r="H2508" s="1">
        <v>31832</v>
      </c>
      <c r="I2508" s="1">
        <v>63954</v>
      </c>
      <c r="J2508" s="7">
        <v>0.498</v>
      </c>
      <c r="K2508" s="1" t="s">
        <v>21</v>
      </c>
      <c r="L2508" s="1" t="s">
        <v>29</v>
      </c>
      <c r="M2508" s="1" t="s">
        <v>29</v>
      </c>
      <c r="N2508" s="1" t="s">
        <v>22</v>
      </c>
    </row>
    <row r="2509" spans="1:14" x14ac:dyDescent="0.25">
      <c r="A2509" s="1">
        <v>2508</v>
      </c>
      <c r="B2509" s="2" t="str">
        <f>HYPERLINK("https://leetcode.com/problems/add-edges-to-make-degrees-of-all-nodes-even/", "Add Edges to Make Degrees of All Nodes Even")</f>
        <v>Add Edges to Make Degrees of All Nodes Even</v>
      </c>
      <c r="C2509" s="1">
        <v>363</v>
      </c>
      <c r="D2509" s="1">
        <v>63</v>
      </c>
      <c r="E2509" s="3">
        <f>IF(INDEX(C:C, ROW())+INDEX(D:D, ROW())=0, 0, INDEX(C:C, ROW())/(INDEX(C:C, ROW())+INDEX(D:D, ROW())))</f>
        <v>0.852112676056338</v>
      </c>
      <c r="F2509" s="1" t="s">
        <v>933</v>
      </c>
      <c r="G2509" s="1" t="s">
        <v>28</v>
      </c>
      <c r="H2509" s="1">
        <v>21650</v>
      </c>
      <c r="I2509" s="1">
        <v>61417</v>
      </c>
      <c r="J2509" s="7">
        <v>0.35299999999999998</v>
      </c>
      <c r="K2509" s="1" t="s">
        <v>21</v>
      </c>
      <c r="L2509" s="1" t="s">
        <v>29</v>
      </c>
      <c r="M2509" s="1" t="s">
        <v>29</v>
      </c>
      <c r="N2509" s="1" t="s">
        <v>22</v>
      </c>
    </row>
    <row r="2510" spans="1:14" x14ac:dyDescent="0.25">
      <c r="A2510" s="1">
        <v>2509</v>
      </c>
      <c r="B2510" s="2" t="str">
        <f>HYPERLINK("https://leetcode.com/problems/cycle-length-queries-in-a-tree/", "Cycle Length Queries in a Tree")</f>
        <v>Cycle Length Queries in a Tree</v>
      </c>
      <c r="C2510" s="1">
        <v>389</v>
      </c>
      <c r="D2510" s="1">
        <v>31</v>
      </c>
      <c r="E2510" s="3">
        <f>IF(INDEX(C:C, ROW())+INDEX(D:D, ROW())=0, 0, INDEX(C:C, ROW())/(INDEX(C:C, ROW())+INDEX(D:D, ROW())))</f>
        <v>0.92619047619047623</v>
      </c>
      <c r="F2510" s="1" t="s">
        <v>990</v>
      </c>
      <c r="G2510" s="1" t="s">
        <v>28</v>
      </c>
      <c r="H2510" s="1">
        <v>18977</v>
      </c>
      <c r="I2510" s="1">
        <v>31554</v>
      </c>
      <c r="J2510" s="7">
        <v>0.60099999999999998</v>
      </c>
      <c r="K2510" s="1" t="s">
        <v>21</v>
      </c>
      <c r="L2510" s="1" t="s">
        <v>29</v>
      </c>
      <c r="M2510" s="1" t="s">
        <v>29</v>
      </c>
      <c r="N2510" s="1" t="s">
        <v>22</v>
      </c>
    </row>
    <row r="2511" spans="1:14" x14ac:dyDescent="0.25">
      <c r="A2511" s="1">
        <v>2510</v>
      </c>
      <c r="B2511" s="2" t="str">
        <f>HYPERLINK("https://leetcode.com/problems/check-if-there-is-a-path-with-equal-number-of-0s-and-1s/", "Check if There is a Path With Equal Number of 0's And 1's")</f>
        <v>Check if There is a Path With Equal Number of 0's And 1's</v>
      </c>
      <c r="C2511" s="1">
        <v>110</v>
      </c>
      <c r="D2511" s="1">
        <v>5</v>
      </c>
      <c r="E2511" s="3">
        <f>IF(INDEX(C:C, ROW())+INDEX(D:D, ROW())=0, 0, INDEX(C:C, ROW())/(INDEX(C:C, ROW())+INDEX(D:D, ROW())))</f>
        <v>0.95652173913043481</v>
      </c>
      <c r="F2511" s="1" t="s">
        <v>94</v>
      </c>
      <c r="G2511" s="1" t="s">
        <v>24</v>
      </c>
      <c r="H2511" s="1">
        <v>7725</v>
      </c>
      <c r="I2511" s="1">
        <v>14901</v>
      </c>
      <c r="J2511" s="7">
        <v>0.51800000000000002</v>
      </c>
      <c r="K2511" s="1" t="s">
        <v>29</v>
      </c>
      <c r="L2511" s="1" t="s">
        <v>29</v>
      </c>
      <c r="M2511" s="1" t="s">
        <v>29</v>
      </c>
      <c r="N2511" s="1" t="s">
        <v>22</v>
      </c>
    </row>
    <row r="2512" spans="1:14" x14ac:dyDescent="0.25">
      <c r="A2512" s="1">
        <v>2511</v>
      </c>
      <c r="B2512" s="2" t="str">
        <f>HYPERLINK("https://leetcode.com/problems/maximum-enemy-forts-that-can-be-captured/", "Maximum Enemy Forts That Can Be Captured")</f>
        <v>Maximum Enemy Forts That Can Be Captured</v>
      </c>
      <c r="C2512" s="1">
        <v>326</v>
      </c>
      <c r="D2512" s="1">
        <v>304</v>
      </c>
      <c r="E2512" s="3">
        <f>IF(INDEX(C:C, ROW())+INDEX(D:D, ROW())=0, 0, INDEX(C:C, ROW())/(INDEX(C:C, ROW())+INDEX(D:D, ROW())))</f>
        <v>0.51746031746031751</v>
      </c>
      <c r="F2512" s="1" t="s">
        <v>51</v>
      </c>
      <c r="G2512" s="1" t="s">
        <v>20</v>
      </c>
      <c r="H2512" s="1">
        <v>33930</v>
      </c>
      <c r="I2512" s="1">
        <v>82668</v>
      </c>
      <c r="J2512" s="7">
        <v>0.41</v>
      </c>
      <c r="K2512" s="1" t="s">
        <v>21</v>
      </c>
      <c r="L2512" s="1" t="s">
        <v>29</v>
      </c>
      <c r="M2512" s="1" t="s">
        <v>29</v>
      </c>
      <c r="N2512" s="1" t="s">
        <v>22</v>
      </c>
    </row>
    <row r="2513" spans="1:14" x14ac:dyDescent="0.25">
      <c r="A2513" s="1">
        <v>2512</v>
      </c>
      <c r="B2513" s="2" t="str">
        <f>HYPERLINK("https://leetcode.com/problems/reward-top-k-students/", "Reward Top K Students")</f>
        <v>Reward Top K Students</v>
      </c>
      <c r="C2513" s="1">
        <v>361</v>
      </c>
      <c r="D2513" s="1">
        <v>92</v>
      </c>
      <c r="E2513" s="3">
        <f>IF(INDEX(C:C, ROW())+INDEX(D:D, ROW())=0, 0, INDEX(C:C, ROW())/(INDEX(C:C, ROW())+INDEX(D:D, ROW())))</f>
        <v>0.79690949227373065</v>
      </c>
      <c r="F2513" s="1" t="s">
        <v>1009</v>
      </c>
      <c r="G2513" s="1" t="s">
        <v>24</v>
      </c>
      <c r="H2513" s="1">
        <v>29758</v>
      </c>
      <c r="I2513" s="1">
        <v>63561</v>
      </c>
      <c r="J2513" s="7">
        <v>0.46800000000000003</v>
      </c>
      <c r="K2513" s="1" t="s">
        <v>21</v>
      </c>
      <c r="L2513" s="1" t="s">
        <v>29</v>
      </c>
      <c r="M2513" s="1" t="s">
        <v>29</v>
      </c>
      <c r="N2513" s="1" t="s">
        <v>22</v>
      </c>
    </row>
    <row r="2514" spans="1:14" x14ac:dyDescent="0.25">
      <c r="A2514" s="1">
        <v>2513</v>
      </c>
      <c r="B2514" s="2" t="str">
        <f>HYPERLINK("https://leetcode.com/problems/minimize-the-maximum-of-two-arrays/", "Minimize the Maximum of Two Arrays")</f>
        <v>Minimize the Maximum of Two Arrays</v>
      </c>
      <c r="C2514" s="1">
        <v>523</v>
      </c>
      <c r="D2514" s="1">
        <v>101</v>
      </c>
      <c r="E2514" s="3">
        <f>IF(INDEX(C:C, ROW())+INDEX(D:D, ROW())=0, 0, INDEX(C:C, ROW())/(INDEX(C:C, ROW())+INDEX(D:D, ROW())))</f>
        <v>0.83814102564102566</v>
      </c>
      <c r="F2514" s="1" t="s">
        <v>902</v>
      </c>
      <c r="G2514" s="1" t="s">
        <v>24</v>
      </c>
      <c r="H2514" s="1">
        <v>16635</v>
      </c>
      <c r="I2514" s="1">
        <v>51760</v>
      </c>
      <c r="J2514" s="7">
        <v>0.32100000000000001</v>
      </c>
      <c r="K2514" s="1" t="s">
        <v>21</v>
      </c>
      <c r="L2514" s="1" t="s">
        <v>29</v>
      </c>
      <c r="M2514" s="1" t="s">
        <v>29</v>
      </c>
      <c r="N2514" s="1" t="s">
        <v>22</v>
      </c>
    </row>
    <row r="2515" spans="1:14" x14ac:dyDescent="0.25">
      <c r="A2515" s="1">
        <v>2514</v>
      </c>
      <c r="B2515" s="2" t="str">
        <f>HYPERLINK("https://leetcode.com/problems/count-anagrams/", "Count Anagrams")</f>
        <v>Count Anagrams</v>
      </c>
      <c r="C2515" s="1">
        <v>473</v>
      </c>
      <c r="D2515" s="1">
        <v>44</v>
      </c>
      <c r="E2515" s="3">
        <f>IF(INDEX(C:C, ROW())+INDEX(D:D, ROW())=0, 0, INDEX(C:C, ROW())/(INDEX(C:C, ROW())+INDEX(D:D, ROW())))</f>
        <v>0.91489361702127658</v>
      </c>
      <c r="F2515" s="1" t="s">
        <v>941</v>
      </c>
      <c r="G2515" s="1" t="s">
        <v>28</v>
      </c>
      <c r="H2515" s="1">
        <v>19454</v>
      </c>
      <c r="I2515" s="1">
        <v>52625</v>
      </c>
      <c r="J2515" s="7">
        <v>0.37</v>
      </c>
      <c r="K2515" s="1" t="s">
        <v>21</v>
      </c>
      <c r="L2515" s="1" t="s">
        <v>29</v>
      </c>
      <c r="M2515" s="1" t="s">
        <v>29</v>
      </c>
      <c r="N2515" s="1" t="s">
        <v>22</v>
      </c>
    </row>
    <row r="2516" spans="1:14" x14ac:dyDescent="0.25">
      <c r="A2516" s="1">
        <v>2515</v>
      </c>
      <c r="B2516" s="2" t="str">
        <f>HYPERLINK("https://leetcode.com/problems/shortest-distance-to-target-string-in-a-circular-array/", "Shortest Distance to Target String in a Circular Array")</f>
        <v>Shortest Distance to Target String in a Circular Array</v>
      </c>
      <c r="C2516" s="1">
        <v>375</v>
      </c>
      <c r="D2516" s="1">
        <v>24</v>
      </c>
      <c r="E2516" s="3">
        <f>IF(INDEX(C:C, ROW())+INDEX(D:D, ROW())=0, 0, INDEX(C:C, ROW())/(INDEX(C:C, ROW())+INDEX(D:D, ROW())))</f>
        <v>0.93984962406015038</v>
      </c>
      <c r="F2516" s="1" t="s">
        <v>369</v>
      </c>
      <c r="G2516" s="1" t="s">
        <v>20</v>
      </c>
      <c r="H2516" s="1">
        <v>38857</v>
      </c>
      <c r="I2516" s="1">
        <v>76836</v>
      </c>
      <c r="J2516" s="7">
        <v>0.50600000000000001</v>
      </c>
      <c r="K2516" s="1" t="s">
        <v>21</v>
      </c>
      <c r="L2516" s="1" t="s">
        <v>29</v>
      </c>
      <c r="M2516" s="1" t="s">
        <v>29</v>
      </c>
      <c r="N2516" s="1" t="s">
        <v>22</v>
      </c>
    </row>
    <row r="2517" spans="1:14" x14ac:dyDescent="0.25">
      <c r="A2517" s="1">
        <v>2516</v>
      </c>
      <c r="B2517" s="2" t="str">
        <f>HYPERLINK("https://leetcode.com/problems/take-k-of-each-character-from-left-and-right/", "Take K of Each Character From Left and Right")</f>
        <v>Take K of Each Character From Left and Right</v>
      </c>
      <c r="C2517" s="1">
        <v>1521</v>
      </c>
      <c r="D2517" s="1">
        <v>172</v>
      </c>
      <c r="E2517" s="3">
        <f>IF(INDEX(C:C, ROW())+INDEX(D:D, ROW())=0, 0, INDEX(C:C, ROW())/(INDEX(C:C, ROW())+INDEX(D:D, ROW())))</f>
        <v>0.89840519787359718</v>
      </c>
      <c r="F2517" s="1" t="s">
        <v>23</v>
      </c>
      <c r="G2517" s="1" t="s">
        <v>24</v>
      </c>
      <c r="H2517" s="1">
        <v>113928</v>
      </c>
      <c r="I2517" s="1">
        <v>221348</v>
      </c>
      <c r="J2517" s="7">
        <v>0.51500000000000001</v>
      </c>
      <c r="K2517" s="1" t="s">
        <v>21</v>
      </c>
      <c r="L2517" s="1" t="s">
        <v>21</v>
      </c>
      <c r="M2517" s="1" t="s">
        <v>29</v>
      </c>
      <c r="N2517" s="1" t="s">
        <v>22</v>
      </c>
    </row>
    <row r="2518" spans="1:14" x14ac:dyDescent="0.25">
      <c r="A2518" s="1">
        <v>2517</v>
      </c>
      <c r="B2518" s="2" t="str">
        <f>HYPERLINK("https://leetcode.com/problems/maximum-tastiness-of-candy-basket/", "Maximum Tastiness of Candy Basket")</f>
        <v>Maximum Tastiness of Candy Basket</v>
      </c>
      <c r="C2518" s="1">
        <v>1058</v>
      </c>
      <c r="D2518" s="1">
        <v>184</v>
      </c>
      <c r="E2518" s="3">
        <f>IF(INDEX(C:C, ROW())+INDEX(D:D, ROW())=0, 0, INDEX(C:C, ROW())/(INDEX(C:C, ROW())+INDEX(D:D, ROW())))</f>
        <v>0.85185185185185186</v>
      </c>
      <c r="F2518" s="1" t="s">
        <v>440</v>
      </c>
      <c r="G2518" s="1" t="s">
        <v>24</v>
      </c>
      <c r="H2518" s="1">
        <v>38537</v>
      </c>
      <c r="I2518" s="1">
        <v>56778</v>
      </c>
      <c r="J2518" s="7">
        <v>0.67900000000000005</v>
      </c>
      <c r="K2518" s="1" t="s">
        <v>21</v>
      </c>
      <c r="L2518" s="1" t="s">
        <v>29</v>
      </c>
      <c r="M2518" s="1" t="s">
        <v>29</v>
      </c>
      <c r="N2518" s="1" t="s">
        <v>22</v>
      </c>
    </row>
    <row r="2519" spans="1:14" x14ac:dyDescent="0.25">
      <c r="A2519" s="1">
        <v>2518</v>
      </c>
      <c r="B2519" s="2" t="str">
        <f>HYPERLINK("https://leetcode.com/problems/number-of-great-partitions/", "Number of Great Partitions")</f>
        <v>Number of Great Partitions</v>
      </c>
      <c r="C2519" s="1">
        <v>490</v>
      </c>
      <c r="D2519" s="1">
        <v>12</v>
      </c>
      <c r="E2519" s="3">
        <f>IF(INDEX(C:C, ROW())+INDEX(D:D, ROW())=0, 0, INDEX(C:C, ROW())/(INDEX(C:C, ROW())+INDEX(D:D, ROW())))</f>
        <v>0.9760956175298805</v>
      </c>
      <c r="F2519" s="1" t="s">
        <v>30</v>
      </c>
      <c r="G2519" s="1" t="s">
        <v>28</v>
      </c>
      <c r="H2519" s="1">
        <v>13472</v>
      </c>
      <c r="I2519" s="1">
        <v>40414</v>
      </c>
      <c r="J2519" s="7">
        <v>0.33300000000000002</v>
      </c>
      <c r="K2519" s="1" t="s">
        <v>21</v>
      </c>
      <c r="L2519" s="1" t="s">
        <v>29</v>
      </c>
      <c r="M2519" s="1" t="s">
        <v>29</v>
      </c>
      <c r="N2519" s="1" t="s">
        <v>22</v>
      </c>
    </row>
    <row r="2520" spans="1:14" x14ac:dyDescent="0.25">
      <c r="A2520" s="1">
        <v>2519</v>
      </c>
      <c r="B2520" s="2" t="str">
        <f>HYPERLINK("https://leetcode.com/problems/count-the-number-of-k-big-indices/", "Count the Number of K-Big Indices")</f>
        <v>Count the Number of K-Big Indices</v>
      </c>
      <c r="C2520" s="1">
        <v>112</v>
      </c>
      <c r="D2520" s="1">
        <v>23</v>
      </c>
      <c r="E2520" s="3">
        <f>IF(INDEX(C:C, ROW())+INDEX(D:D, ROW())=0, 0, INDEX(C:C, ROW())/(INDEX(C:C, ROW())+INDEX(D:D, ROW())))</f>
        <v>0.82962962962962961</v>
      </c>
      <c r="F2520" s="1" t="s">
        <v>147</v>
      </c>
      <c r="G2520" s="1" t="s">
        <v>28</v>
      </c>
      <c r="H2520" s="1">
        <v>9672</v>
      </c>
      <c r="I2520" s="1">
        <v>18036</v>
      </c>
      <c r="J2520" s="7">
        <v>0.53600000000000003</v>
      </c>
      <c r="K2520" s="1" t="s">
        <v>29</v>
      </c>
      <c r="L2520" s="1" t="s">
        <v>29</v>
      </c>
      <c r="M2520" s="1" t="s">
        <v>29</v>
      </c>
      <c r="N2520" s="1" t="s">
        <v>22</v>
      </c>
    </row>
    <row r="2521" spans="1:14" x14ac:dyDescent="0.25">
      <c r="A2521" s="1">
        <v>2520</v>
      </c>
      <c r="B2521" s="2" t="str">
        <f>HYPERLINK("https://leetcode.com/problems/count-the-digits-that-divide-a-number/", "Count the Digits That Divide a Number")</f>
        <v>Count the Digits That Divide a Number</v>
      </c>
      <c r="C2521" s="1">
        <v>672</v>
      </c>
      <c r="D2521" s="1">
        <v>42</v>
      </c>
      <c r="E2521" s="3">
        <f>IF(INDEX(C:C, ROW())+INDEX(D:D, ROW())=0, 0, INDEX(C:C, ROW())/(INDEX(C:C, ROW())+INDEX(D:D, ROW())))</f>
        <v>0.94117647058823528</v>
      </c>
      <c r="F2521" s="1" t="s">
        <v>84</v>
      </c>
      <c r="G2521" s="1" t="s">
        <v>20</v>
      </c>
      <c r="H2521" s="1">
        <v>164688</v>
      </c>
      <c r="I2521" s="1">
        <v>191681</v>
      </c>
      <c r="J2521" s="7">
        <v>0.85899999999999999</v>
      </c>
      <c r="K2521" s="1" t="s">
        <v>21</v>
      </c>
      <c r="L2521" s="1" t="s">
        <v>29</v>
      </c>
      <c r="M2521" s="1" t="s">
        <v>29</v>
      </c>
      <c r="N2521" s="1" t="s">
        <v>22</v>
      </c>
    </row>
    <row r="2522" spans="1:14" x14ac:dyDescent="0.25">
      <c r="A2522" s="1">
        <v>2521</v>
      </c>
      <c r="B2522" s="2" t="str">
        <f>HYPERLINK("https://leetcode.com/problems/distinct-prime-factors-of-product-of-array/", "Distinct Prime Factors of Product of Array")</f>
        <v>Distinct Prime Factors of Product of Array</v>
      </c>
      <c r="C2522" s="1">
        <v>542</v>
      </c>
      <c r="D2522" s="1">
        <v>13</v>
      </c>
      <c r="E2522" s="3">
        <f>IF(INDEX(C:C, ROW())+INDEX(D:D, ROW())=0, 0, INDEX(C:C, ROW())/(INDEX(C:C, ROW())+INDEX(D:D, ROW())))</f>
        <v>0.97657657657657659</v>
      </c>
      <c r="F2522" s="1" t="s">
        <v>886</v>
      </c>
      <c r="G2522" s="1" t="s">
        <v>24</v>
      </c>
      <c r="H2522" s="1">
        <v>46363</v>
      </c>
      <c r="I2522" s="1">
        <v>85589</v>
      </c>
      <c r="J2522" s="7">
        <v>0.54200000000000004</v>
      </c>
      <c r="K2522" s="1" t="s">
        <v>21</v>
      </c>
      <c r="L2522" s="1" t="s">
        <v>29</v>
      </c>
      <c r="M2522" s="1" t="s">
        <v>29</v>
      </c>
      <c r="N2522" s="1" t="s">
        <v>22</v>
      </c>
    </row>
    <row r="2523" spans="1:14" x14ac:dyDescent="0.25">
      <c r="A2523" s="1">
        <v>2522</v>
      </c>
      <c r="B2523" s="2" t="str">
        <f>HYPERLINK("https://leetcode.com/problems/partition-string-into-substrings-with-values-at-most-k/", "Partition String Into Substrings With Values at Most K")</f>
        <v>Partition String Into Substrings With Values at Most K</v>
      </c>
      <c r="C2523" s="1">
        <v>393</v>
      </c>
      <c r="D2523" s="1">
        <v>54</v>
      </c>
      <c r="E2523" s="3">
        <f>IF(INDEX(C:C, ROW())+INDEX(D:D, ROW())=0, 0, INDEX(C:C, ROW())/(INDEX(C:C, ROW())+INDEX(D:D, ROW())))</f>
        <v>0.87919463087248317</v>
      </c>
      <c r="F2523" s="1" t="s">
        <v>861</v>
      </c>
      <c r="G2523" s="1" t="s">
        <v>24</v>
      </c>
      <c r="H2523" s="1">
        <v>26470</v>
      </c>
      <c r="I2523" s="1">
        <v>55745</v>
      </c>
      <c r="J2523" s="7">
        <v>0.47499999999999998</v>
      </c>
      <c r="K2523" s="1" t="s">
        <v>21</v>
      </c>
      <c r="L2523" s="1" t="s">
        <v>29</v>
      </c>
      <c r="M2523" s="1" t="s">
        <v>29</v>
      </c>
      <c r="N2523" s="1" t="s">
        <v>22</v>
      </c>
    </row>
    <row r="2524" spans="1:14" x14ac:dyDescent="0.25">
      <c r="A2524" s="1">
        <v>2523</v>
      </c>
      <c r="B2524" s="2" t="str">
        <f>HYPERLINK("https://leetcode.com/problems/closest-prime-numbers-in-range/", "Closest Prime Numbers in Range")</f>
        <v>Closest Prime Numbers in Range</v>
      </c>
      <c r="C2524" s="1">
        <v>923</v>
      </c>
      <c r="D2524" s="1">
        <v>77</v>
      </c>
      <c r="E2524" s="3">
        <f>IF(INDEX(C:C, ROW())+INDEX(D:D, ROW())=0, 0, INDEX(C:C, ROW())/(INDEX(C:C, ROW())+INDEX(D:D, ROW())))</f>
        <v>0.92300000000000004</v>
      </c>
      <c r="F2524" s="1" t="s">
        <v>513</v>
      </c>
      <c r="G2524" s="1" t="s">
        <v>24</v>
      </c>
      <c r="H2524" s="1">
        <v>188157</v>
      </c>
      <c r="I2524" s="1">
        <v>364080</v>
      </c>
      <c r="J2524" s="7">
        <v>0.51700000000000002</v>
      </c>
      <c r="K2524" s="1" t="s">
        <v>21</v>
      </c>
      <c r="L2524" s="1" t="s">
        <v>21</v>
      </c>
      <c r="M2524" s="1" t="s">
        <v>29</v>
      </c>
      <c r="N2524" s="1" t="s">
        <v>22</v>
      </c>
    </row>
    <row r="2525" spans="1:14" x14ac:dyDescent="0.25">
      <c r="A2525" s="1">
        <v>2524</v>
      </c>
      <c r="B2525" s="2" t="str">
        <f>HYPERLINK("https://leetcode.com/problems/maximum-frequency-score-of-a-subarray/", "Maximum Frequency Score of a Subarray")</f>
        <v>Maximum Frequency Score of a Subarray</v>
      </c>
      <c r="C2525" s="1">
        <v>25</v>
      </c>
      <c r="D2525" s="1">
        <v>7</v>
      </c>
      <c r="E2525" s="3">
        <f>IF(INDEX(C:C, ROW())+INDEX(D:D, ROW())=0, 0, INDEX(C:C, ROW())/(INDEX(C:C, ROW())+INDEX(D:D, ROW())))</f>
        <v>0.78125</v>
      </c>
      <c r="F2525" s="1" t="s">
        <v>1311</v>
      </c>
      <c r="G2525" s="1" t="s">
        <v>28</v>
      </c>
      <c r="H2525" s="1">
        <v>1639</v>
      </c>
      <c r="I2525" s="1">
        <v>4508</v>
      </c>
      <c r="J2525" s="7">
        <v>0.36399999999999999</v>
      </c>
      <c r="K2525" s="1" t="s">
        <v>29</v>
      </c>
      <c r="L2525" s="1" t="s">
        <v>29</v>
      </c>
      <c r="M2525" s="1" t="s">
        <v>29</v>
      </c>
      <c r="N2525" s="1" t="s">
        <v>22</v>
      </c>
    </row>
    <row r="2526" spans="1:14" x14ac:dyDescent="0.25">
      <c r="A2526" s="1">
        <v>2525</v>
      </c>
      <c r="B2526" s="2" t="str">
        <f>HYPERLINK("https://leetcode.com/problems/categorize-box-according-to-criteria/", "Categorize Box According to Criteria")</f>
        <v>Categorize Box According to Criteria</v>
      </c>
      <c r="C2526" s="1">
        <v>237</v>
      </c>
      <c r="D2526" s="1">
        <v>63</v>
      </c>
      <c r="E2526" s="3">
        <f>IF(INDEX(C:C, ROW())+INDEX(D:D, ROW())=0, 0, INDEX(C:C, ROW())/(INDEX(C:C, ROW())+INDEX(D:D, ROW())))</f>
        <v>0.79</v>
      </c>
      <c r="F2526" s="1" t="s">
        <v>84</v>
      </c>
      <c r="G2526" s="1" t="s">
        <v>20</v>
      </c>
      <c r="H2526" s="1">
        <v>49214</v>
      </c>
      <c r="I2526" s="1">
        <v>127114</v>
      </c>
      <c r="J2526" s="7">
        <v>0.38700000000000001</v>
      </c>
      <c r="K2526" s="1" t="s">
        <v>21</v>
      </c>
      <c r="L2526" s="1" t="s">
        <v>29</v>
      </c>
      <c r="M2526" s="1" t="s">
        <v>29</v>
      </c>
      <c r="N2526" s="1" t="s">
        <v>22</v>
      </c>
    </row>
    <row r="2527" spans="1:14" x14ac:dyDescent="0.25">
      <c r="A2527" s="1">
        <v>2526</v>
      </c>
      <c r="B2527" s="2" t="str">
        <f>HYPERLINK("https://leetcode.com/problems/find-consecutive-integers-from-a-data-stream/", "Find Consecutive Integers from a Data Stream")</f>
        <v>Find Consecutive Integers from a Data Stream</v>
      </c>
      <c r="C2527" s="1">
        <v>339</v>
      </c>
      <c r="D2527" s="1">
        <v>39</v>
      </c>
      <c r="E2527" s="3">
        <f>IF(INDEX(C:C, ROW())+INDEX(D:D, ROW())=0, 0, INDEX(C:C, ROW())/(INDEX(C:C, ROW())+INDEX(D:D, ROW())))</f>
        <v>0.89682539682539686</v>
      </c>
      <c r="F2527" s="1" t="s">
        <v>1025</v>
      </c>
      <c r="G2527" s="1" t="s">
        <v>24</v>
      </c>
      <c r="H2527" s="1">
        <v>36432</v>
      </c>
      <c r="I2527" s="1">
        <v>71741</v>
      </c>
      <c r="J2527" s="7">
        <v>0.50800000000000001</v>
      </c>
      <c r="K2527" s="1" t="s">
        <v>21</v>
      </c>
      <c r="L2527" s="1" t="s">
        <v>29</v>
      </c>
      <c r="M2527" s="1" t="s">
        <v>29</v>
      </c>
      <c r="N2527" s="1" t="s">
        <v>22</v>
      </c>
    </row>
    <row r="2528" spans="1:14" x14ac:dyDescent="0.25">
      <c r="A2528" s="1">
        <v>2527</v>
      </c>
      <c r="B2528" s="2" t="str">
        <f>HYPERLINK("https://leetcode.com/problems/find-xor-beauty-of-array/", "Find Xor-Beauty of Array")</f>
        <v>Find Xor-Beauty of Array</v>
      </c>
      <c r="C2528" s="1">
        <v>394</v>
      </c>
      <c r="D2528" s="1">
        <v>57</v>
      </c>
      <c r="E2528" s="3">
        <f>IF(INDEX(C:C, ROW())+INDEX(D:D, ROW())=0, 0, INDEX(C:C, ROW())/(INDEX(C:C, ROW())+INDEX(D:D, ROW())))</f>
        <v>0.87361419068736146</v>
      </c>
      <c r="F2528" s="1" t="s">
        <v>456</v>
      </c>
      <c r="G2528" s="1" t="s">
        <v>24</v>
      </c>
      <c r="H2528" s="1">
        <v>26052</v>
      </c>
      <c r="I2528" s="1">
        <v>36940</v>
      </c>
      <c r="J2528" s="7">
        <v>0.70499999999999996</v>
      </c>
      <c r="K2528" s="1" t="s">
        <v>21</v>
      </c>
      <c r="L2528" s="1" t="s">
        <v>29</v>
      </c>
      <c r="M2528" s="1" t="s">
        <v>29</v>
      </c>
      <c r="N2528" s="1" t="s">
        <v>22</v>
      </c>
    </row>
    <row r="2529" spans="1:14" x14ac:dyDescent="0.25">
      <c r="A2529" s="1">
        <v>2528</v>
      </c>
      <c r="B2529" s="2" t="str">
        <f>HYPERLINK("https://leetcode.com/problems/maximize-the-minimum-powered-city/", "Maximize the Minimum Powered City")</f>
        <v>Maximize the Minimum Powered City</v>
      </c>
      <c r="C2529" s="1">
        <v>868</v>
      </c>
      <c r="D2529" s="1">
        <v>31</v>
      </c>
      <c r="E2529" s="3">
        <f>IF(INDEX(C:C, ROW())+INDEX(D:D, ROW())=0, 0, INDEX(C:C, ROW())/(INDEX(C:C, ROW())+INDEX(D:D, ROW())))</f>
        <v>0.96551724137931039</v>
      </c>
      <c r="F2529" s="1" t="s">
        <v>748</v>
      </c>
      <c r="G2529" s="1" t="s">
        <v>28</v>
      </c>
      <c r="H2529" s="1">
        <v>67088</v>
      </c>
      <c r="I2529" s="1">
        <v>108557</v>
      </c>
      <c r="J2529" s="7">
        <v>0.61799999999999999</v>
      </c>
      <c r="K2529" s="1" t="s">
        <v>21</v>
      </c>
      <c r="L2529" s="1" t="s">
        <v>21</v>
      </c>
      <c r="M2529" s="1" t="s">
        <v>29</v>
      </c>
      <c r="N2529" s="1" t="s">
        <v>22</v>
      </c>
    </row>
    <row r="2530" spans="1:14" x14ac:dyDescent="0.25">
      <c r="A2530" s="1">
        <v>2529</v>
      </c>
      <c r="B2530" s="2" t="str">
        <f>HYPERLINK("https://leetcode.com/problems/maximum-count-of-positive-integer-and-negative-integer/", "Maximum Count of Positive Integer and Negative Integer")</f>
        <v>Maximum Count of Positive Integer and Negative Integer</v>
      </c>
      <c r="C2530" s="1">
        <v>1564</v>
      </c>
      <c r="D2530" s="1">
        <v>88</v>
      </c>
      <c r="E2530" s="3">
        <f>IF(INDEX(C:C, ROW())+INDEX(D:D, ROW())=0, 0, INDEX(C:C, ROW())/(INDEX(C:C, ROW())+INDEX(D:D, ROW())))</f>
        <v>0.94673123486682809</v>
      </c>
      <c r="F2530" s="1" t="s">
        <v>568</v>
      </c>
      <c r="G2530" s="1" t="s">
        <v>20</v>
      </c>
      <c r="H2530" s="1">
        <v>354941</v>
      </c>
      <c r="I2530" s="1">
        <v>477517</v>
      </c>
      <c r="J2530" s="7">
        <v>0.74299999999999999</v>
      </c>
      <c r="K2530" s="1" t="s">
        <v>21</v>
      </c>
      <c r="L2530" s="1" t="s">
        <v>21</v>
      </c>
      <c r="M2530" s="1" t="s">
        <v>29</v>
      </c>
      <c r="N2530" s="1" t="s">
        <v>22</v>
      </c>
    </row>
    <row r="2531" spans="1:14" x14ac:dyDescent="0.25">
      <c r="A2531" s="1">
        <v>2530</v>
      </c>
      <c r="B2531" s="2" t="str">
        <f>HYPERLINK("https://leetcode.com/problems/maximal-score-after-applying-k-operations/", "Maximal Score After Applying K Operations")</f>
        <v>Maximal Score After Applying K Operations</v>
      </c>
      <c r="C2531" s="1">
        <v>877</v>
      </c>
      <c r="D2531" s="1">
        <v>52</v>
      </c>
      <c r="E2531" s="3">
        <f>IF(INDEX(C:C, ROW())+INDEX(D:D, ROW())=0, 0, INDEX(C:C, ROW())/(INDEX(C:C, ROW())+INDEX(D:D, ROW())))</f>
        <v>0.94402583423035524</v>
      </c>
      <c r="F2531" s="1" t="s">
        <v>221</v>
      </c>
      <c r="G2531" s="1" t="s">
        <v>24</v>
      </c>
      <c r="H2531" s="1">
        <v>162893</v>
      </c>
      <c r="I2531" s="1">
        <v>254464</v>
      </c>
      <c r="J2531" s="7">
        <v>0.64</v>
      </c>
      <c r="K2531" s="1" t="s">
        <v>21</v>
      </c>
      <c r="L2531" s="1" t="s">
        <v>21</v>
      </c>
      <c r="M2531" s="1" t="s">
        <v>29</v>
      </c>
      <c r="N2531" s="1" t="s">
        <v>22</v>
      </c>
    </row>
    <row r="2532" spans="1:14" x14ac:dyDescent="0.25">
      <c r="A2532" s="1">
        <v>2531</v>
      </c>
      <c r="B2532" s="2" t="str">
        <f>HYPERLINK("https://leetcode.com/problems/make-number-of-distinct-characters-equal/", "Make Number of Distinct Characters Equal")</f>
        <v>Make Number of Distinct Characters Equal</v>
      </c>
      <c r="C2532" s="1">
        <v>608</v>
      </c>
      <c r="D2532" s="1">
        <v>160</v>
      </c>
      <c r="E2532" s="3">
        <f>IF(INDEX(C:C, ROW())+INDEX(D:D, ROW())=0, 0, INDEX(C:C, ROW())/(INDEX(C:C, ROW())+INDEX(D:D, ROW())))</f>
        <v>0.79166666666666663</v>
      </c>
      <c r="F2532" s="1" t="s">
        <v>237</v>
      </c>
      <c r="G2532" s="1" t="s">
        <v>24</v>
      </c>
      <c r="H2532" s="1">
        <v>23868</v>
      </c>
      <c r="I2532" s="1">
        <v>86735</v>
      </c>
      <c r="J2532" s="7">
        <v>0.27500000000000002</v>
      </c>
      <c r="K2532" s="1" t="s">
        <v>21</v>
      </c>
      <c r="L2532" s="1" t="s">
        <v>29</v>
      </c>
      <c r="M2532" s="1" t="s">
        <v>29</v>
      </c>
      <c r="N2532" s="1" t="s">
        <v>22</v>
      </c>
    </row>
    <row r="2533" spans="1:14" x14ac:dyDescent="0.25">
      <c r="A2533" s="1">
        <v>2532</v>
      </c>
      <c r="B2533" s="2" t="str">
        <f>HYPERLINK("https://leetcode.com/problems/time-to-cross-a-bridge/", "Time to Cross a Bridge")</f>
        <v>Time to Cross a Bridge</v>
      </c>
      <c r="C2533" s="1">
        <v>123</v>
      </c>
      <c r="D2533" s="1">
        <v>225</v>
      </c>
      <c r="E2533" s="3">
        <f>IF(INDEX(C:C, ROW())+INDEX(D:D, ROW())=0, 0, INDEX(C:C, ROW())/(INDEX(C:C, ROW())+INDEX(D:D, ROW())))</f>
        <v>0.35344827586206895</v>
      </c>
      <c r="F2533" s="1" t="s">
        <v>751</v>
      </c>
      <c r="G2533" s="1" t="s">
        <v>28</v>
      </c>
      <c r="H2533" s="1">
        <v>5713</v>
      </c>
      <c r="I2533" s="1">
        <v>12884</v>
      </c>
      <c r="J2533" s="7">
        <v>0.443</v>
      </c>
      <c r="K2533" s="1" t="s">
        <v>21</v>
      </c>
      <c r="L2533" s="1" t="s">
        <v>29</v>
      </c>
      <c r="M2533" s="1" t="s">
        <v>29</v>
      </c>
      <c r="N2533" s="1" t="s">
        <v>22</v>
      </c>
    </row>
    <row r="2534" spans="1:14" x14ac:dyDescent="0.25">
      <c r="A2534" s="1">
        <v>2533</v>
      </c>
      <c r="B2534" s="2" t="str">
        <f>HYPERLINK("https://leetcode.com/problems/number-of-good-binary-strings/", "Number of Good Binary Strings")</f>
        <v>Number of Good Binary Strings</v>
      </c>
      <c r="C2534" s="1">
        <v>58</v>
      </c>
      <c r="D2534" s="1">
        <v>23</v>
      </c>
      <c r="E2534" s="3">
        <f>IF(INDEX(C:C, ROW())+INDEX(D:D, ROW())=0, 0, INDEX(C:C, ROW())/(INDEX(C:C, ROW())+INDEX(D:D, ROW())))</f>
        <v>0.71604938271604934</v>
      </c>
      <c r="F2534" s="1" t="s">
        <v>251</v>
      </c>
      <c r="G2534" s="1" t="s">
        <v>24</v>
      </c>
      <c r="H2534" s="1">
        <v>7635</v>
      </c>
      <c r="I2534" s="1">
        <v>14473</v>
      </c>
      <c r="J2534" s="7">
        <v>0.52800000000000002</v>
      </c>
      <c r="K2534" s="1" t="s">
        <v>29</v>
      </c>
      <c r="L2534" s="1" t="s">
        <v>29</v>
      </c>
      <c r="M2534" s="1" t="s">
        <v>29</v>
      </c>
      <c r="N2534" s="1" t="s">
        <v>22</v>
      </c>
    </row>
    <row r="2535" spans="1:14" x14ac:dyDescent="0.25">
      <c r="A2535" s="1">
        <v>2534</v>
      </c>
      <c r="B2535" s="2" t="str">
        <f>HYPERLINK("https://leetcode.com/problems/time-taken-to-cross-the-door/", "Time Taken to Cross the Door")</f>
        <v>Time Taken to Cross the Door</v>
      </c>
      <c r="C2535" s="1">
        <v>115</v>
      </c>
      <c r="D2535" s="1">
        <v>24</v>
      </c>
      <c r="E2535" s="3">
        <f>IF(INDEX(C:C, ROW())+INDEX(D:D, ROW())=0, 0, INDEX(C:C, ROW())/(INDEX(C:C, ROW())+INDEX(D:D, ROW())))</f>
        <v>0.82733812949640284</v>
      </c>
      <c r="F2535" s="1" t="s">
        <v>522</v>
      </c>
      <c r="G2535" s="1" t="s">
        <v>28</v>
      </c>
      <c r="H2535" s="1">
        <v>13831</v>
      </c>
      <c r="I2535" s="1">
        <v>27633</v>
      </c>
      <c r="J2535" s="7">
        <v>0.501</v>
      </c>
      <c r="K2535" s="1" t="s">
        <v>29</v>
      </c>
      <c r="L2535" s="1" t="s">
        <v>29</v>
      </c>
      <c r="M2535" s="1" t="s">
        <v>29</v>
      </c>
      <c r="N2535" s="1" t="s">
        <v>22</v>
      </c>
    </row>
    <row r="2536" spans="1:14" x14ac:dyDescent="0.25">
      <c r="A2536" s="1">
        <v>2535</v>
      </c>
      <c r="B2536" s="2" t="str">
        <f>HYPERLINK("https://leetcode.com/problems/difference-between-element-sum-and-digit-sum-of-an-array/", "Difference Between Element Sum and Digit Sum of an Array")</f>
        <v>Difference Between Element Sum and Digit Sum of an Array</v>
      </c>
      <c r="C2536" s="1">
        <v>807</v>
      </c>
      <c r="D2536" s="1">
        <v>30</v>
      </c>
      <c r="E2536" s="3">
        <f>IF(INDEX(C:C, ROW())+INDEX(D:D, ROW())=0, 0, INDEX(C:C, ROW())/(INDEX(C:C, ROW())+INDEX(D:D, ROW())))</f>
        <v>0.96415770609318996</v>
      </c>
      <c r="F2536" s="1" t="s">
        <v>115</v>
      </c>
      <c r="G2536" s="1" t="s">
        <v>20</v>
      </c>
      <c r="H2536" s="1">
        <v>198322</v>
      </c>
      <c r="I2536" s="1">
        <v>232537</v>
      </c>
      <c r="J2536" s="7">
        <v>0.85299999999999998</v>
      </c>
      <c r="K2536" s="1" t="s">
        <v>21</v>
      </c>
      <c r="L2536" s="1" t="s">
        <v>29</v>
      </c>
      <c r="M2536" s="1" t="s">
        <v>29</v>
      </c>
      <c r="N2536" s="1" t="s">
        <v>22</v>
      </c>
    </row>
    <row r="2537" spans="1:14" x14ac:dyDescent="0.25">
      <c r="A2537" s="1">
        <v>2536</v>
      </c>
      <c r="B2537" s="2" t="str">
        <f>HYPERLINK("https://leetcode.com/problems/increment-submatrices-by-one/", "Increment Submatrices by One")</f>
        <v>Increment Submatrices by One</v>
      </c>
      <c r="C2537" s="1">
        <v>882</v>
      </c>
      <c r="D2537" s="1">
        <v>81</v>
      </c>
      <c r="E2537" s="3">
        <f>IF(INDEX(C:C, ROW())+INDEX(D:D, ROW())=0, 0, INDEX(C:C, ROW())/(INDEX(C:C, ROW())+INDEX(D:D, ROW())))</f>
        <v>0.91588785046728971</v>
      </c>
      <c r="F2537" s="1" t="s">
        <v>425</v>
      </c>
      <c r="G2537" s="1" t="s">
        <v>24</v>
      </c>
      <c r="H2537" s="1">
        <v>106472</v>
      </c>
      <c r="I2537" s="1">
        <v>144192</v>
      </c>
      <c r="J2537" s="7">
        <v>0.73799999999999999</v>
      </c>
      <c r="K2537" s="1" t="s">
        <v>21</v>
      </c>
      <c r="L2537" s="1" t="s">
        <v>21</v>
      </c>
      <c r="M2537" s="1" t="s">
        <v>29</v>
      </c>
      <c r="N2537" s="1" t="s">
        <v>22</v>
      </c>
    </row>
    <row r="2538" spans="1:14" x14ac:dyDescent="0.25">
      <c r="A2538" s="1">
        <v>2537</v>
      </c>
      <c r="B2538" s="2" t="str">
        <f>HYPERLINK("https://leetcode.com/problems/count-the-number-of-good-subarrays/", "Count the Number of Good Subarrays")</f>
        <v>Count the Number of Good Subarrays</v>
      </c>
      <c r="C2538" s="1">
        <v>1557</v>
      </c>
      <c r="D2538" s="1">
        <v>59</v>
      </c>
      <c r="E2538" s="3">
        <f>IF(INDEX(C:C, ROW())+INDEX(D:D, ROW())=0, 0, INDEX(C:C, ROW())/(INDEX(C:C, ROW())+INDEX(D:D, ROW())))</f>
        <v>0.96349009900990101</v>
      </c>
      <c r="F2538" s="1" t="s">
        <v>185</v>
      </c>
      <c r="G2538" s="1" t="s">
        <v>24</v>
      </c>
      <c r="H2538" s="1">
        <v>129546</v>
      </c>
      <c r="I2538" s="1">
        <v>196535</v>
      </c>
      <c r="J2538" s="7">
        <v>0.65900000000000003</v>
      </c>
      <c r="K2538" s="1" t="s">
        <v>21</v>
      </c>
      <c r="L2538" s="1" t="s">
        <v>21</v>
      </c>
      <c r="M2538" s="1" t="s">
        <v>29</v>
      </c>
      <c r="N2538" s="1" t="s">
        <v>22</v>
      </c>
    </row>
    <row r="2539" spans="1:14" x14ac:dyDescent="0.25">
      <c r="A2539" s="1">
        <v>2538</v>
      </c>
      <c r="B2539" s="2" t="str">
        <f>HYPERLINK("https://leetcode.com/problems/difference-between-maximum-and-minimum-price-sum/", "Difference Between Maximum and Minimum Price Sum")</f>
        <v>Difference Between Maximum and Minimum Price Sum</v>
      </c>
      <c r="C2539" s="1">
        <v>476</v>
      </c>
      <c r="D2539" s="1">
        <v>19</v>
      </c>
      <c r="E2539" s="3">
        <f>IF(INDEX(C:C, ROW())+INDEX(D:D, ROW())=0, 0, INDEX(C:C, ROW())/(INDEX(C:C, ROW())+INDEX(D:D, ROW())))</f>
        <v>0.96161616161616159</v>
      </c>
      <c r="F2539" s="1" t="s">
        <v>939</v>
      </c>
      <c r="G2539" s="1" t="s">
        <v>28</v>
      </c>
      <c r="H2539" s="1">
        <v>10794</v>
      </c>
      <c r="I2539" s="1">
        <v>32464</v>
      </c>
      <c r="J2539" s="7">
        <v>0.33200000000000002</v>
      </c>
      <c r="K2539" s="1" t="s">
        <v>21</v>
      </c>
      <c r="L2539" s="1" t="s">
        <v>29</v>
      </c>
      <c r="M2539" s="1" t="s">
        <v>29</v>
      </c>
      <c r="N2539" s="1" t="s">
        <v>22</v>
      </c>
    </row>
    <row r="2540" spans="1:14" x14ac:dyDescent="0.25">
      <c r="A2540" s="1">
        <v>2539</v>
      </c>
      <c r="B2540" s="2" t="str">
        <f>HYPERLINK("https://leetcode.com/problems/count-the-number-of-good-subsequences/", "Count the Number of Good Subsequences")</f>
        <v>Count the Number of Good Subsequences</v>
      </c>
      <c r="C2540" s="1">
        <v>40</v>
      </c>
      <c r="D2540" s="1">
        <v>82</v>
      </c>
      <c r="E2540" s="3">
        <f>IF(INDEX(C:C, ROW())+INDEX(D:D, ROW())=0, 0, INDEX(C:C, ROW())/(INDEX(C:C, ROW())+INDEX(D:D, ROW())))</f>
        <v>0.32786885245901637</v>
      </c>
      <c r="F2540" s="1" t="s">
        <v>941</v>
      </c>
      <c r="G2540" s="1" t="s">
        <v>24</v>
      </c>
      <c r="H2540" s="1">
        <v>3965</v>
      </c>
      <c r="I2540" s="1">
        <v>8201</v>
      </c>
      <c r="J2540" s="7">
        <v>0.48299999999999998</v>
      </c>
      <c r="K2540" s="1" t="s">
        <v>29</v>
      </c>
      <c r="L2540" s="1" t="s">
        <v>29</v>
      </c>
      <c r="M2540" s="1" t="s">
        <v>29</v>
      </c>
      <c r="N2540" s="1" t="s">
        <v>22</v>
      </c>
    </row>
    <row r="2541" spans="1:14" x14ac:dyDescent="0.25">
      <c r="A2541" s="1">
        <v>2540</v>
      </c>
      <c r="B2541" s="2" t="str">
        <f>HYPERLINK("https://leetcode.com/problems/minimum-common-value/", "Minimum Common Value")</f>
        <v>Minimum Common Value</v>
      </c>
      <c r="C2541" s="1">
        <v>1233</v>
      </c>
      <c r="D2541" s="1">
        <v>42</v>
      </c>
      <c r="E2541" s="3">
        <f>IF(INDEX(C:C, ROW())+INDEX(D:D, ROW())=0, 0, INDEX(C:C, ROW())/(INDEX(C:C, ROW())+INDEX(D:D, ROW())))</f>
        <v>0.96705882352941175</v>
      </c>
      <c r="F2541" s="1" t="s">
        <v>648</v>
      </c>
      <c r="G2541" s="1" t="s">
        <v>20</v>
      </c>
      <c r="H2541" s="1">
        <v>307585</v>
      </c>
      <c r="I2541" s="1">
        <v>530122</v>
      </c>
      <c r="J2541" s="7">
        <v>0.57999999999999996</v>
      </c>
      <c r="K2541" s="1" t="s">
        <v>21</v>
      </c>
      <c r="L2541" s="1" t="s">
        <v>21</v>
      </c>
      <c r="M2541" s="1" t="s">
        <v>29</v>
      </c>
      <c r="N2541" s="1" t="s">
        <v>22</v>
      </c>
    </row>
    <row r="2542" spans="1:14" x14ac:dyDescent="0.25">
      <c r="A2542" s="1">
        <v>2541</v>
      </c>
      <c r="B2542" s="2" t="str">
        <f>HYPERLINK("https://leetcode.com/problems/minimum-operations-to-make-array-equal-ii/", "Minimum Operations to Make Array Equal II")</f>
        <v>Minimum Operations to Make Array Equal II</v>
      </c>
      <c r="C2542" s="1">
        <v>442</v>
      </c>
      <c r="D2542" s="1">
        <v>26</v>
      </c>
      <c r="E2542" s="3">
        <f>IF(INDEX(C:C, ROW())+INDEX(D:D, ROW())=0, 0, INDEX(C:C, ROW())/(INDEX(C:C, ROW())+INDEX(D:D, ROW())))</f>
        <v>0.94444444444444442</v>
      </c>
      <c r="F2542" s="1" t="s">
        <v>435</v>
      </c>
      <c r="G2542" s="1" t="s">
        <v>24</v>
      </c>
      <c r="H2542" s="1">
        <v>27935</v>
      </c>
      <c r="I2542" s="1">
        <v>84544</v>
      </c>
      <c r="J2542" s="7">
        <v>0.33</v>
      </c>
      <c r="K2542" s="1" t="s">
        <v>21</v>
      </c>
      <c r="L2542" s="1" t="s">
        <v>29</v>
      </c>
      <c r="M2542" s="1" t="s">
        <v>29</v>
      </c>
      <c r="N2542" s="1" t="s">
        <v>22</v>
      </c>
    </row>
    <row r="2543" spans="1:14" x14ac:dyDescent="0.25">
      <c r="A2543" s="1">
        <v>2542</v>
      </c>
      <c r="B2543" s="2" t="str">
        <f>HYPERLINK("https://leetcode.com/problems/maximum-subsequence-score/", "Maximum Subsequence Score")</f>
        <v>Maximum Subsequence Score</v>
      </c>
      <c r="C2543" s="1">
        <v>3147</v>
      </c>
      <c r="D2543" s="1">
        <v>211</v>
      </c>
      <c r="E2543" s="3">
        <f>IF(INDEX(C:C, ROW())+INDEX(D:D, ROW())=0, 0, INDEX(C:C, ROW())/(INDEX(C:C, ROW())+INDEX(D:D, ROW())))</f>
        <v>0.93716497915425845</v>
      </c>
      <c r="F2543" s="1" t="s">
        <v>302</v>
      </c>
      <c r="G2543" s="1" t="s">
        <v>24</v>
      </c>
      <c r="H2543" s="1">
        <v>149189</v>
      </c>
      <c r="I2543" s="1">
        <v>273410</v>
      </c>
      <c r="J2543" s="7">
        <v>0.54600000000000004</v>
      </c>
      <c r="K2543" s="1" t="s">
        <v>21</v>
      </c>
      <c r="L2543" s="1" t="s">
        <v>21</v>
      </c>
      <c r="M2543" s="1" t="s">
        <v>29</v>
      </c>
      <c r="N2543" s="1" t="s">
        <v>22</v>
      </c>
    </row>
    <row r="2544" spans="1:14" x14ac:dyDescent="0.25">
      <c r="A2544" s="1">
        <v>2543</v>
      </c>
      <c r="B2544" s="2" t="str">
        <f>HYPERLINK("https://leetcode.com/problems/check-if-point-is-reachable/", "Check if Point Is Reachable")</f>
        <v>Check if Point Is Reachable</v>
      </c>
      <c r="C2544" s="1">
        <v>262</v>
      </c>
      <c r="D2544" s="1">
        <v>52</v>
      </c>
      <c r="E2544" s="3">
        <f>IF(INDEX(C:C, ROW())+INDEX(D:D, ROW())=0, 0, INDEX(C:C, ROW())/(INDEX(C:C, ROW())+INDEX(D:D, ROW())))</f>
        <v>0.83439490445859876</v>
      </c>
      <c r="F2544" s="1" t="s">
        <v>513</v>
      </c>
      <c r="G2544" s="1" t="s">
        <v>28</v>
      </c>
      <c r="H2544" s="1">
        <v>10700</v>
      </c>
      <c r="I2544" s="1">
        <v>23896</v>
      </c>
      <c r="J2544" s="7">
        <v>0.44800000000000001</v>
      </c>
      <c r="K2544" s="1" t="s">
        <v>21</v>
      </c>
      <c r="L2544" s="1" t="s">
        <v>29</v>
      </c>
      <c r="M2544" s="1" t="s">
        <v>29</v>
      </c>
      <c r="N2544" s="1" t="s">
        <v>22</v>
      </c>
    </row>
    <row r="2545" spans="1:14" x14ac:dyDescent="0.25">
      <c r="A2545" s="1">
        <v>2544</v>
      </c>
      <c r="B2545" s="2" t="str">
        <f>HYPERLINK("https://leetcode.com/problems/alternating-digit-sum/", "Alternating Digit Sum")</f>
        <v>Alternating Digit Sum</v>
      </c>
      <c r="C2545" s="1">
        <v>478</v>
      </c>
      <c r="D2545" s="1">
        <v>23</v>
      </c>
      <c r="E2545" s="3">
        <f>IF(INDEX(C:C, ROW())+INDEX(D:D, ROW())=0, 0, INDEX(C:C, ROW())/(INDEX(C:C, ROW())+INDEX(D:D, ROW())))</f>
        <v>0.95409181636726548</v>
      </c>
      <c r="F2545" s="1" t="s">
        <v>84</v>
      </c>
      <c r="G2545" s="1" t="s">
        <v>20</v>
      </c>
      <c r="H2545" s="1">
        <v>98859</v>
      </c>
      <c r="I2545" s="1">
        <v>143291</v>
      </c>
      <c r="J2545" s="7">
        <v>0.69</v>
      </c>
      <c r="K2545" s="1" t="s">
        <v>21</v>
      </c>
      <c r="L2545" s="1" t="s">
        <v>29</v>
      </c>
      <c r="M2545" s="1" t="s">
        <v>29</v>
      </c>
      <c r="N2545" s="1" t="s">
        <v>22</v>
      </c>
    </row>
    <row r="2546" spans="1:14" x14ac:dyDescent="0.25">
      <c r="A2546" s="1">
        <v>2545</v>
      </c>
      <c r="B2546" s="2" t="str">
        <f>HYPERLINK("https://leetcode.com/problems/sort-the-students-by-their-kth-score/", "Sort the Students by Their Kth Score")</f>
        <v>Sort the Students by Their Kth Score</v>
      </c>
      <c r="C2546" s="1">
        <v>731</v>
      </c>
      <c r="D2546" s="1">
        <v>53</v>
      </c>
      <c r="E2546" s="3">
        <f>IF(INDEX(C:C, ROW())+INDEX(D:D, ROW())=0, 0, INDEX(C:C, ROW())/(INDEX(C:C, ROW())+INDEX(D:D, ROW())))</f>
        <v>0.93239795918367352</v>
      </c>
      <c r="F2546" s="1" t="s">
        <v>343</v>
      </c>
      <c r="G2546" s="1" t="s">
        <v>24</v>
      </c>
      <c r="H2546" s="1">
        <v>87691</v>
      </c>
      <c r="I2546" s="1">
        <v>101964</v>
      </c>
      <c r="J2546" s="7">
        <v>0.86</v>
      </c>
      <c r="K2546" s="1" t="s">
        <v>21</v>
      </c>
      <c r="L2546" s="1" t="s">
        <v>29</v>
      </c>
      <c r="M2546" s="1" t="s">
        <v>29</v>
      </c>
      <c r="N2546" s="1" t="s">
        <v>22</v>
      </c>
    </row>
    <row r="2547" spans="1:14" x14ac:dyDescent="0.25">
      <c r="A2547" s="1">
        <v>2546</v>
      </c>
      <c r="B2547" s="2" t="str">
        <f>HYPERLINK("https://leetcode.com/problems/apply-bitwise-operations-to-make-strings-equal/", "Apply Bitwise Operations to Make Strings Equal")</f>
        <v>Apply Bitwise Operations to Make Strings Equal</v>
      </c>
      <c r="C2547" s="1">
        <v>262</v>
      </c>
      <c r="D2547" s="1">
        <v>101</v>
      </c>
      <c r="E2547" s="3">
        <f>IF(INDEX(C:C, ROW())+INDEX(D:D, ROW())=0, 0, INDEX(C:C, ROW())/(INDEX(C:C, ROW())+INDEX(D:D, ROW())))</f>
        <v>0.721763085399449</v>
      </c>
      <c r="F2547" s="1" t="s">
        <v>1059</v>
      </c>
      <c r="G2547" s="1" t="s">
        <v>24</v>
      </c>
      <c r="H2547" s="1">
        <v>22590</v>
      </c>
      <c r="I2547" s="1">
        <v>53106</v>
      </c>
      <c r="J2547" s="7">
        <v>0.42499999999999999</v>
      </c>
      <c r="K2547" s="1" t="s">
        <v>21</v>
      </c>
      <c r="L2547" s="1" t="s">
        <v>29</v>
      </c>
      <c r="M2547" s="1" t="s">
        <v>29</v>
      </c>
      <c r="N2547" s="1" t="s">
        <v>22</v>
      </c>
    </row>
    <row r="2548" spans="1:14" x14ac:dyDescent="0.25">
      <c r="A2548" s="1">
        <v>2547</v>
      </c>
      <c r="B2548" s="2" t="str">
        <f>HYPERLINK("https://leetcode.com/problems/minimum-cost-to-split-an-array/", "Minimum Cost to Split an Array")</f>
        <v>Minimum Cost to Split an Array</v>
      </c>
      <c r="C2548" s="1">
        <v>467</v>
      </c>
      <c r="D2548" s="1">
        <v>31</v>
      </c>
      <c r="E2548" s="3">
        <f>IF(INDEX(C:C, ROW())+INDEX(D:D, ROW())=0, 0, INDEX(C:C, ROW())/(INDEX(C:C, ROW())+INDEX(D:D, ROW())))</f>
        <v>0.93775100401606426</v>
      </c>
      <c r="F2548" s="1" t="s">
        <v>943</v>
      </c>
      <c r="G2548" s="1" t="s">
        <v>28</v>
      </c>
      <c r="H2548" s="1">
        <v>16306</v>
      </c>
      <c r="I2548" s="1">
        <v>37028</v>
      </c>
      <c r="J2548" s="7">
        <v>0.44</v>
      </c>
      <c r="K2548" s="1" t="s">
        <v>21</v>
      </c>
      <c r="L2548" s="1" t="s">
        <v>29</v>
      </c>
      <c r="M2548" s="1" t="s">
        <v>29</v>
      </c>
      <c r="N2548" s="1" t="s">
        <v>22</v>
      </c>
    </row>
    <row r="2549" spans="1:14" x14ac:dyDescent="0.25">
      <c r="A2549" s="1">
        <v>2548</v>
      </c>
      <c r="B2549" s="2" t="str">
        <f>HYPERLINK("https://leetcode.com/problems/maximum-price-to-fill-a-bag/", "Maximum Price to Fill a Bag")</f>
        <v>Maximum Price to Fill a Bag</v>
      </c>
      <c r="C2549" s="1">
        <v>42</v>
      </c>
      <c r="D2549" s="1">
        <v>9</v>
      </c>
      <c r="E2549" s="3">
        <f>IF(INDEX(C:C, ROW())+INDEX(D:D, ROW())=0, 0, INDEX(C:C, ROW())/(INDEX(C:C, ROW())+INDEX(D:D, ROW())))</f>
        <v>0.82352941176470584</v>
      </c>
      <c r="F2549" s="1" t="s">
        <v>169</v>
      </c>
      <c r="G2549" s="1" t="s">
        <v>24</v>
      </c>
      <c r="H2549" s="1">
        <v>1927</v>
      </c>
      <c r="I2549" s="1">
        <v>2991</v>
      </c>
      <c r="J2549" s="7">
        <v>0.64400000000000002</v>
      </c>
      <c r="K2549" s="1" t="s">
        <v>29</v>
      </c>
      <c r="L2549" s="1" t="s">
        <v>29</v>
      </c>
      <c r="M2549" s="1" t="s">
        <v>29</v>
      </c>
      <c r="N2549" s="1" t="s">
        <v>22</v>
      </c>
    </row>
    <row r="2550" spans="1:14" x14ac:dyDescent="0.25">
      <c r="A2550" s="1">
        <v>2549</v>
      </c>
      <c r="B2550" s="2" t="str">
        <f>HYPERLINK("https://leetcode.com/problems/count-distinct-numbers-on-board/", "Count Distinct Numbers on Board")</f>
        <v>Count Distinct Numbers on Board</v>
      </c>
      <c r="C2550" s="1">
        <v>319</v>
      </c>
      <c r="D2550" s="1">
        <v>292</v>
      </c>
      <c r="E2550" s="3">
        <f>IF(INDEX(C:C, ROW())+INDEX(D:D, ROW())=0, 0, INDEX(C:C, ROW())/(INDEX(C:C, ROW())+INDEX(D:D, ROW())))</f>
        <v>0.52209492635024546</v>
      </c>
      <c r="F2550" s="1" t="s">
        <v>1038</v>
      </c>
      <c r="G2550" s="1" t="s">
        <v>20</v>
      </c>
      <c r="H2550" s="1">
        <v>63083</v>
      </c>
      <c r="I2550" s="1">
        <v>102289</v>
      </c>
      <c r="J2550" s="7">
        <v>0.61699999999999999</v>
      </c>
      <c r="K2550" s="1" t="s">
        <v>21</v>
      </c>
      <c r="L2550" s="1" t="s">
        <v>29</v>
      </c>
      <c r="M2550" s="1" t="s">
        <v>29</v>
      </c>
      <c r="N2550" s="1" t="s">
        <v>22</v>
      </c>
    </row>
    <row r="2551" spans="1:14" x14ac:dyDescent="0.25">
      <c r="A2551" s="1">
        <v>2550</v>
      </c>
      <c r="B2551" s="2" t="str">
        <f>HYPERLINK("https://leetcode.com/problems/count-collisions-of-monkeys-on-a-polygon/", "Count Collisions of Monkeys on a Polygon")</f>
        <v>Count Collisions of Monkeys on a Polygon</v>
      </c>
      <c r="C2551" s="1">
        <v>267</v>
      </c>
      <c r="D2551" s="1">
        <v>531</v>
      </c>
      <c r="E2551" s="3">
        <f>IF(INDEX(C:C, ROW())+INDEX(D:D, ROW())=0, 0, INDEX(C:C, ROW())/(INDEX(C:C, ROW())+INDEX(D:D, ROW())))</f>
        <v>0.33458646616541354</v>
      </c>
      <c r="F2551" s="1" t="s">
        <v>116</v>
      </c>
      <c r="G2551" s="1" t="s">
        <v>24</v>
      </c>
      <c r="H2551" s="1">
        <v>26796</v>
      </c>
      <c r="I2551" s="1">
        <v>89502</v>
      </c>
      <c r="J2551" s="7">
        <v>0.29899999999999999</v>
      </c>
      <c r="K2551" s="1" t="s">
        <v>21</v>
      </c>
      <c r="L2551" s="1" t="s">
        <v>29</v>
      </c>
      <c r="M2551" s="1" t="s">
        <v>29</v>
      </c>
      <c r="N2551" s="1" t="s">
        <v>22</v>
      </c>
    </row>
    <row r="2552" spans="1:14" x14ac:dyDescent="0.25">
      <c r="A2552" s="1">
        <v>2551</v>
      </c>
      <c r="B2552" s="2" t="str">
        <f>HYPERLINK("https://leetcode.com/problems/put-marbles-in-bags/", "Put Marbles in Bags")</f>
        <v>Put Marbles in Bags</v>
      </c>
      <c r="C2552" s="1">
        <v>2647</v>
      </c>
      <c r="D2552" s="1">
        <v>124</v>
      </c>
      <c r="E2552" s="3">
        <f>IF(INDEX(C:C, ROW())+INDEX(D:D, ROW())=0, 0, INDEX(C:C, ROW())/(INDEX(C:C, ROW())+INDEX(D:D, ROW())))</f>
        <v>0.95525081198123418</v>
      </c>
      <c r="F2552" s="1" t="s">
        <v>302</v>
      </c>
      <c r="G2552" s="1" t="s">
        <v>28</v>
      </c>
      <c r="H2552" s="1">
        <v>153072</v>
      </c>
      <c r="I2552" s="1">
        <v>211987</v>
      </c>
      <c r="J2552" s="7">
        <v>0.72199999999999998</v>
      </c>
      <c r="K2552" s="1" t="s">
        <v>21</v>
      </c>
      <c r="L2552" s="1" t="s">
        <v>21</v>
      </c>
      <c r="M2552" s="1" t="s">
        <v>29</v>
      </c>
      <c r="N2552" s="1" t="s">
        <v>22</v>
      </c>
    </row>
    <row r="2553" spans="1:14" x14ac:dyDescent="0.25">
      <c r="A2553" s="1">
        <v>2552</v>
      </c>
      <c r="B2553" s="2" t="str">
        <f>HYPERLINK("https://leetcode.com/problems/count-increasing-quadruplets/", "Count Increasing Quadruplets")</f>
        <v>Count Increasing Quadruplets</v>
      </c>
      <c r="C2553" s="1">
        <v>400</v>
      </c>
      <c r="D2553" s="1">
        <v>73</v>
      </c>
      <c r="E2553" s="3">
        <f>IF(INDEX(C:C, ROW())+INDEX(D:D, ROW())=0, 0, INDEX(C:C, ROW())/(INDEX(C:C, ROW())+INDEX(D:D, ROW())))</f>
        <v>0.84566596194503174</v>
      </c>
      <c r="F2553" s="1" t="s">
        <v>983</v>
      </c>
      <c r="G2553" s="1" t="s">
        <v>28</v>
      </c>
      <c r="H2553" s="1">
        <v>12200</v>
      </c>
      <c r="I2553" s="1">
        <v>35354</v>
      </c>
      <c r="J2553" s="7">
        <v>0.34499999999999997</v>
      </c>
      <c r="K2553" s="1" t="s">
        <v>21</v>
      </c>
      <c r="L2553" s="1" t="s">
        <v>29</v>
      </c>
      <c r="M2553" s="1" t="s">
        <v>29</v>
      </c>
      <c r="N2553" s="1" t="s">
        <v>22</v>
      </c>
    </row>
    <row r="2554" spans="1:14" x14ac:dyDescent="0.25">
      <c r="A2554" s="1">
        <v>2553</v>
      </c>
      <c r="B2554" s="2" t="str">
        <f>HYPERLINK("https://leetcode.com/problems/separate-the-digits-in-an-array/", "Separate the Digits in an Array")</f>
        <v>Separate the Digits in an Array</v>
      </c>
      <c r="C2554" s="1">
        <v>547</v>
      </c>
      <c r="D2554" s="1">
        <v>15</v>
      </c>
      <c r="E2554" s="3">
        <f>IF(INDEX(C:C, ROW())+INDEX(D:D, ROW())=0, 0, INDEX(C:C, ROW())/(INDEX(C:C, ROW())+INDEX(D:D, ROW())))</f>
        <v>0.9733096085409253</v>
      </c>
      <c r="F2554" s="1" t="s">
        <v>306</v>
      </c>
      <c r="G2554" s="1" t="s">
        <v>20</v>
      </c>
      <c r="H2554" s="1">
        <v>101599</v>
      </c>
      <c r="I2554" s="1">
        <v>125749</v>
      </c>
      <c r="J2554" s="7">
        <v>0.80800000000000005</v>
      </c>
      <c r="K2554" s="1" t="s">
        <v>21</v>
      </c>
      <c r="L2554" s="1" t="s">
        <v>29</v>
      </c>
      <c r="M2554" s="1" t="s">
        <v>29</v>
      </c>
      <c r="N2554" s="1" t="s">
        <v>22</v>
      </c>
    </row>
    <row r="2555" spans="1:14" x14ac:dyDescent="0.25">
      <c r="A2555" s="1">
        <v>2554</v>
      </c>
      <c r="B2555" s="2" t="str">
        <f>HYPERLINK("https://leetcode.com/problems/maximum-number-of-integers-to-choose-from-a-range-i/", "Maximum Number of Integers to Choose From a Range I")</f>
        <v>Maximum Number of Integers to Choose From a Range I</v>
      </c>
      <c r="C2555" s="1">
        <v>826</v>
      </c>
      <c r="D2555" s="1">
        <v>57</v>
      </c>
      <c r="E2555" s="3">
        <f>IF(INDEX(C:C, ROW())+INDEX(D:D, ROW())=0, 0, INDEX(C:C, ROW())/(INDEX(C:C, ROW())+INDEX(D:D, ROW())))</f>
        <v>0.9354473386183465</v>
      </c>
      <c r="F2555" s="1" t="s">
        <v>761</v>
      </c>
      <c r="G2555" s="1" t="s">
        <v>24</v>
      </c>
      <c r="H2555" s="1">
        <v>168528</v>
      </c>
      <c r="I2555" s="1">
        <v>247955</v>
      </c>
      <c r="J2555" s="7">
        <v>0.68</v>
      </c>
      <c r="K2555" s="1" t="s">
        <v>21</v>
      </c>
      <c r="L2555" s="1" t="s">
        <v>21</v>
      </c>
      <c r="M2555" s="1" t="s">
        <v>29</v>
      </c>
      <c r="N2555" s="1" t="s">
        <v>22</v>
      </c>
    </row>
    <row r="2556" spans="1:14" x14ac:dyDescent="0.25">
      <c r="A2556" s="1">
        <v>2555</v>
      </c>
      <c r="B2556" s="2" t="str">
        <f>HYPERLINK("https://leetcode.com/problems/maximize-win-from-two-segments/", "Maximize Win From Two Segments")</f>
        <v>Maximize Win From Two Segments</v>
      </c>
      <c r="C2556" s="1">
        <v>603</v>
      </c>
      <c r="D2556" s="1">
        <v>63</v>
      </c>
      <c r="E2556" s="3">
        <f>IF(INDEX(C:C, ROW())+INDEX(D:D, ROW())=0, 0, INDEX(C:C, ROW())/(INDEX(C:C, ROW())+INDEX(D:D, ROW())))</f>
        <v>0.90540540540540537</v>
      </c>
      <c r="F2556" s="1" t="s">
        <v>852</v>
      </c>
      <c r="G2556" s="1" t="s">
        <v>24</v>
      </c>
      <c r="H2556" s="1">
        <v>15184</v>
      </c>
      <c r="I2556" s="1">
        <v>40568</v>
      </c>
      <c r="J2556" s="7">
        <v>0.374</v>
      </c>
      <c r="K2556" s="1" t="s">
        <v>21</v>
      </c>
      <c r="L2556" s="1" t="s">
        <v>29</v>
      </c>
      <c r="M2556" s="1" t="s">
        <v>29</v>
      </c>
      <c r="N2556" s="1" t="s">
        <v>22</v>
      </c>
    </row>
    <row r="2557" spans="1:14" x14ac:dyDescent="0.25">
      <c r="A2557" s="1">
        <v>2556</v>
      </c>
      <c r="B2557" s="2" t="str">
        <f>HYPERLINK("https://leetcode.com/problems/disconnect-path-in-a-binary-matrix-by-at-most-one-flip/", "Disconnect Path in a Binary Matrix by at Most One Flip")</f>
        <v>Disconnect Path in a Binary Matrix by at Most One Flip</v>
      </c>
      <c r="C2557" s="1">
        <v>636</v>
      </c>
      <c r="D2557" s="1">
        <v>33</v>
      </c>
      <c r="E2557" s="3">
        <f>IF(INDEX(C:C, ROW())+INDEX(D:D, ROW())=0, 0, INDEX(C:C, ROW())/(INDEX(C:C, ROW())+INDEX(D:D, ROW())))</f>
        <v>0.95067264573991028</v>
      </c>
      <c r="F2557" s="1" t="s">
        <v>827</v>
      </c>
      <c r="G2557" s="1" t="s">
        <v>24</v>
      </c>
      <c r="H2557" s="1">
        <v>18647</v>
      </c>
      <c r="I2557" s="1">
        <v>67202</v>
      </c>
      <c r="J2557" s="7">
        <v>0.27700000000000002</v>
      </c>
      <c r="K2557" s="1" t="s">
        <v>21</v>
      </c>
      <c r="L2557" s="1" t="s">
        <v>29</v>
      </c>
      <c r="M2557" s="1" t="s">
        <v>29</v>
      </c>
      <c r="N2557" s="1" t="s">
        <v>22</v>
      </c>
    </row>
    <row r="2558" spans="1:14" x14ac:dyDescent="0.25">
      <c r="A2558" s="1">
        <v>2557</v>
      </c>
      <c r="B2558" s="2" t="str">
        <f>HYPERLINK("https://leetcode.com/problems/maximum-number-of-integers-to-choose-from-a-range-ii/", "Maximum Number of Integers to Choose From a Range II")</f>
        <v>Maximum Number of Integers to Choose From a Range II</v>
      </c>
      <c r="C2558" s="1">
        <v>42</v>
      </c>
      <c r="D2558" s="1">
        <v>26</v>
      </c>
      <c r="E2558" s="3">
        <f>IF(INDEX(C:C, ROW())+INDEX(D:D, ROW())=0, 0, INDEX(C:C, ROW())/(INDEX(C:C, ROW())+INDEX(D:D, ROW())))</f>
        <v>0.61764705882352944</v>
      </c>
      <c r="F2558" s="1" t="s">
        <v>440</v>
      </c>
      <c r="G2558" s="1" t="s">
        <v>24</v>
      </c>
      <c r="H2558" s="1">
        <v>2833</v>
      </c>
      <c r="I2558" s="1">
        <v>8132</v>
      </c>
      <c r="J2558" s="7">
        <v>0.34799999999999998</v>
      </c>
      <c r="K2558" s="1" t="s">
        <v>29</v>
      </c>
      <c r="L2558" s="1" t="s">
        <v>29</v>
      </c>
      <c r="M2558" s="1" t="s">
        <v>29</v>
      </c>
      <c r="N2558" s="1" t="s">
        <v>22</v>
      </c>
    </row>
    <row r="2559" spans="1:14" x14ac:dyDescent="0.25">
      <c r="A2559" s="1">
        <v>2558</v>
      </c>
      <c r="B2559" s="2" t="str">
        <f>HYPERLINK("https://leetcode.com/problems/take-gifts-from-the-richest-pile/", "Take Gifts From the Richest Pile")</f>
        <v>Take Gifts From the Richest Pile</v>
      </c>
      <c r="C2559" s="1">
        <v>847</v>
      </c>
      <c r="D2559" s="1">
        <v>82</v>
      </c>
      <c r="E2559" s="3">
        <f>IF(INDEX(C:C, ROW())+INDEX(D:D, ROW())=0, 0, INDEX(C:C, ROW())/(INDEX(C:C, ROW())+INDEX(D:D, ROW())))</f>
        <v>0.91173304628632934</v>
      </c>
      <c r="F2559" s="1" t="s">
        <v>751</v>
      </c>
      <c r="G2559" s="1" t="s">
        <v>20</v>
      </c>
      <c r="H2559" s="1">
        <v>196295</v>
      </c>
      <c r="I2559" s="1">
        <v>259941</v>
      </c>
      <c r="J2559" s="7">
        <v>0.755</v>
      </c>
      <c r="K2559" s="1" t="s">
        <v>21</v>
      </c>
      <c r="L2559" s="1" t="s">
        <v>21</v>
      </c>
      <c r="M2559" s="1" t="s">
        <v>29</v>
      </c>
      <c r="N2559" s="1" t="s">
        <v>22</v>
      </c>
    </row>
    <row r="2560" spans="1:14" x14ac:dyDescent="0.25">
      <c r="A2560" s="1">
        <v>2559</v>
      </c>
      <c r="B2560" s="2" t="str">
        <f>HYPERLINK("https://leetcode.com/problems/count-vowel-strings-in-ranges/", "Count Vowel Strings in Ranges")</f>
        <v>Count Vowel Strings in Ranges</v>
      </c>
      <c r="C2560" s="1">
        <v>1172</v>
      </c>
      <c r="D2560" s="1">
        <v>72</v>
      </c>
      <c r="E2560" s="3">
        <f>IF(INDEX(C:C, ROW())+INDEX(D:D, ROW())=0, 0, INDEX(C:C, ROW())/(INDEX(C:C, ROW())+INDEX(D:D, ROW())))</f>
        <v>0.94212218649517687</v>
      </c>
      <c r="F2560" s="1" t="s">
        <v>372</v>
      </c>
      <c r="G2560" s="1" t="s">
        <v>24</v>
      </c>
      <c r="H2560" s="1">
        <v>200908</v>
      </c>
      <c r="I2560" s="1">
        <v>296315</v>
      </c>
      <c r="J2560" s="7">
        <v>0.67800000000000005</v>
      </c>
      <c r="K2560" s="1" t="s">
        <v>21</v>
      </c>
      <c r="L2560" s="1" t="s">
        <v>21</v>
      </c>
      <c r="M2560" s="1" t="s">
        <v>29</v>
      </c>
      <c r="N2560" s="1" t="s">
        <v>22</v>
      </c>
    </row>
    <row r="2561" spans="1:14" x14ac:dyDescent="0.25">
      <c r="A2561" s="1">
        <v>2560</v>
      </c>
      <c r="B2561" s="2" t="str">
        <f>HYPERLINK("https://leetcode.com/problems/house-robber-iv/", "House Robber IV")</f>
        <v>House Robber IV</v>
      </c>
      <c r="C2561" s="1">
        <v>1703</v>
      </c>
      <c r="D2561" s="1">
        <v>102</v>
      </c>
      <c r="E2561" s="3">
        <f>IF(INDEX(C:C, ROW())+INDEX(D:D, ROW())=0, 0, INDEX(C:C, ROW())/(INDEX(C:C, ROW())+INDEX(D:D, ROW())))</f>
        <v>0.9434903047091413</v>
      </c>
      <c r="F2561" s="1" t="s">
        <v>458</v>
      </c>
      <c r="G2561" s="1" t="s">
        <v>24</v>
      </c>
      <c r="H2561" s="1">
        <v>138373</v>
      </c>
      <c r="I2561" s="1">
        <v>213616</v>
      </c>
      <c r="J2561" s="7">
        <v>0.64800000000000002</v>
      </c>
      <c r="K2561" s="1" t="s">
        <v>21</v>
      </c>
      <c r="L2561" s="1" t="s">
        <v>21</v>
      </c>
      <c r="M2561" s="1" t="s">
        <v>29</v>
      </c>
      <c r="N2561" s="1" t="s">
        <v>22</v>
      </c>
    </row>
    <row r="2562" spans="1:14" x14ac:dyDescent="0.25">
      <c r="A2562" s="1">
        <v>2561</v>
      </c>
      <c r="B2562" s="2" t="str">
        <f>HYPERLINK("https://leetcode.com/problems/rearranging-fruits/", "Rearranging Fruits")</f>
        <v>Rearranging Fruits</v>
      </c>
      <c r="C2562" s="1">
        <v>934</v>
      </c>
      <c r="D2562" s="1">
        <v>58</v>
      </c>
      <c r="E2562" s="3">
        <f>IF(INDEX(C:C, ROW())+INDEX(D:D, ROW())=0, 0, INDEX(C:C, ROW())/(INDEX(C:C, ROW())+INDEX(D:D, ROW())))</f>
        <v>0.94153225806451613</v>
      </c>
      <c r="F2562" s="1" t="s">
        <v>731</v>
      </c>
      <c r="G2562" s="1" t="s">
        <v>28</v>
      </c>
      <c r="H2562" s="1">
        <v>97480</v>
      </c>
      <c r="I2562" s="1">
        <v>169571</v>
      </c>
      <c r="J2562" s="7">
        <v>0.57499999999999996</v>
      </c>
      <c r="K2562" s="1" t="s">
        <v>21</v>
      </c>
      <c r="L2562" s="1" t="s">
        <v>21</v>
      </c>
      <c r="M2562" s="1" t="s">
        <v>29</v>
      </c>
      <c r="N2562" s="1" t="s">
        <v>22</v>
      </c>
    </row>
    <row r="2563" spans="1:14" x14ac:dyDescent="0.25">
      <c r="A2563" s="1">
        <v>2562</v>
      </c>
      <c r="B2563" s="2" t="str">
        <f>HYPERLINK("https://leetcode.com/problems/find-the-array-concatenation-value/", "Find the Array Concatenation Value")</f>
        <v>Find the Array Concatenation Value</v>
      </c>
      <c r="C2563" s="1">
        <v>391</v>
      </c>
      <c r="D2563" s="1">
        <v>20</v>
      </c>
      <c r="E2563" s="3">
        <f>IF(INDEX(C:C, ROW())+INDEX(D:D, ROW())=0, 0, INDEX(C:C, ROW())/(INDEX(C:C, ROW())+INDEX(D:D, ROW())))</f>
        <v>0.95133819951338194</v>
      </c>
      <c r="F2563" s="1" t="s">
        <v>303</v>
      </c>
      <c r="G2563" s="1" t="s">
        <v>20</v>
      </c>
      <c r="H2563" s="1">
        <v>67627</v>
      </c>
      <c r="I2563" s="1">
        <v>94183</v>
      </c>
      <c r="J2563" s="7">
        <v>0.71799999999999997</v>
      </c>
      <c r="K2563" s="1" t="s">
        <v>21</v>
      </c>
      <c r="L2563" s="1" t="s">
        <v>29</v>
      </c>
      <c r="M2563" s="1" t="s">
        <v>29</v>
      </c>
      <c r="N2563" s="1" t="s">
        <v>22</v>
      </c>
    </row>
    <row r="2564" spans="1:14" x14ac:dyDescent="0.25">
      <c r="A2564" s="1">
        <v>2563</v>
      </c>
      <c r="B2564" s="2" t="str">
        <f>HYPERLINK("https://leetcode.com/problems/count-the-number-of-fair-pairs/", "Count the Number of Fair Pairs")</f>
        <v>Count the Number of Fair Pairs</v>
      </c>
      <c r="C2564" s="1">
        <v>2005</v>
      </c>
      <c r="D2564" s="1">
        <v>150</v>
      </c>
      <c r="E2564" s="3">
        <f>IF(INDEX(C:C, ROW())+INDEX(D:D, ROW())=0, 0, INDEX(C:C, ROW())/(INDEX(C:C, ROW())+INDEX(D:D, ROW())))</f>
        <v>0.93039443155452439</v>
      </c>
      <c r="F2564" s="1" t="s">
        <v>277</v>
      </c>
      <c r="G2564" s="1" t="s">
        <v>24</v>
      </c>
      <c r="H2564" s="1">
        <v>236936</v>
      </c>
      <c r="I2564" s="1">
        <v>449591</v>
      </c>
      <c r="J2564" s="7">
        <v>0.52700000000000002</v>
      </c>
      <c r="K2564" s="1" t="s">
        <v>21</v>
      </c>
      <c r="L2564" s="1" t="s">
        <v>21</v>
      </c>
      <c r="M2564" s="1" t="s">
        <v>29</v>
      </c>
      <c r="N2564" s="1" t="s">
        <v>22</v>
      </c>
    </row>
    <row r="2565" spans="1:14" x14ac:dyDescent="0.25">
      <c r="A2565" s="1">
        <v>2564</v>
      </c>
      <c r="B2565" s="2" t="str">
        <f>HYPERLINK("https://leetcode.com/problems/substring-xor-queries/", "Substring XOR Queries")</f>
        <v>Substring XOR Queries</v>
      </c>
      <c r="C2565" s="1">
        <v>403</v>
      </c>
      <c r="D2565" s="1">
        <v>85</v>
      </c>
      <c r="E2565" s="3">
        <f>IF(INDEX(C:C, ROW())+INDEX(D:D, ROW())=0, 0, INDEX(C:C, ROW())/(INDEX(C:C, ROW())+INDEX(D:D, ROW())))</f>
        <v>0.82581967213114749</v>
      </c>
      <c r="F2565" s="1" t="s">
        <v>981</v>
      </c>
      <c r="G2565" s="1" t="s">
        <v>24</v>
      </c>
      <c r="H2565" s="1">
        <v>16078</v>
      </c>
      <c r="I2565" s="1">
        <v>45387</v>
      </c>
      <c r="J2565" s="7">
        <v>0.35399999999999998</v>
      </c>
      <c r="K2565" s="1" t="s">
        <v>21</v>
      </c>
      <c r="L2565" s="1" t="s">
        <v>29</v>
      </c>
      <c r="M2565" s="1" t="s">
        <v>29</v>
      </c>
      <c r="N2565" s="1" t="s">
        <v>22</v>
      </c>
    </row>
    <row r="2566" spans="1:14" x14ac:dyDescent="0.25">
      <c r="A2566" s="1">
        <v>2565</v>
      </c>
      <c r="B2566" s="2" t="str">
        <f>HYPERLINK("https://leetcode.com/problems/subsequence-with-the-minimum-score/", "Subsequence With the Minimum Score")</f>
        <v>Subsequence With the Minimum Score</v>
      </c>
      <c r="C2566" s="1">
        <v>405</v>
      </c>
      <c r="D2566" s="1">
        <v>7</v>
      </c>
      <c r="E2566" s="3">
        <f>IF(INDEX(C:C, ROW())+INDEX(D:D, ROW())=0, 0, INDEX(C:C, ROW())/(INDEX(C:C, ROW())+INDEX(D:D, ROW())))</f>
        <v>0.98300970873786409</v>
      </c>
      <c r="F2566" s="1" t="s">
        <v>978</v>
      </c>
      <c r="G2566" s="1" t="s">
        <v>28</v>
      </c>
      <c r="H2566" s="1">
        <v>10240</v>
      </c>
      <c r="I2566" s="1">
        <v>30872</v>
      </c>
      <c r="J2566" s="7">
        <v>0.33200000000000002</v>
      </c>
      <c r="K2566" s="1" t="s">
        <v>21</v>
      </c>
      <c r="L2566" s="1" t="s">
        <v>29</v>
      </c>
      <c r="M2566" s="1" t="s">
        <v>29</v>
      </c>
      <c r="N2566" s="1" t="s">
        <v>22</v>
      </c>
    </row>
    <row r="2567" spans="1:14" x14ac:dyDescent="0.25">
      <c r="A2567" s="1">
        <v>2566</v>
      </c>
      <c r="B2567" s="2" t="str">
        <f>HYPERLINK("https://leetcode.com/problems/maximum-difference-by-remapping-a-digit/", "Maximum Difference by Remapping a Digit")</f>
        <v>Maximum Difference by Remapping a Digit</v>
      </c>
      <c r="C2567" s="1">
        <v>608</v>
      </c>
      <c r="D2567" s="1">
        <v>75</v>
      </c>
      <c r="E2567" s="3">
        <f>IF(INDEX(C:C, ROW())+INDEX(D:D, ROW())=0, 0, INDEX(C:C, ROW())/(INDEX(C:C, ROW())+INDEX(D:D, ROW())))</f>
        <v>0.89019033674963399</v>
      </c>
      <c r="F2567" s="1" t="s">
        <v>296</v>
      </c>
      <c r="G2567" s="1" t="s">
        <v>20</v>
      </c>
      <c r="H2567" s="1">
        <v>132812</v>
      </c>
      <c r="I2567" s="1">
        <v>174527</v>
      </c>
      <c r="J2567" s="7">
        <v>0.76100000000000001</v>
      </c>
      <c r="K2567" s="1" t="s">
        <v>21</v>
      </c>
      <c r="L2567" s="1" t="s">
        <v>21</v>
      </c>
      <c r="M2567" s="1" t="s">
        <v>29</v>
      </c>
      <c r="N2567" s="1" t="s">
        <v>22</v>
      </c>
    </row>
    <row r="2568" spans="1:14" x14ac:dyDescent="0.25">
      <c r="A2568" s="1">
        <v>2567</v>
      </c>
      <c r="B2568" s="2" t="str">
        <f>HYPERLINK("https://leetcode.com/problems/minimum-score-by-changing-two-elements/", "Minimum Score by Changing Two Elements")</f>
        <v>Minimum Score by Changing Two Elements</v>
      </c>
      <c r="C2568" s="1">
        <v>272</v>
      </c>
      <c r="D2568" s="1">
        <v>270</v>
      </c>
      <c r="E2568" s="3">
        <f>IF(INDEX(C:C, ROW())+INDEX(D:D, ROW())=0, 0, INDEX(C:C, ROW())/(INDEX(C:C, ROW())+INDEX(D:D, ROW())))</f>
        <v>0.50184501845018448</v>
      </c>
      <c r="F2568" s="1" t="s">
        <v>169</v>
      </c>
      <c r="G2568" s="1" t="s">
        <v>24</v>
      </c>
      <c r="H2568" s="1">
        <v>22104</v>
      </c>
      <c r="I2568" s="1">
        <v>44386</v>
      </c>
      <c r="J2568" s="7">
        <v>0.498</v>
      </c>
      <c r="K2568" s="1" t="s">
        <v>21</v>
      </c>
      <c r="L2568" s="1" t="s">
        <v>29</v>
      </c>
      <c r="M2568" s="1" t="s">
        <v>29</v>
      </c>
      <c r="N2568" s="1" t="s">
        <v>22</v>
      </c>
    </row>
    <row r="2569" spans="1:14" x14ac:dyDescent="0.25">
      <c r="A2569" s="1">
        <v>2568</v>
      </c>
      <c r="B2569" s="2" t="str">
        <f>HYPERLINK("https://leetcode.com/problems/minimum-impossible-or/", "Minimum Impossible OR")</f>
        <v>Minimum Impossible OR</v>
      </c>
      <c r="C2569" s="1">
        <v>382</v>
      </c>
      <c r="D2569" s="1">
        <v>22</v>
      </c>
      <c r="E2569" s="3">
        <f>IF(INDEX(C:C, ROW())+INDEX(D:D, ROW())=0, 0, INDEX(C:C, ROW())/(INDEX(C:C, ROW())+INDEX(D:D, ROW())))</f>
        <v>0.9455445544554455</v>
      </c>
      <c r="F2569" s="1" t="s">
        <v>634</v>
      </c>
      <c r="G2569" s="1" t="s">
        <v>24</v>
      </c>
      <c r="H2569" s="1">
        <v>19959</v>
      </c>
      <c r="I2569" s="1">
        <v>33923</v>
      </c>
      <c r="J2569" s="7">
        <v>0.58799999999999997</v>
      </c>
      <c r="K2569" s="1" t="s">
        <v>21</v>
      </c>
      <c r="L2569" s="1" t="s">
        <v>29</v>
      </c>
      <c r="M2569" s="1" t="s">
        <v>29</v>
      </c>
      <c r="N2569" s="1" t="s">
        <v>22</v>
      </c>
    </row>
    <row r="2570" spans="1:14" x14ac:dyDescent="0.25">
      <c r="A2570" s="1">
        <v>2569</v>
      </c>
      <c r="B2570" s="2" t="str">
        <f>HYPERLINK("https://leetcode.com/problems/handling-sum-queries-after-update/", "Handling Sum Queries After Update")</f>
        <v>Handling Sum Queries After Update</v>
      </c>
      <c r="C2570" s="1">
        <v>197</v>
      </c>
      <c r="D2570" s="1">
        <v>25</v>
      </c>
      <c r="E2570" s="3">
        <f>IF(INDEX(C:C, ROW())+INDEX(D:D, ROW())=0, 0, INDEX(C:C, ROW())/(INDEX(C:C, ROW())+INDEX(D:D, ROW())))</f>
        <v>0.88738738738738743</v>
      </c>
      <c r="F2570" s="1" t="s">
        <v>1098</v>
      </c>
      <c r="G2570" s="1" t="s">
        <v>28</v>
      </c>
      <c r="H2570" s="1">
        <v>7638</v>
      </c>
      <c r="I2570" s="1">
        <v>25034</v>
      </c>
      <c r="J2570" s="7">
        <v>0.30499999999999999</v>
      </c>
      <c r="K2570" s="1" t="s">
        <v>21</v>
      </c>
      <c r="L2570" s="1" t="s">
        <v>29</v>
      </c>
      <c r="M2570" s="1" t="s">
        <v>29</v>
      </c>
      <c r="N2570" s="1" t="s">
        <v>22</v>
      </c>
    </row>
    <row r="2571" spans="1:14" x14ac:dyDescent="0.25">
      <c r="A2571" s="1">
        <v>2570</v>
      </c>
      <c r="B2571" s="2" t="str">
        <f>HYPERLINK("https://leetcode.com/problems/merge-two-2d-arrays-by-summing-values/", "Merge Two 2D Arrays by Summing Values")</f>
        <v>Merge Two 2D Arrays by Summing Values</v>
      </c>
      <c r="C2571" s="1">
        <v>830</v>
      </c>
      <c r="D2571" s="1">
        <v>38</v>
      </c>
      <c r="E2571" s="3">
        <f>IF(INDEX(C:C, ROW())+INDEX(D:D, ROW())=0, 0, INDEX(C:C, ROW())/(INDEX(C:C, ROW())+INDEX(D:D, ROW())))</f>
        <v>0.95622119815668205</v>
      </c>
      <c r="F2571" s="1" t="s">
        <v>757</v>
      </c>
      <c r="G2571" s="1" t="s">
        <v>20</v>
      </c>
      <c r="H2571" s="1">
        <v>210679</v>
      </c>
      <c r="I2571" s="1">
        <v>257717</v>
      </c>
      <c r="J2571" s="7">
        <v>0.81699999999999995</v>
      </c>
      <c r="K2571" s="1" t="s">
        <v>21</v>
      </c>
      <c r="L2571" s="1" t="s">
        <v>21</v>
      </c>
      <c r="M2571" s="1" t="s">
        <v>29</v>
      </c>
      <c r="N2571" s="1" t="s">
        <v>22</v>
      </c>
    </row>
    <row r="2572" spans="1:14" x14ac:dyDescent="0.25">
      <c r="A2572" s="1">
        <v>2571</v>
      </c>
      <c r="B2572" s="2" t="str">
        <f>HYPERLINK("https://leetcode.com/problems/minimum-operations-to-reduce-an-integer-to-0/", "Minimum Operations to Reduce an Integer to 0")</f>
        <v>Minimum Operations to Reduce an Integer to 0</v>
      </c>
      <c r="C2572" s="1">
        <v>616</v>
      </c>
      <c r="D2572" s="1">
        <v>200</v>
      </c>
      <c r="E2572" s="3">
        <f>IF(INDEX(C:C, ROW())+INDEX(D:D, ROW())=0, 0, INDEX(C:C, ROW())/(INDEX(C:C, ROW())+INDEX(D:D, ROW())))</f>
        <v>0.75490196078431371</v>
      </c>
      <c r="F2572" s="1" t="s">
        <v>841</v>
      </c>
      <c r="G2572" s="1" t="s">
        <v>24</v>
      </c>
      <c r="H2572" s="1">
        <v>50484</v>
      </c>
      <c r="I2572" s="1">
        <v>82698</v>
      </c>
      <c r="J2572" s="7">
        <v>0.61</v>
      </c>
      <c r="K2572" s="1" t="s">
        <v>21</v>
      </c>
      <c r="L2572" s="1" t="s">
        <v>29</v>
      </c>
      <c r="M2572" s="1" t="s">
        <v>29</v>
      </c>
      <c r="N2572" s="1" t="s">
        <v>22</v>
      </c>
    </row>
    <row r="2573" spans="1:14" x14ac:dyDescent="0.25">
      <c r="A2573" s="1">
        <v>2572</v>
      </c>
      <c r="B2573" s="2" t="str">
        <f>HYPERLINK("https://leetcode.com/problems/count-the-number-of-square-free-subsets/", "Count the Number of Square-Free Subsets")</f>
        <v>Count the Number of Square-Free Subsets</v>
      </c>
      <c r="C2573" s="1">
        <v>505</v>
      </c>
      <c r="D2573" s="1">
        <v>123</v>
      </c>
      <c r="E2573" s="3">
        <f>IF(INDEX(C:C, ROW())+INDEX(D:D, ROW())=0, 0, INDEX(C:C, ROW())/(INDEX(C:C, ROW())+INDEX(D:D, ROW())))</f>
        <v>0.80414012738853502</v>
      </c>
      <c r="F2573" s="1" t="s">
        <v>919</v>
      </c>
      <c r="G2573" s="1" t="s">
        <v>24</v>
      </c>
      <c r="H2573" s="1">
        <v>13864</v>
      </c>
      <c r="I2573" s="1">
        <v>52447</v>
      </c>
      <c r="J2573" s="7">
        <v>0.26400000000000001</v>
      </c>
      <c r="K2573" s="1" t="s">
        <v>21</v>
      </c>
      <c r="L2573" s="1" t="s">
        <v>29</v>
      </c>
      <c r="M2573" s="1" t="s">
        <v>29</v>
      </c>
      <c r="N2573" s="1" t="s">
        <v>22</v>
      </c>
    </row>
    <row r="2574" spans="1:14" x14ac:dyDescent="0.25">
      <c r="A2574" s="1">
        <v>2573</v>
      </c>
      <c r="B2574" s="2" t="str">
        <f>HYPERLINK("https://leetcode.com/problems/find-the-string-with-lcp/", "Find the String with LCP")</f>
        <v>Find the String with LCP</v>
      </c>
      <c r="C2574" s="1">
        <v>206</v>
      </c>
      <c r="D2574" s="1">
        <v>19</v>
      </c>
      <c r="E2574" s="3">
        <f>IF(INDEX(C:C, ROW())+INDEX(D:D, ROW())=0, 0, INDEX(C:C, ROW())/(INDEX(C:C, ROW())+INDEX(D:D, ROW())))</f>
        <v>0.91555555555555557</v>
      </c>
      <c r="F2574" s="1" t="s">
        <v>1093</v>
      </c>
      <c r="G2574" s="1" t="s">
        <v>28</v>
      </c>
      <c r="H2574" s="1">
        <v>7063</v>
      </c>
      <c r="I2574" s="1">
        <v>21752</v>
      </c>
      <c r="J2574" s="7">
        <v>0.32500000000000001</v>
      </c>
      <c r="K2574" s="1" t="s">
        <v>21</v>
      </c>
      <c r="L2574" s="1" t="s">
        <v>29</v>
      </c>
      <c r="M2574" s="1" t="s">
        <v>29</v>
      </c>
      <c r="N2574" s="1" t="s">
        <v>22</v>
      </c>
    </row>
    <row r="2575" spans="1:14" x14ac:dyDescent="0.25">
      <c r="A2575" s="1">
        <v>2574</v>
      </c>
      <c r="B2575" s="2" t="str">
        <f>HYPERLINK("https://leetcode.com/problems/left-and-right-sum-differences/", "Left and Right Sum Differences")</f>
        <v>Left and Right Sum Differences</v>
      </c>
      <c r="C2575" s="1">
        <v>1241</v>
      </c>
      <c r="D2575" s="1">
        <v>114</v>
      </c>
      <c r="E2575" s="3">
        <f>IF(INDEX(C:C, ROW())+INDEX(D:D, ROW())=0, 0, INDEX(C:C, ROW())/(INDEX(C:C, ROW())+INDEX(D:D, ROW())))</f>
        <v>0.91586715867158675</v>
      </c>
      <c r="F2575" s="1" t="s">
        <v>37</v>
      </c>
      <c r="G2575" s="1" t="s">
        <v>20</v>
      </c>
      <c r="H2575" s="1">
        <v>216166</v>
      </c>
      <c r="I2575" s="1">
        <v>245845</v>
      </c>
      <c r="J2575" s="7">
        <v>0.879</v>
      </c>
      <c r="K2575" s="1" t="s">
        <v>21</v>
      </c>
      <c r="L2575" s="1" t="s">
        <v>29</v>
      </c>
      <c r="M2575" s="1" t="s">
        <v>29</v>
      </c>
      <c r="N2575" s="1" t="s">
        <v>22</v>
      </c>
    </row>
    <row r="2576" spans="1:14" x14ac:dyDescent="0.25">
      <c r="A2576" s="1">
        <v>2575</v>
      </c>
      <c r="B2576" s="2" t="str">
        <f>HYPERLINK("https://leetcode.com/problems/find-the-divisibility-array-of-a-string/", "Find the Divisibility Array of a String")</f>
        <v>Find the Divisibility Array of a String</v>
      </c>
      <c r="C2576" s="1">
        <v>586</v>
      </c>
      <c r="D2576" s="1">
        <v>25</v>
      </c>
      <c r="E2576" s="3">
        <f>IF(INDEX(C:C, ROW())+INDEX(D:D, ROW())=0, 0, INDEX(C:C, ROW())/(INDEX(C:C, ROW())+INDEX(D:D, ROW())))</f>
        <v>0.95908346972176761</v>
      </c>
      <c r="F2576" s="1" t="s">
        <v>858</v>
      </c>
      <c r="G2576" s="1" t="s">
        <v>24</v>
      </c>
      <c r="H2576" s="1">
        <v>38158</v>
      </c>
      <c r="I2576" s="1">
        <v>106929</v>
      </c>
      <c r="J2576" s="7">
        <v>0.35699999999999998</v>
      </c>
      <c r="K2576" s="1" t="s">
        <v>21</v>
      </c>
      <c r="L2576" s="1" t="s">
        <v>29</v>
      </c>
      <c r="M2576" s="1" t="s">
        <v>29</v>
      </c>
      <c r="N2576" s="1" t="s">
        <v>22</v>
      </c>
    </row>
    <row r="2577" spans="1:14" x14ac:dyDescent="0.25">
      <c r="A2577" s="1">
        <v>2576</v>
      </c>
      <c r="B2577" s="2" t="str">
        <f>HYPERLINK("https://leetcode.com/problems/find-the-maximum-number-of-marked-indices/", "Find the Maximum Number of Marked Indices")</f>
        <v>Find the Maximum Number of Marked Indices</v>
      </c>
      <c r="C2577" s="1">
        <v>597</v>
      </c>
      <c r="D2577" s="1">
        <v>29</v>
      </c>
      <c r="E2577" s="3">
        <f>IF(INDEX(C:C, ROW())+INDEX(D:D, ROW())=0, 0, INDEX(C:C, ROW())/(INDEX(C:C, ROW())+INDEX(D:D, ROW())))</f>
        <v>0.95367412140575081</v>
      </c>
      <c r="F2577" s="1" t="s">
        <v>290</v>
      </c>
      <c r="G2577" s="1" t="s">
        <v>24</v>
      </c>
      <c r="H2577" s="1">
        <v>26009</v>
      </c>
      <c r="I2577" s="1">
        <v>63364</v>
      </c>
      <c r="J2577" s="7">
        <v>0.41</v>
      </c>
      <c r="K2577" s="1" t="s">
        <v>21</v>
      </c>
      <c r="L2577" s="1" t="s">
        <v>29</v>
      </c>
      <c r="M2577" s="1" t="s">
        <v>29</v>
      </c>
      <c r="N2577" s="1" t="s">
        <v>22</v>
      </c>
    </row>
    <row r="2578" spans="1:14" x14ac:dyDescent="0.25">
      <c r="A2578" s="1">
        <v>2577</v>
      </c>
      <c r="B2578" s="2" t="str">
        <f>HYPERLINK("https://leetcode.com/problems/minimum-time-to-visit-a-cell-in-a-grid/", "Minimum Time to Visit a Cell In a Grid")</f>
        <v>Minimum Time to Visit a Cell In a Grid</v>
      </c>
      <c r="C2578" s="1">
        <v>1131</v>
      </c>
      <c r="D2578" s="1">
        <v>44</v>
      </c>
      <c r="E2578" s="3">
        <f>IF(INDEX(C:C, ROW())+INDEX(D:D, ROW())=0, 0, INDEX(C:C, ROW())/(INDEX(C:C, ROW())+INDEX(D:D, ROW())))</f>
        <v>0.96255319148936169</v>
      </c>
      <c r="F2578" s="1" t="s">
        <v>415</v>
      </c>
      <c r="G2578" s="1" t="s">
        <v>28</v>
      </c>
      <c r="H2578" s="1">
        <v>87616</v>
      </c>
      <c r="I2578" s="1">
        <v>155522</v>
      </c>
      <c r="J2578" s="7">
        <v>0.56299999999999994</v>
      </c>
      <c r="K2578" s="1" t="s">
        <v>21</v>
      </c>
      <c r="L2578" s="1" t="s">
        <v>21</v>
      </c>
      <c r="M2578" s="1" t="s">
        <v>29</v>
      </c>
      <c r="N2578" s="1" t="s">
        <v>22</v>
      </c>
    </row>
    <row r="2579" spans="1:14" x14ac:dyDescent="0.25">
      <c r="A2579" s="1">
        <v>2578</v>
      </c>
      <c r="B2579" s="2" t="str">
        <f>HYPERLINK("https://leetcode.com/problems/split-with-minimum-sum/", "Split With Minimum Sum")</f>
        <v>Split With Minimum Sum</v>
      </c>
      <c r="C2579" s="1">
        <v>426</v>
      </c>
      <c r="D2579" s="1">
        <v>35</v>
      </c>
      <c r="E2579" s="3">
        <f>IF(INDEX(C:C, ROW())+INDEX(D:D, ROW())=0, 0, INDEX(C:C, ROW())/(INDEX(C:C, ROW())+INDEX(D:D, ROW())))</f>
        <v>0.92407809110629069</v>
      </c>
      <c r="F2579" s="1" t="s">
        <v>587</v>
      </c>
      <c r="G2579" s="1" t="s">
        <v>20</v>
      </c>
      <c r="H2579" s="1">
        <v>50930</v>
      </c>
      <c r="I2579" s="1">
        <v>69489</v>
      </c>
      <c r="J2579" s="7">
        <v>0.73299999999999998</v>
      </c>
      <c r="K2579" s="1" t="s">
        <v>21</v>
      </c>
      <c r="L2579" s="1" t="s">
        <v>29</v>
      </c>
      <c r="M2579" s="1" t="s">
        <v>29</v>
      </c>
      <c r="N2579" s="1" t="s">
        <v>22</v>
      </c>
    </row>
    <row r="2580" spans="1:14" x14ac:dyDescent="0.25">
      <c r="A2580" s="1">
        <v>2579</v>
      </c>
      <c r="B2580" s="2" t="str">
        <f>HYPERLINK("https://leetcode.com/problems/count-total-number-of-colored-cells/", "Count Total Number of Colored Cells")</f>
        <v>Count Total Number of Colored Cells</v>
      </c>
      <c r="C2580" s="1">
        <v>844</v>
      </c>
      <c r="D2580" s="1">
        <v>95</v>
      </c>
      <c r="E2580" s="3">
        <f>IF(INDEX(C:C, ROW())+INDEX(D:D, ROW())=0, 0, INDEX(C:C, ROW())/(INDEX(C:C, ROW())+INDEX(D:D, ROW())))</f>
        <v>0.89882854100106502</v>
      </c>
      <c r="F2580" s="1" t="s">
        <v>84</v>
      </c>
      <c r="G2580" s="1" t="s">
        <v>24</v>
      </c>
      <c r="H2580" s="1">
        <v>203250</v>
      </c>
      <c r="I2580" s="1">
        <v>307331</v>
      </c>
      <c r="J2580" s="7">
        <v>0.66100000000000003</v>
      </c>
      <c r="K2580" s="1" t="s">
        <v>21</v>
      </c>
      <c r="L2580" s="1" t="s">
        <v>21</v>
      </c>
      <c r="M2580" s="1" t="s">
        <v>29</v>
      </c>
      <c r="N2580" s="1" t="s">
        <v>22</v>
      </c>
    </row>
    <row r="2581" spans="1:14" x14ac:dyDescent="0.25">
      <c r="A2581" s="1">
        <v>2580</v>
      </c>
      <c r="B2581" s="2" t="str">
        <f>HYPERLINK("https://leetcode.com/problems/count-ways-to-group-overlapping-ranges/", "Count Ways to Group Overlapping Ranges")</f>
        <v>Count Ways to Group Overlapping Ranges</v>
      </c>
      <c r="C2581" s="1">
        <v>338</v>
      </c>
      <c r="D2581" s="1">
        <v>27</v>
      </c>
      <c r="E2581" s="3">
        <f>IF(INDEX(C:C, ROW())+INDEX(D:D, ROW())=0, 0, INDEX(C:C, ROW())/(INDEX(C:C, ROW())+INDEX(D:D, ROW())))</f>
        <v>0.92602739726027394</v>
      </c>
      <c r="F2581" s="1" t="s">
        <v>42</v>
      </c>
      <c r="G2581" s="1" t="s">
        <v>24</v>
      </c>
      <c r="H2581" s="1">
        <v>22952</v>
      </c>
      <c r="I2581" s="1">
        <v>58898</v>
      </c>
      <c r="J2581" s="7">
        <v>0.39</v>
      </c>
      <c r="K2581" s="1" t="s">
        <v>21</v>
      </c>
      <c r="L2581" s="1" t="s">
        <v>29</v>
      </c>
      <c r="M2581" s="1" t="s">
        <v>29</v>
      </c>
      <c r="N2581" s="1" t="s">
        <v>22</v>
      </c>
    </row>
    <row r="2582" spans="1:14" x14ac:dyDescent="0.25">
      <c r="A2582" s="1">
        <v>2581</v>
      </c>
      <c r="B2582" s="2" t="str">
        <f>HYPERLINK("https://leetcode.com/problems/count-number-of-possible-root-nodes/", "Count Number of Possible Root Nodes")</f>
        <v>Count Number of Possible Root Nodes</v>
      </c>
      <c r="C2582" s="1">
        <v>322</v>
      </c>
      <c r="D2582" s="1">
        <v>10</v>
      </c>
      <c r="E2582" s="3">
        <f>IF(INDEX(C:C, ROW())+INDEX(D:D, ROW())=0, 0, INDEX(C:C, ROW())/(INDEX(C:C, ROW())+INDEX(D:D, ROW())))</f>
        <v>0.96987951807228912</v>
      </c>
      <c r="F2582" s="1" t="s">
        <v>1035</v>
      </c>
      <c r="G2582" s="1" t="s">
        <v>28</v>
      </c>
      <c r="H2582" s="1">
        <v>8907</v>
      </c>
      <c r="I2582" s="1">
        <v>18539</v>
      </c>
      <c r="J2582" s="7">
        <v>0.48</v>
      </c>
      <c r="K2582" s="1" t="s">
        <v>21</v>
      </c>
      <c r="L2582" s="1" t="s">
        <v>29</v>
      </c>
      <c r="M2582" s="1" t="s">
        <v>29</v>
      </c>
      <c r="N2582" s="1" t="s">
        <v>22</v>
      </c>
    </row>
    <row r="2583" spans="1:14" x14ac:dyDescent="0.25">
      <c r="A2583" s="1">
        <v>2582</v>
      </c>
      <c r="B2583" s="2" t="str">
        <f>HYPERLINK("https://leetcode.com/problems/pass-the-pillow/", "Pass the Pillow")</f>
        <v>Pass the Pillow</v>
      </c>
      <c r="C2583" s="1">
        <v>1099</v>
      </c>
      <c r="D2583" s="1">
        <v>58</v>
      </c>
      <c r="E2583" s="3">
        <f>IF(INDEX(C:C, ROW())+INDEX(D:D, ROW())=0, 0, INDEX(C:C, ROW())/(INDEX(C:C, ROW())+INDEX(D:D, ROW())))</f>
        <v>0.94987035436473644</v>
      </c>
      <c r="F2583" s="1" t="s">
        <v>465</v>
      </c>
      <c r="G2583" s="1" t="s">
        <v>20</v>
      </c>
      <c r="H2583" s="1">
        <v>214190</v>
      </c>
      <c r="I2583" s="1">
        <v>378516</v>
      </c>
      <c r="J2583" s="7">
        <v>0.56599999999999995</v>
      </c>
      <c r="K2583" s="1" t="s">
        <v>21</v>
      </c>
      <c r="L2583" s="1" t="s">
        <v>21</v>
      </c>
      <c r="M2583" s="1" t="s">
        <v>29</v>
      </c>
      <c r="N2583" s="1" t="s">
        <v>22</v>
      </c>
    </row>
    <row r="2584" spans="1:14" x14ac:dyDescent="0.25">
      <c r="A2584" s="1">
        <v>2583</v>
      </c>
      <c r="B2584" s="2" t="str">
        <f>HYPERLINK("https://leetcode.com/problems/kth-largest-sum-in-a-binary-tree/", "Kth Largest Sum in a Binary Tree")</f>
        <v>Kth Largest Sum in a Binary Tree</v>
      </c>
      <c r="C2584" s="1">
        <v>1070</v>
      </c>
      <c r="D2584" s="1">
        <v>40</v>
      </c>
      <c r="E2584" s="3">
        <f>IF(INDEX(C:C, ROW())+INDEX(D:D, ROW())=0, 0, INDEX(C:C, ROW())/(INDEX(C:C, ROW())+INDEX(D:D, ROW())))</f>
        <v>0.963963963963964</v>
      </c>
      <c r="F2584" s="1" t="s">
        <v>697</v>
      </c>
      <c r="G2584" s="1" t="s">
        <v>24</v>
      </c>
      <c r="H2584" s="1">
        <v>179605</v>
      </c>
      <c r="I2584" s="1">
        <v>304539</v>
      </c>
      <c r="J2584" s="7">
        <v>0.59</v>
      </c>
      <c r="K2584" s="1" t="s">
        <v>21</v>
      </c>
      <c r="L2584" s="1" t="s">
        <v>21</v>
      </c>
      <c r="M2584" s="1" t="s">
        <v>29</v>
      </c>
      <c r="N2584" s="1" t="s">
        <v>22</v>
      </c>
    </row>
    <row r="2585" spans="1:14" x14ac:dyDescent="0.25">
      <c r="A2585" s="1">
        <v>2584</v>
      </c>
      <c r="B2585" s="2" t="str">
        <f>HYPERLINK("https://leetcode.com/problems/split-the-array-to-make-coprime-products/", "Split the Array to Make Coprime Products")</f>
        <v>Split the Array to Make Coprime Products</v>
      </c>
      <c r="C2585" s="1">
        <v>321</v>
      </c>
      <c r="D2585" s="1">
        <v>112</v>
      </c>
      <c r="E2585" s="3">
        <f>IF(INDEX(C:C, ROW())+INDEX(D:D, ROW())=0, 0, INDEX(C:C, ROW())/(INDEX(C:C, ROW())+INDEX(D:D, ROW())))</f>
        <v>0.74133949191685911</v>
      </c>
      <c r="F2585" s="1" t="s">
        <v>886</v>
      </c>
      <c r="G2585" s="1" t="s">
        <v>28</v>
      </c>
      <c r="H2585" s="1">
        <v>18845</v>
      </c>
      <c r="I2585" s="1">
        <v>65792</v>
      </c>
      <c r="J2585" s="7">
        <v>0.28599999999999998</v>
      </c>
      <c r="K2585" s="1" t="s">
        <v>21</v>
      </c>
      <c r="L2585" s="1" t="s">
        <v>29</v>
      </c>
      <c r="M2585" s="1" t="s">
        <v>29</v>
      </c>
      <c r="N2585" s="1" t="s">
        <v>22</v>
      </c>
    </row>
    <row r="2586" spans="1:14" x14ac:dyDescent="0.25">
      <c r="A2586" s="1">
        <v>2585</v>
      </c>
      <c r="B2586" s="2" t="str">
        <f>HYPERLINK("https://leetcode.com/problems/number-of-ways-to-earn-points/", "Number of Ways to Earn Points")</f>
        <v>Number of Ways to Earn Points</v>
      </c>
      <c r="C2586" s="1">
        <v>506</v>
      </c>
      <c r="D2586" s="1">
        <v>12</v>
      </c>
      <c r="E2586" s="3">
        <f>IF(INDEX(C:C, ROW())+INDEX(D:D, ROW())=0, 0, INDEX(C:C, ROW())/(INDEX(C:C, ROW())+INDEX(D:D, ROW())))</f>
        <v>0.97683397683397688</v>
      </c>
      <c r="F2586" s="1" t="s">
        <v>30</v>
      </c>
      <c r="G2586" s="1" t="s">
        <v>28</v>
      </c>
      <c r="H2586" s="1">
        <v>23132</v>
      </c>
      <c r="I2586" s="1">
        <v>38880</v>
      </c>
      <c r="J2586" s="7">
        <v>0.59499999999999997</v>
      </c>
      <c r="K2586" s="1" t="s">
        <v>21</v>
      </c>
      <c r="L2586" s="1" t="s">
        <v>29</v>
      </c>
      <c r="M2586" s="1" t="s">
        <v>29</v>
      </c>
      <c r="N2586" s="1" t="s">
        <v>22</v>
      </c>
    </row>
    <row r="2587" spans="1:14" x14ac:dyDescent="0.25">
      <c r="A2587" s="1">
        <v>2586</v>
      </c>
      <c r="B2587" s="2" t="str">
        <f>HYPERLINK("https://leetcode.com/problems/count-the-number-of-vowel-strings-in-range/", "Count the Number of Vowel Strings in Range")</f>
        <v>Count the Number of Vowel Strings in Range</v>
      </c>
      <c r="C2587" s="1">
        <v>377</v>
      </c>
      <c r="D2587" s="1">
        <v>32</v>
      </c>
      <c r="E2587" s="3">
        <f>IF(INDEX(C:C, ROW())+INDEX(D:D, ROW())=0, 0, INDEX(C:C, ROW())/(INDEX(C:C, ROW())+INDEX(D:D, ROW())))</f>
        <v>0.92176039119804398</v>
      </c>
      <c r="F2587" s="1" t="s">
        <v>1001</v>
      </c>
      <c r="G2587" s="1" t="s">
        <v>20</v>
      </c>
      <c r="H2587" s="1">
        <v>87652</v>
      </c>
      <c r="I2587" s="1">
        <v>118234</v>
      </c>
      <c r="J2587" s="7">
        <v>0.74099999999999999</v>
      </c>
      <c r="K2587" s="1" t="s">
        <v>21</v>
      </c>
      <c r="L2587" s="1" t="s">
        <v>29</v>
      </c>
      <c r="M2587" s="1" t="s">
        <v>29</v>
      </c>
      <c r="N2587" s="1" t="s">
        <v>22</v>
      </c>
    </row>
    <row r="2588" spans="1:14" x14ac:dyDescent="0.25">
      <c r="A2588" s="1">
        <v>2587</v>
      </c>
      <c r="B2588" s="2" t="str">
        <f>HYPERLINK("https://leetcode.com/problems/rearrange-array-to-maximize-prefix-score/", "Rearrange Array to Maximize Prefix Score")</f>
        <v>Rearrange Array to Maximize Prefix Score</v>
      </c>
      <c r="C2588" s="1">
        <v>309</v>
      </c>
      <c r="D2588" s="1">
        <v>53</v>
      </c>
      <c r="E2588" s="3">
        <f>IF(INDEX(C:C, ROW())+INDEX(D:D, ROW())=0, 0, INDEX(C:C, ROW())/(INDEX(C:C, ROW())+INDEX(D:D, ROW())))</f>
        <v>0.85359116022099446</v>
      </c>
      <c r="F2588" s="1" t="s">
        <v>755</v>
      </c>
      <c r="G2588" s="1" t="s">
        <v>24</v>
      </c>
      <c r="H2588" s="1">
        <v>39104</v>
      </c>
      <c r="I2588" s="1">
        <v>92076</v>
      </c>
      <c r="J2588" s="7">
        <v>0.42499999999999999</v>
      </c>
      <c r="K2588" s="1" t="s">
        <v>21</v>
      </c>
      <c r="L2588" s="1" t="s">
        <v>29</v>
      </c>
      <c r="M2588" s="1" t="s">
        <v>29</v>
      </c>
      <c r="N2588" s="1" t="s">
        <v>22</v>
      </c>
    </row>
    <row r="2589" spans="1:14" x14ac:dyDescent="0.25">
      <c r="A2589" s="1">
        <v>2588</v>
      </c>
      <c r="B2589" s="2" t="str">
        <f>HYPERLINK("https://leetcode.com/problems/count-the-number-of-beautiful-subarrays/", "Count the Number of Beautiful Subarrays")</f>
        <v>Count the Number of Beautiful Subarrays</v>
      </c>
      <c r="C2589" s="1">
        <v>560</v>
      </c>
      <c r="D2589" s="1">
        <v>23</v>
      </c>
      <c r="E2589" s="3">
        <f>IF(INDEX(C:C, ROW())+INDEX(D:D, ROW())=0, 0, INDEX(C:C, ROW())/(INDEX(C:C, ROW())+INDEX(D:D, ROW())))</f>
        <v>0.96054888507718694</v>
      </c>
      <c r="F2589" s="1" t="s">
        <v>870</v>
      </c>
      <c r="G2589" s="1" t="s">
        <v>24</v>
      </c>
      <c r="H2589" s="1">
        <v>25117</v>
      </c>
      <c r="I2589" s="1">
        <v>47058</v>
      </c>
      <c r="J2589" s="7">
        <v>0.53400000000000003</v>
      </c>
      <c r="K2589" s="1" t="s">
        <v>21</v>
      </c>
      <c r="L2589" s="1" t="s">
        <v>29</v>
      </c>
      <c r="M2589" s="1" t="s">
        <v>29</v>
      </c>
      <c r="N2589" s="1" t="s">
        <v>22</v>
      </c>
    </row>
    <row r="2590" spans="1:14" x14ac:dyDescent="0.25">
      <c r="A2590" s="1">
        <v>2589</v>
      </c>
      <c r="B2590" s="2" t="str">
        <f>HYPERLINK("https://leetcode.com/problems/minimum-time-to-complete-all-tasks/", "Minimum Time to Complete All Tasks")</f>
        <v>Minimum Time to Complete All Tasks</v>
      </c>
      <c r="C2590" s="1">
        <v>462</v>
      </c>
      <c r="D2590" s="1">
        <v>21</v>
      </c>
      <c r="E2590" s="3">
        <f>IF(INDEX(C:C, ROW())+INDEX(D:D, ROW())=0, 0, INDEX(C:C, ROW())/(INDEX(C:C, ROW())+INDEX(D:D, ROW())))</f>
        <v>0.95652173913043481</v>
      </c>
      <c r="F2590" s="1" t="s">
        <v>948</v>
      </c>
      <c r="G2590" s="1" t="s">
        <v>28</v>
      </c>
      <c r="H2590" s="1">
        <v>14039</v>
      </c>
      <c r="I2590" s="1">
        <v>35431</v>
      </c>
      <c r="J2590" s="7">
        <v>0.39600000000000002</v>
      </c>
      <c r="K2590" s="1" t="s">
        <v>21</v>
      </c>
      <c r="L2590" s="1" t="s">
        <v>29</v>
      </c>
      <c r="M2590" s="1" t="s">
        <v>29</v>
      </c>
      <c r="N2590" s="1" t="s">
        <v>22</v>
      </c>
    </row>
    <row r="2591" spans="1:14" x14ac:dyDescent="0.25">
      <c r="A2591" s="1">
        <v>2590</v>
      </c>
      <c r="B2591" s="2" t="str">
        <f>HYPERLINK("https://leetcode.com/problems/design-a-todo-list/", "Design a Todo List")</f>
        <v>Design a Todo List</v>
      </c>
      <c r="C2591" s="1">
        <v>48</v>
      </c>
      <c r="D2591" s="1">
        <v>15</v>
      </c>
      <c r="E2591" s="3">
        <f>IF(INDEX(C:C, ROW())+INDEX(D:D, ROW())=0, 0, INDEX(C:C, ROW())/(INDEX(C:C, ROW())+INDEX(D:D, ROW())))</f>
        <v>0.76190476190476186</v>
      </c>
      <c r="F2591" s="1" t="s">
        <v>1271</v>
      </c>
      <c r="G2591" s="1" t="s">
        <v>24</v>
      </c>
      <c r="H2591" s="1">
        <v>4131</v>
      </c>
      <c r="I2591" s="1">
        <v>6923</v>
      </c>
      <c r="J2591" s="7">
        <v>0.59699999999999998</v>
      </c>
      <c r="K2591" s="1" t="s">
        <v>29</v>
      </c>
      <c r="L2591" s="1" t="s">
        <v>29</v>
      </c>
      <c r="M2591" s="1" t="s">
        <v>29</v>
      </c>
      <c r="N2591" s="1" t="s">
        <v>22</v>
      </c>
    </row>
    <row r="2592" spans="1:14" x14ac:dyDescent="0.25">
      <c r="A2592" s="1">
        <v>2591</v>
      </c>
      <c r="B2592" s="2" t="str">
        <f>HYPERLINK("https://leetcode.com/problems/distribute-money-to-maximum-children/", "Distribute Money to Maximum Children")</f>
        <v>Distribute Money to Maximum Children</v>
      </c>
      <c r="C2592" s="1">
        <v>363</v>
      </c>
      <c r="D2592" s="1">
        <v>921</v>
      </c>
      <c r="E2592" s="3">
        <f>IF(INDEX(C:C, ROW())+INDEX(D:D, ROW())=0, 0, INDEX(C:C, ROW())/(INDEX(C:C, ROW())+INDEX(D:D, ROW())))</f>
        <v>0.28271028037383178</v>
      </c>
      <c r="F2592" s="1" t="s">
        <v>296</v>
      </c>
      <c r="G2592" s="1" t="s">
        <v>20</v>
      </c>
      <c r="H2592" s="1">
        <v>47826</v>
      </c>
      <c r="I2592" s="1">
        <v>233803</v>
      </c>
      <c r="J2592" s="7">
        <v>0.20499999999999999</v>
      </c>
      <c r="K2592" s="1" t="s">
        <v>21</v>
      </c>
      <c r="L2592" s="1" t="s">
        <v>29</v>
      </c>
      <c r="M2592" s="1" t="s">
        <v>29</v>
      </c>
      <c r="N2592" s="1" t="s">
        <v>22</v>
      </c>
    </row>
    <row r="2593" spans="1:14" x14ac:dyDescent="0.25">
      <c r="A2593" s="1">
        <v>2592</v>
      </c>
      <c r="B2593" s="2" t="str">
        <f>HYPERLINK("https://leetcode.com/problems/maximize-greatness-of-an-array/", "Maximize Greatness of an Array")</f>
        <v>Maximize Greatness of an Array</v>
      </c>
      <c r="C2593" s="1">
        <v>505</v>
      </c>
      <c r="D2593" s="1">
        <v>21</v>
      </c>
      <c r="E2593" s="3">
        <f>IF(INDEX(C:C, ROW())+INDEX(D:D, ROW())=0, 0, INDEX(C:C, ROW())/(INDEX(C:C, ROW())+INDEX(D:D, ROW())))</f>
        <v>0.96007604562737647</v>
      </c>
      <c r="F2593" s="1" t="s">
        <v>203</v>
      </c>
      <c r="G2593" s="1" t="s">
        <v>24</v>
      </c>
      <c r="H2593" s="1">
        <v>41019</v>
      </c>
      <c r="I2593" s="1">
        <v>66977</v>
      </c>
      <c r="J2593" s="7">
        <v>0.61199999999999999</v>
      </c>
      <c r="K2593" s="1" t="s">
        <v>21</v>
      </c>
      <c r="L2593" s="1" t="s">
        <v>29</v>
      </c>
      <c r="M2593" s="1" t="s">
        <v>29</v>
      </c>
      <c r="N2593" s="1" t="s">
        <v>22</v>
      </c>
    </row>
    <row r="2594" spans="1:14" x14ac:dyDescent="0.25">
      <c r="A2594" s="1">
        <v>2593</v>
      </c>
      <c r="B2594" s="2" t="str">
        <f>HYPERLINK("https://leetcode.com/problems/find-score-of-an-array-after-marking-all-elements/", "Find Score of an Array After Marking All Elements")</f>
        <v>Find Score of an Array After Marking All Elements</v>
      </c>
      <c r="C2594" s="1">
        <v>938</v>
      </c>
      <c r="D2594" s="1">
        <v>22</v>
      </c>
      <c r="E2594" s="3">
        <f>IF(INDEX(C:C, ROW())+INDEX(D:D, ROW())=0, 0, INDEX(C:C, ROW())/(INDEX(C:C, ROW())+INDEX(D:D, ROW())))</f>
        <v>0.9770833333333333</v>
      </c>
      <c r="F2594" s="1" t="s">
        <v>432</v>
      </c>
      <c r="G2594" s="1" t="s">
        <v>24</v>
      </c>
      <c r="H2594" s="1">
        <v>134817</v>
      </c>
      <c r="I2594" s="1">
        <v>209008</v>
      </c>
      <c r="J2594" s="7">
        <v>0.64500000000000002</v>
      </c>
      <c r="K2594" s="1" t="s">
        <v>21</v>
      </c>
      <c r="L2594" s="1" t="s">
        <v>21</v>
      </c>
      <c r="M2594" s="1" t="s">
        <v>29</v>
      </c>
      <c r="N2594" s="1" t="s">
        <v>22</v>
      </c>
    </row>
    <row r="2595" spans="1:14" x14ac:dyDescent="0.25">
      <c r="A2595" s="1">
        <v>2594</v>
      </c>
      <c r="B2595" s="2" t="str">
        <f>HYPERLINK("https://leetcode.com/problems/minimum-time-to-repair-cars/", "Minimum Time to Repair Cars")</f>
        <v>Minimum Time to Repair Cars</v>
      </c>
      <c r="C2595" s="1">
        <v>1337</v>
      </c>
      <c r="D2595" s="1">
        <v>92</v>
      </c>
      <c r="E2595" s="3">
        <f>IF(INDEX(C:C, ROW())+INDEX(D:D, ROW())=0, 0, INDEX(C:C, ROW())/(INDEX(C:C, ROW())+INDEX(D:D, ROW())))</f>
        <v>0.93561931420573829</v>
      </c>
      <c r="F2595" s="1" t="s">
        <v>35</v>
      </c>
      <c r="G2595" s="1" t="s">
        <v>24</v>
      </c>
      <c r="H2595" s="1">
        <v>153656</v>
      </c>
      <c r="I2595" s="1">
        <v>257628</v>
      </c>
      <c r="J2595" s="7">
        <v>0.59599999999999997</v>
      </c>
      <c r="K2595" s="1" t="s">
        <v>21</v>
      </c>
      <c r="L2595" s="1" t="s">
        <v>21</v>
      </c>
      <c r="M2595" s="1" t="s">
        <v>29</v>
      </c>
      <c r="N2595" s="1" t="s">
        <v>22</v>
      </c>
    </row>
    <row r="2596" spans="1:14" x14ac:dyDescent="0.25">
      <c r="A2596" s="1">
        <v>2595</v>
      </c>
      <c r="B2596" s="2" t="str">
        <f>HYPERLINK("https://leetcode.com/problems/number-of-even-and-odd-bits/", "Number of Even and Odd Bits")</f>
        <v>Number of Even and Odd Bits</v>
      </c>
      <c r="C2596" s="1">
        <v>371</v>
      </c>
      <c r="D2596" s="1">
        <v>117</v>
      </c>
      <c r="E2596" s="3">
        <f>IF(INDEX(C:C, ROW())+INDEX(D:D, ROW())=0, 0, INDEX(C:C, ROW())/(INDEX(C:C, ROW())+INDEX(D:D, ROW())))</f>
        <v>0.76024590163934425</v>
      </c>
      <c r="F2596" s="1" t="s">
        <v>298</v>
      </c>
      <c r="G2596" s="1" t="s">
        <v>20</v>
      </c>
      <c r="H2596" s="1">
        <v>67683</v>
      </c>
      <c r="I2596" s="1">
        <v>92284</v>
      </c>
      <c r="J2596" s="7">
        <v>0.73299999999999998</v>
      </c>
      <c r="K2596" s="1" t="s">
        <v>21</v>
      </c>
      <c r="L2596" s="1" t="s">
        <v>29</v>
      </c>
      <c r="M2596" s="1" t="s">
        <v>29</v>
      </c>
      <c r="N2596" s="1" t="s">
        <v>22</v>
      </c>
    </row>
    <row r="2597" spans="1:14" x14ac:dyDescent="0.25">
      <c r="A2597" s="1">
        <v>2596</v>
      </c>
      <c r="B2597" s="2" t="str">
        <f>HYPERLINK("https://leetcode.com/problems/check-knight-tour-configuration/", "Check Knight Tour Configuration")</f>
        <v>Check Knight Tour Configuration</v>
      </c>
      <c r="C2597" s="1">
        <v>523</v>
      </c>
      <c r="D2597" s="1">
        <v>65</v>
      </c>
      <c r="E2597" s="3">
        <f>IF(INDEX(C:C, ROW())+INDEX(D:D, ROW())=0, 0, INDEX(C:C, ROW())/(INDEX(C:C, ROW())+INDEX(D:D, ROW())))</f>
        <v>0.88945578231292521</v>
      </c>
      <c r="F2597" s="1" t="s">
        <v>903</v>
      </c>
      <c r="G2597" s="1" t="s">
        <v>24</v>
      </c>
      <c r="H2597" s="1">
        <v>52765</v>
      </c>
      <c r="I2597" s="1">
        <v>87132</v>
      </c>
      <c r="J2597" s="7">
        <v>0.60599999999999998</v>
      </c>
      <c r="K2597" s="1" t="s">
        <v>21</v>
      </c>
      <c r="L2597" s="1" t="s">
        <v>29</v>
      </c>
      <c r="M2597" s="1" t="s">
        <v>29</v>
      </c>
      <c r="N2597" s="1" t="s">
        <v>22</v>
      </c>
    </row>
    <row r="2598" spans="1:14" x14ac:dyDescent="0.25">
      <c r="A2598" s="1">
        <v>2597</v>
      </c>
      <c r="B2598" s="2" t="str">
        <f>HYPERLINK("https://leetcode.com/problems/the-number-of-beautiful-subsets/", "The Number of Beautiful Subsets")</f>
        <v>The Number of Beautiful Subsets</v>
      </c>
      <c r="C2598" s="1">
        <v>1301</v>
      </c>
      <c r="D2598" s="1">
        <v>177</v>
      </c>
      <c r="E2598" s="3">
        <f>IF(INDEX(C:C, ROW())+INDEX(D:D, ROW())=0, 0, INDEX(C:C, ROW())/(INDEX(C:C, ROW())+INDEX(D:D, ROW())))</f>
        <v>0.88024357239512852</v>
      </c>
      <c r="F2598" s="1" t="s">
        <v>638</v>
      </c>
      <c r="G2598" s="1" t="s">
        <v>24</v>
      </c>
      <c r="H2598" s="1">
        <v>130205</v>
      </c>
      <c r="I2598" s="1">
        <v>255844</v>
      </c>
      <c r="J2598" s="7">
        <v>0.50900000000000001</v>
      </c>
      <c r="K2598" s="1" t="s">
        <v>21</v>
      </c>
      <c r="L2598" s="1" t="s">
        <v>21</v>
      </c>
      <c r="M2598" s="1" t="s">
        <v>29</v>
      </c>
      <c r="N2598" s="1" t="s">
        <v>22</v>
      </c>
    </row>
    <row r="2599" spans="1:14" x14ac:dyDescent="0.25">
      <c r="A2599" s="1">
        <v>2598</v>
      </c>
      <c r="B2599" s="2" t="str">
        <f>HYPERLINK("https://leetcode.com/problems/smallest-missing-non-negative-integer-after-operations/", "Smallest Missing Non-negative Integer After Operations")</f>
        <v>Smallest Missing Non-negative Integer After Operations</v>
      </c>
      <c r="C2599" s="1">
        <v>802</v>
      </c>
      <c r="D2599" s="1">
        <v>174</v>
      </c>
      <c r="E2599" s="3">
        <f>IF(INDEX(C:C, ROW())+INDEX(D:D, ROW())=0, 0, INDEX(C:C, ROW())/(INDEX(C:C, ROW())+INDEX(D:D, ROW())))</f>
        <v>0.82172131147540983</v>
      </c>
      <c r="F2599" s="1" t="s">
        <v>480</v>
      </c>
      <c r="G2599" s="1" t="s">
        <v>24</v>
      </c>
      <c r="H2599" s="1">
        <v>113122</v>
      </c>
      <c r="I2599" s="1">
        <v>202282</v>
      </c>
      <c r="J2599" s="7">
        <v>0.55900000000000005</v>
      </c>
      <c r="K2599" s="1" t="s">
        <v>21</v>
      </c>
      <c r="L2599" s="1" t="s">
        <v>21</v>
      </c>
      <c r="M2599" s="1" t="s">
        <v>29</v>
      </c>
      <c r="N2599" s="1" t="s">
        <v>22</v>
      </c>
    </row>
    <row r="2600" spans="1:14" x14ac:dyDescent="0.25">
      <c r="A2600" s="1">
        <v>2599</v>
      </c>
      <c r="B2600" s="2" t="str">
        <f>HYPERLINK("https://leetcode.com/problems/make-the-prefix-sum-non-negative/", "Make the Prefix Sum Non-negative")</f>
        <v>Make the Prefix Sum Non-negative</v>
      </c>
      <c r="C2600" s="1">
        <v>98</v>
      </c>
      <c r="D2600" s="1">
        <v>3</v>
      </c>
      <c r="E2600" s="3">
        <f>IF(INDEX(C:C, ROW())+INDEX(D:D, ROW())=0, 0, INDEX(C:C, ROW())/(INDEX(C:C, ROW())+INDEX(D:D, ROW())))</f>
        <v>0.97029702970297027</v>
      </c>
      <c r="F2600" s="1" t="s">
        <v>221</v>
      </c>
      <c r="G2600" s="1" t="s">
        <v>24</v>
      </c>
      <c r="H2600" s="1">
        <v>8363</v>
      </c>
      <c r="I2600" s="1">
        <v>16137</v>
      </c>
      <c r="J2600" s="7">
        <v>0.51800000000000002</v>
      </c>
      <c r="K2600" s="1" t="s">
        <v>29</v>
      </c>
      <c r="L2600" s="1" t="s">
        <v>21</v>
      </c>
      <c r="M2600" s="1" t="s">
        <v>29</v>
      </c>
      <c r="N2600" s="1" t="s">
        <v>22</v>
      </c>
    </row>
    <row r="2601" spans="1:14" x14ac:dyDescent="0.25">
      <c r="A2601" s="1">
        <v>2600</v>
      </c>
      <c r="B2601" s="2" t="str">
        <f>HYPERLINK("https://leetcode.com/problems/k-items-with-the-maximum-sum/", "K Items With the Maximum Sum")</f>
        <v>K Items With the Maximum Sum</v>
      </c>
      <c r="C2601" s="1">
        <v>336</v>
      </c>
      <c r="D2601" s="1">
        <v>40</v>
      </c>
      <c r="E2601" s="3">
        <f>IF(INDEX(C:C, ROW())+INDEX(D:D, ROW())=0, 0, INDEX(C:C, ROW())/(INDEX(C:C, ROW())+INDEX(D:D, ROW())))</f>
        <v>0.8936170212765957</v>
      </c>
      <c r="F2601" s="1" t="s">
        <v>296</v>
      </c>
      <c r="G2601" s="1" t="s">
        <v>20</v>
      </c>
      <c r="H2601" s="1">
        <v>62674</v>
      </c>
      <c r="I2601" s="1">
        <v>104086</v>
      </c>
      <c r="J2601" s="7">
        <v>0.60199999999999998</v>
      </c>
      <c r="K2601" s="1" t="s">
        <v>21</v>
      </c>
      <c r="L2601" s="1" t="s">
        <v>29</v>
      </c>
      <c r="M2601" s="1" t="s">
        <v>29</v>
      </c>
      <c r="N2601" s="1" t="s">
        <v>22</v>
      </c>
    </row>
    <row r="2602" spans="1:14" x14ac:dyDescent="0.25">
      <c r="A2602" s="1">
        <v>2601</v>
      </c>
      <c r="B2602" s="2" t="str">
        <f>HYPERLINK("https://leetcode.com/problems/prime-subtraction-operation/", "Prime Subtraction Operation")</f>
        <v>Prime Subtraction Operation</v>
      </c>
      <c r="C2602" s="1">
        <v>940</v>
      </c>
      <c r="D2602" s="1">
        <v>96</v>
      </c>
      <c r="E2602" s="3">
        <f>IF(INDEX(C:C, ROW())+INDEX(D:D, ROW())=0, 0, INDEX(C:C, ROW())/(INDEX(C:C, ROW())+INDEX(D:D, ROW())))</f>
        <v>0.9073359073359073</v>
      </c>
      <c r="F2602" s="1" t="s">
        <v>729</v>
      </c>
      <c r="G2602" s="1" t="s">
        <v>24</v>
      </c>
      <c r="H2602" s="1">
        <v>119438</v>
      </c>
      <c r="I2602" s="1">
        <v>214908</v>
      </c>
      <c r="J2602" s="7">
        <v>0.55600000000000005</v>
      </c>
      <c r="K2602" s="1" t="s">
        <v>21</v>
      </c>
      <c r="L2602" s="1" t="s">
        <v>21</v>
      </c>
      <c r="M2602" s="1" t="s">
        <v>29</v>
      </c>
      <c r="N2602" s="1" t="s">
        <v>22</v>
      </c>
    </row>
    <row r="2603" spans="1:14" x14ac:dyDescent="0.25">
      <c r="A2603" s="1">
        <v>2602</v>
      </c>
      <c r="B2603" s="2" t="str">
        <f>HYPERLINK("https://leetcode.com/problems/minimum-operations-to-make-all-array-elements-equal/", "Minimum Operations to Make All Array Elements Equal")</f>
        <v>Minimum Operations to Make All Array Elements Equal</v>
      </c>
      <c r="C2603" s="1">
        <v>859</v>
      </c>
      <c r="D2603" s="1">
        <v>29</v>
      </c>
      <c r="E2603" s="3">
        <f>IF(INDEX(C:C, ROW())+INDEX(D:D, ROW())=0, 0, INDEX(C:C, ROW())/(INDEX(C:C, ROW())+INDEX(D:D, ROW())))</f>
        <v>0.96734234234234229</v>
      </c>
      <c r="F2603" s="1" t="s">
        <v>750</v>
      </c>
      <c r="G2603" s="1" t="s">
        <v>24</v>
      </c>
      <c r="H2603" s="1">
        <v>28820</v>
      </c>
      <c r="I2603" s="1">
        <v>75920</v>
      </c>
      <c r="J2603" s="7">
        <v>0.38</v>
      </c>
      <c r="K2603" s="1" t="s">
        <v>21</v>
      </c>
      <c r="L2603" s="1" t="s">
        <v>29</v>
      </c>
      <c r="M2603" s="1" t="s">
        <v>29</v>
      </c>
      <c r="N2603" s="1" t="s">
        <v>22</v>
      </c>
    </row>
    <row r="2604" spans="1:14" x14ac:dyDescent="0.25">
      <c r="A2604" s="1">
        <v>2603</v>
      </c>
      <c r="B2604" s="2" t="str">
        <f>HYPERLINK("https://leetcode.com/problems/collect-coins-in-a-tree/", "Collect Coins in a Tree")</f>
        <v>Collect Coins in a Tree</v>
      </c>
      <c r="C2604" s="1">
        <v>557</v>
      </c>
      <c r="D2604" s="1">
        <v>25</v>
      </c>
      <c r="E2604" s="3">
        <f>IF(INDEX(C:C, ROW())+INDEX(D:D, ROW())=0, 0, INDEX(C:C, ROW())/(INDEX(C:C, ROW())+INDEX(D:D, ROW())))</f>
        <v>0.95704467353951894</v>
      </c>
      <c r="F2604" s="1" t="s">
        <v>871</v>
      </c>
      <c r="G2604" s="1" t="s">
        <v>28</v>
      </c>
      <c r="H2604" s="1">
        <v>16418</v>
      </c>
      <c r="I2604" s="1">
        <v>41459</v>
      </c>
      <c r="J2604" s="7">
        <v>0.39600000000000002</v>
      </c>
      <c r="K2604" s="1" t="s">
        <v>21</v>
      </c>
      <c r="L2604" s="1" t="s">
        <v>29</v>
      </c>
      <c r="M2604" s="1" t="s">
        <v>29</v>
      </c>
      <c r="N2604" s="1" t="s">
        <v>22</v>
      </c>
    </row>
    <row r="2605" spans="1:14" x14ac:dyDescent="0.25">
      <c r="A2605" s="1">
        <v>2604</v>
      </c>
      <c r="B2605" s="2" t="str">
        <f>HYPERLINK("https://leetcode.com/problems/minimum-time-to-eat-all-grains/", "Minimum Time to Eat All Grains")</f>
        <v>Minimum Time to Eat All Grains</v>
      </c>
      <c r="C2605" s="1">
        <v>50</v>
      </c>
      <c r="D2605" s="1">
        <v>4</v>
      </c>
      <c r="E2605" s="3">
        <f>IF(INDEX(C:C, ROW())+INDEX(D:D, ROW())=0, 0, INDEX(C:C, ROW())/(INDEX(C:C, ROW())+INDEX(D:D, ROW())))</f>
        <v>0.92592592592592593</v>
      </c>
      <c r="F2605" s="1" t="s">
        <v>277</v>
      </c>
      <c r="G2605" s="1" t="s">
        <v>28</v>
      </c>
      <c r="H2605" s="1">
        <v>2189</v>
      </c>
      <c r="I2605" s="1">
        <v>5389</v>
      </c>
      <c r="J2605" s="7">
        <v>0.40600000000000003</v>
      </c>
      <c r="K2605" s="1" t="s">
        <v>29</v>
      </c>
      <c r="L2605" s="1" t="s">
        <v>29</v>
      </c>
      <c r="M2605" s="1" t="s">
        <v>29</v>
      </c>
      <c r="N2605" s="1" t="s">
        <v>22</v>
      </c>
    </row>
    <row r="2606" spans="1:14" x14ac:dyDescent="0.25">
      <c r="A2606" s="1">
        <v>2605</v>
      </c>
      <c r="B2606" s="2" t="str">
        <f>HYPERLINK("https://leetcode.com/problems/form-smallest-number-from-two-digit-arrays/", "Form Smallest Number From Two Digit Arrays")</f>
        <v>Form Smallest Number From Two Digit Arrays</v>
      </c>
      <c r="C2606" s="1">
        <v>328</v>
      </c>
      <c r="D2606" s="1">
        <v>29</v>
      </c>
      <c r="E2606" s="3">
        <f>IF(INDEX(C:C, ROW())+INDEX(D:D, ROW())=0, 0, INDEX(C:C, ROW())/(INDEX(C:C, ROW())+INDEX(D:D, ROW())))</f>
        <v>0.91876750700280108</v>
      </c>
      <c r="F2606" s="1" t="s">
        <v>804</v>
      </c>
      <c r="G2606" s="1" t="s">
        <v>20</v>
      </c>
      <c r="H2606" s="1">
        <v>50146</v>
      </c>
      <c r="I2606" s="1">
        <v>91224</v>
      </c>
      <c r="J2606" s="7">
        <v>0.55000000000000004</v>
      </c>
      <c r="K2606" s="1" t="s">
        <v>21</v>
      </c>
      <c r="L2606" s="1" t="s">
        <v>29</v>
      </c>
      <c r="M2606" s="1" t="s">
        <v>29</v>
      </c>
      <c r="N2606" s="1" t="s">
        <v>22</v>
      </c>
    </row>
    <row r="2607" spans="1:14" x14ac:dyDescent="0.25">
      <c r="A2607" s="1">
        <v>2606</v>
      </c>
      <c r="B2607" s="2" t="str">
        <f>HYPERLINK("https://leetcode.com/problems/find-the-substring-with-maximum-cost/", "Find the Substring With Maximum Cost")</f>
        <v>Find the Substring With Maximum Cost</v>
      </c>
      <c r="C2607" s="1">
        <v>394</v>
      </c>
      <c r="D2607" s="1">
        <v>13</v>
      </c>
      <c r="E2607" s="3">
        <f>IF(INDEX(C:C, ROW())+INDEX(D:D, ROW())=0, 0, INDEX(C:C, ROW())/(INDEX(C:C, ROW())+INDEX(D:D, ROW())))</f>
        <v>0.96805896805896807</v>
      </c>
      <c r="F2607" s="1" t="s">
        <v>986</v>
      </c>
      <c r="G2607" s="1" t="s">
        <v>24</v>
      </c>
      <c r="H2607" s="1">
        <v>31620</v>
      </c>
      <c r="I2607" s="1">
        <v>54716</v>
      </c>
      <c r="J2607" s="7">
        <v>0.57799999999999996</v>
      </c>
      <c r="K2607" s="1" t="s">
        <v>21</v>
      </c>
      <c r="L2607" s="1" t="s">
        <v>29</v>
      </c>
      <c r="M2607" s="1" t="s">
        <v>29</v>
      </c>
      <c r="N2607" s="1" t="s">
        <v>22</v>
      </c>
    </row>
    <row r="2608" spans="1:14" x14ac:dyDescent="0.25">
      <c r="A2608" s="1">
        <v>2607</v>
      </c>
      <c r="B2608" s="2" t="str">
        <f>HYPERLINK("https://leetcode.com/problems/make-k-subarray-sums-equal/", "Make K-Subarray Sums Equal")</f>
        <v>Make K-Subarray Sums Equal</v>
      </c>
      <c r="C2608" s="1">
        <v>522</v>
      </c>
      <c r="D2608" s="1">
        <v>89</v>
      </c>
      <c r="E2608" s="3">
        <f>IF(INDEX(C:C, ROW())+INDEX(D:D, ROW())=0, 0, INDEX(C:C, ROW())/(INDEX(C:C, ROW())+INDEX(D:D, ROW())))</f>
        <v>0.85433715220949269</v>
      </c>
      <c r="F2608" s="1" t="s">
        <v>905</v>
      </c>
      <c r="G2608" s="1" t="s">
        <v>24</v>
      </c>
      <c r="H2608" s="1">
        <v>14086</v>
      </c>
      <c r="I2608" s="1">
        <v>36914</v>
      </c>
      <c r="J2608" s="7">
        <v>0.38200000000000001</v>
      </c>
      <c r="K2608" s="1" t="s">
        <v>21</v>
      </c>
      <c r="L2608" s="1" t="s">
        <v>29</v>
      </c>
      <c r="M2608" s="1" t="s">
        <v>29</v>
      </c>
      <c r="N2608" s="1" t="s">
        <v>22</v>
      </c>
    </row>
    <row r="2609" spans="1:14" x14ac:dyDescent="0.25">
      <c r="A2609" s="1">
        <v>2608</v>
      </c>
      <c r="B2609" s="2" t="str">
        <f>HYPERLINK("https://leetcode.com/problems/shortest-cycle-in-a-graph/", "Shortest Cycle in a Graph")</f>
        <v>Shortest Cycle in a Graph</v>
      </c>
      <c r="C2609" s="1">
        <v>623</v>
      </c>
      <c r="D2609" s="1">
        <v>19</v>
      </c>
      <c r="E2609" s="3">
        <f>IF(INDEX(C:C, ROW())+INDEX(D:D, ROW())=0, 0, INDEX(C:C, ROW())/(INDEX(C:C, ROW())+INDEX(D:D, ROW())))</f>
        <v>0.97040498442367606</v>
      </c>
      <c r="F2609" s="1" t="s">
        <v>331</v>
      </c>
      <c r="G2609" s="1" t="s">
        <v>28</v>
      </c>
      <c r="H2609" s="1">
        <v>29740</v>
      </c>
      <c r="I2609" s="1">
        <v>76018</v>
      </c>
      <c r="J2609" s="7">
        <v>0.39100000000000001</v>
      </c>
      <c r="K2609" s="1" t="s">
        <v>21</v>
      </c>
      <c r="L2609" s="1" t="s">
        <v>29</v>
      </c>
      <c r="M2609" s="1" t="s">
        <v>29</v>
      </c>
      <c r="N2609" s="1" t="s">
        <v>22</v>
      </c>
    </row>
    <row r="2610" spans="1:14" x14ac:dyDescent="0.25">
      <c r="A2610" s="1">
        <v>2609</v>
      </c>
      <c r="B2610" s="2" t="str">
        <f>HYPERLINK("https://leetcode.com/problems/find-the-longest-balanced-substring-of-a-binary-string/", "Find the Longest Balanced Substring of a Binary String")</f>
        <v>Find the Longest Balanced Substring of a Binary String</v>
      </c>
      <c r="C2610" s="1">
        <v>391</v>
      </c>
      <c r="D2610" s="1">
        <v>31</v>
      </c>
      <c r="E2610" s="3">
        <f>IF(INDEX(C:C, ROW())+INDEX(D:D, ROW())=0, 0, INDEX(C:C, ROW())/(INDEX(C:C, ROW())+INDEX(D:D, ROW())))</f>
        <v>0.92654028436018954</v>
      </c>
      <c r="F2610" s="1" t="s">
        <v>146</v>
      </c>
      <c r="G2610" s="1" t="s">
        <v>20</v>
      </c>
      <c r="H2610" s="1">
        <v>38636</v>
      </c>
      <c r="I2610" s="1">
        <v>83325</v>
      </c>
      <c r="J2610" s="7">
        <v>0.46400000000000002</v>
      </c>
      <c r="K2610" s="1" t="s">
        <v>21</v>
      </c>
      <c r="L2610" s="1" t="s">
        <v>29</v>
      </c>
      <c r="M2610" s="1" t="s">
        <v>29</v>
      </c>
      <c r="N2610" s="1" t="s">
        <v>22</v>
      </c>
    </row>
    <row r="2611" spans="1:14" x14ac:dyDescent="0.25">
      <c r="A2611" s="1">
        <v>2610</v>
      </c>
      <c r="B2611" s="2" t="str">
        <f>HYPERLINK("https://leetcode.com/problems/convert-an-array-into-a-2d-array-with-conditions/", "Convert an Array Into a 2D Array With Conditions")</f>
        <v>Convert an Array Into a 2D Array With Conditions</v>
      </c>
      <c r="C2611" s="1">
        <v>1690</v>
      </c>
      <c r="D2611" s="1">
        <v>81</v>
      </c>
      <c r="E2611" s="3">
        <f>IF(INDEX(C:C, ROW())+INDEX(D:D, ROW())=0, 0, INDEX(C:C, ROW())/(INDEX(C:C, ROW())+INDEX(D:D, ROW())))</f>
        <v>0.95426312817617165</v>
      </c>
      <c r="F2611" s="1" t="s">
        <v>19</v>
      </c>
      <c r="G2611" s="1" t="s">
        <v>24</v>
      </c>
      <c r="H2611" s="1">
        <v>223906</v>
      </c>
      <c r="I2611" s="1">
        <v>259199</v>
      </c>
      <c r="J2611" s="7">
        <v>0.86399999999999999</v>
      </c>
      <c r="K2611" s="1" t="s">
        <v>21</v>
      </c>
      <c r="L2611" s="1" t="s">
        <v>21</v>
      </c>
      <c r="M2611" s="1" t="s">
        <v>29</v>
      </c>
      <c r="N2611" s="1" t="s">
        <v>22</v>
      </c>
    </row>
    <row r="2612" spans="1:14" x14ac:dyDescent="0.25">
      <c r="A2612" s="1">
        <v>2611</v>
      </c>
      <c r="B2612" s="2" t="str">
        <f>HYPERLINK("https://leetcode.com/problems/mice-and-cheese/", "Mice and Cheese")</f>
        <v>Mice and Cheese</v>
      </c>
      <c r="C2612" s="1">
        <v>674</v>
      </c>
      <c r="D2612" s="1">
        <v>73</v>
      </c>
      <c r="E2612" s="3">
        <f>IF(INDEX(C:C, ROW())+INDEX(D:D, ROW())=0, 0, INDEX(C:C, ROW())/(INDEX(C:C, ROW())+INDEX(D:D, ROW())))</f>
        <v>0.90227576974564927</v>
      </c>
      <c r="F2612" s="1" t="s">
        <v>302</v>
      </c>
      <c r="G2612" s="1" t="s">
        <v>24</v>
      </c>
      <c r="H2612" s="1">
        <v>37533</v>
      </c>
      <c r="I2612" s="1">
        <v>77782</v>
      </c>
      <c r="J2612" s="7">
        <v>0.48299999999999998</v>
      </c>
      <c r="K2612" s="1" t="s">
        <v>21</v>
      </c>
      <c r="L2612" s="1" t="s">
        <v>29</v>
      </c>
      <c r="M2612" s="1" t="s">
        <v>29</v>
      </c>
      <c r="N2612" s="1" t="s">
        <v>22</v>
      </c>
    </row>
    <row r="2613" spans="1:14" x14ac:dyDescent="0.25">
      <c r="A2613" s="1">
        <v>2612</v>
      </c>
      <c r="B2613" s="2" t="str">
        <f>HYPERLINK("https://leetcode.com/problems/minimum-reverse-operations/", "Minimum Reverse Operations")</f>
        <v>Minimum Reverse Operations</v>
      </c>
      <c r="C2613" s="1">
        <v>254</v>
      </c>
      <c r="D2613" s="1">
        <v>74</v>
      </c>
      <c r="E2613" s="3">
        <f>IF(INDEX(C:C, ROW())+INDEX(D:D, ROW())=0, 0, INDEX(C:C, ROW())/(INDEX(C:C, ROW())+INDEX(D:D, ROW())))</f>
        <v>0.77439024390243905</v>
      </c>
      <c r="F2613" s="1" t="s">
        <v>1064</v>
      </c>
      <c r="G2613" s="1" t="s">
        <v>28</v>
      </c>
      <c r="H2613" s="1">
        <v>6935</v>
      </c>
      <c r="I2613" s="1">
        <v>41712</v>
      </c>
      <c r="J2613" s="7">
        <v>0.16600000000000001</v>
      </c>
      <c r="K2613" s="1" t="s">
        <v>21</v>
      </c>
      <c r="L2613" s="1" t="s">
        <v>29</v>
      </c>
      <c r="M2613" s="1" t="s">
        <v>29</v>
      </c>
      <c r="N2613" s="1" t="s">
        <v>22</v>
      </c>
    </row>
    <row r="2614" spans="1:14" x14ac:dyDescent="0.25">
      <c r="A2614" s="1">
        <v>2613</v>
      </c>
      <c r="B2614" s="2" t="str">
        <f>HYPERLINK("https://leetcode.com/problems/beautiful-pairs/", "Beautiful Pairs")</f>
        <v>Beautiful Pairs</v>
      </c>
      <c r="C2614" s="1">
        <v>18</v>
      </c>
      <c r="D2614" s="1">
        <v>3</v>
      </c>
      <c r="E2614" s="3">
        <f>IF(INDEX(C:C, ROW())+INDEX(D:D, ROW())=0, 0, INDEX(C:C, ROW())/(INDEX(C:C, ROW())+INDEX(D:D, ROW())))</f>
        <v>0.8571428571428571</v>
      </c>
      <c r="F2614" s="1" t="s">
        <v>1319</v>
      </c>
      <c r="G2614" s="1" t="s">
        <v>28</v>
      </c>
      <c r="H2614" s="1">
        <v>1073</v>
      </c>
      <c r="I2614" s="1">
        <v>2180</v>
      </c>
      <c r="J2614" s="7">
        <v>0.49199999999999999</v>
      </c>
      <c r="K2614" s="1" t="s">
        <v>29</v>
      </c>
      <c r="L2614" s="1" t="s">
        <v>29</v>
      </c>
      <c r="M2614" s="1" t="s">
        <v>29</v>
      </c>
      <c r="N2614" s="1" t="s">
        <v>22</v>
      </c>
    </row>
    <row r="2615" spans="1:14" x14ac:dyDescent="0.25">
      <c r="A2615" s="1">
        <v>2614</v>
      </c>
      <c r="B2615" s="2" t="str">
        <f>HYPERLINK("https://leetcode.com/problems/prime-in-diagonal/", "Prime In Diagonal")</f>
        <v>Prime In Diagonal</v>
      </c>
      <c r="C2615" s="1">
        <v>406</v>
      </c>
      <c r="D2615" s="1">
        <v>47</v>
      </c>
      <c r="E2615" s="3">
        <f>IF(INDEX(C:C, ROW())+INDEX(D:D, ROW())=0, 0, INDEX(C:C, ROW())/(INDEX(C:C, ROW())+INDEX(D:D, ROW())))</f>
        <v>0.89624724061810157</v>
      </c>
      <c r="F2615" s="1" t="s">
        <v>976</v>
      </c>
      <c r="G2615" s="1" t="s">
        <v>20</v>
      </c>
      <c r="H2615" s="1">
        <v>68651</v>
      </c>
      <c r="I2615" s="1">
        <v>183666</v>
      </c>
      <c r="J2615" s="7">
        <v>0.374</v>
      </c>
      <c r="K2615" s="1" t="s">
        <v>21</v>
      </c>
      <c r="L2615" s="1" t="s">
        <v>29</v>
      </c>
      <c r="M2615" s="1" t="s">
        <v>29</v>
      </c>
      <c r="N2615" s="1" t="s">
        <v>22</v>
      </c>
    </row>
    <row r="2616" spans="1:14" x14ac:dyDescent="0.25">
      <c r="A2616" s="1">
        <v>2615</v>
      </c>
      <c r="B2616" s="2" t="str">
        <f>HYPERLINK("https://leetcode.com/problems/sum-of-distances/", "Sum of Distances")</f>
        <v>Sum of Distances</v>
      </c>
      <c r="C2616" s="1">
        <v>832</v>
      </c>
      <c r="D2616" s="1">
        <v>97</v>
      </c>
      <c r="E2616" s="3">
        <f>IF(INDEX(C:C, ROW())+INDEX(D:D, ROW())=0, 0, INDEX(C:C, ROW())/(INDEX(C:C, ROW())+INDEX(D:D, ROW())))</f>
        <v>0.89558665231431644</v>
      </c>
      <c r="F2616" s="1" t="s">
        <v>39</v>
      </c>
      <c r="G2616" s="1" t="s">
        <v>24</v>
      </c>
      <c r="H2616" s="1">
        <v>28393</v>
      </c>
      <c r="I2616" s="1">
        <v>87568</v>
      </c>
      <c r="J2616" s="7">
        <v>0.32400000000000001</v>
      </c>
      <c r="K2616" s="1" t="s">
        <v>21</v>
      </c>
      <c r="L2616" s="1" t="s">
        <v>29</v>
      </c>
      <c r="M2616" s="1" t="s">
        <v>29</v>
      </c>
      <c r="N2616" s="1" t="s">
        <v>22</v>
      </c>
    </row>
    <row r="2617" spans="1:14" x14ac:dyDescent="0.25">
      <c r="A2617" s="1">
        <v>2616</v>
      </c>
      <c r="B2617" s="2" t="str">
        <f>HYPERLINK("https://leetcode.com/problems/minimize-the-maximum-difference-of-pairs/", "Minimize the Maximum Difference of Pairs")</f>
        <v>Minimize the Maximum Difference of Pairs</v>
      </c>
      <c r="C2617" s="1">
        <v>2919</v>
      </c>
      <c r="D2617" s="1">
        <v>328</v>
      </c>
      <c r="E2617" s="3">
        <f>IF(INDEX(C:C, ROW())+INDEX(D:D, ROW())=0, 0, INDEX(C:C, ROW())/(INDEX(C:C, ROW())+INDEX(D:D, ROW())))</f>
        <v>0.89898367724052974</v>
      </c>
      <c r="F2617" s="1" t="s">
        <v>382</v>
      </c>
      <c r="G2617" s="1" t="s">
        <v>24</v>
      </c>
      <c r="H2617" s="1">
        <v>168617</v>
      </c>
      <c r="I2617" s="1">
        <v>331418</v>
      </c>
      <c r="J2617" s="7">
        <v>0.50900000000000001</v>
      </c>
      <c r="K2617" s="1" t="s">
        <v>21</v>
      </c>
      <c r="L2617" s="1" t="s">
        <v>21</v>
      </c>
      <c r="M2617" s="1" t="s">
        <v>29</v>
      </c>
      <c r="N2617" s="1" t="s">
        <v>22</v>
      </c>
    </row>
    <row r="2618" spans="1:14" x14ac:dyDescent="0.25">
      <c r="A2618" s="1">
        <v>2617</v>
      </c>
      <c r="B2618" s="2" t="str">
        <f>HYPERLINK("https://leetcode.com/problems/minimum-number-of-visited-cells-in-a-grid/", "Minimum Number of Visited Cells in a Grid")</f>
        <v>Minimum Number of Visited Cells in a Grid</v>
      </c>
      <c r="C2618" s="1">
        <v>416</v>
      </c>
      <c r="D2618" s="1">
        <v>39</v>
      </c>
      <c r="E2618" s="3">
        <f>IF(INDEX(C:C, ROW())+INDEX(D:D, ROW())=0, 0, INDEX(C:C, ROW())/(INDEX(C:C, ROW())+INDEX(D:D, ROW())))</f>
        <v>0.91428571428571426</v>
      </c>
      <c r="F2618" s="1" t="s">
        <v>969</v>
      </c>
      <c r="G2618" s="1" t="s">
        <v>28</v>
      </c>
      <c r="H2618" s="1">
        <v>11747</v>
      </c>
      <c r="I2618" s="1">
        <v>49824</v>
      </c>
      <c r="J2618" s="7">
        <v>0.23599999999999999</v>
      </c>
      <c r="K2618" s="1" t="s">
        <v>21</v>
      </c>
      <c r="L2618" s="1" t="s">
        <v>29</v>
      </c>
      <c r="M2618" s="1" t="s">
        <v>29</v>
      </c>
      <c r="N2618" s="1" t="s">
        <v>22</v>
      </c>
    </row>
    <row r="2619" spans="1:14" x14ac:dyDescent="0.25">
      <c r="A2619" s="1">
        <v>2618</v>
      </c>
      <c r="B2619" s="2" t="str">
        <f>HYPERLINK("https://leetcode.com/problems/check-if-object-instance-of-class/", "Check if Object Instance of Class")</f>
        <v>Check if Object Instance of Class</v>
      </c>
      <c r="C2619" s="1">
        <v>293</v>
      </c>
      <c r="D2619" s="1">
        <v>111</v>
      </c>
      <c r="E2619" s="3">
        <f>IF(INDEX(C:C, ROW())+INDEX(D:D, ROW())=0, 0, INDEX(C:C, ROW())/(INDEX(C:C, ROW())+INDEX(D:D, ROW())))</f>
        <v>0.72524752475247523</v>
      </c>
      <c r="G2619" s="1" t="s">
        <v>24</v>
      </c>
      <c r="H2619" s="1">
        <v>37879</v>
      </c>
      <c r="I2619" s="1">
        <v>130430</v>
      </c>
      <c r="J2619" s="7">
        <v>0.28999999999999998</v>
      </c>
      <c r="K2619" s="1" t="s">
        <v>21</v>
      </c>
      <c r="L2619" s="1" t="s">
        <v>21</v>
      </c>
      <c r="M2619" s="1" t="s">
        <v>29</v>
      </c>
      <c r="N2619" s="1" t="s">
        <v>555</v>
      </c>
    </row>
    <row r="2620" spans="1:14" x14ac:dyDescent="0.25">
      <c r="A2620" s="1">
        <v>2619</v>
      </c>
      <c r="B2620" s="2" t="str">
        <f>HYPERLINK("https://leetcode.com/problems/array-prototype-last/", "Array Prototype Last")</f>
        <v>Array Prototype Last</v>
      </c>
      <c r="C2620" s="1">
        <v>610</v>
      </c>
      <c r="D2620" s="1">
        <v>27</v>
      </c>
      <c r="E2620" s="3">
        <f>IF(INDEX(C:C, ROW())+INDEX(D:D, ROW())=0, 0, INDEX(C:C, ROW())/(INDEX(C:C, ROW())+INDEX(D:D, ROW())))</f>
        <v>0.95761381475667195</v>
      </c>
      <c r="G2620" s="1" t="s">
        <v>20</v>
      </c>
      <c r="H2620" s="1">
        <v>233390</v>
      </c>
      <c r="I2620" s="1">
        <v>312863</v>
      </c>
      <c r="J2620" s="7">
        <v>0.746</v>
      </c>
      <c r="K2620" s="1" t="s">
        <v>21</v>
      </c>
      <c r="L2620" s="1" t="s">
        <v>21</v>
      </c>
      <c r="M2620" s="1" t="s">
        <v>29</v>
      </c>
      <c r="N2620" s="1" t="s">
        <v>555</v>
      </c>
    </row>
    <row r="2621" spans="1:14" x14ac:dyDescent="0.25">
      <c r="A2621" s="1">
        <v>2620</v>
      </c>
      <c r="B2621" s="2" t="str">
        <f>HYPERLINK("https://leetcode.com/problems/counter/", "Counter")</f>
        <v>Counter</v>
      </c>
      <c r="C2621" s="1">
        <v>1617</v>
      </c>
      <c r="D2621" s="1">
        <v>128</v>
      </c>
      <c r="E2621" s="3">
        <f>IF(INDEX(C:C, ROW())+INDEX(D:D, ROW())=0, 0, INDEX(C:C, ROW())/(INDEX(C:C, ROW())+INDEX(D:D, ROW())))</f>
        <v>0.92664756446991403</v>
      </c>
      <c r="G2621" s="1" t="s">
        <v>20</v>
      </c>
      <c r="H2621" s="1">
        <v>689448</v>
      </c>
      <c r="I2621" s="1">
        <v>836659</v>
      </c>
      <c r="J2621" s="7">
        <v>0.82399999999999995</v>
      </c>
      <c r="K2621" s="1" t="s">
        <v>21</v>
      </c>
      <c r="L2621" s="1" t="s">
        <v>21</v>
      </c>
      <c r="M2621" s="1" t="s">
        <v>29</v>
      </c>
      <c r="N2621" s="1" t="s">
        <v>555</v>
      </c>
    </row>
    <row r="2622" spans="1:14" x14ac:dyDescent="0.25">
      <c r="A2622" s="1">
        <v>2621</v>
      </c>
      <c r="B2622" s="2" t="str">
        <f>HYPERLINK("https://leetcode.com/problems/sleep/", "Sleep")</f>
        <v>Sleep</v>
      </c>
      <c r="C2622" s="1">
        <v>710</v>
      </c>
      <c r="D2622" s="1">
        <v>61</v>
      </c>
      <c r="E2622" s="3">
        <f>IF(INDEX(C:C, ROW())+INDEX(D:D, ROW())=0, 0, INDEX(C:C, ROW())/(INDEX(C:C, ROW())+INDEX(D:D, ROW())))</f>
        <v>0.920881971465629</v>
      </c>
      <c r="G2622" s="1" t="s">
        <v>20</v>
      </c>
      <c r="H2622" s="1">
        <v>243530</v>
      </c>
      <c r="I2622" s="1">
        <v>278615</v>
      </c>
      <c r="J2622" s="7">
        <v>0.874</v>
      </c>
      <c r="K2622" s="1" t="s">
        <v>21</v>
      </c>
      <c r="L2622" s="1" t="s">
        <v>21</v>
      </c>
      <c r="M2622" s="1" t="s">
        <v>29</v>
      </c>
      <c r="N2622" s="1" t="s">
        <v>555</v>
      </c>
    </row>
    <row r="2623" spans="1:14" x14ac:dyDescent="0.25">
      <c r="A2623" s="1">
        <v>2622</v>
      </c>
      <c r="B2623" s="2" t="str">
        <f>HYPERLINK("https://leetcode.com/problems/cache-with-time-limit/", "Cache With Time Limit")</f>
        <v>Cache With Time Limit</v>
      </c>
      <c r="C2623" s="1">
        <v>529</v>
      </c>
      <c r="D2623" s="1">
        <v>43</v>
      </c>
      <c r="E2623" s="3">
        <f>IF(INDEX(C:C, ROW())+INDEX(D:D, ROW())=0, 0, INDEX(C:C, ROW())/(INDEX(C:C, ROW())+INDEX(D:D, ROW())))</f>
        <v>0.92482517482517479</v>
      </c>
      <c r="G2623" s="1" t="s">
        <v>24</v>
      </c>
      <c r="H2623" s="1">
        <v>81048</v>
      </c>
      <c r="I2623" s="1">
        <v>106622</v>
      </c>
      <c r="J2623" s="7">
        <v>0.76</v>
      </c>
      <c r="K2623" s="1" t="s">
        <v>21</v>
      </c>
      <c r="L2623" s="1" t="s">
        <v>21</v>
      </c>
      <c r="M2623" s="1" t="s">
        <v>29</v>
      </c>
      <c r="N2623" s="1" t="s">
        <v>555</v>
      </c>
    </row>
    <row r="2624" spans="1:14" x14ac:dyDescent="0.25">
      <c r="A2624" s="1">
        <v>2623</v>
      </c>
      <c r="B2624" s="2" t="str">
        <f>HYPERLINK("https://leetcode.com/problems/memoize/", "Memoize")</f>
        <v>Memoize</v>
      </c>
      <c r="C2624" s="1">
        <v>759</v>
      </c>
      <c r="D2624" s="1">
        <v>118</v>
      </c>
      <c r="E2624" s="3">
        <f>IF(INDEX(C:C, ROW())+INDEX(D:D, ROW())=0, 0, INDEX(C:C, ROW())/(INDEX(C:C, ROW())+INDEX(D:D, ROW())))</f>
        <v>0.8654503990877993</v>
      </c>
      <c r="G2624" s="1" t="s">
        <v>24</v>
      </c>
      <c r="H2624" s="1">
        <v>179910</v>
      </c>
      <c r="I2624" s="1">
        <v>277748</v>
      </c>
      <c r="J2624" s="7">
        <v>0.64800000000000002</v>
      </c>
      <c r="K2624" s="1" t="s">
        <v>21</v>
      </c>
      <c r="L2624" s="1" t="s">
        <v>21</v>
      </c>
      <c r="M2624" s="1" t="s">
        <v>29</v>
      </c>
      <c r="N2624" s="1" t="s">
        <v>555</v>
      </c>
    </row>
    <row r="2625" spans="1:14" x14ac:dyDescent="0.25">
      <c r="A2625" s="1">
        <v>2624</v>
      </c>
      <c r="B2625" s="2" t="str">
        <f>HYPERLINK("https://leetcode.com/problems/snail-traversal/", "Snail Traversal")</f>
        <v>Snail Traversal</v>
      </c>
      <c r="C2625" s="1">
        <v>123</v>
      </c>
      <c r="D2625" s="1">
        <v>47</v>
      </c>
      <c r="E2625" s="3">
        <f>IF(INDEX(C:C, ROW())+INDEX(D:D, ROW())=0, 0, INDEX(C:C, ROW())/(INDEX(C:C, ROW())+INDEX(D:D, ROW())))</f>
        <v>0.72352941176470587</v>
      </c>
      <c r="G2625" s="1" t="s">
        <v>24</v>
      </c>
      <c r="H2625" s="1">
        <v>18714</v>
      </c>
      <c r="I2625" s="1">
        <v>27422</v>
      </c>
      <c r="J2625" s="7">
        <v>0.68200000000000005</v>
      </c>
      <c r="K2625" s="1" t="s">
        <v>21</v>
      </c>
      <c r="L2625" s="1" t="s">
        <v>21</v>
      </c>
      <c r="M2625" s="1" t="s">
        <v>29</v>
      </c>
      <c r="N2625" s="1" t="s">
        <v>555</v>
      </c>
    </row>
    <row r="2626" spans="1:14" x14ac:dyDescent="0.25">
      <c r="A2626" s="1">
        <v>2625</v>
      </c>
      <c r="B2626" s="2" t="str">
        <f>HYPERLINK("https://leetcode.com/problems/flatten-deeply-nested-array/", "Flatten Deeply Nested Array")</f>
        <v>Flatten Deeply Nested Array</v>
      </c>
      <c r="C2626" s="1">
        <v>422</v>
      </c>
      <c r="D2626" s="1">
        <v>32</v>
      </c>
      <c r="E2626" s="3">
        <f>IF(INDEX(C:C, ROW())+INDEX(D:D, ROW())=0, 0, INDEX(C:C, ROW())/(INDEX(C:C, ROW())+INDEX(D:D, ROW())))</f>
        <v>0.92951541850220265</v>
      </c>
      <c r="G2626" s="1" t="s">
        <v>24</v>
      </c>
      <c r="H2626" s="1">
        <v>78663</v>
      </c>
      <c r="I2626" s="1">
        <v>120079</v>
      </c>
      <c r="J2626" s="7">
        <v>0.65500000000000003</v>
      </c>
      <c r="K2626" s="1" t="s">
        <v>21</v>
      </c>
      <c r="L2626" s="1" t="s">
        <v>21</v>
      </c>
      <c r="M2626" s="1" t="s">
        <v>29</v>
      </c>
      <c r="N2626" s="1" t="s">
        <v>555</v>
      </c>
    </row>
    <row r="2627" spans="1:14" x14ac:dyDescent="0.25">
      <c r="A2627" s="1">
        <v>2626</v>
      </c>
      <c r="B2627" s="2" t="str">
        <f>HYPERLINK("https://leetcode.com/problems/array-reduce-transformation/", "Array Reduce Transformation")</f>
        <v>Array Reduce Transformation</v>
      </c>
      <c r="C2627" s="1">
        <v>764</v>
      </c>
      <c r="D2627" s="1">
        <v>50</v>
      </c>
      <c r="E2627" s="3">
        <f>IF(INDEX(C:C, ROW())+INDEX(D:D, ROW())=0, 0, INDEX(C:C, ROW())/(INDEX(C:C, ROW())+INDEX(D:D, ROW())))</f>
        <v>0.93857493857493857</v>
      </c>
      <c r="G2627" s="1" t="s">
        <v>20</v>
      </c>
      <c r="H2627" s="1">
        <v>284566</v>
      </c>
      <c r="I2627" s="1">
        <v>332787</v>
      </c>
      <c r="J2627" s="7">
        <v>0.85499999999999998</v>
      </c>
      <c r="K2627" s="1" t="s">
        <v>21</v>
      </c>
      <c r="L2627" s="1" t="s">
        <v>21</v>
      </c>
      <c r="M2627" s="1" t="s">
        <v>29</v>
      </c>
      <c r="N2627" s="1" t="s">
        <v>555</v>
      </c>
    </row>
    <row r="2628" spans="1:14" x14ac:dyDescent="0.25">
      <c r="A2628" s="1">
        <v>2627</v>
      </c>
      <c r="B2628" s="2" t="str">
        <f>HYPERLINK("https://leetcode.com/problems/debounce/", "Debounce")</f>
        <v>Debounce</v>
      </c>
      <c r="C2628" s="1">
        <v>479</v>
      </c>
      <c r="D2628" s="1">
        <v>57</v>
      </c>
      <c r="E2628" s="3">
        <f>IF(INDEX(C:C, ROW())+INDEX(D:D, ROW())=0, 0, INDEX(C:C, ROW())/(INDEX(C:C, ROW())+INDEX(D:D, ROW())))</f>
        <v>0.89365671641791045</v>
      </c>
      <c r="G2628" s="1" t="s">
        <v>24</v>
      </c>
      <c r="H2628" s="1">
        <v>89807</v>
      </c>
      <c r="I2628" s="1">
        <v>97842</v>
      </c>
      <c r="J2628" s="7">
        <v>0.91800000000000004</v>
      </c>
      <c r="K2628" s="1" t="s">
        <v>21</v>
      </c>
      <c r="L2628" s="1" t="s">
        <v>21</v>
      </c>
      <c r="M2628" s="1" t="s">
        <v>29</v>
      </c>
      <c r="N2628" s="1" t="s">
        <v>555</v>
      </c>
    </row>
    <row r="2629" spans="1:14" x14ac:dyDescent="0.25">
      <c r="A2629" s="1">
        <v>2628</v>
      </c>
      <c r="B2629" s="2" t="str">
        <f>HYPERLINK("https://leetcode.com/problems/json-deep-equal/", "JSON Deep Equal")</f>
        <v>JSON Deep Equal</v>
      </c>
      <c r="C2629" s="1">
        <v>222</v>
      </c>
      <c r="D2629" s="1">
        <v>18</v>
      </c>
      <c r="E2629" s="3">
        <f>IF(INDEX(C:C, ROW())+INDEX(D:D, ROW())=0, 0, INDEX(C:C, ROW())/(INDEX(C:C, ROW())+INDEX(D:D, ROW())))</f>
        <v>0.92500000000000004</v>
      </c>
      <c r="G2629" s="1" t="s">
        <v>24</v>
      </c>
      <c r="H2629" s="1">
        <v>14927</v>
      </c>
      <c r="I2629" s="1">
        <v>37817</v>
      </c>
      <c r="J2629" s="7">
        <v>0.39500000000000002</v>
      </c>
      <c r="K2629" s="1" t="s">
        <v>29</v>
      </c>
      <c r="L2629" s="1" t="s">
        <v>21</v>
      </c>
      <c r="M2629" s="1" t="s">
        <v>29</v>
      </c>
      <c r="N2629" s="1" t="s">
        <v>555</v>
      </c>
    </row>
    <row r="2630" spans="1:14" x14ac:dyDescent="0.25">
      <c r="A2630" s="1">
        <v>2629</v>
      </c>
      <c r="B2630" s="2" t="str">
        <f>HYPERLINK("https://leetcode.com/problems/function-composition/", "Function Composition")</f>
        <v>Function Composition</v>
      </c>
      <c r="C2630" s="1">
        <v>824</v>
      </c>
      <c r="D2630" s="1">
        <v>63</v>
      </c>
      <c r="E2630" s="3">
        <f>IF(INDEX(C:C, ROW())+INDEX(D:D, ROW())=0, 0, INDEX(C:C, ROW())/(INDEX(C:C, ROW())+INDEX(D:D, ROW())))</f>
        <v>0.92897406989853437</v>
      </c>
      <c r="G2630" s="1" t="s">
        <v>20</v>
      </c>
      <c r="H2630" s="1">
        <v>238154</v>
      </c>
      <c r="I2630" s="1">
        <v>274075</v>
      </c>
      <c r="J2630" s="7">
        <v>0.86899999999999999</v>
      </c>
      <c r="K2630" s="1" t="s">
        <v>21</v>
      </c>
      <c r="L2630" s="1" t="s">
        <v>21</v>
      </c>
      <c r="M2630" s="1" t="s">
        <v>29</v>
      </c>
      <c r="N2630" s="1" t="s">
        <v>555</v>
      </c>
    </row>
    <row r="2631" spans="1:14" x14ac:dyDescent="0.25">
      <c r="A2631" s="1">
        <v>2630</v>
      </c>
      <c r="B2631" s="2" t="str">
        <f>HYPERLINK("https://leetcode.com/problems/memoize-ii/", "Memoize II")</f>
        <v>Memoize II</v>
      </c>
      <c r="C2631" s="1">
        <v>133</v>
      </c>
      <c r="D2631" s="1">
        <v>46</v>
      </c>
      <c r="E2631" s="3">
        <f>IF(INDEX(C:C, ROW())+INDEX(D:D, ROW())=0, 0, INDEX(C:C, ROW())/(INDEX(C:C, ROW())+INDEX(D:D, ROW())))</f>
        <v>0.74301675977653636</v>
      </c>
      <c r="G2631" s="1" t="s">
        <v>28</v>
      </c>
      <c r="H2631" s="1">
        <v>11310</v>
      </c>
      <c r="I2631" s="1">
        <v>29533</v>
      </c>
      <c r="J2631" s="7">
        <v>0.38300000000000001</v>
      </c>
      <c r="K2631" s="1" t="s">
        <v>21</v>
      </c>
      <c r="L2631" s="1" t="s">
        <v>21</v>
      </c>
      <c r="M2631" s="1" t="s">
        <v>29</v>
      </c>
      <c r="N2631" s="1" t="s">
        <v>555</v>
      </c>
    </row>
    <row r="2632" spans="1:14" x14ac:dyDescent="0.25">
      <c r="A2632" s="1">
        <v>2631</v>
      </c>
      <c r="B2632" s="2" t="str">
        <f>HYPERLINK("https://leetcode.com/problems/group-by/", "Group By")</f>
        <v>Group By</v>
      </c>
      <c r="C2632" s="1">
        <v>365</v>
      </c>
      <c r="D2632" s="1">
        <v>21</v>
      </c>
      <c r="E2632" s="3">
        <f>IF(INDEX(C:C, ROW())+INDEX(D:D, ROW())=0, 0, INDEX(C:C, ROW())/(INDEX(C:C, ROW())+INDEX(D:D, ROW())))</f>
        <v>0.94559585492227982</v>
      </c>
      <c r="G2632" s="1" t="s">
        <v>24</v>
      </c>
      <c r="H2632" s="1">
        <v>75976</v>
      </c>
      <c r="I2632" s="1">
        <v>93435</v>
      </c>
      <c r="J2632" s="7">
        <v>0.81299999999999994</v>
      </c>
      <c r="K2632" s="1" t="s">
        <v>21</v>
      </c>
      <c r="L2632" s="1" t="s">
        <v>21</v>
      </c>
      <c r="M2632" s="1" t="s">
        <v>29</v>
      </c>
      <c r="N2632" s="1" t="s">
        <v>555</v>
      </c>
    </row>
    <row r="2633" spans="1:14" x14ac:dyDescent="0.25">
      <c r="A2633" s="1">
        <v>2632</v>
      </c>
      <c r="B2633" s="2" t="str">
        <f>HYPERLINK("https://leetcode.com/problems/curry/", "Curry")</f>
        <v>Curry</v>
      </c>
      <c r="C2633" s="1">
        <v>349</v>
      </c>
      <c r="D2633" s="1">
        <v>35</v>
      </c>
      <c r="E2633" s="3">
        <f>IF(INDEX(C:C, ROW())+INDEX(D:D, ROW())=0, 0, INDEX(C:C, ROW())/(INDEX(C:C, ROW())+INDEX(D:D, ROW())))</f>
        <v>0.90885416666666663</v>
      </c>
      <c r="G2633" s="1" t="s">
        <v>24</v>
      </c>
      <c r="H2633" s="1">
        <v>18700</v>
      </c>
      <c r="I2633" s="1">
        <v>20909</v>
      </c>
      <c r="J2633" s="7">
        <v>0.89400000000000002</v>
      </c>
      <c r="K2633" s="1" t="s">
        <v>29</v>
      </c>
      <c r="L2633" s="1" t="s">
        <v>21</v>
      </c>
      <c r="M2633" s="1" t="s">
        <v>29</v>
      </c>
      <c r="N2633" s="1" t="s">
        <v>555</v>
      </c>
    </row>
    <row r="2634" spans="1:14" x14ac:dyDescent="0.25">
      <c r="A2634" s="1">
        <v>2633</v>
      </c>
      <c r="B2634" s="2" t="str">
        <f>HYPERLINK("https://leetcode.com/problems/convert-object-to-json-string/", "Convert Object to JSON String")</f>
        <v>Convert Object to JSON String</v>
      </c>
      <c r="C2634" s="1">
        <v>209</v>
      </c>
      <c r="D2634" s="1">
        <v>12</v>
      </c>
      <c r="E2634" s="3">
        <f>IF(INDEX(C:C, ROW())+INDEX(D:D, ROW())=0, 0, INDEX(C:C, ROW())/(INDEX(C:C, ROW())+INDEX(D:D, ROW())))</f>
        <v>0.94570135746606332</v>
      </c>
      <c r="G2634" s="1" t="s">
        <v>24</v>
      </c>
      <c r="H2634" s="1">
        <v>13821</v>
      </c>
      <c r="I2634" s="1">
        <v>17726</v>
      </c>
      <c r="J2634" s="7">
        <v>0.78</v>
      </c>
      <c r="K2634" s="1" t="s">
        <v>29</v>
      </c>
      <c r="L2634" s="1" t="s">
        <v>21</v>
      </c>
      <c r="M2634" s="1" t="s">
        <v>29</v>
      </c>
      <c r="N2634" s="1" t="s">
        <v>555</v>
      </c>
    </row>
    <row r="2635" spans="1:14" x14ac:dyDescent="0.25">
      <c r="A2635" s="1">
        <v>2634</v>
      </c>
      <c r="B2635" s="2" t="str">
        <f>HYPERLINK("https://leetcode.com/problems/filter-elements-from-array/", "Filter Elements from Array")</f>
        <v>Filter Elements from Array</v>
      </c>
      <c r="C2635" s="1">
        <v>810</v>
      </c>
      <c r="D2635" s="1">
        <v>108</v>
      </c>
      <c r="E2635" s="3">
        <f>IF(INDEX(C:C, ROW())+INDEX(D:D, ROW())=0, 0, INDEX(C:C, ROW())/(INDEX(C:C, ROW())+INDEX(D:D, ROW())))</f>
        <v>0.88235294117647056</v>
      </c>
      <c r="G2635" s="1" t="s">
        <v>20</v>
      </c>
      <c r="H2635" s="1">
        <v>302204</v>
      </c>
      <c r="I2635" s="1">
        <v>353283</v>
      </c>
      <c r="J2635" s="7">
        <v>0.85499999999999998</v>
      </c>
      <c r="K2635" s="1" t="s">
        <v>21</v>
      </c>
      <c r="L2635" s="1" t="s">
        <v>21</v>
      </c>
      <c r="M2635" s="1" t="s">
        <v>29</v>
      </c>
      <c r="N2635" s="1" t="s">
        <v>555</v>
      </c>
    </row>
    <row r="2636" spans="1:14" x14ac:dyDescent="0.25">
      <c r="A2636" s="1">
        <v>2635</v>
      </c>
      <c r="B2636" s="2" t="str">
        <f>HYPERLINK("https://leetcode.com/problems/apply-transform-over-each-element-in-array/", "Apply Transform Over Each Element in Array")</f>
        <v>Apply Transform Over Each Element in Array</v>
      </c>
      <c r="C2636" s="1">
        <v>910</v>
      </c>
      <c r="D2636" s="1">
        <v>119</v>
      </c>
      <c r="E2636" s="3">
        <f>IF(INDEX(C:C, ROW())+INDEX(D:D, ROW())=0, 0, INDEX(C:C, ROW())/(INDEX(C:C, ROW())+INDEX(D:D, ROW())))</f>
        <v>0.88435374149659862</v>
      </c>
      <c r="G2636" s="1" t="s">
        <v>20</v>
      </c>
      <c r="H2636" s="1">
        <v>331544</v>
      </c>
      <c r="I2636" s="1">
        <v>384454</v>
      </c>
      <c r="J2636" s="7">
        <v>0.86199999999999999</v>
      </c>
      <c r="K2636" s="1" t="s">
        <v>21</v>
      </c>
      <c r="L2636" s="1" t="s">
        <v>21</v>
      </c>
      <c r="M2636" s="1" t="s">
        <v>29</v>
      </c>
      <c r="N2636" s="1" t="s">
        <v>555</v>
      </c>
    </row>
    <row r="2637" spans="1:14" x14ac:dyDescent="0.25">
      <c r="A2637" s="1">
        <v>2636</v>
      </c>
      <c r="B2637" s="2" t="str">
        <f>HYPERLINK("https://leetcode.com/problems/promise-pool/", "Promise Pool")</f>
        <v>Promise Pool</v>
      </c>
      <c r="C2637" s="1">
        <v>297</v>
      </c>
      <c r="D2637" s="1">
        <v>27</v>
      </c>
      <c r="E2637" s="3">
        <f>IF(INDEX(C:C, ROW())+INDEX(D:D, ROW())=0, 0, INDEX(C:C, ROW())/(INDEX(C:C, ROW())+INDEX(D:D, ROW())))</f>
        <v>0.91666666666666663</v>
      </c>
      <c r="G2637" s="1" t="s">
        <v>24</v>
      </c>
      <c r="H2637" s="1">
        <v>14883</v>
      </c>
      <c r="I2637" s="1">
        <v>18728</v>
      </c>
      <c r="J2637" s="7">
        <v>0.79500000000000004</v>
      </c>
      <c r="K2637" s="1" t="s">
        <v>29</v>
      </c>
      <c r="L2637" s="1" t="s">
        <v>21</v>
      </c>
      <c r="M2637" s="1" t="s">
        <v>29</v>
      </c>
      <c r="N2637" s="1" t="s">
        <v>555</v>
      </c>
    </row>
    <row r="2638" spans="1:14" x14ac:dyDescent="0.25">
      <c r="A2638" s="1">
        <v>2637</v>
      </c>
      <c r="B2638" s="2" t="str">
        <f>HYPERLINK("https://leetcode.com/problems/promise-time-limit/", "Promise Time Limit")</f>
        <v>Promise Time Limit</v>
      </c>
      <c r="C2638" s="1">
        <v>573</v>
      </c>
      <c r="D2638" s="1">
        <v>85</v>
      </c>
      <c r="E2638" s="3">
        <f>IF(INDEX(C:C, ROW())+INDEX(D:D, ROW())=0, 0, INDEX(C:C, ROW())/(INDEX(C:C, ROW())+INDEX(D:D, ROW())))</f>
        <v>0.87082066869300911</v>
      </c>
      <c r="G2638" s="1" t="s">
        <v>24</v>
      </c>
      <c r="H2638" s="1">
        <v>95116</v>
      </c>
      <c r="I2638" s="1">
        <v>114395</v>
      </c>
      <c r="J2638" s="7">
        <v>0.83099999999999996</v>
      </c>
      <c r="K2638" s="1" t="s">
        <v>21</v>
      </c>
      <c r="L2638" s="1" t="s">
        <v>21</v>
      </c>
      <c r="M2638" s="1" t="s">
        <v>29</v>
      </c>
      <c r="N2638" s="1" t="s">
        <v>555</v>
      </c>
    </row>
    <row r="2639" spans="1:14" x14ac:dyDescent="0.25">
      <c r="A2639" s="1">
        <v>2638</v>
      </c>
      <c r="B2639" s="2" t="str">
        <f>HYPERLINK("https://leetcode.com/problems/count-the-number-of-k-free-subsets/", "Count the Number of K-Free Subsets")</f>
        <v>Count the Number of K-Free Subsets</v>
      </c>
      <c r="C2639" s="1">
        <v>96</v>
      </c>
      <c r="D2639" s="1">
        <v>19</v>
      </c>
      <c r="E2639" s="3">
        <f>IF(INDEX(C:C, ROW())+INDEX(D:D, ROW())=0, 0, INDEX(C:C, ROW())/(INDEX(C:C, ROW())+INDEX(D:D, ROW())))</f>
        <v>0.83478260869565213</v>
      </c>
      <c r="F2639" s="1" t="s">
        <v>1141</v>
      </c>
      <c r="G2639" s="1" t="s">
        <v>24</v>
      </c>
      <c r="H2639" s="1">
        <v>5256</v>
      </c>
      <c r="I2639" s="1">
        <v>11131</v>
      </c>
      <c r="J2639" s="7">
        <v>0.47199999999999998</v>
      </c>
      <c r="K2639" s="1" t="s">
        <v>29</v>
      </c>
      <c r="L2639" s="1" t="s">
        <v>29</v>
      </c>
      <c r="M2639" s="1" t="s">
        <v>29</v>
      </c>
      <c r="N2639" s="1" t="s">
        <v>22</v>
      </c>
    </row>
    <row r="2640" spans="1:14" x14ac:dyDescent="0.25">
      <c r="A2640" s="1">
        <v>2639</v>
      </c>
      <c r="B2640" s="2" t="str">
        <f>HYPERLINK("https://leetcode.com/problems/find-the-width-of-columns-of-a-grid/", "Find the Width of Columns of a Grid")</f>
        <v>Find the Width of Columns of a Grid</v>
      </c>
      <c r="C2640" s="1">
        <v>194</v>
      </c>
      <c r="D2640" s="1">
        <v>54</v>
      </c>
      <c r="E2640" s="3">
        <f>IF(INDEX(C:C, ROW())+INDEX(D:D, ROW())=0, 0, INDEX(C:C, ROW())/(INDEX(C:C, ROW())+INDEX(D:D, ROW())))</f>
        <v>0.782258064516129</v>
      </c>
      <c r="F2640" s="1" t="s">
        <v>266</v>
      </c>
      <c r="G2640" s="1" t="s">
        <v>20</v>
      </c>
      <c r="H2640" s="1">
        <v>40101</v>
      </c>
      <c r="I2640" s="1">
        <v>56974</v>
      </c>
      <c r="J2640" s="7">
        <v>0.70399999999999996</v>
      </c>
      <c r="K2640" s="1" t="s">
        <v>21</v>
      </c>
      <c r="L2640" s="1" t="s">
        <v>29</v>
      </c>
      <c r="M2640" s="1" t="s">
        <v>29</v>
      </c>
      <c r="N2640" s="1" t="s">
        <v>22</v>
      </c>
    </row>
    <row r="2641" spans="1:14" x14ac:dyDescent="0.25">
      <c r="A2641" s="1">
        <v>2640</v>
      </c>
      <c r="B2641" s="2" t="str">
        <f>HYPERLINK("https://leetcode.com/problems/find-the-score-of-all-prefixes-of-an-array/", "Find the Score of All Prefixes of an Array")</f>
        <v>Find the Score of All Prefixes of an Array</v>
      </c>
      <c r="C2641" s="1">
        <v>364</v>
      </c>
      <c r="D2641" s="1">
        <v>48</v>
      </c>
      <c r="E2641" s="3">
        <f>IF(INDEX(C:C, ROW())+INDEX(D:D, ROW())=0, 0, INDEX(C:C, ROW())/(INDEX(C:C, ROW())+INDEX(D:D, ROW())))</f>
        <v>0.88349514563106801</v>
      </c>
      <c r="F2641" s="1" t="s">
        <v>37</v>
      </c>
      <c r="G2641" s="1" t="s">
        <v>24</v>
      </c>
      <c r="H2641" s="1">
        <v>43951</v>
      </c>
      <c r="I2641" s="1">
        <v>60364</v>
      </c>
      <c r="J2641" s="7">
        <v>0.72799999999999998</v>
      </c>
      <c r="K2641" s="1" t="s">
        <v>21</v>
      </c>
      <c r="L2641" s="1" t="s">
        <v>29</v>
      </c>
      <c r="M2641" s="1" t="s">
        <v>29</v>
      </c>
      <c r="N2641" s="1" t="s">
        <v>22</v>
      </c>
    </row>
    <row r="2642" spans="1:14" x14ac:dyDescent="0.25">
      <c r="A2642" s="1">
        <v>2641</v>
      </c>
      <c r="B2642" s="2" t="str">
        <f>HYPERLINK("https://leetcode.com/problems/cousins-in-binary-tree-ii/", "Cousins in Binary Tree II")</f>
        <v>Cousins in Binary Tree II</v>
      </c>
      <c r="C2642" s="1">
        <v>1220</v>
      </c>
      <c r="D2642" s="1">
        <v>54</v>
      </c>
      <c r="E2642" s="3">
        <f>IF(INDEX(C:C, ROW())+INDEX(D:D, ROW())=0, 0, INDEX(C:C, ROW())/(INDEX(C:C, ROW())+INDEX(D:D, ROW())))</f>
        <v>0.95761381475667195</v>
      </c>
      <c r="F2642" s="1" t="s">
        <v>107</v>
      </c>
      <c r="G2642" s="1" t="s">
        <v>24</v>
      </c>
      <c r="H2642" s="1">
        <v>127804</v>
      </c>
      <c r="I2642" s="1">
        <v>168689</v>
      </c>
      <c r="J2642" s="7">
        <v>0.75800000000000001</v>
      </c>
      <c r="K2642" s="1" t="s">
        <v>21</v>
      </c>
      <c r="L2642" s="1" t="s">
        <v>21</v>
      </c>
      <c r="M2642" s="1" t="s">
        <v>29</v>
      </c>
      <c r="N2642" s="1" t="s">
        <v>22</v>
      </c>
    </row>
    <row r="2643" spans="1:14" x14ac:dyDescent="0.25">
      <c r="A2643" s="1">
        <v>2642</v>
      </c>
      <c r="B2643" s="2" t="str">
        <f>HYPERLINK("https://leetcode.com/problems/design-graph-with-shortest-path-calculator/", "Design Graph With Shortest Path Calculator")</f>
        <v>Design Graph With Shortest Path Calculator</v>
      </c>
      <c r="C2643" s="1">
        <v>875</v>
      </c>
      <c r="D2643" s="1">
        <v>61</v>
      </c>
      <c r="E2643" s="3">
        <f>IF(INDEX(C:C, ROW())+INDEX(D:D, ROW())=0, 0, INDEX(C:C, ROW())/(INDEX(C:C, ROW())+INDEX(D:D, ROW())))</f>
        <v>0.93482905982905984</v>
      </c>
      <c r="F2643" s="1" t="s">
        <v>746</v>
      </c>
      <c r="G2643" s="1" t="s">
        <v>28</v>
      </c>
      <c r="H2643" s="1">
        <v>78219</v>
      </c>
      <c r="I2643" s="1">
        <v>120593</v>
      </c>
      <c r="J2643" s="7">
        <v>0.64900000000000002</v>
      </c>
      <c r="K2643" s="1" t="s">
        <v>21</v>
      </c>
      <c r="L2643" s="1" t="s">
        <v>21</v>
      </c>
      <c r="M2643" s="1" t="s">
        <v>29</v>
      </c>
      <c r="N2643" s="1" t="s">
        <v>22</v>
      </c>
    </row>
    <row r="2644" spans="1:14" x14ac:dyDescent="0.25">
      <c r="A2644" s="1">
        <v>2643</v>
      </c>
      <c r="B2644" s="2" t="str">
        <f>HYPERLINK("https://leetcode.com/problems/row-with-maximum-ones/", "Row With Maximum Ones")</f>
        <v>Row With Maximum Ones</v>
      </c>
      <c r="C2644" s="1">
        <v>593</v>
      </c>
      <c r="D2644" s="1">
        <v>23</v>
      </c>
      <c r="E2644" s="3">
        <f>IF(INDEX(C:C, ROW())+INDEX(D:D, ROW())=0, 0, INDEX(C:C, ROW())/(INDEX(C:C, ROW())+INDEX(D:D, ROW())))</f>
        <v>0.96266233766233766</v>
      </c>
      <c r="F2644" s="1" t="s">
        <v>266</v>
      </c>
      <c r="G2644" s="1" t="s">
        <v>20</v>
      </c>
      <c r="H2644" s="1">
        <v>116238</v>
      </c>
      <c r="I2644" s="1">
        <v>156492</v>
      </c>
      <c r="J2644" s="7">
        <v>0.74299999999999999</v>
      </c>
      <c r="K2644" s="1" t="s">
        <v>21</v>
      </c>
      <c r="L2644" s="1" t="s">
        <v>29</v>
      </c>
      <c r="M2644" s="1" t="s">
        <v>29</v>
      </c>
      <c r="N2644" s="1" t="s">
        <v>22</v>
      </c>
    </row>
    <row r="2645" spans="1:14" x14ac:dyDescent="0.25">
      <c r="A2645" s="1">
        <v>2644</v>
      </c>
      <c r="B2645" s="2" t="str">
        <f>HYPERLINK("https://leetcode.com/problems/find-the-maximum-divisibility-score/", "Find the Maximum Divisibility Score")</f>
        <v>Find the Maximum Divisibility Score</v>
      </c>
      <c r="C2645" s="1">
        <v>248</v>
      </c>
      <c r="D2645" s="1">
        <v>66</v>
      </c>
      <c r="E2645" s="3">
        <f>IF(INDEX(C:C, ROW())+INDEX(D:D, ROW())=0, 0, INDEX(C:C, ROW())/(INDEX(C:C, ROW())+INDEX(D:D, ROW())))</f>
        <v>0.78980891719745228</v>
      </c>
      <c r="F2645" s="1" t="s">
        <v>113</v>
      </c>
      <c r="G2645" s="1" t="s">
        <v>20</v>
      </c>
      <c r="H2645" s="1">
        <v>41731</v>
      </c>
      <c r="I2645" s="1">
        <v>80826</v>
      </c>
      <c r="J2645" s="7">
        <v>0.51600000000000001</v>
      </c>
      <c r="K2645" s="1" t="s">
        <v>21</v>
      </c>
      <c r="L2645" s="1" t="s">
        <v>29</v>
      </c>
      <c r="M2645" s="1" t="s">
        <v>29</v>
      </c>
      <c r="N2645" s="1" t="s">
        <v>22</v>
      </c>
    </row>
    <row r="2646" spans="1:14" x14ac:dyDescent="0.25">
      <c r="A2646" s="1">
        <v>2645</v>
      </c>
      <c r="B2646" s="2" t="str">
        <f>HYPERLINK("https://leetcode.com/problems/minimum-additions-to-make-valid-string/", "Minimum Additions to Make Valid String")</f>
        <v>Minimum Additions to Make Valid String</v>
      </c>
      <c r="C2646" s="1">
        <v>591</v>
      </c>
      <c r="D2646" s="1">
        <v>29</v>
      </c>
      <c r="E2646" s="3">
        <f>IF(INDEX(C:C, ROW())+INDEX(D:D, ROW())=0, 0, INDEX(C:C, ROW())/(INDEX(C:C, ROW())+INDEX(D:D, ROW())))</f>
        <v>0.95322580645161292</v>
      </c>
      <c r="F2646" s="1" t="s">
        <v>198</v>
      </c>
      <c r="G2646" s="1" t="s">
        <v>24</v>
      </c>
      <c r="H2646" s="1">
        <v>37638</v>
      </c>
      <c r="I2646" s="1">
        <v>73825</v>
      </c>
      <c r="J2646" s="7">
        <v>0.51</v>
      </c>
      <c r="K2646" s="1" t="s">
        <v>21</v>
      </c>
      <c r="L2646" s="1" t="s">
        <v>29</v>
      </c>
      <c r="M2646" s="1" t="s">
        <v>29</v>
      </c>
      <c r="N2646" s="1" t="s">
        <v>22</v>
      </c>
    </row>
    <row r="2647" spans="1:14" x14ac:dyDescent="0.25">
      <c r="A2647" s="1">
        <v>2646</v>
      </c>
      <c r="B2647" s="2" t="str">
        <f>HYPERLINK("https://leetcode.com/problems/minimize-the-total-price-of-the-trips/", "Minimize the Total Price of the Trips")</f>
        <v>Minimize the Total Price of the Trips</v>
      </c>
      <c r="C2647" s="1">
        <v>517</v>
      </c>
      <c r="D2647" s="1">
        <v>21</v>
      </c>
      <c r="E2647" s="3">
        <f>IF(INDEX(C:C, ROW())+INDEX(D:D, ROW())=0, 0, INDEX(C:C, ROW())/(INDEX(C:C, ROW())+INDEX(D:D, ROW())))</f>
        <v>0.96096654275092941</v>
      </c>
      <c r="F2647" s="1" t="s">
        <v>911</v>
      </c>
      <c r="G2647" s="1" t="s">
        <v>28</v>
      </c>
      <c r="H2647" s="1">
        <v>13573</v>
      </c>
      <c r="I2647" s="1">
        <v>28360</v>
      </c>
      <c r="J2647" s="7">
        <v>0.47899999999999998</v>
      </c>
      <c r="K2647" s="1" t="s">
        <v>21</v>
      </c>
      <c r="L2647" s="1" t="s">
        <v>29</v>
      </c>
      <c r="M2647" s="1" t="s">
        <v>29</v>
      </c>
      <c r="N2647" s="1" t="s">
        <v>22</v>
      </c>
    </row>
    <row r="2648" spans="1:14" x14ac:dyDescent="0.25">
      <c r="A2648" s="1">
        <v>2647</v>
      </c>
      <c r="B2648" s="2" t="str">
        <f>HYPERLINK("https://leetcode.com/problems/color-the-triangle-red/", "Color the Triangle Red")</f>
        <v>Color the Triangle Red</v>
      </c>
      <c r="C2648" s="1">
        <v>11</v>
      </c>
      <c r="D2648" s="1">
        <v>18</v>
      </c>
      <c r="E2648" s="3">
        <f>IF(INDEX(C:C, ROW())+INDEX(D:D, ROW())=0, 0, INDEX(C:C, ROW())/(INDEX(C:C, ROW())+INDEX(D:D, ROW())))</f>
        <v>0.37931034482758619</v>
      </c>
      <c r="F2648" s="1" t="s">
        <v>115</v>
      </c>
      <c r="G2648" s="1" t="s">
        <v>28</v>
      </c>
      <c r="H2648" s="1">
        <v>456</v>
      </c>
      <c r="I2648" s="1">
        <v>765</v>
      </c>
      <c r="J2648" s="7">
        <v>0.59599999999999997</v>
      </c>
      <c r="K2648" s="1" t="s">
        <v>29</v>
      </c>
      <c r="L2648" s="1" t="s">
        <v>29</v>
      </c>
      <c r="M2648" s="1" t="s">
        <v>29</v>
      </c>
      <c r="N2648" s="1" t="s">
        <v>22</v>
      </c>
    </row>
    <row r="2649" spans="1:14" x14ac:dyDescent="0.25">
      <c r="A2649" s="1">
        <v>2648</v>
      </c>
      <c r="B2649" s="2" t="str">
        <f>HYPERLINK("https://leetcode.com/problems/generate-fibonacci-sequence/", "Generate Fibonacci Sequence")</f>
        <v>Generate Fibonacci Sequence</v>
      </c>
      <c r="C2649" s="1">
        <v>282</v>
      </c>
      <c r="D2649" s="1">
        <v>31</v>
      </c>
      <c r="E2649" s="3">
        <f>IF(INDEX(C:C, ROW())+INDEX(D:D, ROW())=0, 0, INDEX(C:C, ROW())/(INDEX(C:C, ROW())+INDEX(D:D, ROW())))</f>
        <v>0.90095846645367417</v>
      </c>
      <c r="G2649" s="1" t="s">
        <v>20</v>
      </c>
      <c r="H2649" s="1">
        <v>48125</v>
      </c>
      <c r="I2649" s="1">
        <v>57533</v>
      </c>
      <c r="J2649" s="7">
        <v>0.83599999999999997</v>
      </c>
      <c r="K2649" s="1" t="s">
        <v>21</v>
      </c>
      <c r="L2649" s="1" t="s">
        <v>21</v>
      </c>
      <c r="M2649" s="1" t="s">
        <v>29</v>
      </c>
      <c r="N2649" s="1" t="s">
        <v>555</v>
      </c>
    </row>
    <row r="2650" spans="1:14" x14ac:dyDescent="0.25">
      <c r="A2650" s="1">
        <v>2649</v>
      </c>
      <c r="B2650" s="2" t="str">
        <f>HYPERLINK("https://leetcode.com/problems/nested-array-generator/", "Nested Array Generator")</f>
        <v>Nested Array Generator</v>
      </c>
      <c r="C2650" s="1">
        <v>171</v>
      </c>
      <c r="D2650" s="1">
        <v>13</v>
      </c>
      <c r="E2650" s="3">
        <f>IF(INDEX(C:C, ROW())+INDEX(D:D, ROW())=0, 0, INDEX(C:C, ROW())/(INDEX(C:C, ROW())+INDEX(D:D, ROW())))</f>
        <v>0.92934782608695654</v>
      </c>
      <c r="G2650" s="1" t="s">
        <v>24</v>
      </c>
      <c r="H2650" s="1">
        <v>18486</v>
      </c>
      <c r="I2650" s="1">
        <v>23011</v>
      </c>
      <c r="J2650" s="7">
        <v>0.80300000000000005</v>
      </c>
      <c r="K2650" s="1" t="s">
        <v>21</v>
      </c>
      <c r="L2650" s="1" t="s">
        <v>21</v>
      </c>
      <c r="M2650" s="1" t="s">
        <v>29</v>
      </c>
      <c r="N2650" s="1" t="s">
        <v>555</v>
      </c>
    </row>
    <row r="2651" spans="1:14" x14ac:dyDescent="0.25">
      <c r="A2651" s="1">
        <v>2650</v>
      </c>
      <c r="B2651" s="2" t="str">
        <f>HYPERLINK("https://leetcode.com/problems/design-cancellable-function/", "Design Cancellable Function")</f>
        <v>Design Cancellable Function</v>
      </c>
      <c r="C2651" s="1">
        <v>72</v>
      </c>
      <c r="D2651" s="1">
        <v>20</v>
      </c>
      <c r="E2651" s="3">
        <f>IF(INDEX(C:C, ROW())+INDEX(D:D, ROW())=0, 0, INDEX(C:C, ROW())/(INDEX(C:C, ROW())+INDEX(D:D, ROW())))</f>
        <v>0.78260869565217395</v>
      </c>
      <c r="G2651" s="1" t="s">
        <v>28</v>
      </c>
      <c r="H2651" s="1">
        <v>4352</v>
      </c>
      <c r="I2651" s="1">
        <v>7739</v>
      </c>
      <c r="J2651" s="7">
        <v>0.56200000000000006</v>
      </c>
      <c r="K2651" s="1" t="s">
        <v>21</v>
      </c>
      <c r="L2651" s="1" t="s">
        <v>29</v>
      </c>
      <c r="M2651" s="1" t="s">
        <v>29</v>
      </c>
      <c r="N2651" s="1" t="s">
        <v>555</v>
      </c>
    </row>
    <row r="2652" spans="1:14" x14ac:dyDescent="0.25">
      <c r="A2652" s="1">
        <v>2651</v>
      </c>
      <c r="B2652" s="2" t="str">
        <f>HYPERLINK("https://leetcode.com/problems/calculate-delayed-arrival-time/", "Calculate Delayed Arrival Time")</f>
        <v>Calculate Delayed Arrival Time</v>
      </c>
      <c r="C2652" s="1">
        <v>290</v>
      </c>
      <c r="D2652" s="1">
        <v>53</v>
      </c>
      <c r="E2652" s="3">
        <f>IF(INDEX(C:C, ROW())+INDEX(D:D, ROW())=0, 0, INDEX(C:C, ROW())/(INDEX(C:C, ROW())+INDEX(D:D, ROW())))</f>
        <v>0.84548104956268222</v>
      </c>
      <c r="F2652" s="1" t="s">
        <v>84</v>
      </c>
      <c r="G2652" s="1" t="s">
        <v>20</v>
      </c>
      <c r="H2652" s="1">
        <v>88053</v>
      </c>
      <c r="I2652" s="1">
        <v>116407</v>
      </c>
      <c r="J2652" s="7">
        <v>0.75600000000000001</v>
      </c>
      <c r="K2652" s="1" t="s">
        <v>21</v>
      </c>
      <c r="L2652" s="1" t="s">
        <v>29</v>
      </c>
      <c r="M2652" s="1" t="s">
        <v>29</v>
      </c>
      <c r="N2652" s="1" t="s">
        <v>22</v>
      </c>
    </row>
    <row r="2653" spans="1:14" x14ac:dyDescent="0.25">
      <c r="A2653" s="1">
        <v>2652</v>
      </c>
      <c r="B2653" s="2" t="str">
        <f>HYPERLINK("https://leetcode.com/problems/sum-multiples/", "Sum Multiples")</f>
        <v>Sum Multiples</v>
      </c>
      <c r="C2653" s="1">
        <v>589</v>
      </c>
      <c r="D2653" s="1">
        <v>43</v>
      </c>
      <c r="E2653" s="3">
        <f>IF(INDEX(C:C, ROW())+INDEX(D:D, ROW())=0, 0, INDEX(C:C, ROW())/(INDEX(C:C, ROW())+INDEX(D:D, ROW())))</f>
        <v>0.93196202531645567</v>
      </c>
      <c r="F2653" s="1" t="s">
        <v>84</v>
      </c>
      <c r="G2653" s="1" t="s">
        <v>20</v>
      </c>
      <c r="H2653" s="1">
        <v>187236</v>
      </c>
      <c r="I2653" s="1">
        <v>218210</v>
      </c>
      <c r="J2653" s="7">
        <v>0.85799999999999998</v>
      </c>
      <c r="K2653" s="1" t="s">
        <v>21</v>
      </c>
      <c r="L2653" s="1" t="s">
        <v>29</v>
      </c>
      <c r="M2653" s="1" t="s">
        <v>29</v>
      </c>
      <c r="N2653" s="1" t="s">
        <v>22</v>
      </c>
    </row>
    <row r="2654" spans="1:14" x14ac:dyDescent="0.25">
      <c r="A2654" s="1">
        <v>2653</v>
      </c>
      <c r="B2654" s="2" t="str">
        <f>HYPERLINK("https://leetcode.com/problems/sliding-subarray-beauty/", "Sliding Subarray Beauty")</f>
        <v>Sliding Subarray Beauty</v>
      </c>
      <c r="C2654" s="1">
        <v>741</v>
      </c>
      <c r="D2654" s="1">
        <v>140</v>
      </c>
      <c r="E2654" s="3">
        <f>IF(INDEX(C:C, ROW())+INDEX(D:D, ROW())=0, 0, INDEX(C:C, ROW())/(INDEX(C:C, ROW())+INDEX(D:D, ROW())))</f>
        <v>0.84108967082860386</v>
      </c>
      <c r="F2654" s="1" t="s">
        <v>185</v>
      </c>
      <c r="G2654" s="1" t="s">
        <v>24</v>
      </c>
      <c r="H2654" s="1">
        <v>33162</v>
      </c>
      <c r="I2654" s="1">
        <v>91251</v>
      </c>
      <c r="J2654" s="7">
        <v>0.36299999999999999</v>
      </c>
      <c r="K2654" s="1" t="s">
        <v>21</v>
      </c>
      <c r="L2654" s="1" t="s">
        <v>29</v>
      </c>
      <c r="M2654" s="1" t="s">
        <v>29</v>
      </c>
      <c r="N2654" s="1" t="s">
        <v>22</v>
      </c>
    </row>
    <row r="2655" spans="1:14" x14ac:dyDescent="0.25">
      <c r="A2655" s="1">
        <v>2654</v>
      </c>
      <c r="B2655" s="2" t="str">
        <f>HYPERLINK("https://leetcode.com/problems/minimum-number-of-operations-to-make-all-array-elements-equal-to-1/", "Minimum Number of Operations to Make All Array Elements Equal to 1")</f>
        <v>Minimum Number of Operations to Make All Array Elements Equal to 1</v>
      </c>
      <c r="C2655" s="1">
        <v>781</v>
      </c>
      <c r="D2655" s="1">
        <v>49</v>
      </c>
      <c r="E2655" s="3">
        <f>IF(INDEX(C:C, ROW())+INDEX(D:D, ROW())=0, 0, INDEX(C:C, ROW())/(INDEX(C:C, ROW())+INDEX(D:D, ROW())))</f>
        <v>0.9409638554216867</v>
      </c>
      <c r="F2655" s="1" t="s">
        <v>640</v>
      </c>
      <c r="G2655" s="1" t="s">
        <v>24</v>
      </c>
      <c r="H2655" s="1">
        <v>87288</v>
      </c>
      <c r="I2655" s="1">
        <v>159749</v>
      </c>
      <c r="J2655" s="7">
        <v>0.54600000000000004</v>
      </c>
      <c r="K2655" s="1" t="s">
        <v>21</v>
      </c>
      <c r="L2655" s="1" t="s">
        <v>21</v>
      </c>
      <c r="M2655" s="1" t="s">
        <v>29</v>
      </c>
      <c r="N2655" s="1" t="s">
        <v>22</v>
      </c>
    </row>
    <row r="2656" spans="1:14" x14ac:dyDescent="0.25">
      <c r="A2656" s="1">
        <v>2655</v>
      </c>
      <c r="B2656" s="2" t="str">
        <f>HYPERLINK("https://leetcode.com/problems/find-maximal-uncovered-ranges/", "Find Maximal Uncovered Ranges")</f>
        <v>Find Maximal Uncovered Ranges</v>
      </c>
      <c r="C2656" s="1">
        <v>33</v>
      </c>
      <c r="D2656" s="1">
        <v>3</v>
      </c>
      <c r="E2656" s="3">
        <f>IF(INDEX(C:C, ROW())+INDEX(D:D, ROW())=0, 0, INDEX(C:C, ROW())/(INDEX(C:C, ROW())+INDEX(D:D, ROW())))</f>
        <v>0.91666666666666663</v>
      </c>
      <c r="F2656" s="1" t="s">
        <v>42</v>
      </c>
      <c r="G2656" s="1" t="s">
        <v>24</v>
      </c>
      <c r="H2656" s="1">
        <v>2190</v>
      </c>
      <c r="I2656" s="1">
        <v>4445</v>
      </c>
      <c r="J2656" s="7">
        <v>0.49299999999999999</v>
      </c>
      <c r="K2656" s="1" t="s">
        <v>29</v>
      </c>
      <c r="L2656" s="1" t="s">
        <v>29</v>
      </c>
      <c r="M2656" s="1" t="s">
        <v>29</v>
      </c>
      <c r="N2656" s="1" t="s">
        <v>22</v>
      </c>
    </row>
    <row r="2657" spans="1:14" x14ac:dyDescent="0.25">
      <c r="A2657" s="1">
        <v>2656</v>
      </c>
      <c r="B2657" s="2" t="str">
        <f>HYPERLINK("https://leetcode.com/problems/maximum-sum-with-exactly-k-elements/", "Maximum Sum With Exactly K Elements ")</f>
        <v xml:space="preserve">Maximum Sum With Exactly K Elements </v>
      </c>
      <c r="C2657" s="1">
        <v>430</v>
      </c>
      <c r="D2657" s="1">
        <v>52</v>
      </c>
      <c r="E2657" s="3">
        <f>IF(INDEX(C:C, ROW())+INDEX(D:D, ROW())=0, 0, INDEX(C:C, ROW())/(INDEX(C:C, ROW())+INDEX(D:D, ROW())))</f>
        <v>0.89211618257261416</v>
      </c>
      <c r="F2657" s="1" t="s">
        <v>96</v>
      </c>
      <c r="G2657" s="1" t="s">
        <v>20</v>
      </c>
      <c r="H2657" s="1">
        <v>103077</v>
      </c>
      <c r="I2657" s="1">
        <v>128032</v>
      </c>
      <c r="J2657" s="7">
        <v>0.80500000000000005</v>
      </c>
      <c r="K2657" s="1" t="s">
        <v>21</v>
      </c>
      <c r="L2657" s="1" t="s">
        <v>29</v>
      </c>
      <c r="M2657" s="1" t="s">
        <v>29</v>
      </c>
      <c r="N2657" s="1" t="s">
        <v>22</v>
      </c>
    </row>
    <row r="2658" spans="1:14" x14ac:dyDescent="0.25">
      <c r="A2658" s="1">
        <v>2657</v>
      </c>
      <c r="B2658" s="2" t="str">
        <f>HYPERLINK("https://leetcode.com/problems/find-the-prefix-common-array-of-two-arrays/", "Find the Prefix Common Array of Two Arrays")</f>
        <v>Find the Prefix Common Array of Two Arrays</v>
      </c>
      <c r="C2658" s="1">
        <v>1154</v>
      </c>
      <c r="D2658" s="1">
        <v>74</v>
      </c>
      <c r="E2658" s="3">
        <f>IF(INDEX(C:C, ROW())+INDEX(D:D, ROW())=0, 0, INDEX(C:C, ROW())/(INDEX(C:C, ROW())+INDEX(D:D, ROW())))</f>
        <v>0.93973941368078173</v>
      </c>
      <c r="F2658" s="1" t="s">
        <v>667</v>
      </c>
      <c r="G2658" s="1" t="s">
        <v>24</v>
      </c>
      <c r="H2658" s="1">
        <v>235284</v>
      </c>
      <c r="I2658" s="1">
        <v>270499</v>
      </c>
      <c r="J2658" s="7">
        <v>0.87</v>
      </c>
      <c r="K2658" s="1" t="s">
        <v>21</v>
      </c>
      <c r="L2658" s="1" t="s">
        <v>21</v>
      </c>
      <c r="M2658" s="1" t="s">
        <v>29</v>
      </c>
      <c r="N2658" s="1" t="s">
        <v>22</v>
      </c>
    </row>
    <row r="2659" spans="1:14" x14ac:dyDescent="0.25">
      <c r="A2659" s="1">
        <v>2658</v>
      </c>
      <c r="B2659" s="2" t="str">
        <f>HYPERLINK("https://leetcode.com/problems/maximum-number-of-fish-in-a-grid/", "Maximum Number of Fish in a Grid")</f>
        <v>Maximum Number of Fish in a Grid</v>
      </c>
      <c r="C2659" s="1">
        <v>951</v>
      </c>
      <c r="D2659" s="1">
        <v>67</v>
      </c>
      <c r="E2659" s="3">
        <f>IF(INDEX(C:C, ROW())+INDEX(D:D, ROW())=0, 0, INDEX(C:C, ROW())/(INDEX(C:C, ROW())+INDEX(D:D, ROW())))</f>
        <v>0.93418467583497056</v>
      </c>
      <c r="F2659" s="1" t="s">
        <v>40</v>
      </c>
      <c r="G2659" s="1" t="s">
        <v>24</v>
      </c>
      <c r="H2659" s="1">
        <v>161073</v>
      </c>
      <c r="I2659" s="1">
        <v>228366</v>
      </c>
      <c r="J2659" s="7">
        <v>0.70499999999999996</v>
      </c>
      <c r="K2659" s="1" t="s">
        <v>21</v>
      </c>
      <c r="L2659" s="1" t="s">
        <v>21</v>
      </c>
      <c r="M2659" s="1" t="s">
        <v>29</v>
      </c>
      <c r="N2659" s="1" t="s">
        <v>22</v>
      </c>
    </row>
    <row r="2660" spans="1:14" x14ac:dyDescent="0.25">
      <c r="A2660" s="1">
        <v>2659</v>
      </c>
      <c r="B2660" s="2" t="str">
        <f>HYPERLINK("https://leetcode.com/problems/make-array-empty/", "Make Array Empty")</f>
        <v>Make Array Empty</v>
      </c>
      <c r="C2660" s="1">
        <v>571</v>
      </c>
      <c r="D2660" s="1">
        <v>35</v>
      </c>
      <c r="E2660" s="3">
        <f>IF(INDEX(C:C, ROW())+INDEX(D:D, ROW())=0, 0, INDEX(C:C, ROW())/(INDEX(C:C, ROW())+INDEX(D:D, ROW())))</f>
        <v>0.94224422442244227</v>
      </c>
      <c r="F2660" s="1" t="s">
        <v>866</v>
      </c>
      <c r="G2660" s="1" t="s">
        <v>28</v>
      </c>
      <c r="H2660" s="1">
        <v>14308</v>
      </c>
      <c r="I2660" s="1">
        <v>53776</v>
      </c>
      <c r="J2660" s="7">
        <v>0.26600000000000001</v>
      </c>
      <c r="K2660" s="1" t="s">
        <v>21</v>
      </c>
      <c r="L2660" s="1" t="s">
        <v>29</v>
      </c>
      <c r="M2660" s="1" t="s">
        <v>29</v>
      </c>
      <c r="N2660" s="1" t="s">
        <v>22</v>
      </c>
    </row>
    <row r="2661" spans="1:14" x14ac:dyDescent="0.25">
      <c r="A2661" s="1">
        <v>2660</v>
      </c>
      <c r="B2661" s="2" t="str">
        <f>HYPERLINK("https://leetcode.com/problems/determine-the-winner-of-a-bowling-game/", "Determine the Winner of a Bowling Game")</f>
        <v>Determine the Winner of a Bowling Game</v>
      </c>
      <c r="C2661" s="1">
        <v>292</v>
      </c>
      <c r="D2661" s="1">
        <v>157</v>
      </c>
      <c r="E2661" s="3">
        <f>IF(INDEX(C:C, ROW())+INDEX(D:D, ROW())=0, 0, INDEX(C:C, ROW())/(INDEX(C:C, ROW())+INDEX(D:D, ROW())))</f>
        <v>0.65033407572383073</v>
      </c>
      <c r="F2661" s="1" t="s">
        <v>306</v>
      </c>
      <c r="G2661" s="1" t="s">
        <v>20</v>
      </c>
      <c r="H2661" s="1">
        <v>44258</v>
      </c>
      <c r="I2661" s="1">
        <v>119180</v>
      </c>
      <c r="J2661" s="7">
        <v>0.371</v>
      </c>
      <c r="K2661" s="1" t="s">
        <v>21</v>
      </c>
      <c r="L2661" s="1" t="s">
        <v>29</v>
      </c>
      <c r="M2661" s="1" t="s">
        <v>29</v>
      </c>
      <c r="N2661" s="1" t="s">
        <v>22</v>
      </c>
    </row>
    <row r="2662" spans="1:14" x14ac:dyDescent="0.25">
      <c r="A2662" s="1">
        <v>2661</v>
      </c>
      <c r="B2662" s="2" t="str">
        <f>HYPERLINK("https://leetcode.com/problems/first-completely-painted-row-or-column/", "First Completely Painted Row or Column")</f>
        <v>First Completely Painted Row or Column</v>
      </c>
      <c r="C2662" s="1">
        <v>1104</v>
      </c>
      <c r="D2662" s="1">
        <v>32</v>
      </c>
      <c r="E2662" s="3">
        <f>IF(INDEX(C:C, ROW())+INDEX(D:D, ROW())=0, 0, INDEX(C:C, ROW())/(INDEX(C:C, ROW())+INDEX(D:D, ROW())))</f>
        <v>0.971830985915493</v>
      </c>
      <c r="F2662" s="1" t="s">
        <v>78</v>
      </c>
      <c r="G2662" s="1" t="s">
        <v>24</v>
      </c>
      <c r="H2662" s="1">
        <v>158494</v>
      </c>
      <c r="I2662" s="1">
        <v>248073</v>
      </c>
      <c r="J2662" s="7">
        <v>0.63900000000000001</v>
      </c>
      <c r="K2662" s="1" t="s">
        <v>21</v>
      </c>
      <c r="L2662" s="1" t="s">
        <v>21</v>
      </c>
      <c r="M2662" s="1" t="s">
        <v>29</v>
      </c>
      <c r="N2662" s="1" t="s">
        <v>22</v>
      </c>
    </row>
    <row r="2663" spans="1:14" x14ac:dyDescent="0.25">
      <c r="A2663" s="1">
        <v>2662</v>
      </c>
      <c r="B2663" s="2" t="str">
        <f>HYPERLINK("https://leetcode.com/problems/minimum-cost-of-a-path-with-special-roads/", "Minimum Cost of a Path With Special Roads")</f>
        <v>Minimum Cost of a Path With Special Roads</v>
      </c>
      <c r="C2663" s="1">
        <v>699</v>
      </c>
      <c r="D2663" s="1">
        <v>92</v>
      </c>
      <c r="E2663" s="3">
        <f>IF(INDEX(C:C, ROW())+INDEX(D:D, ROW())=0, 0, INDEX(C:C, ROW())/(INDEX(C:C, ROW())+INDEX(D:D, ROW())))</f>
        <v>0.88369152970922882</v>
      </c>
      <c r="F2663" s="1" t="s">
        <v>318</v>
      </c>
      <c r="G2663" s="1" t="s">
        <v>24</v>
      </c>
      <c r="H2663" s="1">
        <v>19228</v>
      </c>
      <c r="I2663" s="1">
        <v>45272</v>
      </c>
      <c r="J2663" s="7">
        <v>0.42499999999999999</v>
      </c>
      <c r="K2663" s="1" t="s">
        <v>21</v>
      </c>
      <c r="L2663" s="1" t="s">
        <v>29</v>
      </c>
      <c r="M2663" s="1" t="s">
        <v>29</v>
      </c>
      <c r="N2663" s="1" t="s">
        <v>22</v>
      </c>
    </row>
    <row r="2664" spans="1:14" x14ac:dyDescent="0.25">
      <c r="A2664" s="1">
        <v>2663</v>
      </c>
      <c r="B2664" s="2" t="str">
        <f>HYPERLINK("https://leetcode.com/problems/lexicographically-smallest-beautiful-string/", "Lexicographically Smallest Beautiful String")</f>
        <v>Lexicographically Smallest Beautiful String</v>
      </c>
      <c r="C2664" s="1">
        <v>224</v>
      </c>
      <c r="D2664" s="1">
        <v>28</v>
      </c>
      <c r="E2664" s="3">
        <f>IF(INDEX(C:C, ROW())+INDEX(D:D, ROW())=0, 0, INDEX(C:C, ROW())/(INDEX(C:C, ROW())+INDEX(D:D, ROW())))</f>
        <v>0.88888888888888884</v>
      </c>
      <c r="F2664" s="1" t="s">
        <v>424</v>
      </c>
      <c r="G2664" s="1" t="s">
        <v>28</v>
      </c>
      <c r="H2664" s="1">
        <v>10794</v>
      </c>
      <c r="I2664" s="1">
        <v>28355</v>
      </c>
      <c r="J2664" s="7">
        <v>0.38100000000000001</v>
      </c>
      <c r="K2664" s="1" t="s">
        <v>21</v>
      </c>
      <c r="L2664" s="1" t="s">
        <v>29</v>
      </c>
      <c r="M2664" s="1" t="s">
        <v>29</v>
      </c>
      <c r="N2664" s="1" t="s">
        <v>22</v>
      </c>
    </row>
    <row r="2665" spans="1:14" x14ac:dyDescent="0.25">
      <c r="A2665" s="1">
        <v>2664</v>
      </c>
      <c r="B2665" s="2" t="str">
        <f>HYPERLINK("https://leetcode.com/problems/the-knights-tour/", "The Knight’s Tour")</f>
        <v>The Knight’s Tour</v>
      </c>
      <c r="C2665" s="1">
        <v>57</v>
      </c>
      <c r="D2665" s="1">
        <v>16</v>
      </c>
      <c r="E2665" s="3">
        <f>IF(INDEX(C:C, ROW())+INDEX(D:D, ROW())=0, 0, INDEX(C:C, ROW())/(INDEX(C:C, ROW())+INDEX(D:D, ROW())))</f>
        <v>0.78082191780821919</v>
      </c>
      <c r="F2665" s="1" t="s">
        <v>353</v>
      </c>
      <c r="G2665" s="1" t="s">
        <v>24</v>
      </c>
      <c r="H2665" s="1">
        <v>6706</v>
      </c>
      <c r="I2665" s="1">
        <v>9233</v>
      </c>
      <c r="J2665" s="7">
        <v>0.72599999999999998</v>
      </c>
      <c r="K2665" s="1" t="s">
        <v>29</v>
      </c>
      <c r="L2665" s="1" t="s">
        <v>21</v>
      </c>
      <c r="M2665" s="1" t="s">
        <v>29</v>
      </c>
      <c r="N2665" s="1" t="s">
        <v>22</v>
      </c>
    </row>
    <row r="2666" spans="1:14" x14ac:dyDescent="0.25">
      <c r="A2666" s="1">
        <v>2665</v>
      </c>
      <c r="B2666" s="2" t="str">
        <f>HYPERLINK("https://leetcode.com/problems/counter-ii/", "Counter II")</f>
        <v>Counter II</v>
      </c>
      <c r="C2666" s="1">
        <v>887</v>
      </c>
      <c r="D2666" s="1">
        <v>36</v>
      </c>
      <c r="E2666" s="3">
        <f>IF(INDEX(C:C, ROW())+INDEX(D:D, ROW())=0, 0, INDEX(C:C, ROW())/(INDEX(C:C, ROW())+INDEX(D:D, ROW())))</f>
        <v>0.96099674972914406</v>
      </c>
      <c r="G2666" s="1" t="s">
        <v>20</v>
      </c>
      <c r="H2666" s="1">
        <v>372592</v>
      </c>
      <c r="I2666" s="1">
        <v>458630</v>
      </c>
      <c r="J2666" s="7">
        <v>0.81200000000000006</v>
      </c>
      <c r="K2666" s="1" t="s">
        <v>21</v>
      </c>
      <c r="L2666" s="1" t="s">
        <v>21</v>
      </c>
      <c r="M2666" s="1" t="s">
        <v>29</v>
      </c>
      <c r="N2666" s="1" t="s">
        <v>555</v>
      </c>
    </row>
    <row r="2667" spans="1:14" x14ac:dyDescent="0.25">
      <c r="A2667" s="1">
        <v>2666</v>
      </c>
      <c r="B2667" s="2" t="str">
        <f>HYPERLINK("https://leetcode.com/problems/allow-one-function-call/", "Allow One Function Call")</f>
        <v>Allow One Function Call</v>
      </c>
      <c r="C2667" s="1">
        <v>586</v>
      </c>
      <c r="D2667" s="1">
        <v>80</v>
      </c>
      <c r="E2667" s="3">
        <f>IF(INDEX(C:C, ROW())+INDEX(D:D, ROW())=0, 0, INDEX(C:C, ROW())/(INDEX(C:C, ROW())+INDEX(D:D, ROW())))</f>
        <v>0.87987987987987992</v>
      </c>
      <c r="G2667" s="1" t="s">
        <v>20</v>
      </c>
      <c r="H2667" s="1">
        <v>189460</v>
      </c>
      <c r="I2667" s="1">
        <v>218594</v>
      </c>
      <c r="J2667" s="7">
        <v>0.86699999999999999</v>
      </c>
      <c r="K2667" s="1" t="s">
        <v>21</v>
      </c>
      <c r="L2667" s="1" t="s">
        <v>21</v>
      </c>
      <c r="M2667" s="1" t="s">
        <v>29</v>
      </c>
      <c r="N2667" s="1" t="s">
        <v>555</v>
      </c>
    </row>
    <row r="2668" spans="1:14" x14ac:dyDescent="0.25">
      <c r="A2668" s="1">
        <v>2667</v>
      </c>
      <c r="B2668" s="2" t="str">
        <f>HYPERLINK("https://leetcode.com/problems/create-hello-world-function/", "Create Hello World Function")</f>
        <v>Create Hello World Function</v>
      </c>
      <c r="C2668" s="1">
        <v>1640</v>
      </c>
      <c r="D2668" s="1">
        <v>228</v>
      </c>
      <c r="E2668" s="3">
        <f>IF(INDEX(C:C, ROW())+INDEX(D:D, ROW())=0, 0, INDEX(C:C, ROW())/(INDEX(C:C, ROW())+INDEX(D:D, ROW())))</f>
        <v>0.87794432548179868</v>
      </c>
      <c r="G2668" s="1" t="s">
        <v>20</v>
      </c>
      <c r="H2668" s="1">
        <v>818335</v>
      </c>
      <c r="I2668" s="1">
        <v>998195</v>
      </c>
      <c r="J2668" s="7">
        <v>0.82</v>
      </c>
      <c r="K2668" s="1" t="s">
        <v>21</v>
      </c>
      <c r="L2668" s="1" t="s">
        <v>21</v>
      </c>
      <c r="M2668" s="1" t="s">
        <v>29</v>
      </c>
      <c r="N2668" s="1" t="s">
        <v>555</v>
      </c>
    </row>
    <row r="2669" spans="1:14" x14ac:dyDescent="0.25">
      <c r="A2669" s="1">
        <v>2668</v>
      </c>
      <c r="B2669" s="2" t="str">
        <f>HYPERLINK("https://leetcode.com/problems/find-latest-salaries/", "Find Latest Salaries")</f>
        <v>Find Latest Salaries</v>
      </c>
      <c r="C2669" s="1">
        <v>20</v>
      </c>
      <c r="D2669" s="1">
        <v>18</v>
      </c>
      <c r="E2669" s="3">
        <f>IF(INDEX(C:C, ROW())+INDEX(D:D, ROW())=0, 0, INDEX(C:C, ROW())/(INDEX(C:C, ROW())+INDEX(D:D, ROW())))</f>
        <v>0.52631578947368418</v>
      </c>
      <c r="F2669" s="1" t="s">
        <v>297</v>
      </c>
      <c r="G2669" s="1" t="s">
        <v>20</v>
      </c>
      <c r="H2669" s="1">
        <v>6629</v>
      </c>
      <c r="I2669" s="1">
        <v>8827</v>
      </c>
      <c r="J2669" s="7">
        <v>0.751</v>
      </c>
      <c r="K2669" s="1" t="s">
        <v>29</v>
      </c>
      <c r="L2669" s="1" t="s">
        <v>21</v>
      </c>
      <c r="M2669" s="1" t="s">
        <v>29</v>
      </c>
      <c r="N2669" s="1" t="s">
        <v>297</v>
      </c>
    </row>
    <row r="2670" spans="1:14" x14ac:dyDescent="0.25">
      <c r="A2670" s="1">
        <v>2669</v>
      </c>
      <c r="B2670" s="2" t="str">
        <f>HYPERLINK("https://leetcode.com/problems/count-artist-occurrences-on-spotify-ranking-list/", "Count Artist Occurrences On Spotify Ranking List")</f>
        <v>Count Artist Occurrences On Spotify Ranking List</v>
      </c>
      <c r="C2670" s="1">
        <v>17</v>
      </c>
      <c r="D2670" s="1">
        <v>2</v>
      </c>
      <c r="E2670" s="3">
        <f>IF(INDEX(C:C, ROW())+INDEX(D:D, ROW())=0, 0, INDEX(C:C, ROW())/(INDEX(C:C, ROW())+INDEX(D:D, ROW())))</f>
        <v>0.89473684210526316</v>
      </c>
      <c r="F2670" s="1" t="s">
        <v>297</v>
      </c>
      <c r="G2670" s="1" t="s">
        <v>20</v>
      </c>
      <c r="H2670" s="1">
        <v>5902</v>
      </c>
      <c r="I2670" s="1">
        <v>7964</v>
      </c>
      <c r="J2670" s="7">
        <v>0.74099999999999999</v>
      </c>
      <c r="K2670" s="1" t="s">
        <v>29</v>
      </c>
      <c r="L2670" s="1" t="s">
        <v>29</v>
      </c>
      <c r="M2670" s="1" t="s">
        <v>29</v>
      </c>
      <c r="N2670" s="1" t="s">
        <v>297</v>
      </c>
    </row>
    <row r="2671" spans="1:14" x14ac:dyDescent="0.25">
      <c r="A2671" s="1">
        <v>2670</v>
      </c>
      <c r="B2671" s="2" t="str">
        <f>HYPERLINK("https://leetcode.com/problems/find-the-distinct-difference-array/", "Find the Distinct Difference Array")</f>
        <v>Find the Distinct Difference Array</v>
      </c>
      <c r="C2671" s="1">
        <v>369</v>
      </c>
      <c r="D2671" s="1">
        <v>38</v>
      </c>
      <c r="E2671" s="3">
        <f>IF(INDEX(C:C, ROW())+INDEX(D:D, ROW())=0, 0, INDEX(C:C, ROW())/(INDEX(C:C, ROW())+INDEX(D:D, ROW())))</f>
        <v>0.90663390663390664</v>
      </c>
      <c r="F2671" s="1" t="s">
        <v>19</v>
      </c>
      <c r="G2671" s="1" t="s">
        <v>20</v>
      </c>
      <c r="H2671" s="1">
        <v>50945</v>
      </c>
      <c r="I2671" s="1">
        <v>66133</v>
      </c>
      <c r="J2671" s="7">
        <v>0.77</v>
      </c>
      <c r="K2671" s="1" t="s">
        <v>21</v>
      </c>
      <c r="L2671" s="1" t="s">
        <v>29</v>
      </c>
      <c r="M2671" s="1" t="s">
        <v>29</v>
      </c>
      <c r="N2671" s="1" t="s">
        <v>22</v>
      </c>
    </row>
    <row r="2672" spans="1:14" x14ac:dyDescent="0.25">
      <c r="A2672" s="1">
        <v>2671</v>
      </c>
      <c r="B2672" s="2" t="str">
        <f>HYPERLINK("https://leetcode.com/problems/frequency-tracker/", "Frequency Tracker")</f>
        <v>Frequency Tracker</v>
      </c>
      <c r="C2672" s="1">
        <v>345</v>
      </c>
      <c r="D2672" s="1">
        <v>31</v>
      </c>
      <c r="E2672" s="3">
        <f>IF(INDEX(C:C, ROW())+INDEX(D:D, ROW())=0, 0, INDEX(C:C, ROW())/(INDEX(C:C, ROW())+INDEX(D:D, ROW())))</f>
        <v>0.91755319148936165</v>
      </c>
      <c r="F2672" s="1" t="s">
        <v>1020</v>
      </c>
      <c r="G2672" s="1" t="s">
        <v>24</v>
      </c>
      <c r="H2672" s="1">
        <v>28535</v>
      </c>
      <c r="I2672" s="1">
        <v>92420</v>
      </c>
      <c r="J2672" s="7">
        <v>0.309</v>
      </c>
      <c r="K2672" s="1" t="s">
        <v>21</v>
      </c>
      <c r="L2672" s="1" t="s">
        <v>29</v>
      </c>
      <c r="M2672" s="1" t="s">
        <v>29</v>
      </c>
      <c r="N2672" s="1" t="s">
        <v>22</v>
      </c>
    </row>
    <row r="2673" spans="1:14" x14ac:dyDescent="0.25">
      <c r="A2673" s="1">
        <v>2672</v>
      </c>
      <c r="B2673" s="2" t="str">
        <f>HYPERLINK("https://leetcode.com/problems/number-of-adjacent-elements-with-the-same-color/", "Number of Adjacent Elements With the Same Color")</f>
        <v>Number of Adjacent Elements With the Same Color</v>
      </c>
      <c r="C2673" s="1">
        <v>394</v>
      </c>
      <c r="D2673" s="1">
        <v>117</v>
      </c>
      <c r="E2673" s="3">
        <f>IF(INDEX(C:C, ROW())+INDEX(D:D, ROW())=0, 0, INDEX(C:C, ROW())/(INDEX(C:C, ROW())+INDEX(D:D, ROW())))</f>
        <v>0.77103718199608606</v>
      </c>
      <c r="F2673" s="1" t="s">
        <v>113</v>
      </c>
      <c r="G2673" s="1" t="s">
        <v>24</v>
      </c>
      <c r="H2673" s="1">
        <v>29553</v>
      </c>
      <c r="I2673" s="1">
        <v>50884</v>
      </c>
      <c r="J2673" s="7">
        <v>0.58099999999999996</v>
      </c>
      <c r="K2673" s="1" t="s">
        <v>21</v>
      </c>
      <c r="L2673" s="1" t="s">
        <v>29</v>
      </c>
      <c r="M2673" s="1" t="s">
        <v>29</v>
      </c>
      <c r="N2673" s="1" t="s">
        <v>22</v>
      </c>
    </row>
    <row r="2674" spans="1:14" x14ac:dyDescent="0.25">
      <c r="A2674" s="1">
        <v>2673</v>
      </c>
      <c r="B2674" s="2" t="str">
        <f>HYPERLINK("https://leetcode.com/problems/make-costs-of-paths-equal-in-a-binary-tree/", "Make Costs of Paths Equal in a Binary Tree")</f>
        <v>Make Costs of Paths Equal in a Binary Tree</v>
      </c>
      <c r="C2674" s="1">
        <v>663</v>
      </c>
      <c r="D2674" s="1">
        <v>16</v>
      </c>
      <c r="E2674" s="3">
        <f>IF(INDEX(C:C, ROW())+INDEX(D:D, ROW())=0, 0, INDEX(C:C, ROW())/(INDEX(C:C, ROW())+INDEX(D:D, ROW())))</f>
        <v>0.97643593519882177</v>
      </c>
      <c r="F2674" s="1" t="s">
        <v>816</v>
      </c>
      <c r="G2674" s="1" t="s">
        <v>24</v>
      </c>
      <c r="H2674" s="1">
        <v>23688</v>
      </c>
      <c r="I2674" s="1">
        <v>40650</v>
      </c>
      <c r="J2674" s="7">
        <v>0.58299999999999996</v>
      </c>
      <c r="K2674" s="1" t="s">
        <v>21</v>
      </c>
      <c r="L2674" s="1" t="s">
        <v>29</v>
      </c>
      <c r="M2674" s="1" t="s">
        <v>29</v>
      </c>
      <c r="N2674" s="1" t="s">
        <v>22</v>
      </c>
    </row>
    <row r="2675" spans="1:14" x14ac:dyDescent="0.25">
      <c r="A2675" s="1">
        <v>2674</v>
      </c>
      <c r="B2675" s="2" t="str">
        <f>HYPERLINK("https://leetcode.com/problems/split-a-circular-linked-list/", "Split a Circular Linked List")</f>
        <v>Split a Circular Linked List</v>
      </c>
      <c r="C2675" s="1">
        <v>46</v>
      </c>
      <c r="D2675" s="1">
        <v>6</v>
      </c>
      <c r="E2675" s="3">
        <f>IF(INDEX(C:C, ROW())+INDEX(D:D, ROW())=0, 0, INDEX(C:C, ROW())/(INDEX(C:C, ROW())+INDEX(D:D, ROW())))</f>
        <v>0.88461538461538458</v>
      </c>
      <c r="F2675" s="1" t="s">
        <v>53</v>
      </c>
      <c r="G2675" s="1" t="s">
        <v>24</v>
      </c>
      <c r="H2675" s="1">
        <v>3274</v>
      </c>
      <c r="I2675" s="1">
        <v>4228</v>
      </c>
      <c r="J2675" s="7">
        <v>0.77400000000000002</v>
      </c>
      <c r="K2675" s="1" t="s">
        <v>29</v>
      </c>
      <c r="L2675" s="1" t="s">
        <v>29</v>
      </c>
      <c r="M2675" s="1" t="s">
        <v>29</v>
      </c>
      <c r="N2675" s="1" t="s">
        <v>22</v>
      </c>
    </row>
    <row r="2676" spans="1:14" x14ac:dyDescent="0.25">
      <c r="A2676" s="1">
        <v>2675</v>
      </c>
      <c r="B2676" s="2" t="str">
        <f>HYPERLINK("https://leetcode.com/problems/array-of-objects-to-matrix/", "Array of Objects to Matrix")</f>
        <v>Array of Objects to Matrix</v>
      </c>
      <c r="C2676" s="1">
        <v>134</v>
      </c>
      <c r="D2676" s="1">
        <v>73</v>
      </c>
      <c r="E2676" s="3">
        <f>IF(INDEX(C:C, ROW())+INDEX(D:D, ROW())=0, 0, INDEX(C:C, ROW())/(INDEX(C:C, ROW())+INDEX(D:D, ROW())))</f>
        <v>0.64734299516908211</v>
      </c>
      <c r="G2676" s="1" t="s">
        <v>28</v>
      </c>
      <c r="H2676" s="1">
        <v>6165</v>
      </c>
      <c r="I2676" s="1">
        <v>8976</v>
      </c>
      <c r="J2676" s="7">
        <v>0.68700000000000006</v>
      </c>
      <c r="K2676" s="1" t="s">
        <v>29</v>
      </c>
      <c r="L2676" s="1" t="s">
        <v>21</v>
      </c>
      <c r="M2676" s="1" t="s">
        <v>29</v>
      </c>
      <c r="N2676" s="1" t="s">
        <v>555</v>
      </c>
    </row>
    <row r="2677" spans="1:14" x14ac:dyDescent="0.25">
      <c r="A2677" s="1">
        <v>2676</v>
      </c>
      <c r="B2677" s="2" t="str">
        <f>HYPERLINK("https://leetcode.com/problems/throttle/", "Throttle")</f>
        <v>Throttle</v>
      </c>
      <c r="C2677" s="1">
        <v>171</v>
      </c>
      <c r="D2677" s="1">
        <v>30</v>
      </c>
      <c r="E2677" s="3">
        <f>IF(INDEX(C:C, ROW())+INDEX(D:D, ROW())=0, 0, INDEX(C:C, ROW())/(INDEX(C:C, ROW())+INDEX(D:D, ROW())))</f>
        <v>0.85074626865671643</v>
      </c>
      <c r="G2677" s="1" t="s">
        <v>24</v>
      </c>
      <c r="H2677" s="1">
        <v>11422</v>
      </c>
      <c r="I2677" s="1">
        <v>13706</v>
      </c>
      <c r="J2677" s="7">
        <v>0.83299999999999996</v>
      </c>
      <c r="K2677" s="1" t="s">
        <v>29</v>
      </c>
      <c r="L2677" s="1" t="s">
        <v>21</v>
      </c>
      <c r="M2677" s="1" t="s">
        <v>29</v>
      </c>
      <c r="N2677" s="1" t="s">
        <v>555</v>
      </c>
    </row>
    <row r="2678" spans="1:14" x14ac:dyDescent="0.25">
      <c r="A2678" s="1">
        <v>2677</v>
      </c>
      <c r="B2678" s="2" t="str">
        <f>HYPERLINK("https://leetcode.com/problems/chunk-array/", "Chunk Array")</f>
        <v>Chunk Array</v>
      </c>
      <c r="C2678" s="1">
        <v>406</v>
      </c>
      <c r="D2678" s="1">
        <v>12</v>
      </c>
      <c r="E2678" s="3">
        <f>IF(INDEX(C:C, ROW())+INDEX(D:D, ROW())=0, 0, INDEX(C:C, ROW())/(INDEX(C:C, ROW())+INDEX(D:D, ROW())))</f>
        <v>0.9712918660287081</v>
      </c>
      <c r="G2678" s="1" t="s">
        <v>20</v>
      </c>
      <c r="H2678" s="1">
        <v>111935</v>
      </c>
      <c r="I2678" s="1">
        <v>132213</v>
      </c>
      <c r="J2678" s="7">
        <v>0.84699999999999998</v>
      </c>
      <c r="K2678" s="1" t="s">
        <v>21</v>
      </c>
      <c r="L2678" s="1" t="s">
        <v>21</v>
      </c>
      <c r="M2678" s="1" t="s">
        <v>29</v>
      </c>
      <c r="N2678" s="1" t="s">
        <v>555</v>
      </c>
    </row>
    <row r="2679" spans="1:14" x14ac:dyDescent="0.25">
      <c r="A2679" s="1">
        <v>2678</v>
      </c>
      <c r="B2679" s="2" t="str">
        <f>HYPERLINK("https://leetcode.com/problems/number-of-senior-citizens/", "Number of Senior Citizens")</f>
        <v>Number of Senior Citizens</v>
      </c>
      <c r="C2679" s="1">
        <v>786</v>
      </c>
      <c r="D2679" s="1">
        <v>59</v>
      </c>
      <c r="E2679" s="3">
        <f>IF(INDEX(C:C, ROW())+INDEX(D:D, ROW())=0, 0, INDEX(C:C, ROW())/(INDEX(C:C, ROW())+INDEX(D:D, ROW())))</f>
        <v>0.93017751479289945</v>
      </c>
      <c r="F2679" s="1" t="s">
        <v>369</v>
      </c>
      <c r="G2679" s="1" t="s">
        <v>20</v>
      </c>
      <c r="H2679" s="1">
        <v>298525</v>
      </c>
      <c r="I2679" s="1">
        <v>367372</v>
      </c>
      <c r="J2679" s="7">
        <v>0.81299999999999994</v>
      </c>
      <c r="K2679" s="1" t="s">
        <v>21</v>
      </c>
      <c r="L2679" s="1" t="s">
        <v>21</v>
      </c>
      <c r="M2679" s="1" t="s">
        <v>29</v>
      </c>
      <c r="N2679" s="1" t="s">
        <v>22</v>
      </c>
    </row>
    <row r="2680" spans="1:14" x14ac:dyDescent="0.25">
      <c r="A2680" s="1">
        <v>2679</v>
      </c>
      <c r="B2680" s="2" t="str">
        <f>HYPERLINK("https://leetcode.com/problems/sum-in-a-matrix/", "Sum in a Matrix")</f>
        <v>Sum in a Matrix</v>
      </c>
      <c r="C2680" s="1">
        <v>403</v>
      </c>
      <c r="D2680" s="1">
        <v>66</v>
      </c>
      <c r="E2680" s="3">
        <f>IF(INDEX(C:C, ROW())+INDEX(D:D, ROW())=0, 0, INDEX(C:C, ROW())/(INDEX(C:C, ROW())+INDEX(D:D, ROW())))</f>
        <v>0.85927505330490406</v>
      </c>
      <c r="F2680" s="1" t="s">
        <v>801</v>
      </c>
      <c r="G2680" s="1" t="s">
        <v>24</v>
      </c>
      <c r="H2680" s="1">
        <v>47985</v>
      </c>
      <c r="I2680" s="1">
        <v>79523</v>
      </c>
      <c r="J2680" s="7">
        <v>0.60299999999999998</v>
      </c>
      <c r="K2680" s="1" t="s">
        <v>21</v>
      </c>
      <c r="L2680" s="1" t="s">
        <v>29</v>
      </c>
      <c r="M2680" s="1" t="s">
        <v>29</v>
      </c>
      <c r="N2680" s="1" t="s">
        <v>22</v>
      </c>
    </row>
    <row r="2681" spans="1:14" x14ac:dyDescent="0.25">
      <c r="A2681" s="1">
        <v>2680</v>
      </c>
      <c r="B2681" s="2" t="str">
        <f>HYPERLINK("https://leetcode.com/problems/maximum-or/", "Maximum OR")</f>
        <v>Maximum OR</v>
      </c>
      <c r="C2681" s="1">
        <v>422</v>
      </c>
      <c r="D2681" s="1">
        <v>50</v>
      </c>
      <c r="E2681" s="3">
        <f>IF(INDEX(C:C, ROW())+INDEX(D:D, ROW())=0, 0, INDEX(C:C, ROW())/(INDEX(C:C, ROW())+INDEX(D:D, ROW())))</f>
        <v>0.89406779661016944</v>
      </c>
      <c r="F2681" s="1" t="s">
        <v>964</v>
      </c>
      <c r="G2681" s="1" t="s">
        <v>24</v>
      </c>
      <c r="H2681" s="1">
        <v>18712</v>
      </c>
      <c r="I2681" s="1">
        <v>43864</v>
      </c>
      <c r="J2681" s="7">
        <v>0.42699999999999999</v>
      </c>
      <c r="K2681" s="1" t="s">
        <v>21</v>
      </c>
      <c r="L2681" s="1" t="s">
        <v>29</v>
      </c>
      <c r="M2681" s="1" t="s">
        <v>29</v>
      </c>
      <c r="N2681" s="1" t="s">
        <v>22</v>
      </c>
    </row>
    <row r="2682" spans="1:14" x14ac:dyDescent="0.25">
      <c r="A2682" s="1">
        <v>2681</v>
      </c>
      <c r="B2682" s="2" t="str">
        <f>HYPERLINK("https://leetcode.com/problems/power-of-heroes/", "Power of Heroes")</f>
        <v>Power of Heroes</v>
      </c>
      <c r="C2682" s="1">
        <v>336</v>
      </c>
      <c r="D2682" s="1">
        <v>16</v>
      </c>
      <c r="E2682" s="3">
        <f>IF(INDEX(C:C, ROW())+INDEX(D:D, ROW())=0, 0, INDEX(C:C, ROW())/(INDEX(C:C, ROW())+INDEX(D:D, ROW())))</f>
        <v>0.95454545454545459</v>
      </c>
      <c r="F2682" s="1" t="s">
        <v>1030</v>
      </c>
      <c r="G2682" s="1" t="s">
        <v>28</v>
      </c>
      <c r="H2682" s="1">
        <v>12562</v>
      </c>
      <c r="I2682" s="1">
        <v>40238</v>
      </c>
      <c r="J2682" s="7">
        <v>0.312</v>
      </c>
      <c r="K2682" s="1" t="s">
        <v>21</v>
      </c>
      <c r="L2682" s="1" t="s">
        <v>29</v>
      </c>
      <c r="M2682" s="1" t="s">
        <v>29</v>
      </c>
      <c r="N2682" s="1" t="s">
        <v>22</v>
      </c>
    </row>
    <row r="2683" spans="1:14" x14ac:dyDescent="0.25">
      <c r="A2683" s="1">
        <v>2682</v>
      </c>
      <c r="B2683" s="2" t="str">
        <f>HYPERLINK("https://leetcode.com/problems/find-the-losers-of-the-circular-game/", "Find the Losers of the Circular Game")</f>
        <v>Find the Losers of the Circular Game</v>
      </c>
      <c r="C2683" s="1">
        <v>256</v>
      </c>
      <c r="D2683" s="1">
        <v>42</v>
      </c>
      <c r="E2683" s="3">
        <f>IF(INDEX(C:C, ROW())+INDEX(D:D, ROW())=0, 0, INDEX(C:C, ROW())/(INDEX(C:C, ROW())+INDEX(D:D, ROW())))</f>
        <v>0.85906040268456374</v>
      </c>
      <c r="F2683" s="1" t="s">
        <v>736</v>
      </c>
      <c r="G2683" s="1" t="s">
        <v>20</v>
      </c>
      <c r="H2683" s="1">
        <v>33865</v>
      </c>
      <c r="I2683" s="1">
        <v>67994</v>
      </c>
      <c r="J2683" s="7">
        <v>0.498</v>
      </c>
      <c r="K2683" s="1" t="s">
        <v>21</v>
      </c>
      <c r="L2683" s="1" t="s">
        <v>29</v>
      </c>
      <c r="M2683" s="1" t="s">
        <v>29</v>
      </c>
      <c r="N2683" s="1" t="s">
        <v>22</v>
      </c>
    </row>
    <row r="2684" spans="1:14" x14ac:dyDescent="0.25">
      <c r="A2684" s="1">
        <v>2683</v>
      </c>
      <c r="B2684" s="2" t="str">
        <f>HYPERLINK("https://leetcode.com/problems/neighboring-bitwise-xor/", "Neighboring Bitwise XOR")</f>
        <v>Neighboring Bitwise XOR</v>
      </c>
      <c r="C2684" s="1">
        <v>803</v>
      </c>
      <c r="D2684" s="1">
        <v>50</v>
      </c>
      <c r="E2684" s="3">
        <f>IF(INDEX(C:C, ROW())+INDEX(D:D, ROW())=0, 0, INDEX(C:C, ROW())/(INDEX(C:C, ROW())+INDEX(D:D, ROW())))</f>
        <v>0.94138335287221575</v>
      </c>
      <c r="F2684" s="1" t="s">
        <v>65</v>
      </c>
      <c r="G2684" s="1" t="s">
        <v>24</v>
      </c>
      <c r="H2684" s="1">
        <v>163037</v>
      </c>
      <c r="I2684" s="1">
        <v>204255</v>
      </c>
      <c r="J2684" s="7">
        <v>0.79800000000000004</v>
      </c>
      <c r="K2684" s="1" t="s">
        <v>21</v>
      </c>
      <c r="L2684" s="1" t="s">
        <v>21</v>
      </c>
      <c r="M2684" s="1" t="s">
        <v>29</v>
      </c>
      <c r="N2684" s="1" t="s">
        <v>22</v>
      </c>
    </row>
    <row r="2685" spans="1:14" x14ac:dyDescent="0.25">
      <c r="A2685" s="1">
        <v>2684</v>
      </c>
      <c r="B2685" s="2" t="str">
        <f>HYPERLINK("https://leetcode.com/problems/maximum-number-of-moves-in-a-grid/", "Maximum Number of Moves in a Grid")</f>
        <v>Maximum Number of Moves in a Grid</v>
      </c>
      <c r="C2685" s="1">
        <v>951</v>
      </c>
      <c r="D2685" s="1">
        <v>28</v>
      </c>
      <c r="E2685" s="3">
        <f>IF(INDEX(C:C, ROW())+INDEX(D:D, ROW())=0, 0, INDEX(C:C, ROW())/(INDEX(C:C, ROW())+INDEX(D:D, ROW())))</f>
        <v>0.97139938712972418</v>
      </c>
      <c r="F2685" s="1" t="s">
        <v>94</v>
      </c>
      <c r="G2685" s="1" t="s">
        <v>24</v>
      </c>
      <c r="H2685" s="1">
        <v>132358</v>
      </c>
      <c r="I2685" s="1">
        <v>225259</v>
      </c>
      <c r="J2685" s="7">
        <v>0.58799999999999997</v>
      </c>
      <c r="K2685" s="1" t="s">
        <v>21</v>
      </c>
      <c r="L2685" s="1" t="s">
        <v>21</v>
      </c>
      <c r="M2685" s="1" t="s">
        <v>29</v>
      </c>
      <c r="N2685" s="1" t="s">
        <v>22</v>
      </c>
    </row>
    <row r="2686" spans="1:14" x14ac:dyDescent="0.25">
      <c r="A2686" s="1">
        <v>2685</v>
      </c>
      <c r="B2686" s="2" t="str">
        <f>HYPERLINK("https://leetcode.com/problems/count-the-number-of-complete-components/", "Count the Number of Complete Components")</f>
        <v>Count the Number of Complete Components</v>
      </c>
      <c r="C2686" s="1">
        <v>1268</v>
      </c>
      <c r="D2686" s="1">
        <v>32</v>
      </c>
      <c r="E2686" s="3">
        <f>IF(INDEX(C:C, ROW())+INDEX(D:D, ROW())=0, 0, INDEX(C:C, ROW())/(INDEX(C:C, ROW())+INDEX(D:D, ROW())))</f>
        <v>0.97538461538461541</v>
      </c>
      <c r="F2686" s="1" t="s">
        <v>122</v>
      </c>
      <c r="G2686" s="1" t="s">
        <v>24</v>
      </c>
      <c r="H2686" s="1">
        <v>156584</v>
      </c>
      <c r="I2686" s="1">
        <v>201404</v>
      </c>
      <c r="J2686" s="7">
        <v>0.77700000000000002</v>
      </c>
      <c r="K2686" s="1" t="s">
        <v>21</v>
      </c>
      <c r="L2686" s="1" t="s">
        <v>21</v>
      </c>
      <c r="M2686" s="1" t="s">
        <v>29</v>
      </c>
      <c r="N2686" s="1" t="s">
        <v>22</v>
      </c>
    </row>
    <row r="2687" spans="1:14" x14ac:dyDescent="0.25">
      <c r="A2687" s="1">
        <v>2686</v>
      </c>
      <c r="B2687" s="2" t="str">
        <f>HYPERLINK("https://leetcode.com/problems/immediate-food-delivery-iii/", "Immediate Food Delivery III")</f>
        <v>Immediate Food Delivery III</v>
      </c>
      <c r="C2687" s="1">
        <v>16</v>
      </c>
      <c r="D2687" s="1">
        <v>1</v>
      </c>
      <c r="E2687" s="3">
        <f>IF(INDEX(C:C, ROW())+INDEX(D:D, ROW())=0, 0, INDEX(C:C, ROW())/(INDEX(C:C, ROW())+INDEX(D:D, ROW())))</f>
        <v>0.94117647058823528</v>
      </c>
      <c r="F2687" s="1" t="s">
        <v>297</v>
      </c>
      <c r="G2687" s="1" t="s">
        <v>24</v>
      </c>
      <c r="H2687" s="1">
        <v>5665</v>
      </c>
      <c r="I2687" s="1">
        <v>8081</v>
      </c>
      <c r="J2687" s="7">
        <v>0.70099999999999996</v>
      </c>
      <c r="K2687" s="1" t="s">
        <v>29</v>
      </c>
      <c r="L2687" s="1" t="s">
        <v>29</v>
      </c>
      <c r="M2687" s="1" t="s">
        <v>29</v>
      </c>
      <c r="N2687" s="1" t="s">
        <v>297</v>
      </c>
    </row>
    <row r="2688" spans="1:14" x14ac:dyDescent="0.25">
      <c r="A2688" s="1">
        <v>2687</v>
      </c>
      <c r="B2688" s="2" t="str">
        <f>HYPERLINK("https://leetcode.com/problems/bikes-last-time-used/", "Bikes Last Time Used ")</f>
        <v xml:space="preserve">Bikes Last Time Used </v>
      </c>
      <c r="C2688" s="1">
        <v>23</v>
      </c>
      <c r="D2688" s="1">
        <v>3</v>
      </c>
      <c r="E2688" s="3">
        <f>IF(INDEX(C:C, ROW())+INDEX(D:D, ROW())=0, 0, INDEX(C:C, ROW())/(INDEX(C:C, ROW())+INDEX(D:D, ROW())))</f>
        <v>0.88461538461538458</v>
      </c>
      <c r="F2688" s="1" t="s">
        <v>297</v>
      </c>
      <c r="G2688" s="1" t="s">
        <v>20</v>
      </c>
      <c r="H2688" s="1">
        <v>6313</v>
      </c>
      <c r="I2688" s="1">
        <v>7848</v>
      </c>
      <c r="J2688" s="7">
        <v>0.80400000000000005</v>
      </c>
      <c r="K2688" s="1" t="s">
        <v>29</v>
      </c>
      <c r="L2688" s="1" t="s">
        <v>29</v>
      </c>
      <c r="M2688" s="1" t="s">
        <v>29</v>
      </c>
      <c r="N2688" s="1" t="s">
        <v>297</v>
      </c>
    </row>
    <row r="2689" spans="1:14" x14ac:dyDescent="0.25">
      <c r="A2689" s="1">
        <v>2688</v>
      </c>
      <c r="B2689" s="2" t="str">
        <f>HYPERLINK("https://leetcode.com/problems/find-active-users/", "Find Active Users")</f>
        <v>Find Active Users</v>
      </c>
      <c r="C2689" s="1">
        <v>26</v>
      </c>
      <c r="D2689" s="1">
        <v>8</v>
      </c>
      <c r="E2689" s="3">
        <f>IF(INDEX(C:C, ROW())+INDEX(D:D, ROW())=0, 0, INDEX(C:C, ROW())/(INDEX(C:C, ROW())+INDEX(D:D, ROW())))</f>
        <v>0.76470588235294112</v>
      </c>
      <c r="F2689" s="1" t="s">
        <v>297</v>
      </c>
      <c r="G2689" s="1" t="s">
        <v>24</v>
      </c>
      <c r="H2689" s="1">
        <v>5861</v>
      </c>
      <c r="I2689" s="1">
        <v>13057</v>
      </c>
      <c r="J2689" s="7">
        <v>0.44900000000000001</v>
      </c>
      <c r="K2689" s="1" t="s">
        <v>29</v>
      </c>
      <c r="L2689" s="1" t="s">
        <v>29</v>
      </c>
      <c r="M2689" s="1" t="s">
        <v>29</v>
      </c>
      <c r="N2689" s="1" t="s">
        <v>297</v>
      </c>
    </row>
    <row r="2690" spans="1:14" x14ac:dyDescent="0.25">
      <c r="A2690" s="1">
        <v>2689</v>
      </c>
      <c r="B2690" s="2" t="str">
        <f>HYPERLINK("https://leetcode.com/problems/extract-kth-character-from-the-rope-tree/", "Extract Kth Character From The Rope Tree")</f>
        <v>Extract Kth Character From The Rope Tree</v>
      </c>
      <c r="C2690" s="1">
        <v>41</v>
      </c>
      <c r="D2690" s="1">
        <v>29</v>
      </c>
      <c r="E2690" s="3">
        <f>IF(INDEX(C:C, ROW())+INDEX(D:D, ROW())=0, 0, INDEX(C:C, ROW())/(INDEX(C:C, ROW())+INDEX(D:D, ROW())))</f>
        <v>0.58571428571428574</v>
      </c>
      <c r="F2690" s="1" t="s">
        <v>67</v>
      </c>
      <c r="G2690" s="1" t="s">
        <v>20</v>
      </c>
      <c r="H2690" s="1">
        <v>4783</v>
      </c>
      <c r="I2690" s="1">
        <v>6527</v>
      </c>
      <c r="J2690" s="7">
        <v>0.73299999999999998</v>
      </c>
      <c r="K2690" s="1" t="s">
        <v>29</v>
      </c>
      <c r="L2690" s="1" t="s">
        <v>29</v>
      </c>
      <c r="M2690" s="1" t="s">
        <v>29</v>
      </c>
      <c r="N2690" s="1" t="s">
        <v>22</v>
      </c>
    </row>
    <row r="2691" spans="1:14" x14ac:dyDescent="0.25">
      <c r="A2691" s="1">
        <v>2690</v>
      </c>
      <c r="B2691" s="2" t="str">
        <f>HYPERLINK("https://leetcode.com/problems/infinite-method-object/", "Infinite Method Object")</f>
        <v>Infinite Method Object</v>
      </c>
      <c r="C2691" s="1">
        <v>32</v>
      </c>
      <c r="D2691" s="1">
        <v>9</v>
      </c>
      <c r="E2691" s="3">
        <f>IF(INDEX(C:C, ROW())+INDEX(D:D, ROW())=0, 0, INDEX(C:C, ROW())/(INDEX(C:C, ROW())+INDEX(D:D, ROW())))</f>
        <v>0.78048780487804881</v>
      </c>
      <c r="G2691" s="1" t="s">
        <v>20</v>
      </c>
      <c r="H2691" s="1">
        <v>2065</v>
      </c>
      <c r="I2691" s="1">
        <v>2213</v>
      </c>
      <c r="J2691" s="7">
        <v>0.93300000000000005</v>
      </c>
      <c r="K2691" s="1" t="s">
        <v>29</v>
      </c>
      <c r="L2691" s="1" t="s">
        <v>21</v>
      </c>
      <c r="M2691" s="1" t="s">
        <v>29</v>
      </c>
      <c r="N2691" s="1" t="s">
        <v>555</v>
      </c>
    </row>
    <row r="2692" spans="1:14" x14ac:dyDescent="0.25">
      <c r="A2692" s="1">
        <v>2691</v>
      </c>
      <c r="B2692" s="2" t="str">
        <f>HYPERLINK("https://leetcode.com/problems/immutability-helper/", "Immutability Helper")</f>
        <v>Immutability Helper</v>
      </c>
      <c r="C2692" s="1">
        <v>11</v>
      </c>
      <c r="D2692" s="1">
        <v>8</v>
      </c>
      <c r="E2692" s="3">
        <f>IF(INDEX(C:C, ROW())+INDEX(D:D, ROW())=0, 0, INDEX(C:C, ROW())/(INDEX(C:C, ROW())+INDEX(D:D, ROW())))</f>
        <v>0.57894736842105265</v>
      </c>
      <c r="G2692" s="1" t="s">
        <v>28</v>
      </c>
      <c r="H2692" s="1">
        <v>377</v>
      </c>
      <c r="I2692" s="1">
        <v>925</v>
      </c>
      <c r="J2692" s="7">
        <v>0.40799999999999997</v>
      </c>
      <c r="K2692" s="1" t="s">
        <v>29</v>
      </c>
      <c r="L2692" s="1" t="s">
        <v>29</v>
      </c>
      <c r="M2692" s="1" t="s">
        <v>29</v>
      </c>
      <c r="N2692" s="1" t="s">
        <v>555</v>
      </c>
    </row>
    <row r="2693" spans="1:14" x14ac:dyDescent="0.25">
      <c r="A2693" s="1">
        <v>2692</v>
      </c>
      <c r="B2693" s="2" t="str">
        <f>HYPERLINK("https://leetcode.com/problems/make-object-immutable/", "Make Object Immutable")</f>
        <v>Make Object Immutable</v>
      </c>
      <c r="C2693" s="1">
        <v>17</v>
      </c>
      <c r="D2693" s="1">
        <v>1</v>
      </c>
      <c r="E2693" s="3">
        <f>IF(INDEX(C:C, ROW())+INDEX(D:D, ROW())=0, 0, INDEX(C:C, ROW())/(INDEX(C:C, ROW())+INDEX(D:D, ROW())))</f>
        <v>0.94444444444444442</v>
      </c>
      <c r="G2693" s="1" t="s">
        <v>24</v>
      </c>
      <c r="H2693" s="1">
        <v>695</v>
      </c>
      <c r="I2693" s="1">
        <v>1112</v>
      </c>
      <c r="J2693" s="7">
        <v>0.625</v>
      </c>
      <c r="K2693" s="1" t="s">
        <v>29</v>
      </c>
      <c r="L2693" s="1" t="s">
        <v>21</v>
      </c>
      <c r="M2693" s="1" t="s">
        <v>29</v>
      </c>
      <c r="N2693" s="1" t="s">
        <v>555</v>
      </c>
    </row>
    <row r="2694" spans="1:14" x14ac:dyDescent="0.25">
      <c r="A2694" s="1">
        <v>2693</v>
      </c>
      <c r="B2694" s="2" t="str">
        <f>HYPERLINK("https://leetcode.com/problems/call-function-with-custom-context/", "Call Function with Custom Context")</f>
        <v>Call Function with Custom Context</v>
      </c>
      <c r="C2694" s="1">
        <v>144</v>
      </c>
      <c r="D2694" s="1">
        <v>13</v>
      </c>
      <c r="E2694" s="3">
        <f>IF(INDEX(C:C, ROW())+INDEX(D:D, ROW())=0, 0, INDEX(C:C, ROW())/(INDEX(C:C, ROW())+INDEX(D:D, ROW())))</f>
        <v>0.91719745222929938</v>
      </c>
      <c r="G2694" s="1" t="s">
        <v>24</v>
      </c>
      <c r="H2694" s="1">
        <v>14328</v>
      </c>
      <c r="I2694" s="1">
        <v>18336</v>
      </c>
      <c r="J2694" s="7">
        <v>0.78100000000000003</v>
      </c>
      <c r="K2694" s="1" t="s">
        <v>21</v>
      </c>
      <c r="L2694" s="1" t="s">
        <v>21</v>
      </c>
      <c r="M2694" s="1" t="s">
        <v>29</v>
      </c>
      <c r="N2694" s="1" t="s">
        <v>555</v>
      </c>
    </row>
    <row r="2695" spans="1:14" x14ac:dyDescent="0.25">
      <c r="A2695" s="1">
        <v>2694</v>
      </c>
      <c r="B2695" s="2" t="str">
        <f>HYPERLINK("https://leetcode.com/problems/event-emitter/", "Event Emitter")</f>
        <v>Event Emitter</v>
      </c>
      <c r="C2695" s="1">
        <v>289</v>
      </c>
      <c r="D2695" s="1">
        <v>38</v>
      </c>
      <c r="E2695" s="3">
        <f>IF(INDEX(C:C, ROW())+INDEX(D:D, ROW())=0, 0, INDEX(C:C, ROW())/(INDEX(C:C, ROW())+INDEX(D:D, ROW())))</f>
        <v>0.88379204892966357</v>
      </c>
      <c r="G2695" s="1" t="s">
        <v>24</v>
      </c>
      <c r="H2695" s="1">
        <v>45236</v>
      </c>
      <c r="I2695" s="1">
        <v>60333</v>
      </c>
      <c r="J2695" s="7">
        <v>0.75</v>
      </c>
      <c r="K2695" s="1" t="s">
        <v>21</v>
      </c>
      <c r="L2695" s="1" t="s">
        <v>21</v>
      </c>
      <c r="M2695" s="1" t="s">
        <v>29</v>
      </c>
      <c r="N2695" s="1" t="s">
        <v>555</v>
      </c>
    </row>
    <row r="2696" spans="1:14" x14ac:dyDescent="0.25">
      <c r="A2696" s="1">
        <v>2695</v>
      </c>
      <c r="B2696" s="2" t="str">
        <f>HYPERLINK("https://leetcode.com/problems/array-wrapper/", "Array Wrapper")</f>
        <v>Array Wrapper</v>
      </c>
      <c r="C2696" s="1">
        <v>280</v>
      </c>
      <c r="D2696" s="1">
        <v>62</v>
      </c>
      <c r="E2696" s="3">
        <f>IF(INDEX(C:C, ROW())+INDEX(D:D, ROW())=0, 0, INDEX(C:C, ROW())/(INDEX(C:C, ROW())+INDEX(D:D, ROW())))</f>
        <v>0.81871345029239762</v>
      </c>
      <c r="G2696" s="1" t="s">
        <v>20</v>
      </c>
      <c r="H2696" s="1">
        <v>70869</v>
      </c>
      <c r="I2696" s="1">
        <v>79541</v>
      </c>
      <c r="J2696" s="7">
        <v>0.89100000000000001</v>
      </c>
      <c r="K2696" s="1" t="s">
        <v>21</v>
      </c>
      <c r="L2696" s="1" t="s">
        <v>21</v>
      </c>
      <c r="M2696" s="1" t="s">
        <v>29</v>
      </c>
      <c r="N2696" s="1" t="s">
        <v>555</v>
      </c>
    </row>
    <row r="2697" spans="1:14" x14ac:dyDescent="0.25">
      <c r="A2697" s="1">
        <v>2696</v>
      </c>
      <c r="B2697" s="2" t="str">
        <f>HYPERLINK("https://leetcode.com/problems/minimum-string-length-after-removing-substrings/", "Minimum String Length After Removing Substrings")</f>
        <v>Minimum String Length After Removing Substrings</v>
      </c>
      <c r="C2697" s="1">
        <v>1009</v>
      </c>
      <c r="D2697" s="1">
        <v>29</v>
      </c>
      <c r="E2697" s="3">
        <f>IF(INDEX(C:C, ROW())+INDEX(D:D, ROW())=0, 0, INDEX(C:C, ROW())/(INDEX(C:C, ROW())+INDEX(D:D, ROW())))</f>
        <v>0.97206165703275527</v>
      </c>
      <c r="F2697" s="1" t="s">
        <v>365</v>
      </c>
      <c r="G2697" s="1" t="s">
        <v>20</v>
      </c>
      <c r="H2697" s="1">
        <v>245653</v>
      </c>
      <c r="I2697" s="1">
        <v>318472</v>
      </c>
      <c r="J2697" s="7">
        <v>0.77100000000000002</v>
      </c>
      <c r="K2697" s="1" t="s">
        <v>21</v>
      </c>
      <c r="L2697" s="1" t="s">
        <v>21</v>
      </c>
      <c r="M2697" s="1" t="s">
        <v>29</v>
      </c>
      <c r="N2697" s="1" t="s">
        <v>22</v>
      </c>
    </row>
    <row r="2698" spans="1:14" x14ac:dyDescent="0.25">
      <c r="A2698" s="1">
        <v>2697</v>
      </c>
      <c r="B2698" s="2" t="str">
        <f>HYPERLINK("https://leetcode.com/problems/lexicographically-smallest-palindrome/", "Lexicographically Smallest Palindrome")</f>
        <v>Lexicographically Smallest Palindrome</v>
      </c>
      <c r="C2698" s="1">
        <v>407</v>
      </c>
      <c r="D2698" s="1">
        <v>28</v>
      </c>
      <c r="E2698" s="3">
        <f>IF(INDEX(C:C, ROW())+INDEX(D:D, ROW())=0, 0, INDEX(C:C, ROW())/(INDEX(C:C, ROW())+INDEX(D:D, ROW())))</f>
        <v>0.93563218390804592</v>
      </c>
      <c r="F2698" s="1" t="s">
        <v>158</v>
      </c>
      <c r="G2698" s="1" t="s">
        <v>20</v>
      </c>
      <c r="H2698" s="1">
        <v>80626</v>
      </c>
      <c r="I2698" s="1">
        <v>99703</v>
      </c>
      <c r="J2698" s="7">
        <v>0.80900000000000005</v>
      </c>
      <c r="K2698" s="1" t="s">
        <v>21</v>
      </c>
      <c r="L2698" s="1" t="s">
        <v>29</v>
      </c>
      <c r="M2698" s="1" t="s">
        <v>29</v>
      </c>
      <c r="N2698" s="1" t="s">
        <v>22</v>
      </c>
    </row>
    <row r="2699" spans="1:14" x14ac:dyDescent="0.25">
      <c r="A2699" s="1">
        <v>2698</v>
      </c>
      <c r="B2699" s="2" t="str">
        <f>HYPERLINK("https://leetcode.com/problems/find-the-punishment-number-of-an-integer/", "Find the Punishment Number of an Integer")</f>
        <v>Find the Punishment Number of an Integer</v>
      </c>
      <c r="C2699" s="1">
        <v>1180</v>
      </c>
      <c r="D2699" s="1">
        <v>247</v>
      </c>
      <c r="E2699" s="3">
        <f>IF(INDEX(C:C, ROW())+INDEX(D:D, ROW())=0, 0, INDEX(C:C, ROW())/(INDEX(C:C, ROW())+INDEX(D:D, ROW())))</f>
        <v>0.82690960056061669</v>
      </c>
      <c r="F2699" s="1" t="s">
        <v>663</v>
      </c>
      <c r="G2699" s="1" t="s">
        <v>24</v>
      </c>
      <c r="H2699" s="1">
        <v>150761</v>
      </c>
      <c r="I2699" s="1">
        <v>184426</v>
      </c>
      <c r="J2699" s="7">
        <v>0.81699999999999995</v>
      </c>
      <c r="K2699" s="1" t="s">
        <v>21</v>
      </c>
      <c r="L2699" s="1" t="s">
        <v>21</v>
      </c>
      <c r="M2699" s="1" t="s">
        <v>29</v>
      </c>
      <c r="N2699" s="1" t="s">
        <v>22</v>
      </c>
    </row>
    <row r="2700" spans="1:14" x14ac:dyDescent="0.25">
      <c r="A2700" s="1">
        <v>2699</v>
      </c>
      <c r="B2700" s="2" t="str">
        <f>HYPERLINK("https://leetcode.com/problems/modify-graph-edge-weights/", "Modify Graph Edge Weights")</f>
        <v>Modify Graph Edge Weights</v>
      </c>
      <c r="C2700" s="1">
        <v>738</v>
      </c>
      <c r="D2700" s="1">
        <v>153</v>
      </c>
      <c r="E2700" s="3">
        <f>IF(INDEX(C:C, ROW())+INDEX(D:D, ROW())=0, 0, INDEX(C:C, ROW())/(INDEX(C:C, ROW())+INDEX(D:D, ROW())))</f>
        <v>0.82828282828282829</v>
      </c>
      <c r="F2700" s="1" t="s">
        <v>737</v>
      </c>
      <c r="G2700" s="1" t="s">
        <v>28</v>
      </c>
      <c r="H2700" s="1">
        <v>67344</v>
      </c>
      <c r="I2700" s="1">
        <v>121008</v>
      </c>
      <c r="J2700" s="7">
        <v>0.55700000000000005</v>
      </c>
      <c r="K2700" s="1" t="s">
        <v>21</v>
      </c>
      <c r="L2700" s="1" t="s">
        <v>21</v>
      </c>
      <c r="M2700" s="1" t="s">
        <v>29</v>
      </c>
      <c r="N2700" s="1" t="s">
        <v>22</v>
      </c>
    </row>
    <row r="2701" spans="1:14" x14ac:dyDescent="0.25">
      <c r="A2701" s="1">
        <v>2700</v>
      </c>
      <c r="B2701" s="2" t="str">
        <f>HYPERLINK("https://leetcode.com/problems/differences-between-two-objects/", "Differences Between Two Objects")</f>
        <v>Differences Between Two Objects</v>
      </c>
      <c r="C2701" s="1">
        <v>146</v>
      </c>
      <c r="D2701" s="1">
        <v>31</v>
      </c>
      <c r="E2701" s="3">
        <f>IF(INDEX(C:C, ROW())+INDEX(D:D, ROW())=0, 0, INDEX(C:C, ROW())/(INDEX(C:C, ROW())+INDEX(D:D, ROW())))</f>
        <v>0.82485875706214684</v>
      </c>
      <c r="G2701" s="1" t="s">
        <v>24</v>
      </c>
      <c r="H2701" s="1">
        <v>7833</v>
      </c>
      <c r="I2701" s="1">
        <v>10499</v>
      </c>
      <c r="J2701" s="7">
        <v>0.746</v>
      </c>
      <c r="K2701" s="1" t="s">
        <v>29</v>
      </c>
      <c r="L2701" s="1" t="s">
        <v>21</v>
      </c>
      <c r="M2701" s="1" t="s">
        <v>29</v>
      </c>
      <c r="N2701" s="1" t="s">
        <v>555</v>
      </c>
    </row>
    <row r="2702" spans="1:14" x14ac:dyDescent="0.25">
      <c r="A2702" s="1">
        <v>2701</v>
      </c>
      <c r="B2702" s="2" t="str">
        <f>HYPERLINK("https://leetcode.com/problems/consecutive-transactions-with-increasing-amounts/", "Consecutive Transactions with Increasing Amounts")</f>
        <v>Consecutive Transactions with Increasing Amounts</v>
      </c>
      <c r="C2702" s="1">
        <v>53</v>
      </c>
      <c r="D2702" s="1">
        <v>6</v>
      </c>
      <c r="E2702" s="3">
        <f>IF(INDEX(C:C, ROW())+INDEX(D:D, ROW())=0, 0, INDEX(C:C, ROW())/(INDEX(C:C, ROW())+INDEX(D:D, ROW())))</f>
        <v>0.89830508474576276</v>
      </c>
      <c r="F2702" s="1" t="s">
        <v>297</v>
      </c>
      <c r="G2702" s="1" t="s">
        <v>28</v>
      </c>
      <c r="H2702" s="1">
        <v>5428</v>
      </c>
      <c r="I2702" s="1">
        <v>15708</v>
      </c>
      <c r="J2702" s="7">
        <v>0.34599999999999997</v>
      </c>
      <c r="K2702" s="1" t="s">
        <v>29</v>
      </c>
      <c r="L2702" s="1" t="s">
        <v>21</v>
      </c>
      <c r="M2702" s="1" t="s">
        <v>29</v>
      </c>
      <c r="N2702" s="1" t="s">
        <v>297</v>
      </c>
    </row>
    <row r="2703" spans="1:14" x14ac:dyDescent="0.25">
      <c r="A2703" s="1">
        <v>2702</v>
      </c>
      <c r="B2703" s="2" t="str">
        <f>HYPERLINK("https://leetcode.com/problems/minimum-operations-to-make-numbers-non-positive/", "Minimum Operations to Make Numbers Non-positive")</f>
        <v>Minimum Operations to Make Numbers Non-positive</v>
      </c>
      <c r="C2703" s="1">
        <v>49</v>
      </c>
      <c r="D2703" s="1">
        <v>5</v>
      </c>
      <c r="E2703" s="3">
        <f>IF(INDEX(C:C, ROW())+INDEX(D:D, ROW())=0, 0, INDEX(C:C, ROW())/(INDEX(C:C, ROW())+INDEX(D:D, ROW())))</f>
        <v>0.90740740740740744</v>
      </c>
      <c r="F2703" s="1" t="s">
        <v>35</v>
      </c>
      <c r="G2703" s="1" t="s">
        <v>28</v>
      </c>
      <c r="H2703" s="1">
        <v>6156</v>
      </c>
      <c r="I2703" s="1">
        <v>13985</v>
      </c>
      <c r="J2703" s="7">
        <v>0.44</v>
      </c>
      <c r="K2703" s="1" t="s">
        <v>29</v>
      </c>
      <c r="L2703" s="1" t="s">
        <v>29</v>
      </c>
      <c r="M2703" s="1" t="s">
        <v>29</v>
      </c>
      <c r="N2703" s="1" t="s">
        <v>22</v>
      </c>
    </row>
    <row r="2704" spans="1:14" x14ac:dyDescent="0.25">
      <c r="A2704" s="1">
        <v>2703</v>
      </c>
      <c r="B2704" s="2" t="str">
        <f>HYPERLINK("https://leetcode.com/problems/return-length-of-arguments-passed/", "Return Length of Arguments Passed")</f>
        <v>Return Length of Arguments Passed</v>
      </c>
      <c r="C2704" s="1">
        <v>418</v>
      </c>
      <c r="D2704" s="1">
        <v>175</v>
      </c>
      <c r="E2704" s="3">
        <f>IF(INDEX(C:C, ROW())+INDEX(D:D, ROW())=0, 0, INDEX(C:C, ROW())/(INDEX(C:C, ROW())+INDEX(D:D, ROW())))</f>
        <v>0.70489038785834734</v>
      </c>
      <c r="G2704" s="1" t="s">
        <v>20</v>
      </c>
      <c r="H2704" s="1">
        <v>291781</v>
      </c>
      <c r="I2704" s="1">
        <v>308696</v>
      </c>
      <c r="J2704" s="7">
        <v>0.94499999999999995</v>
      </c>
      <c r="K2704" s="1" t="s">
        <v>21</v>
      </c>
      <c r="L2704" s="1" t="s">
        <v>21</v>
      </c>
      <c r="M2704" s="1" t="s">
        <v>29</v>
      </c>
      <c r="N2704" s="1" t="s">
        <v>555</v>
      </c>
    </row>
    <row r="2705" spans="1:14" x14ac:dyDescent="0.25">
      <c r="A2705" s="1">
        <v>2704</v>
      </c>
      <c r="B2705" s="2" t="str">
        <f>HYPERLINK("https://leetcode.com/problems/to-be-or-not-to-be/", "To Be Or Not To Be")</f>
        <v>To Be Or Not To Be</v>
      </c>
      <c r="C2705" s="1">
        <v>917</v>
      </c>
      <c r="D2705" s="1">
        <v>220</v>
      </c>
      <c r="E2705" s="3">
        <f>IF(INDEX(C:C, ROW())+INDEX(D:D, ROW())=0, 0, INDEX(C:C, ROW())/(INDEX(C:C, ROW())+INDEX(D:D, ROW())))</f>
        <v>0.80650835532102028</v>
      </c>
      <c r="G2705" s="1" t="s">
        <v>20</v>
      </c>
      <c r="H2705" s="1">
        <v>345355</v>
      </c>
      <c r="I2705" s="1">
        <v>545801</v>
      </c>
      <c r="J2705" s="7">
        <v>0.63300000000000001</v>
      </c>
      <c r="K2705" s="1" t="s">
        <v>21</v>
      </c>
      <c r="L2705" s="1" t="s">
        <v>21</v>
      </c>
      <c r="M2705" s="1" t="s">
        <v>29</v>
      </c>
      <c r="N2705" s="1" t="s">
        <v>555</v>
      </c>
    </row>
    <row r="2706" spans="1:14" x14ac:dyDescent="0.25">
      <c r="A2706" s="1">
        <v>2705</v>
      </c>
      <c r="B2706" s="2" t="str">
        <f>HYPERLINK("https://leetcode.com/problems/compact-object/", "Compact Object")</f>
        <v>Compact Object</v>
      </c>
      <c r="C2706" s="1">
        <v>227</v>
      </c>
      <c r="D2706" s="1">
        <v>25</v>
      </c>
      <c r="E2706" s="3">
        <f>IF(INDEX(C:C, ROW())+INDEX(D:D, ROW())=0, 0, INDEX(C:C, ROW())/(INDEX(C:C, ROW())+INDEX(D:D, ROW())))</f>
        <v>0.90079365079365081</v>
      </c>
      <c r="G2706" s="1" t="s">
        <v>24</v>
      </c>
      <c r="H2706" s="1">
        <v>45928</v>
      </c>
      <c r="I2706" s="1">
        <v>67896</v>
      </c>
      <c r="J2706" s="7">
        <v>0.67600000000000005</v>
      </c>
      <c r="K2706" s="1" t="s">
        <v>21</v>
      </c>
      <c r="L2706" s="1" t="s">
        <v>21</v>
      </c>
      <c r="M2706" s="1" t="s">
        <v>29</v>
      </c>
      <c r="N2706" s="1" t="s">
        <v>555</v>
      </c>
    </row>
    <row r="2707" spans="1:14" x14ac:dyDescent="0.25">
      <c r="A2707" s="1">
        <v>2706</v>
      </c>
      <c r="B2707" s="2" t="str">
        <f>HYPERLINK("https://leetcode.com/problems/buy-two-chocolates/", "Buy Two Chocolates")</f>
        <v>Buy Two Chocolates</v>
      </c>
      <c r="C2707" s="1">
        <v>1066</v>
      </c>
      <c r="D2707" s="1">
        <v>72</v>
      </c>
      <c r="E2707" s="3">
        <f>IF(INDEX(C:C, ROW())+INDEX(D:D, ROW())=0, 0, INDEX(C:C, ROW())/(INDEX(C:C, ROW())+INDEX(D:D, ROW())))</f>
        <v>0.93673110720562391</v>
      </c>
      <c r="F2707" s="1" t="s">
        <v>169</v>
      </c>
      <c r="G2707" s="1" t="s">
        <v>20</v>
      </c>
      <c r="H2707" s="1">
        <v>220371</v>
      </c>
      <c r="I2707" s="1">
        <v>322578</v>
      </c>
      <c r="J2707" s="7">
        <v>0.68300000000000005</v>
      </c>
      <c r="K2707" s="1" t="s">
        <v>21</v>
      </c>
      <c r="L2707" s="1" t="s">
        <v>21</v>
      </c>
      <c r="M2707" s="1" t="s">
        <v>29</v>
      </c>
      <c r="N2707" s="1" t="s">
        <v>22</v>
      </c>
    </row>
    <row r="2708" spans="1:14" x14ac:dyDescent="0.25">
      <c r="A2708" s="1">
        <v>2707</v>
      </c>
      <c r="B2708" s="2" t="str">
        <f>HYPERLINK("https://leetcode.com/problems/extra-characters-in-a-string/", "Extra Characters in a String")</f>
        <v>Extra Characters in a String</v>
      </c>
      <c r="C2708" s="1">
        <v>2626</v>
      </c>
      <c r="D2708" s="1">
        <v>138</v>
      </c>
      <c r="E2708" s="3">
        <f>IF(INDEX(C:C, ROW())+INDEX(D:D, ROW())=0, 0, INDEX(C:C, ROW())/(INDEX(C:C, ROW())+INDEX(D:D, ROW())))</f>
        <v>0.95007235890014474</v>
      </c>
      <c r="F2708" s="1" t="s">
        <v>408</v>
      </c>
      <c r="G2708" s="1" t="s">
        <v>24</v>
      </c>
      <c r="H2708" s="1">
        <v>197083</v>
      </c>
      <c r="I2708" s="1">
        <v>344160</v>
      </c>
      <c r="J2708" s="7">
        <v>0.57299999999999995</v>
      </c>
      <c r="K2708" s="1" t="s">
        <v>21</v>
      </c>
      <c r="L2708" s="1" t="s">
        <v>21</v>
      </c>
      <c r="M2708" s="1" t="s">
        <v>29</v>
      </c>
      <c r="N2708" s="1" t="s">
        <v>22</v>
      </c>
    </row>
    <row r="2709" spans="1:14" x14ac:dyDescent="0.25">
      <c r="A2709" s="1">
        <v>2708</v>
      </c>
      <c r="B2709" s="2" t="str">
        <f>HYPERLINK("https://leetcode.com/problems/maximum-strength-of-a-group/", "Maximum Strength of a Group")</f>
        <v>Maximum Strength of a Group</v>
      </c>
      <c r="C2709" s="1">
        <v>384</v>
      </c>
      <c r="D2709" s="1">
        <v>67</v>
      </c>
      <c r="E2709" s="3">
        <f>IF(INDEX(C:C, ROW())+INDEX(D:D, ROW())=0, 0, INDEX(C:C, ROW())/(INDEX(C:C, ROW())+INDEX(D:D, ROW())))</f>
        <v>0.85144124168514412</v>
      </c>
      <c r="F2709" s="1" t="s">
        <v>996</v>
      </c>
      <c r="G2709" s="1" t="s">
        <v>24</v>
      </c>
      <c r="H2709" s="1">
        <v>37743</v>
      </c>
      <c r="I2709" s="1">
        <v>147744</v>
      </c>
      <c r="J2709" s="7">
        <v>0.255</v>
      </c>
      <c r="K2709" s="1" t="s">
        <v>21</v>
      </c>
      <c r="L2709" s="1" t="s">
        <v>29</v>
      </c>
      <c r="M2709" s="1" t="s">
        <v>29</v>
      </c>
      <c r="N2709" s="1" t="s">
        <v>22</v>
      </c>
    </row>
    <row r="2710" spans="1:14" x14ac:dyDescent="0.25">
      <c r="A2710" s="1">
        <v>2709</v>
      </c>
      <c r="B2710" s="2" t="str">
        <f>HYPERLINK("https://leetcode.com/problems/greatest-common-divisor-traversal/", "Greatest Common Divisor Traversal")</f>
        <v>Greatest Common Divisor Traversal</v>
      </c>
      <c r="C2710" s="1">
        <v>860</v>
      </c>
      <c r="D2710" s="1">
        <v>142</v>
      </c>
      <c r="E2710" s="3">
        <f>IF(INDEX(C:C, ROW())+INDEX(D:D, ROW())=0, 0, INDEX(C:C, ROW())/(INDEX(C:C, ROW())+INDEX(D:D, ROW())))</f>
        <v>0.85828343313373257</v>
      </c>
      <c r="F2710" s="1" t="s">
        <v>749</v>
      </c>
      <c r="G2710" s="1" t="s">
        <v>28</v>
      </c>
      <c r="H2710" s="1">
        <v>76127</v>
      </c>
      <c r="I2710" s="1">
        <v>182271</v>
      </c>
      <c r="J2710" s="7">
        <v>0.41799999999999998</v>
      </c>
      <c r="K2710" s="1" t="s">
        <v>21</v>
      </c>
      <c r="L2710" s="1" t="s">
        <v>21</v>
      </c>
      <c r="M2710" s="1" t="s">
        <v>29</v>
      </c>
      <c r="N2710" s="1" t="s">
        <v>22</v>
      </c>
    </row>
    <row r="2711" spans="1:14" x14ac:dyDescent="0.25">
      <c r="A2711" s="1">
        <v>2710</v>
      </c>
      <c r="B2711" s="2" t="str">
        <f>HYPERLINK("https://leetcode.com/problems/remove-trailing-zeros-from-a-string/", "Remove Trailing Zeros From a String")</f>
        <v>Remove Trailing Zeros From a String</v>
      </c>
      <c r="C2711" s="1">
        <v>338</v>
      </c>
      <c r="D2711" s="1">
        <v>13</v>
      </c>
      <c r="E2711" s="3">
        <f>IF(INDEX(C:C, ROW())+INDEX(D:D, ROW())=0, 0, INDEX(C:C, ROW())/(INDEX(C:C, ROW())+INDEX(D:D, ROW())))</f>
        <v>0.96296296296296291</v>
      </c>
      <c r="F2711" s="1" t="s">
        <v>146</v>
      </c>
      <c r="G2711" s="1" t="s">
        <v>20</v>
      </c>
      <c r="H2711" s="1">
        <v>93071</v>
      </c>
      <c r="I2711" s="1">
        <v>117194</v>
      </c>
      <c r="J2711" s="7">
        <v>0.79400000000000004</v>
      </c>
      <c r="K2711" s="1" t="s">
        <v>21</v>
      </c>
      <c r="L2711" s="1" t="s">
        <v>29</v>
      </c>
      <c r="M2711" s="1" t="s">
        <v>29</v>
      </c>
      <c r="N2711" s="1" t="s">
        <v>22</v>
      </c>
    </row>
    <row r="2712" spans="1:14" x14ac:dyDescent="0.25">
      <c r="A2712" s="1">
        <v>2711</v>
      </c>
      <c r="B2712" s="2" t="str">
        <f>HYPERLINK("https://leetcode.com/problems/difference-of-number-of-distinct-values-on-diagonals/", "Difference of Number of Distinct Values on Diagonals")</f>
        <v>Difference of Number of Distinct Values on Diagonals</v>
      </c>
      <c r="C2712" s="1">
        <v>143</v>
      </c>
      <c r="D2712" s="1">
        <v>211</v>
      </c>
      <c r="E2712" s="3">
        <f>IF(INDEX(C:C, ROW())+INDEX(D:D, ROW())=0, 0, INDEX(C:C, ROW())/(INDEX(C:C, ROW())+INDEX(D:D, ROW())))</f>
        <v>0.403954802259887</v>
      </c>
      <c r="F2712" s="1" t="s">
        <v>78</v>
      </c>
      <c r="G2712" s="1" t="s">
        <v>24</v>
      </c>
      <c r="H2712" s="1">
        <v>22595</v>
      </c>
      <c r="I2712" s="1">
        <v>33036</v>
      </c>
      <c r="J2712" s="7">
        <v>0.68400000000000005</v>
      </c>
      <c r="K2712" s="1" t="s">
        <v>21</v>
      </c>
      <c r="L2712" s="1" t="s">
        <v>29</v>
      </c>
      <c r="M2712" s="1" t="s">
        <v>29</v>
      </c>
      <c r="N2712" s="1" t="s">
        <v>22</v>
      </c>
    </row>
    <row r="2713" spans="1:14" x14ac:dyDescent="0.25">
      <c r="A2713" s="1">
        <v>2712</v>
      </c>
      <c r="B2713" s="2" t="str">
        <f>HYPERLINK("https://leetcode.com/problems/minimum-cost-to-make-all-characters-equal/", "Minimum Cost to Make All Characters Equal")</f>
        <v>Minimum Cost to Make All Characters Equal</v>
      </c>
      <c r="C2713" s="1">
        <v>581</v>
      </c>
      <c r="D2713" s="1">
        <v>27</v>
      </c>
      <c r="E2713" s="3">
        <f>IF(INDEX(C:C, ROW())+INDEX(D:D, ROW())=0, 0, INDEX(C:C, ROW())/(INDEX(C:C, ROW())+INDEX(D:D, ROW())))</f>
        <v>0.95559210526315785</v>
      </c>
      <c r="F2713" s="1" t="s">
        <v>861</v>
      </c>
      <c r="G2713" s="1" t="s">
        <v>24</v>
      </c>
      <c r="H2713" s="1">
        <v>22477</v>
      </c>
      <c r="I2713" s="1">
        <v>41487</v>
      </c>
      <c r="J2713" s="7">
        <v>0.54200000000000004</v>
      </c>
      <c r="K2713" s="1" t="s">
        <v>21</v>
      </c>
      <c r="L2713" s="1" t="s">
        <v>29</v>
      </c>
      <c r="M2713" s="1" t="s">
        <v>29</v>
      </c>
      <c r="N2713" s="1" t="s">
        <v>22</v>
      </c>
    </row>
    <row r="2714" spans="1:14" x14ac:dyDescent="0.25">
      <c r="A2714" s="1">
        <v>2713</v>
      </c>
      <c r="B2714" s="2" t="str">
        <f>HYPERLINK("https://leetcode.com/problems/maximum-strictly-increasing-cells-in-a-matrix/", "Maximum Strictly Increasing Cells in a Matrix")</f>
        <v>Maximum Strictly Increasing Cells in a Matrix</v>
      </c>
      <c r="C2714" s="1">
        <v>627</v>
      </c>
      <c r="D2714" s="1">
        <v>22</v>
      </c>
      <c r="E2714" s="3">
        <f>IF(INDEX(C:C, ROW())+INDEX(D:D, ROW())=0, 0, INDEX(C:C, ROW())/(INDEX(C:C, ROW())+INDEX(D:D, ROW())))</f>
        <v>0.96610169491525422</v>
      </c>
      <c r="F2714" s="1" t="s">
        <v>836</v>
      </c>
      <c r="G2714" s="1" t="s">
        <v>28</v>
      </c>
      <c r="H2714" s="1">
        <v>16368</v>
      </c>
      <c r="I2714" s="1">
        <v>52243</v>
      </c>
      <c r="J2714" s="7">
        <v>0.313</v>
      </c>
      <c r="K2714" s="1" t="s">
        <v>21</v>
      </c>
      <c r="L2714" s="1" t="s">
        <v>29</v>
      </c>
      <c r="M2714" s="1" t="s">
        <v>29</v>
      </c>
      <c r="N2714" s="1" t="s">
        <v>22</v>
      </c>
    </row>
    <row r="2715" spans="1:14" x14ac:dyDescent="0.25">
      <c r="A2715" s="1">
        <v>2714</v>
      </c>
      <c r="B2715" s="2" t="str">
        <f>HYPERLINK("https://leetcode.com/problems/find-shortest-path-with-k-hops/", "Find Shortest Path with K Hops")</f>
        <v>Find Shortest Path with K Hops</v>
      </c>
      <c r="C2715" s="1">
        <v>40</v>
      </c>
      <c r="D2715" s="1">
        <v>0</v>
      </c>
      <c r="E2715" s="3">
        <f>IF(INDEX(C:C, ROW())+INDEX(D:D, ROW())=0, 0, INDEX(C:C, ROW())/(INDEX(C:C, ROW())+INDEX(D:D, ROW())))</f>
        <v>1</v>
      </c>
      <c r="F2715" s="1" t="s">
        <v>737</v>
      </c>
      <c r="G2715" s="1" t="s">
        <v>28</v>
      </c>
      <c r="H2715" s="1">
        <v>2331</v>
      </c>
      <c r="I2715" s="1">
        <v>3394</v>
      </c>
      <c r="J2715" s="7">
        <v>0.68700000000000006</v>
      </c>
      <c r="K2715" s="1" t="s">
        <v>29</v>
      </c>
      <c r="L2715" s="1" t="s">
        <v>29</v>
      </c>
      <c r="M2715" s="1" t="s">
        <v>29</v>
      </c>
      <c r="N2715" s="1" t="s">
        <v>22</v>
      </c>
    </row>
    <row r="2716" spans="1:14" x14ac:dyDescent="0.25">
      <c r="A2716" s="1">
        <v>2715</v>
      </c>
      <c r="B2716" s="2" t="str">
        <f>HYPERLINK("https://leetcode.com/problems/timeout-cancellation/", "Timeout Cancellation")</f>
        <v>Timeout Cancellation</v>
      </c>
      <c r="C2716" s="1">
        <v>317</v>
      </c>
      <c r="D2716" s="1">
        <v>370</v>
      </c>
      <c r="E2716" s="3">
        <f>IF(INDEX(C:C, ROW())+INDEX(D:D, ROW())=0, 0, INDEX(C:C, ROW())/(INDEX(C:C, ROW())+INDEX(D:D, ROW())))</f>
        <v>0.46142649199417757</v>
      </c>
      <c r="G2716" s="1" t="s">
        <v>20</v>
      </c>
      <c r="H2716" s="1">
        <v>98327</v>
      </c>
      <c r="I2716" s="1">
        <v>109660</v>
      </c>
      <c r="J2716" s="7">
        <v>0.89700000000000002</v>
      </c>
      <c r="K2716" s="1" t="s">
        <v>21</v>
      </c>
      <c r="L2716" s="1" t="s">
        <v>21</v>
      </c>
      <c r="M2716" s="1" t="s">
        <v>29</v>
      </c>
      <c r="N2716" s="1" t="s">
        <v>555</v>
      </c>
    </row>
    <row r="2717" spans="1:14" x14ac:dyDescent="0.25">
      <c r="A2717" s="1">
        <v>2716</v>
      </c>
      <c r="B2717" s="2" t="str">
        <f>HYPERLINK("https://leetcode.com/problems/minimize-string-length/", "Minimize String Length")</f>
        <v>Minimize String Length</v>
      </c>
      <c r="C2717" s="1">
        <v>375</v>
      </c>
      <c r="D2717" s="1">
        <v>109</v>
      </c>
      <c r="E2717" s="3">
        <f>IF(INDEX(C:C, ROW())+INDEX(D:D, ROW())=0, 0, INDEX(C:C, ROW())/(INDEX(C:C, ROW())+INDEX(D:D, ROW())))</f>
        <v>0.77479338842975209</v>
      </c>
      <c r="F2717" s="1" t="s">
        <v>131</v>
      </c>
      <c r="G2717" s="1" t="s">
        <v>20</v>
      </c>
      <c r="H2717" s="1">
        <v>77901</v>
      </c>
      <c r="I2717" s="1">
        <v>98795</v>
      </c>
      <c r="J2717" s="7">
        <v>0.78900000000000003</v>
      </c>
      <c r="K2717" s="1" t="s">
        <v>21</v>
      </c>
      <c r="L2717" s="1" t="s">
        <v>29</v>
      </c>
      <c r="M2717" s="1" t="s">
        <v>29</v>
      </c>
      <c r="N2717" s="1" t="s">
        <v>22</v>
      </c>
    </row>
    <row r="2718" spans="1:14" x14ac:dyDescent="0.25">
      <c r="A2718" s="1">
        <v>2717</v>
      </c>
      <c r="B2718" s="2" t="str">
        <f>HYPERLINK("https://leetcode.com/problems/semi-ordered-permutation/", "Semi-Ordered Permutation")</f>
        <v>Semi-Ordered Permutation</v>
      </c>
      <c r="C2718" s="1">
        <v>228</v>
      </c>
      <c r="D2718" s="1">
        <v>21</v>
      </c>
      <c r="E2718" s="3">
        <f>IF(INDEX(C:C, ROW())+INDEX(D:D, ROW())=0, 0, INDEX(C:C, ROW())/(INDEX(C:C, ROW())+INDEX(D:D, ROW())))</f>
        <v>0.91566265060240959</v>
      </c>
      <c r="F2718" s="1" t="s">
        <v>306</v>
      </c>
      <c r="G2718" s="1" t="s">
        <v>20</v>
      </c>
      <c r="H2718" s="1">
        <v>37753</v>
      </c>
      <c r="I2718" s="1">
        <v>58909</v>
      </c>
      <c r="J2718" s="7">
        <v>0.64100000000000001</v>
      </c>
      <c r="K2718" s="1" t="s">
        <v>21</v>
      </c>
      <c r="L2718" s="1" t="s">
        <v>29</v>
      </c>
      <c r="M2718" s="1" t="s">
        <v>29</v>
      </c>
      <c r="N2718" s="1" t="s">
        <v>22</v>
      </c>
    </row>
    <row r="2719" spans="1:14" x14ac:dyDescent="0.25">
      <c r="A2719" s="1">
        <v>2718</v>
      </c>
      <c r="B2719" s="2" t="str">
        <f>HYPERLINK("https://leetcode.com/problems/sum-of-matrix-after-queries/", "Sum of Matrix After Queries")</f>
        <v>Sum of Matrix After Queries</v>
      </c>
      <c r="C2719" s="1">
        <v>732</v>
      </c>
      <c r="D2719" s="1">
        <v>27</v>
      </c>
      <c r="E2719" s="3">
        <f>IF(INDEX(C:C, ROW())+INDEX(D:D, ROW())=0, 0, INDEX(C:C, ROW())/(INDEX(C:C, ROW())+INDEX(D:D, ROW())))</f>
        <v>0.96442687747035571</v>
      </c>
      <c r="F2719" s="1" t="s">
        <v>19</v>
      </c>
      <c r="G2719" s="1" t="s">
        <v>24</v>
      </c>
      <c r="H2719" s="1">
        <v>24663</v>
      </c>
      <c r="I2719" s="1">
        <v>77369</v>
      </c>
      <c r="J2719" s="7">
        <v>0.31900000000000001</v>
      </c>
      <c r="K2719" s="1" t="s">
        <v>21</v>
      </c>
      <c r="L2719" s="1" t="s">
        <v>29</v>
      </c>
      <c r="M2719" s="1" t="s">
        <v>29</v>
      </c>
      <c r="N2719" s="1" t="s">
        <v>22</v>
      </c>
    </row>
    <row r="2720" spans="1:14" x14ac:dyDescent="0.25">
      <c r="A2720" s="1">
        <v>2719</v>
      </c>
      <c r="B2720" s="2" t="str">
        <f>HYPERLINK("https://leetcode.com/problems/count-of-integers/", "Count of Integers")</f>
        <v>Count of Integers</v>
      </c>
      <c r="C2720" s="1">
        <v>569</v>
      </c>
      <c r="D2720" s="1">
        <v>12</v>
      </c>
      <c r="E2720" s="3">
        <f>IF(INDEX(C:C, ROW())+INDEX(D:D, ROW())=0, 0, INDEX(C:C, ROW())/(INDEX(C:C, ROW())+INDEX(D:D, ROW())))</f>
        <v>0.97934595524956969</v>
      </c>
      <c r="F2720" s="1" t="s">
        <v>627</v>
      </c>
      <c r="G2720" s="1" t="s">
        <v>28</v>
      </c>
      <c r="H2720" s="1">
        <v>19309</v>
      </c>
      <c r="I2720" s="1">
        <v>50610</v>
      </c>
      <c r="J2720" s="7">
        <v>0.38200000000000001</v>
      </c>
      <c r="K2720" s="1" t="s">
        <v>21</v>
      </c>
      <c r="L2720" s="1" t="s">
        <v>29</v>
      </c>
      <c r="M2720" s="1" t="s">
        <v>29</v>
      </c>
      <c r="N2720" s="1" t="s">
        <v>22</v>
      </c>
    </row>
    <row r="2721" spans="1:14" x14ac:dyDescent="0.25">
      <c r="A2721" s="1">
        <v>2720</v>
      </c>
      <c r="B2721" s="2" t="str">
        <f>HYPERLINK("https://leetcode.com/problems/popularity-percentage/", "Popularity Percentage")</f>
        <v>Popularity Percentage</v>
      </c>
      <c r="C2721" s="1">
        <v>14</v>
      </c>
      <c r="D2721" s="1">
        <v>9</v>
      </c>
      <c r="E2721" s="3">
        <f>IF(INDEX(C:C, ROW())+INDEX(D:D, ROW())=0, 0, INDEX(C:C, ROW())/(INDEX(C:C, ROW())+INDEX(D:D, ROW())))</f>
        <v>0.60869565217391308</v>
      </c>
      <c r="F2721" s="1" t="s">
        <v>297</v>
      </c>
      <c r="G2721" s="1" t="s">
        <v>28</v>
      </c>
      <c r="H2721" s="1">
        <v>3832</v>
      </c>
      <c r="I2721" s="1">
        <v>7241</v>
      </c>
      <c r="J2721" s="7">
        <v>0.52900000000000003</v>
      </c>
      <c r="K2721" s="1" t="s">
        <v>29</v>
      </c>
      <c r="L2721" s="1" t="s">
        <v>21</v>
      </c>
      <c r="M2721" s="1" t="s">
        <v>29</v>
      </c>
      <c r="N2721" s="1" t="s">
        <v>297</v>
      </c>
    </row>
    <row r="2722" spans="1:14" x14ac:dyDescent="0.25">
      <c r="A2722" s="1">
        <v>2721</v>
      </c>
      <c r="B2722" s="2" t="str">
        <f>HYPERLINK("https://leetcode.com/problems/execute-asynchronous-functions-in-parallel/", "Execute Asynchronous Functions in Parallel")</f>
        <v>Execute Asynchronous Functions in Parallel</v>
      </c>
      <c r="C2722" s="1">
        <v>259</v>
      </c>
      <c r="D2722" s="1">
        <v>48</v>
      </c>
      <c r="E2722" s="3">
        <f>IF(INDEX(C:C, ROW())+INDEX(D:D, ROW())=0, 0, INDEX(C:C, ROW())/(INDEX(C:C, ROW())+INDEX(D:D, ROW())))</f>
        <v>0.84364820846905542</v>
      </c>
      <c r="G2722" s="1" t="s">
        <v>24</v>
      </c>
      <c r="H2722" s="1">
        <v>52988</v>
      </c>
      <c r="I2722" s="1">
        <v>67600</v>
      </c>
      <c r="J2722" s="7">
        <v>0.78400000000000003</v>
      </c>
      <c r="K2722" s="1" t="s">
        <v>21</v>
      </c>
      <c r="L2722" s="1" t="s">
        <v>21</v>
      </c>
      <c r="M2722" s="1" t="s">
        <v>29</v>
      </c>
      <c r="N2722" s="1" t="s">
        <v>555</v>
      </c>
    </row>
    <row r="2723" spans="1:14" x14ac:dyDescent="0.25">
      <c r="A2723" s="1">
        <v>2722</v>
      </c>
      <c r="B2723" s="2" t="str">
        <f>HYPERLINK("https://leetcode.com/problems/join-two-arrays-by-id/", "Join Two Arrays by ID")</f>
        <v>Join Two Arrays by ID</v>
      </c>
      <c r="C2723" s="1">
        <v>238</v>
      </c>
      <c r="D2723" s="1">
        <v>64</v>
      </c>
      <c r="E2723" s="3">
        <f>IF(INDEX(C:C, ROW())+INDEX(D:D, ROW())=0, 0, INDEX(C:C, ROW())/(INDEX(C:C, ROW())+INDEX(D:D, ROW())))</f>
        <v>0.78807947019867552</v>
      </c>
      <c r="G2723" s="1" t="s">
        <v>24</v>
      </c>
      <c r="H2723" s="1">
        <v>58859</v>
      </c>
      <c r="I2723" s="1">
        <v>103307</v>
      </c>
      <c r="J2723" s="7">
        <v>0.56999999999999995</v>
      </c>
      <c r="K2723" s="1" t="s">
        <v>21</v>
      </c>
      <c r="L2723" s="1" t="s">
        <v>21</v>
      </c>
      <c r="M2723" s="1" t="s">
        <v>29</v>
      </c>
      <c r="N2723" s="1" t="s">
        <v>555</v>
      </c>
    </row>
    <row r="2724" spans="1:14" x14ac:dyDescent="0.25">
      <c r="A2724" s="1">
        <v>2723</v>
      </c>
      <c r="B2724" s="2" t="str">
        <f>HYPERLINK("https://leetcode.com/problems/add-two-promises/", "Add Two Promises")</f>
        <v>Add Two Promises</v>
      </c>
      <c r="C2724" s="1">
        <v>357</v>
      </c>
      <c r="D2724" s="1">
        <v>32</v>
      </c>
      <c r="E2724" s="3">
        <f>IF(INDEX(C:C, ROW())+INDEX(D:D, ROW())=0, 0, INDEX(C:C, ROW())/(INDEX(C:C, ROW())+INDEX(D:D, ROW())))</f>
        <v>0.9177377892030848</v>
      </c>
      <c r="G2724" s="1" t="s">
        <v>20</v>
      </c>
      <c r="H2724" s="1">
        <v>181600</v>
      </c>
      <c r="I2724" s="1">
        <v>197853</v>
      </c>
      <c r="J2724" s="7">
        <v>0.91800000000000004</v>
      </c>
      <c r="K2724" s="1" t="s">
        <v>21</v>
      </c>
      <c r="L2724" s="1" t="s">
        <v>21</v>
      </c>
      <c r="M2724" s="1" t="s">
        <v>29</v>
      </c>
      <c r="N2724" s="1" t="s">
        <v>555</v>
      </c>
    </row>
    <row r="2725" spans="1:14" x14ac:dyDescent="0.25">
      <c r="A2725" s="1">
        <v>2724</v>
      </c>
      <c r="B2725" s="2" t="str">
        <f>HYPERLINK("https://leetcode.com/problems/sort-by/", "Sort By")</f>
        <v>Sort By</v>
      </c>
      <c r="C2725" s="1">
        <v>228</v>
      </c>
      <c r="D2725" s="1">
        <v>49</v>
      </c>
      <c r="E2725" s="3">
        <f>IF(INDEX(C:C, ROW())+INDEX(D:D, ROW())=0, 0, INDEX(C:C, ROW())/(INDEX(C:C, ROW())+INDEX(D:D, ROW())))</f>
        <v>0.82310469314079426</v>
      </c>
      <c r="G2725" s="1" t="s">
        <v>20</v>
      </c>
      <c r="H2725" s="1">
        <v>78058</v>
      </c>
      <c r="I2725" s="1">
        <v>93858</v>
      </c>
      <c r="J2725" s="7">
        <v>0.83199999999999996</v>
      </c>
      <c r="K2725" s="1" t="s">
        <v>21</v>
      </c>
      <c r="L2725" s="1" t="s">
        <v>21</v>
      </c>
      <c r="M2725" s="1" t="s">
        <v>29</v>
      </c>
      <c r="N2725" s="1" t="s">
        <v>555</v>
      </c>
    </row>
    <row r="2726" spans="1:14" x14ac:dyDescent="0.25">
      <c r="A2726" s="1">
        <v>2725</v>
      </c>
      <c r="B2726" s="2" t="str">
        <f>HYPERLINK("https://leetcode.com/problems/interval-cancellation/", "Interval Cancellation")</f>
        <v>Interval Cancellation</v>
      </c>
      <c r="C2726" s="1">
        <v>214</v>
      </c>
      <c r="D2726" s="1">
        <v>99</v>
      </c>
      <c r="E2726" s="3">
        <f>IF(INDEX(C:C, ROW())+INDEX(D:D, ROW())=0, 0, INDEX(C:C, ROW())/(INDEX(C:C, ROW())+INDEX(D:D, ROW())))</f>
        <v>0.68370607028753994</v>
      </c>
      <c r="G2726" s="1" t="s">
        <v>20</v>
      </c>
      <c r="H2726" s="1">
        <v>81258</v>
      </c>
      <c r="I2726" s="1">
        <v>95896</v>
      </c>
      <c r="J2726" s="7">
        <v>0.84699999999999998</v>
      </c>
      <c r="K2726" s="1" t="s">
        <v>21</v>
      </c>
      <c r="L2726" s="1" t="s">
        <v>21</v>
      </c>
      <c r="M2726" s="1" t="s">
        <v>29</v>
      </c>
      <c r="N2726" s="1" t="s">
        <v>555</v>
      </c>
    </row>
    <row r="2727" spans="1:14" x14ac:dyDescent="0.25">
      <c r="A2727" s="1">
        <v>2726</v>
      </c>
      <c r="B2727" s="2" t="str">
        <f>HYPERLINK("https://leetcode.com/problems/calculator-with-method-chaining/", "Calculator with Method Chaining")</f>
        <v>Calculator with Method Chaining</v>
      </c>
      <c r="C2727" s="1">
        <v>151</v>
      </c>
      <c r="D2727" s="1">
        <v>22</v>
      </c>
      <c r="E2727" s="3">
        <f>IF(INDEX(C:C, ROW())+INDEX(D:D, ROW())=0, 0, INDEX(C:C, ROW())/(INDEX(C:C, ROW())+INDEX(D:D, ROW())))</f>
        <v>0.87283236994219648</v>
      </c>
      <c r="G2727" s="1" t="s">
        <v>20</v>
      </c>
      <c r="H2727" s="1">
        <v>53718</v>
      </c>
      <c r="I2727" s="1">
        <v>69223</v>
      </c>
      <c r="J2727" s="7">
        <v>0.77600000000000002</v>
      </c>
      <c r="K2727" s="1" t="s">
        <v>21</v>
      </c>
      <c r="L2727" s="1" t="s">
        <v>21</v>
      </c>
      <c r="M2727" s="1" t="s">
        <v>29</v>
      </c>
      <c r="N2727" s="1" t="s">
        <v>555</v>
      </c>
    </row>
    <row r="2728" spans="1:14" x14ac:dyDescent="0.25">
      <c r="A2728" s="1">
        <v>2727</v>
      </c>
      <c r="B2728" s="2" t="str">
        <f>HYPERLINK("https://leetcode.com/problems/is-object-empty/", "Is Object Empty")</f>
        <v>Is Object Empty</v>
      </c>
      <c r="C2728" s="1">
        <v>219</v>
      </c>
      <c r="D2728" s="1">
        <v>16</v>
      </c>
      <c r="E2728" s="3">
        <f>IF(INDEX(C:C, ROW())+INDEX(D:D, ROW())=0, 0, INDEX(C:C, ROW())/(INDEX(C:C, ROW())+INDEX(D:D, ROW())))</f>
        <v>0.93191489361702129</v>
      </c>
      <c r="G2728" s="1" t="s">
        <v>20</v>
      </c>
      <c r="H2728" s="1">
        <v>116481</v>
      </c>
      <c r="I2728" s="1">
        <v>142388</v>
      </c>
      <c r="J2728" s="7">
        <v>0.81799999999999995</v>
      </c>
      <c r="K2728" s="1" t="s">
        <v>21</v>
      </c>
      <c r="L2728" s="1" t="s">
        <v>21</v>
      </c>
      <c r="M2728" s="1" t="s">
        <v>29</v>
      </c>
      <c r="N2728" s="1" t="s">
        <v>555</v>
      </c>
    </row>
    <row r="2729" spans="1:14" x14ac:dyDescent="0.25">
      <c r="A2729" s="1">
        <v>2728</v>
      </c>
      <c r="B2729" s="2" t="str">
        <f>HYPERLINK("https://leetcode.com/problems/count-houses-in-a-circular-street/", "Count Houses in a Circular Street")</f>
        <v>Count Houses in a Circular Street</v>
      </c>
      <c r="C2729" s="1">
        <v>59</v>
      </c>
      <c r="D2729" s="1">
        <v>12</v>
      </c>
      <c r="E2729" s="3">
        <f>IF(INDEX(C:C, ROW())+INDEX(D:D, ROW())=0, 0, INDEX(C:C, ROW())/(INDEX(C:C, ROW())+INDEX(D:D, ROW())))</f>
        <v>0.83098591549295775</v>
      </c>
      <c r="F2729" s="1" t="s">
        <v>1242</v>
      </c>
      <c r="G2729" s="1" t="s">
        <v>20</v>
      </c>
      <c r="H2729" s="1">
        <v>3238</v>
      </c>
      <c r="I2729" s="1">
        <v>3764</v>
      </c>
      <c r="J2729" s="7">
        <v>0.86</v>
      </c>
      <c r="K2729" s="1" t="s">
        <v>29</v>
      </c>
      <c r="L2729" s="1" t="s">
        <v>29</v>
      </c>
      <c r="M2729" s="1" t="s">
        <v>29</v>
      </c>
      <c r="N2729" s="1" t="s">
        <v>22</v>
      </c>
    </row>
    <row r="2730" spans="1:14" x14ac:dyDescent="0.25">
      <c r="A2730" s="1">
        <v>2729</v>
      </c>
      <c r="B2730" s="2" t="str">
        <f>HYPERLINK("https://leetcode.com/problems/check-if-the-number-is-fascinating/", "Check if The Number is Fascinating")</f>
        <v>Check if The Number is Fascinating</v>
      </c>
      <c r="C2730" s="1">
        <v>263</v>
      </c>
      <c r="D2730" s="1">
        <v>14</v>
      </c>
      <c r="E2730" s="3">
        <f>IF(INDEX(C:C, ROW())+INDEX(D:D, ROW())=0, 0, INDEX(C:C, ROW())/(INDEX(C:C, ROW())+INDEX(D:D, ROW())))</f>
        <v>0.94945848375451258</v>
      </c>
      <c r="F2730" s="1" t="s">
        <v>557</v>
      </c>
      <c r="G2730" s="1" t="s">
        <v>20</v>
      </c>
      <c r="H2730" s="1">
        <v>60795</v>
      </c>
      <c r="I2730" s="1">
        <v>115046</v>
      </c>
      <c r="J2730" s="7">
        <v>0.52800000000000002</v>
      </c>
      <c r="K2730" s="1" t="s">
        <v>21</v>
      </c>
      <c r="L2730" s="1" t="s">
        <v>29</v>
      </c>
      <c r="M2730" s="1" t="s">
        <v>29</v>
      </c>
      <c r="N2730" s="1" t="s">
        <v>22</v>
      </c>
    </row>
    <row r="2731" spans="1:14" x14ac:dyDescent="0.25">
      <c r="A2731" s="1">
        <v>2730</v>
      </c>
      <c r="B2731" s="2" t="str">
        <f>HYPERLINK("https://leetcode.com/problems/find-the-longest-semi-repetitive-substring/", "Find the Longest Semi-Repetitive Substring")</f>
        <v>Find the Longest Semi-Repetitive Substring</v>
      </c>
      <c r="C2731" s="1">
        <v>318</v>
      </c>
      <c r="D2731" s="1">
        <v>89</v>
      </c>
      <c r="E2731" s="3">
        <f>IF(INDEX(C:C, ROW())+INDEX(D:D, ROW())=0, 0, INDEX(C:C, ROW())/(INDEX(C:C, ROW())+INDEX(D:D, ROW())))</f>
        <v>0.78132678132678135</v>
      </c>
      <c r="F2731" s="1" t="s">
        <v>314</v>
      </c>
      <c r="G2731" s="1" t="s">
        <v>24</v>
      </c>
      <c r="H2731" s="1">
        <v>32377</v>
      </c>
      <c r="I2731" s="1">
        <v>84125</v>
      </c>
      <c r="J2731" s="7">
        <v>0.38500000000000001</v>
      </c>
      <c r="K2731" s="1" t="s">
        <v>21</v>
      </c>
      <c r="L2731" s="1" t="s">
        <v>29</v>
      </c>
      <c r="M2731" s="1" t="s">
        <v>29</v>
      </c>
      <c r="N2731" s="1" t="s">
        <v>22</v>
      </c>
    </row>
    <row r="2732" spans="1:14" x14ac:dyDescent="0.25">
      <c r="A2732" s="1">
        <v>2731</v>
      </c>
      <c r="B2732" s="2" t="str">
        <f>HYPERLINK("https://leetcode.com/problems/movement-of-robots/", "Movement of Robots")</f>
        <v>Movement of Robots</v>
      </c>
      <c r="C2732" s="1">
        <v>541</v>
      </c>
      <c r="D2732" s="1">
        <v>103</v>
      </c>
      <c r="E2732" s="3">
        <f>IF(INDEX(C:C, ROW())+INDEX(D:D, ROW())=0, 0, INDEX(C:C, ROW())/(INDEX(C:C, ROW())+INDEX(D:D, ROW())))</f>
        <v>0.84006211180124224</v>
      </c>
      <c r="F2732" s="1" t="s">
        <v>887</v>
      </c>
      <c r="G2732" s="1" t="s">
        <v>24</v>
      </c>
      <c r="H2732" s="1">
        <v>18189</v>
      </c>
      <c r="I2732" s="1">
        <v>65310</v>
      </c>
      <c r="J2732" s="7">
        <v>0.27900000000000003</v>
      </c>
      <c r="K2732" s="1" t="s">
        <v>21</v>
      </c>
      <c r="L2732" s="1" t="s">
        <v>29</v>
      </c>
      <c r="M2732" s="1" t="s">
        <v>29</v>
      </c>
      <c r="N2732" s="1" t="s">
        <v>22</v>
      </c>
    </row>
    <row r="2733" spans="1:14" x14ac:dyDescent="0.25">
      <c r="A2733" s="1">
        <v>2732</v>
      </c>
      <c r="B2733" s="2" t="str">
        <f>HYPERLINK("https://leetcode.com/problems/find-a-good-subset-of-the-matrix/", "Find a Good Subset of the Matrix")</f>
        <v>Find a Good Subset of the Matrix</v>
      </c>
      <c r="C2733" s="1">
        <v>213</v>
      </c>
      <c r="D2733" s="1">
        <v>30</v>
      </c>
      <c r="E2733" s="3">
        <f>IF(INDEX(C:C, ROW())+INDEX(D:D, ROW())=0, 0, INDEX(C:C, ROW())/(INDEX(C:C, ROW())+INDEX(D:D, ROW())))</f>
        <v>0.87654320987654322</v>
      </c>
      <c r="F2733" s="1" t="s">
        <v>1085</v>
      </c>
      <c r="G2733" s="1" t="s">
        <v>28</v>
      </c>
      <c r="H2733" s="1">
        <v>8195</v>
      </c>
      <c r="I2733" s="1">
        <v>17538</v>
      </c>
      <c r="J2733" s="7">
        <v>0.46700000000000003</v>
      </c>
      <c r="K2733" s="1" t="s">
        <v>21</v>
      </c>
      <c r="L2733" s="1" t="s">
        <v>29</v>
      </c>
      <c r="M2733" s="1" t="s">
        <v>29</v>
      </c>
      <c r="N2733" s="1" t="s">
        <v>22</v>
      </c>
    </row>
    <row r="2734" spans="1:14" x14ac:dyDescent="0.25">
      <c r="A2734" s="1">
        <v>2733</v>
      </c>
      <c r="B2734" s="2" t="str">
        <f>HYPERLINK("https://leetcode.com/problems/neither-minimum-nor-maximum/", "Neither Minimum nor Maximum")</f>
        <v>Neither Minimum nor Maximum</v>
      </c>
      <c r="C2734" s="1">
        <v>397</v>
      </c>
      <c r="D2734" s="1">
        <v>19</v>
      </c>
      <c r="E2734" s="3">
        <f>IF(INDEX(C:C, ROW())+INDEX(D:D, ROW())=0, 0, INDEX(C:C, ROW())/(INDEX(C:C, ROW())+INDEX(D:D, ROW())))</f>
        <v>0.95432692307692313</v>
      </c>
      <c r="F2734" s="1" t="s">
        <v>42</v>
      </c>
      <c r="G2734" s="1" t="s">
        <v>20</v>
      </c>
      <c r="H2734" s="1">
        <v>133159</v>
      </c>
      <c r="I2734" s="1">
        <v>174521</v>
      </c>
      <c r="J2734" s="7">
        <v>0.76300000000000001</v>
      </c>
      <c r="K2734" s="1" t="s">
        <v>21</v>
      </c>
      <c r="L2734" s="1" t="s">
        <v>29</v>
      </c>
      <c r="M2734" s="1" t="s">
        <v>29</v>
      </c>
      <c r="N2734" s="1" t="s">
        <v>22</v>
      </c>
    </row>
    <row r="2735" spans="1:14" x14ac:dyDescent="0.25">
      <c r="A2735" s="1">
        <v>2734</v>
      </c>
      <c r="B2735" s="2" t="str">
        <f>HYPERLINK("https://leetcode.com/problems/lexicographically-smallest-string-after-substring-operation/", "Lexicographically Smallest String After Substring Operation")</f>
        <v>Lexicographically Smallest String After Substring Operation</v>
      </c>
      <c r="C2735" s="1">
        <v>279</v>
      </c>
      <c r="D2735" s="1">
        <v>194</v>
      </c>
      <c r="E2735" s="3">
        <f>IF(INDEX(C:C, ROW())+INDEX(D:D, ROW())=0, 0, INDEX(C:C, ROW())/(INDEX(C:C, ROW())+INDEX(D:D, ROW())))</f>
        <v>0.58985200845665964</v>
      </c>
      <c r="F2735" s="1" t="s">
        <v>424</v>
      </c>
      <c r="G2735" s="1" t="s">
        <v>24</v>
      </c>
      <c r="H2735" s="1">
        <v>35376</v>
      </c>
      <c r="I2735" s="1">
        <v>102609</v>
      </c>
      <c r="J2735" s="7">
        <v>0.34499999999999997</v>
      </c>
      <c r="K2735" s="1" t="s">
        <v>21</v>
      </c>
      <c r="L2735" s="1" t="s">
        <v>29</v>
      </c>
      <c r="M2735" s="1" t="s">
        <v>29</v>
      </c>
      <c r="N2735" s="1" t="s">
        <v>22</v>
      </c>
    </row>
    <row r="2736" spans="1:14" x14ac:dyDescent="0.25">
      <c r="A2736" s="1">
        <v>2735</v>
      </c>
      <c r="B2736" s="2" t="str">
        <f>HYPERLINK("https://leetcode.com/problems/collecting-chocolates/", "Collecting Chocolates")</f>
        <v>Collecting Chocolates</v>
      </c>
      <c r="C2736" s="1">
        <v>310</v>
      </c>
      <c r="D2736" s="1">
        <v>555</v>
      </c>
      <c r="E2736" s="3">
        <f>IF(INDEX(C:C, ROW())+INDEX(D:D, ROW())=0, 0, INDEX(C:C, ROW())/(INDEX(C:C, ROW())+INDEX(D:D, ROW())))</f>
        <v>0.3583815028901734</v>
      </c>
      <c r="F2736" s="1" t="s">
        <v>654</v>
      </c>
      <c r="G2736" s="1" t="s">
        <v>24</v>
      </c>
      <c r="H2736" s="1">
        <v>15001</v>
      </c>
      <c r="I2736" s="1">
        <v>43230</v>
      </c>
      <c r="J2736" s="7">
        <v>0.34699999999999998</v>
      </c>
      <c r="K2736" s="1" t="s">
        <v>21</v>
      </c>
      <c r="L2736" s="1" t="s">
        <v>29</v>
      </c>
      <c r="M2736" s="1" t="s">
        <v>29</v>
      </c>
      <c r="N2736" s="1" t="s">
        <v>22</v>
      </c>
    </row>
    <row r="2737" spans="1:14" x14ac:dyDescent="0.25">
      <c r="A2737" s="1">
        <v>2736</v>
      </c>
      <c r="B2737" s="2" t="str">
        <f>HYPERLINK("https://leetcode.com/problems/maximum-sum-queries/", "Maximum Sum Queries")</f>
        <v>Maximum Sum Queries</v>
      </c>
      <c r="C2737" s="1">
        <v>351</v>
      </c>
      <c r="D2737" s="1">
        <v>17</v>
      </c>
      <c r="E2737" s="3">
        <f>IF(INDEX(C:C, ROW())+INDEX(D:D, ROW())=0, 0, INDEX(C:C, ROW())/(INDEX(C:C, ROW())+INDEX(D:D, ROW())))</f>
        <v>0.95380434782608692</v>
      </c>
      <c r="F2737" s="1" t="s">
        <v>1017</v>
      </c>
      <c r="G2737" s="1" t="s">
        <v>28</v>
      </c>
      <c r="H2737" s="1">
        <v>7994</v>
      </c>
      <c r="I2737" s="1">
        <v>26819</v>
      </c>
      <c r="J2737" s="7">
        <v>0.29799999999999999</v>
      </c>
      <c r="K2737" s="1" t="s">
        <v>21</v>
      </c>
      <c r="L2737" s="1" t="s">
        <v>29</v>
      </c>
      <c r="M2737" s="1" t="s">
        <v>29</v>
      </c>
      <c r="N2737" s="1" t="s">
        <v>22</v>
      </c>
    </row>
    <row r="2738" spans="1:14" x14ac:dyDescent="0.25">
      <c r="A2738" s="1">
        <v>2737</v>
      </c>
      <c r="B2738" s="2" t="str">
        <f>HYPERLINK("https://leetcode.com/problems/find-the-closest-marked-node/", "Find the Closest Marked Node")</f>
        <v>Find the Closest Marked Node</v>
      </c>
      <c r="C2738" s="1">
        <v>58</v>
      </c>
      <c r="D2738" s="1">
        <v>6</v>
      </c>
      <c r="E2738" s="3">
        <f>IF(INDEX(C:C, ROW())+INDEX(D:D, ROW())=0, 0, INDEX(C:C, ROW())/(INDEX(C:C, ROW())+INDEX(D:D, ROW())))</f>
        <v>0.90625</v>
      </c>
      <c r="F2738" s="1" t="s">
        <v>318</v>
      </c>
      <c r="G2738" s="1" t="s">
        <v>24</v>
      </c>
      <c r="H2738" s="1">
        <v>7338</v>
      </c>
      <c r="I2738" s="1">
        <v>11227</v>
      </c>
      <c r="J2738" s="7">
        <v>0.65400000000000003</v>
      </c>
      <c r="K2738" s="1" t="s">
        <v>29</v>
      </c>
      <c r="L2738" s="1" t="s">
        <v>21</v>
      </c>
      <c r="M2738" s="1" t="s">
        <v>29</v>
      </c>
      <c r="N2738" s="1" t="s">
        <v>22</v>
      </c>
    </row>
    <row r="2739" spans="1:14" x14ac:dyDescent="0.25">
      <c r="A2739" s="1">
        <v>2738</v>
      </c>
      <c r="B2739" s="2" t="str">
        <f>HYPERLINK("https://leetcode.com/problems/count-occurrences-in-text/", "Count Occurrences in Text")</f>
        <v>Count Occurrences in Text</v>
      </c>
      <c r="C2739" s="1">
        <v>27</v>
      </c>
      <c r="D2739" s="1">
        <v>48</v>
      </c>
      <c r="E2739" s="3">
        <f>IF(INDEX(C:C, ROW())+INDEX(D:D, ROW())=0, 0, INDEX(C:C, ROW())/(INDEX(C:C, ROW())+INDEX(D:D, ROW())))</f>
        <v>0.36</v>
      </c>
      <c r="F2739" s="1" t="s">
        <v>297</v>
      </c>
      <c r="G2739" s="1" t="s">
        <v>24</v>
      </c>
      <c r="H2739" s="1">
        <v>11365</v>
      </c>
      <c r="I2739" s="1">
        <v>20762</v>
      </c>
      <c r="J2739" s="7">
        <v>0.54700000000000004</v>
      </c>
      <c r="K2739" s="1" t="s">
        <v>29</v>
      </c>
      <c r="L2739" s="1" t="s">
        <v>21</v>
      </c>
      <c r="M2739" s="1" t="s">
        <v>29</v>
      </c>
      <c r="N2739" s="1" t="s">
        <v>297</v>
      </c>
    </row>
    <row r="2740" spans="1:14" x14ac:dyDescent="0.25">
      <c r="A2740" s="1">
        <v>2739</v>
      </c>
      <c r="B2740" s="2" t="str">
        <f>HYPERLINK("https://leetcode.com/problems/total-distance-traveled/", "Total Distance Traveled")</f>
        <v>Total Distance Traveled</v>
      </c>
      <c r="C2740" s="1">
        <v>326</v>
      </c>
      <c r="D2740" s="1">
        <v>107</v>
      </c>
      <c r="E2740" s="3">
        <f>IF(INDEX(C:C, ROW())+INDEX(D:D, ROW())=0, 0, INDEX(C:C, ROW())/(INDEX(C:C, ROW())+INDEX(D:D, ROW())))</f>
        <v>0.75288683602771367</v>
      </c>
      <c r="F2740" s="1" t="s">
        <v>465</v>
      </c>
      <c r="G2740" s="1" t="s">
        <v>20</v>
      </c>
      <c r="H2740" s="1">
        <v>61900</v>
      </c>
      <c r="I2740" s="1">
        <v>150282</v>
      </c>
      <c r="J2740" s="7">
        <v>0.41199999999999998</v>
      </c>
      <c r="K2740" s="1" t="s">
        <v>21</v>
      </c>
      <c r="L2740" s="1" t="s">
        <v>29</v>
      </c>
      <c r="M2740" s="1" t="s">
        <v>29</v>
      </c>
      <c r="N2740" s="1" t="s">
        <v>22</v>
      </c>
    </row>
    <row r="2741" spans="1:14" x14ac:dyDescent="0.25">
      <c r="A2741" s="1">
        <v>2740</v>
      </c>
      <c r="B2741" s="2" t="str">
        <f>HYPERLINK("https://leetcode.com/problems/find-the-value-of-the-partition/", "Find the Value of the Partition")</f>
        <v>Find the Value of the Partition</v>
      </c>
      <c r="C2741" s="1">
        <v>324</v>
      </c>
      <c r="D2741" s="1">
        <v>25</v>
      </c>
      <c r="E2741" s="3">
        <f>IF(INDEX(C:C, ROW())+INDEX(D:D, ROW())=0, 0, INDEX(C:C, ROW())/(INDEX(C:C, ROW())+INDEX(D:D, ROW())))</f>
        <v>0.92836676217765046</v>
      </c>
      <c r="F2741" s="1" t="s">
        <v>42</v>
      </c>
      <c r="G2741" s="1" t="s">
        <v>24</v>
      </c>
      <c r="H2741" s="1">
        <v>40572</v>
      </c>
      <c r="I2741" s="1">
        <v>62629</v>
      </c>
      <c r="J2741" s="7">
        <v>0.64800000000000002</v>
      </c>
      <c r="K2741" s="1" t="s">
        <v>21</v>
      </c>
      <c r="L2741" s="1" t="s">
        <v>29</v>
      </c>
      <c r="M2741" s="1" t="s">
        <v>29</v>
      </c>
      <c r="N2741" s="1" t="s">
        <v>22</v>
      </c>
    </row>
    <row r="2742" spans="1:14" x14ac:dyDescent="0.25">
      <c r="A2742" s="1">
        <v>2741</v>
      </c>
      <c r="B2742" s="2" t="str">
        <f>HYPERLINK("https://leetcode.com/problems/special-permutations/", "Special Permutations")</f>
        <v>Special Permutations</v>
      </c>
      <c r="C2742" s="1">
        <v>588</v>
      </c>
      <c r="D2742" s="1">
        <v>66</v>
      </c>
      <c r="E2742" s="3">
        <f>IF(INDEX(C:C, ROW())+INDEX(D:D, ROW())=0, 0, INDEX(C:C, ROW())/(INDEX(C:C, ROW())+INDEX(D:D, ROW())))</f>
        <v>0.8990825688073395</v>
      </c>
      <c r="F2742" s="1" t="s">
        <v>462</v>
      </c>
      <c r="G2742" s="1" t="s">
        <v>24</v>
      </c>
      <c r="H2742" s="1">
        <v>17515</v>
      </c>
      <c r="I2742" s="1">
        <v>59765</v>
      </c>
      <c r="J2742" s="7">
        <v>0.29299999999999998</v>
      </c>
      <c r="K2742" s="1" t="s">
        <v>21</v>
      </c>
      <c r="L2742" s="1" t="s">
        <v>29</v>
      </c>
      <c r="M2742" s="1" t="s">
        <v>29</v>
      </c>
      <c r="N2742" s="1" t="s">
        <v>22</v>
      </c>
    </row>
    <row r="2743" spans="1:14" x14ac:dyDescent="0.25">
      <c r="A2743" s="1">
        <v>2742</v>
      </c>
      <c r="B2743" s="2" t="str">
        <f>HYPERLINK("https://leetcode.com/problems/painting-the-walls/", "Painting the Walls")</f>
        <v>Painting the Walls</v>
      </c>
      <c r="C2743" s="1">
        <v>1493</v>
      </c>
      <c r="D2743" s="1">
        <v>95</v>
      </c>
      <c r="E2743" s="3">
        <f>IF(INDEX(C:C, ROW())+INDEX(D:D, ROW())=0, 0, INDEX(C:C, ROW())/(INDEX(C:C, ROW())+INDEX(D:D, ROW())))</f>
        <v>0.94017632241813598</v>
      </c>
      <c r="F2743" s="1" t="s">
        <v>30</v>
      </c>
      <c r="G2743" s="1" t="s">
        <v>28</v>
      </c>
      <c r="H2743" s="1">
        <v>78695</v>
      </c>
      <c r="I2743" s="1">
        <v>160941</v>
      </c>
      <c r="J2743" s="7">
        <v>0.48899999999999999</v>
      </c>
      <c r="K2743" s="1" t="s">
        <v>21</v>
      </c>
      <c r="L2743" s="1" t="s">
        <v>21</v>
      </c>
      <c r="M2743" s="1" t="s">
        <v>29</v>
      </c>
      <c r="N2743" s="1" t="s">
        <v>22</v>
      </c>
    </row>
    <row r="2744" spans="1:14" x14ac:dyDescent="0.25">
      <c r="A2744" s="1">
        <v>2743</v>
      </c>
      <c r="B2744" s="2" t="str">
        <f>HYPERLINK("https://leetcode.com/problems/count-substrings-without-repeating-character/", "Count Substrings Without Repeating Character")</f>
        <v>Count Substrings Without Repeating Character</v>
      </c>
      <c r="C2744" s="1">
        <v>98</v>
      </c>
      <c r="D2744" s="1">
        <v>2</v>
      </c>
      <c r="E2744" s="3">
        <f>IF(INDEX(C:C, ROW())+INDEX(D:D, ROW())=0, 0, INDEX(C:C, ROW())/(INDEX(C:C, ROW())+INDEX(D:D, ROW())))</f>
        <v>0.98</v>
      </c>
      <c r="F2744" s="1" t="s">
        <v>23</v>
      </c>
      <c r="G2744" s="1" t="s">
        <v>24</v>
      </c>
      <c r="H2744" s="1">
        <v>9188</v>
      </c>
      <c r="I2744" s="1">
        <v>12072</v>
      </c>
      <c r="J2744" s="7">
        <v>0.76100000000000001</v>
      </c>
      <c r="K2744" s="1" t="s">
        <v>29</v>
      </c>
      <c r="L2744" s="1" t="s">
        <v>21</v>
      </c>
      <c r="M2744" s="1" t="s">
        <v>29</v>
      </c>
      <c r="N2744" s="1" t="s">
        <v>22</v>
      </c>
    </row>
    <row r="2745" spans="1:14" x14ac:dyDescent="0.25">
      <c r="A2745" s="1">
        <v>2744</v>
      </c>
      <c r="B2745" s="2" t="str">
        <f>HYPERLINK("https://leetcode.com/problems/find-maximum-number-of-string-pairs/", "Find Maximum Number of String Pairs")</f>
        <v>Find Maximum Number of String Pairs</v>
      </c>
      <c r="C2745" s="1">
        <v>467</v>
      </c>
      <c r="D2745" s="1">
        <v>18</v>
      </c>
      <c r="E2745" s="3">
        <f>IF(INDEX(C:C, ROW())+INDEX(D:D, ROW())=0, 0, INDEX(C:C, ROW())/(INDEX(C:C, ROW())+INDEX(D:D, ROW())))</f>
        <v>0.96288659793814435</v>
      </c>
      <c r="F2745" s="1" t="s">
        <v>944</v>
      </c>
      <c r="G2745" s="1" t="s">
        <v>20</v>
      </c>
      <c r="H2745" s="1">
        <v>112838</v>
      </c>
      <c r="I2745" s="1">
        <v>137072</v>
      </c>
      <c r="J2745" s="7">
        <v>0.82299999999999995</v>
      </c>
      <c r="K2745" s="1" t="s">
        <v>21</v>
      </c>
      <c r="L2745" s="1" t="s">
        <v>29</v>
      </c>
      <c r="M2745" s="1" t="s">
        <v>29</v>
      </c>
      <c r="N2745" s="1" t="s">
        <v>22</v>
      </c>
    </row>
    <row r="2746" spans="1:14" x14ac:dyDescent="0.25">
      <c r="A2746" s="1">
        <v>2745</v>
      </c>
      <c r="B2746" s="2" t="str">
        <f>HYPERLINK("https://leetcode.com/problems/construct-the-longest-new-string/", "Construct the Longest New String")</f>
        <v>Construct the Longest New String</v>
      </c>
      <c r="C2746" s="1">
        <v>339</v>
      </c>
      <c r="D2746" s="1">
        <v>29</v>
      </c>
      <c r="E2746" s="3">
        <f>IF(INDEX(C:C, ROW())+INDEX(D:D, ROW())=0, 0, INDEX(C:C, ROW())/(INDEX(C:C, ROW())+INDEX(D:D, ROW())))</f>
        <v>0.92119565217391308</v>
      </c>
      <c r="F2746" s="1" t="s">
        <v>1026</v>
      </c>
      <c r="G2746" s="1" t="s">
        <v>24</v>
      </c>
      <c r="H2746" s="1">
        <v>26410</v>
      </c>
      <c r="I2746" s="1">
        <v>48364</v>
      </c>
      <c r="J2746" s="7">
        <v>0.54600000000000004</v>
      </c>
      <c r="K2746" s="1" t="s">
        <v>21</v>
      </c>
      <c r="L2746" s="1" t="s">
        <v>29</v>
      </c>
      <c r="M2746" s="1" t="s">
        <v>29</v>
      </c>
      <c r="N2746" s="1" t="s">
        <v>22</v>
      </c>
    </row>
    <row r="2747" spans="1:14" x14ac:dyDescent="0.25">
      <c r="A2747" s="1">
        <v>2746</v>
      </c>
      <c r="B2747" s="2" t="str">
        <f>HYPERLINK("https://leetcode.com/problems/decremental-string-concatenation/", "Decremental String Concatenation")</f>
        <v>Decremental String Concatenation</v>
      </c>
      <c r="C2747" s="1">
        <v>375</v>
      </c>
      <c r="D2747" s="1">
        <v>33</v>
      </c>
      <c r="E2747" s="3">
        <f>IF(INDEX(C:C, ROW())+INDEX(D:D, ROW())=0, 0, INDEX(C:C, ROW())/(INDEX(C:C, ROW())+INDEX(D:D, ROW())))</f>
        <v>0.91911764705882348</v>
      </c>
      <c r="F2747" s="1" t="s">
        <v>225</v>
      </c>
      <c r="G2747" s="1" t="s">
        <v>24</v>
      </c>
      <c r="H2747" s="1">
        <v>10939</v>
      </c>
      <c r="I2747" s="1">
        <v>39901</v>
      </c>
      <c r="J2747" s="7">
        <v>0.27400000000000002</v>
      </c>
      <c r="K2747" s="1" t="s">
        <v>21</v>
      </c>
      <c r="L2747" s="1" t="s">
        <v>29</v>
      </c>
      <c r="M2747" s="1" t="s">
        <v>29</v>
      </c>
      <c r="N2747" s="1" t="s">
        <v>22</v>
      </c>
    </row>
    <row r="2748" spans="1:14" x14ac:dyDescent="0.25">
      <c r="A2748" s="1">
        <v>2747</v>
      </c>
      <c r="B2748" s="2" t="str">
        <f>HYPERLINK("https://leetcode.com/problems/count-zero-request-servers/", "Count Zero Request Servers")</f>
        <v>Count Zero Request Servers</v>
      </c>
      <c r="C2748" s="1">
        <v>400</v>
      </c>
      <c r="D2748" s="1">
        <v>57</v>
      </c>
      <c r="E2748" s="3">
        <f>IF(INDEX(C:C, ROW())+INDEX(D:D, ROW())=0, 0, INDEX(C:C, ROW())/(INDEX(C:C, ROW())+INDEX(D:D, ROW())))</f>
        <v>0.87527352297592997</v>
      </c>
      <c r="F2748" s="1" t="s">
        <v>984</v>
      </c>
      <c r="G2748" s="1" t="s">
        <v>24</v>
      </c>
      <c r="H2748" s="1">
        <v>12490</v>
      </c>
      <c r="I2748" s="1">
        <v>35102</v>
      </c>
      <c r="J2748" s="7">
        <v>0.35599999999999998</v>
      </c>
      <c r="K2748" s="1" t="s">
        <v>21</v>
      </c>
      <c r="L2748" s="1" t="s">
        <v>29</v>
      </c>
      <c r="M2748" s="1" t="s">
        <v>29</v>
      </c>
      <c r="N2748" s="1" t="s">
        <v>22</v>
      </c>
    </row>
    <row r="2749" spans="1:14" x14ac:dyDescent="0.25">
      <c r="A2749" s="1">
        <v>2748</v>
      </c>
      <c r="B2749" s="2" t="str">
        <f>HYPERLINK("https://leetcode.com/problems/number-of-beautiful-pairs/", "Number of Beautiful Pairs")</f>
        <v>Number of Beautiful Pairs</v>
      </c>
      <c r="C2749" s="1">
        <v>236</v>
      </c>
      <c r="D2749" s="1">
        <v>41</v>
      </c>
      <c r="E2749" s="3">
        <f>IF(INDEX(C:C, ROW())+INDEX(D:D, ROW())=0, 0, INDEX(C:C, ROW())/(INDEX(C:C, ROW())+INDEX(D:D, ROW())))</f>
        <v>0.85198555956678701</v>
      </c>
      <c r="F2749" s="1" t="s">
        <v>518</v>
      </c>
      <c r="G2749" s="1" t="s">
        <v>20</v>
      </c>
      <c r="H2749" s="1">
        <v>46641</v>
      </c>
      <c r="I2749" s="1">
        <v>89600</v>
      </c>
      <c r="J2749" s="7">
        <v>0.52100000000000002</v>
      </c>
      <c r="K2749" s="1" t="s">
        <v>21</v>
      </c>
      <c r="L2749" s="1" t="s">
        <v>29</v>
      </c>
      <c r="M2749" s="1" t="s">
        <v>29</v>
      </c>
      <c r="N2749" s="1" t="s">
        <v>22</v>
      </c>
    </row>
    <row r="2750" spans="1:14" x14ac:dyDescent="0.25">
      <c r="A2750" s="1">
        <v>2749</v>
      </c>
      <c r="B2750" s="2" t="str">
        <f>HYPERLINK("https://leetcode.com/problems/minimum-operations-to-make-the-integer-zero/", "Minimum Operations to Make the Integer Zero")</f>
        <v>Minimum Operations to Make the Integer Zero</v>
      </c>
      <c r="C2750" s="1">
        <v>767</v>
      </c>
      <c r="D2750" s="1">
        <v>375</v>
      </c>
      <c r="E2750" s="3">
        <f>IF(INDEX(C:C, ROW())+INDEX(D:D, ROW())=0, 0, INDEX(C:C, ROW())/(INDEX(C:C, ROW())+INDEX(D:D, ROW())))</f>
        <v>0.67162872154115583</v>
      </c>
      <c r="F2750" s="1" t="s">
        <v>777</v>
      </c>
      <c r="G2750" s="1" t="s">
        <v>24</v>
      </c>
      <c r="H2750" s="1">
        <v>96638</v>
      </c>
      <c r="I2750" s="1">
        <v>165993</v>
      </c>
      <c r="J2750" s="7">
        <v>0.58199999999999996</v>
      </c>
      <c r="K2750" s="1" t="s">
        <v>21</v>
      </c>
      <c r="L2750" s="1" t="s">
        <v>21</v>
      </c>
      <c r="M2750" s="1" t="s">
        <v>29</v>
      </c>
      <c r="N2750" s="1" t="s">
        <v>22</v>
      </c>
    </row>
    <row r="2751" spans="1:14" x14ac:dyDescent="0.25">
      <c r="A2751" s="1">
        <v>2750</v>
      </c>
      <c r="B2751" s="2" t="str">
        <f>HYPERLINK("https://leetcode.com/problems/ways-to-split-array-into-good-subarrays/", "Ways to Split Array Into Good Subarrays")</f>
        <v>Ways to Split Array Into Good Subarrays</v>
      </c>
      <c r="C2751" s="1">
        <v>468</v>
      </c>
      <c r="D2751" s="1">
        <v>14</v>
      </c>
      <c r="E2751" s="3">
        <f>IF(INDEX(C:C, ROW())+INDEX(D:D, ROW())=0, 0, INDEX(C:C, ROW())/(INDEX(C:C, ROW())+INDEX(D:D, ROW())))</f>
        <v>0.97095435684647302</v>
      </c>
      <c r="F2751" s="1" t="s">
        <v>457</v>
      </c>
      <c r="G2751" s="1" t="s">
        <v>24</v>
      </c>
      <c r="H2751" s="1">
        <v>27485</v>
      </c>
      <c r="I2751" s="1">
        <v>79045</v>
      </c>
      <c r="J2751" s="7">
        <v>0.34799999999999998</v>
      </c>
      <c r="K2751" s="1" t="s">
        <v>21</v>
      </c>
      <c r="L2751" s="1" t="s">
        <v>29</v>
      </c>
      <c r="M2751" s="1" t="s">
        <v>29</v>
      </c>
      <c r="N2751" s="1" t="s">
        <v>22</v>
      </c>
    </row>
    <row r="2752" spans="1:14" x14ac:dyDescent="0.25">
      <c r="A2752" s="1">
        <v>2751</v>
      </c>
      <c r="B2752" s="2" t="str">
        <f>HYPERLINK("https://leetcode.com/problems/robot-collisions/", "Robot Collisions")</f>
        <v>Robot Collisions</v>
      </c>
      <c r="C2752" s="1">
        <v>1193</v>
      </c>
      <c r="D2752" s="1">
        <v>99</v>
      </c>
      <c r="E2752" s="3">
        <f>IF(INDEX(C:C, ROW())+INDEX(D:D, ROW())=0, 0, INDEX(C:C, ROW())/(INDEX(C:C, ROW())+INDEX(D:D, ROW())))</f>
        <v>0.92337461300309598</v>
      </c>
      <c r="F2752" s="1" t="s">
        <v>659</v>
      </c>
      <c r="G2752" s="1" t="s">
        <v>28</v>
      </c>
      <c r="H2752" s="1">
        <v>117665</v>
      </c>
      <c r="I2752" s="1">
        <v>209887</v>
      </c>
      <c r="J2752" s="7">
        <v>0.56100000000000005</v>
      </c>
      <c r="K2752" s="1" t="s">
        <v>21</v>
      </c>
      <c r="L2752" s="1" t="s">
        <v>21</v>
      </c>
      <c r="M2752" s="1" t="s">
        <v>29</v>
      </c>
      <c r="N2752" s="1" t="s">
        <v>22</v>
      </c>
    </row>
    <row r="2753" spans="1:14" x14ac:dyDescent="0.25">
      <c r="A2753" s="1">
        <v>2752</v>
      </c>
      <c r="B2753" s="2" t="str">
        <f>HYPERLINK("https://leetcode.com/problems/customers-with-maximum-number-of-transactions-on-consecutive-days/", "Customers with Maximum Number of Transactions on Consecutive Days")</f>
        <v>Customers with Maximum Number of Transactions on Consecutive Days</v>
      </c>
      <c r="C2753" s="1">
        <v>16</v>
      </c>
      <c r="D2753" s="1">
        <v>35</v>
      </c>
      <c r="E2753" s="3">
        <f>IF(INDEX(C:C, ROW())+INDEX(D:D, ROW())=0, 0, INDEX(C:C, ROW())/(INDEX(C:C, ROW())+INDEX(D:D, ROW())))</f>
        <v>0.31372549019607843</v>
      </c>
      <c r="F2753" s="1" t="s">
        <v>297</v>
      </c>
      <c r="G2753" s="1" t="s">
        <v>28</v>
      </c>
      <c r="H2753" s="1">
        <v>3061</v>
      </c>
      <c r="I2753" s="1">
        <v>7287</v>
      </c>
      <c r="J2753" s="7">
        <v>0.42</v>
      </c>
      <c r="K2753" s="1" t="s">
        <v>29</v>
      </c>
      <c r="L2753" s="1" t="s">
        <v>29</v>
      </c>
      <c r="M2753" s="1" t="s">
        <v>29</v>
      </c>
      <c r="N2753" s="1" t="s">
        <v>297</v>
      </c>
    </row>
    <row r="2754" spans="1:14" x14ac:dyDescent="0.25">
      <c r="A2754" s="1">
        <v>2753</v>
      </c>
      <c r="B2754" s="2" t="str">
        <f>HYPERLINK("https://leetcode.com/problems/count-houses-in-a-circular-street-ii/", "Count Houses in a Circular Street II")</f>
        <v>Count Houses in a Circular Street II</v>
      </c>
      <c r="C2754" s="1">
        <v>27</v>
      </c>
      <c r="D2754" s="1">
        <v>3</v>
      </c>
      <c r="E2754" s="3">
        <f>IF(INDEX(C:C, ROW())+INDEX(D:D, ROW())=0, 0, INDEX(C:C, ROW())/(INDEX(C:C, ROW())+INDEX(D:D, ROW())))</f>
        <v>0.9</v>
      </c>
      <c r="G2754" s="1" t="s">
        <v>28</v>
      </c>
      <c r="H2754" s="1">
        <v>930</v>
      </c>
      <c r="I2754" s="1">
        <v>1504</v>
      </c>
      <c r="J2754" s="7">
        <v>0.61799999999999999</v>
      </c>
      <c r="K2754" s="1" t="s">
        <v>29</v>
      </c>
      <c r="L2754" s="1" t="s">
        <v>21</v>
      </c>
      <c r="M2754" s="1" t="s">
        <v>29</v>
      </c>
      <c r="N2754" s="1" t="s">
        <v>22</v>
      </c>
    </row>
    <row r="2755" spans="1:14" x14ac:dyDescent="0.25">
      <c r="A2755" s="1">
        <v>2754</v>
      </c>
      <c r="B2755" s="2" t="str">
        <f>HYPERLINK("https://leetcode.com/problems/bind-function-to-context/", "Bind Function to Context")</f>
        <v>Bind Function to Context</v>
      </c>
      <c r="C2755" s="1">
        <v>17</v>
      </c>
      <c r="D2755" s="1">
        <v>0</v>
      </c>
      <c r="E2755" s="3">
        <f>IF(INDEX(C:C, ROW())+INDEX(D:D, ROW())=0, 0, INDEX(C:C, ROW())/(INDEX(C:C, ROW())+INDEX(D:D, ROW())))</f>
        <v>1</v>
      </c>
      <c r="G2755" s="1" t="s">
        <v>24</v>
      </c>
      <c r="H2755" s="1">
        <v>1054</v>
      </c>
      <c r="I2755" s="1">
        <v>1209</v>
      </c>
      <c r="J2755" s="7">
        <v>0.872</v>
      </c>
      <c r="K2755" s="1" t="s">
        <v>29</v>
      </c>
      <c r="L2755" s="1" t="s">
        <v>21</v>
      </c>
      <c r="M2755" s="1" t="s">
        <v>29</v>
      </c>
      <c r="N2755" s="1" t="s">
        <v>555</v>
      </c>
    </row>
    <row r="2756" spans="1:14" x14ac:dyDescent="0.25">
      <c r="A2756" s="1">
        <v>2755</v>
      </c>
      <c r="B2756" s="2" t="str">
        <f>HYPERLINK("https://leetcode.com/problems/deep-merge-of-two-objects/", "Deep Merge of Two Objects")</f>
        <v>Deep Merge of Two Objects</v>
      </c>
      <c r="C2756" s="1">
        <v>15</v>
      </c>
      <c r="D2756" s="1">
        <v>4</v>
      </c>
      <c r="E2756" s="3">
        <f>IF(INDEX(C:C, ROW())+INDEX(D:D, ROW())=0, 0, INDEX(C:C, ROW())/(INDEX(C:C, ROW())+INDEX(D:D, ROW())))</f>
        <v>0.78947368421052633</v>
      </c>
      <c r="G2756" s="1" t="s">
        <v>24</v>
      </c>
      <c r="H2756" s="1">
        <v>872</v>
      </c>
      <c r="I2756" s="1">
        <v>1352</v>
      </c>
      <c r="J2756" s="7">
        <v>0.64500000000000002</v>
      </c>
      <c r="K2756" s="1" t="s">
        <v>29</v>
      </c>
      <c r="L2756" s="1" t="s">
        <v>21</v>
      </c>
      <c r="M2756" s="1" t="s">
        <v>29</v>
      </c>
      <c r="N2756" s="1" t="s">
        <v>555</v>
      </c>
    </row>
    <row r="2757" spans="1:14" x14ac:dyDescent="0.25">
      <c r="A2757" s="1">
        <v>2756</v>
      </c>
      <c r="B2757" s="2" t="str">
        <f>HYPERLINK("https://leetcode.com/problems/query-batching/", "Query Batching")</f>
        <v>Query Batching</v>
      </c>
      <c r="C2757" s="1">
        <v>15</v>
      </c>
      <c r="D2757" s="1">
        <v>5</v>
      </c>
      <c r="E2757" s="3">
        <f>IF(INDEX(C:C, ROW())+INDEX(D:D, ROW())=0, 0, INDEX(C:C, ROW())/(INDEX(C:C, ROW())+INDEX(D:D, ROW())))</f>
        <v>0.75</v>
      </c>
      <c r="G2757" s="1" t="s">
        <v>28</v>
      </c>
      <c r="H2757" s="1">
        <v>521</v>
      </c>
      <c r="I2757" s="1">
        <v>772</v>
      </c>
      <c r="J2757" s="7">
        <v>0.67500000000000004</v>
      </c>
      <c r="K2757" s="1" t="s">
        <v>29</v>
      </c>
      <c r="L2757" s="1" t="s">
        <v>21</v>
      </c>
      <c r="M2757" s="1" t="s">
        <v>29</v>
      </c>
      <c r="N2757" s="1" t="s">
        <v>555</v>
      </c>
    </row>
    <row r="2758" spans="1:14" x14ac:dyDescent="0.25">
      <c r="A2758" s="1">
        <v>2757</v>
      </c>
      <c r="B2758" s="2" t="str">
        <f>HYPERLINK("https://leetcode.com/problems/generate-circular-array-values/", "Generate Circular Array Values")</f>
        <v>Generate Circular Array Values</v>
      </c>
      <c r="C2758" s="1">
        <v>11</v>
      </c>
      <c r="D2758" s="1">
        <v>2</v>
      </c>
      <c r="E2758" s="3">
        <f>IF(INDEX(C:C, ROW())+INDEX(D:D, ROW())=0, 0, INDEX(C:C, ROW())/(INDEX(C:C, ROW())+INDEX(D:D, ROW())))</f>
        <v>0.84615384615384615</v>
      </c>
      <c r="G2758" s="1" t="s">
        <v>24</v>
      </c>
      <c r="H2758" s="1">
        <v>680</v>
      </c>
      <c r="I2758" s="1">
        <v>904</v>
      </c>
      <c r="J2758" s="7">
        <v>0.752</v>
      </c>
      <c r="K2758" s="1" t="s">
        <v>29</v>
      </c>
      <c r="L2758" s="1" t="s">
        <v>21</v>
      </c>
      <c r="M2758" s="1" t="s">
        <v>29</v>
      </c>
      <c r="N2758" s="1" t="s">
        <v>555</v>
      </c>
    </row>
    <row r="2759" spans="1:14" x14ac:dyDescent="0.25">
      <c r="A2759" s="1">
        <v>2758</v>
      </c>
      <c r="B2759" s="2" t="str">
        <f>HYPERLINK("https://leetcode.com/problems/next-day/", "Next Day")</f>
        <v>Next Day</v>
      </c>
      <c r="C2759" s="1">
        <v>13</v>
      </c>
      <c r="D2759" s="1">
        <v>1</v>
      </c>
      <c r="E2759" s="3">
        <f>IF(INDEX(C:C, ROW())+INDEX(D:D, ROW())=0, 0, INDEX(C:C, ROW())/(INDEX(C:C, ROW())+INDEX(D:D, ROW())))</f>
        <v>0.9285714285714286</v>
      </c>
      <c r="G2759" s="1" t="s">
        <v>20</v>
      </c>
      <c r="H2759" s="1">
        <v>1569</v>
      </c>
      <c r="I2759" s="1">
        <v>1829</v>
      </c>
      <c r="J2759" s="7">
        <v>0.85799999999999998</v>
      </c>
      <c r="K2759" s="1" t="s">
        <v>29</v>
      </c>
      <c r="L2759" s="1" t="s">
        <v>21</v>
      </c>
      <c r="M2759" s="1" t="s">
        <v>29</v>
      </c>
      <c r="N2759" s="1" t="s">
        <v>555</v>
      </c>
    </row>
    <row r="2760" spans="1:14" x14ac:dyDescent="0.25">
      <c r="A2760" s="1">
        <v>2759</v>
      </c>
      <c r="B2760" s="2" t="str">
        <f>HYPERLINK("https://leetcode.com/problems/convert-json-string-to-object/", "Convert JSON String to Object")</f>
        <v>Convert JSON String to Object</v>
      </c>
      <c r="C2760" s="1">
        <v>17</v>
      </c>
      <c r="D2760" s="1">
        <v>3</v>
      </c>
      <c r="E2760" s="3">
        <f>IF(INDEX(C:C, ROW())+INDEX(D:D, ROW())=0, 0, INDEX(C:C, ROW())/(INDEX(C:C, ROW())+INDEX(D:D, ROW())))</f>
        <v>0.85</v>
      </c>
      <c r="G2760" s="1" t="s">
        <v>28</v>
      </c>
      <c r="H2760" s="1">
        <v>893</v>
      </c>
      <c r="I2760" s="1">
        <v>1462</v>
      </c>
      <c r="J2760" s="7">
        <v>0.61099999999999999</v>
      </c>
      <c r="K2760" s="1" t="s">
        <v>29</v>
      </c>
      <c r="L2760" s="1" t="s">
        <v>21</v>
      </c>
      <c r="M2760" s="1" t="s">
        <v>29</v>
      </c>
      <c r="N2760" s="1" t="s">
        <v>555</v>
      </c>
    </row>
    <row r="2761" spans="1:14" x14ac:dyDescent="0.25">
      <c r="A2761" s="1">
        <v>2760</v>
      </c>
      <c r="B2761" s="2" t="str">
        <f>HYPERLINK("https://leetcode.com/problems/longest-even-odd-subarray-with-threshold/", "Longest Even Odd Subarray With Threshold")</f>
        <v>Longest Even Odd Subarray With Threshold</v>
      </c>
      <c r="C2761" s="1">
        <v>356</v>
      </c>
      <c r="D2761" s="1">
        <v>289</v>
      </c>
      <c r="E2761" s="3">
        <f>IF(INDEX(C:C, ROW())+INDEX(D:D, ROW())=0, 0, INDEX(C:C, ROW())/(INDEX(C:C, ROW())+INDEX(D:D, ROW())))</f>
        <v>0.55193798449612408</v>
      </c>
      <c r="F2761" s="1" t="s">
        <v>295</v>
      </c>
      <c r="G2761" s="1" t="s">
        <v>20</v>
      </c>
      <c r="H2761" s="1">
        <v>51508</v>
      </c>
      <c r="I2761" s="1">
        <v>162936</v>
      </c>
      <c r="J2761" s="7">
        <v>0.316</v>
      </c>
      <c r="K2761" s="1" t="s">
        <v>21</v>
      </c>
      <c r="L2761" s="1" t="s">
        <v>29</v>
      </c>
      <c r="M2761" s="1" t="s">
        <v>29</v>
      </c>
      <c r="N2761" s="1" t="s">
        <v>22</v>
      </c>
    </row>
    <row r="2762" spans="1:14" x14ac:dyDescent="0.25">
      <c r="A2762" s="1">
        <v>2761</v>
      </c>
      <c r="B2762" s="2" t="str">
        <f>HYPERLINK("https://leetcode.com/problems/prime-pairs-with-target-sum/", "Prime Pairs With Target Sum")</f>
        <v>Prime Pairs With Target Sum</v>
      </c>
      <c r="C2762" s="1">
        <v>407</v>
      </c>
      <c r="D2762" s="1">
        <v>34</v>
      </c>
      <c r="E2762" s="3">
        <f>IF(INDEX(C:C, ROW())+INDEX(D:D, ROW())=0, 0, INDEX(C:C, ROW())/(INDEX(C:C, ROW())+INDEX(D:D, ROW())))</f>
        <v>0.92290249433106575</v>
      </c>
      <c r="F2762" s="1" t="s">
        <v>161</v>
      </c>
      <c r="G2762" s="1" t="s">
        <v>24</v>
      </c>
      <c r="H2762" s="1">
        <v>39387</v>
      </c>
      <c r="I2762" s="1">
        <v>106338</v>
      </c>
      <c r="J2762" s="7">
        <v>0.37</v>
      </c>
      <c r="K2762" s="1" t="s">
        <v>21</v>
      </c>
      <c r="L2762" s="1" t="s">
        <v>29</v>
      </c>
      <c r="M2762" s="1" t="s">
        <v>29</v>
      </c>
      <c r="N2762" s="1" t="s">
        <v>22</v>
      </c>
    </row>
    <row r="2763" spans="1:14" x14ac:dyDescent="0.25">
      <c r="A2763" s="1">
        <v>2762</v>
      </c>
      <c r="B2763" s="2" t="str">
        <f>HYPERLINK("https://leetcode.com/problems/continuous-subarrays/", "Continuous Subarrays")</f>
        <v>Continuous Subarrays</v>
      </c>
      <c r="C2763" s="1">
        <v>1495</v>
      </c>
      <c r="D2763" s="1">
        <v>96</v>
      </c>
      <c r="E2763" s="3">
        <f>IF(INDEX(C:C, ROW())+INDEX(D:D, ROW())=0, 0, INDEX(C:C, ROW())/(INDEX(C:C, ROW())+INDEX(D:D, ROW())))</f>
        <v>0.93966059082338149</v>
      </c>
      <c r="F2763" s="1" t="s">
        <v>287</v>
      </c>
      <c r="G2763" s="1" t="s">
        <v>24</v>
      </c>
      <c r="H2763" s="1">
        <v>117879</v>
      </c>
      <c r="I2763" s="1">
        <v>203454</v>
      </c>
      <c r="J2763" s="7">
        <v>0.57899999999999996</v>
      </c>
      <c r="K2763" s="1" t="s">
        <v>21</v>
      </c>
      <c r="L2763" s="1" t="s">
        <v>21</v>
      </c>
      <c r="M2763" s="1" t="s">
        <v>29</v>
      </c>
      <c r="N2763" s="1" t="s">
        <v>22</v>
      </c>
    </row>
    <row r="2764" spans="1:14" x14ac:dyDescent="0.25">
      <c r="A2764" s="1">
        <v>2763</v>
      </c>
      <c r="B2764" s="2" t="str">
        <f>HYPERLINK("https://leetcode.com/problems/sum-of-imbalance-numbers-of-all-subarrays/", "Sum of Imbalance Numbers of All Subarrays")</f>
        <v>Sum of Imbalance Numbers of All Subarrays</v>
      </c>
      <c r="C2764" s="1">
        <v>325</v>
      </c>
      <c r="D2764" s="1">
        <v>9</v>
      </c>
      <c r="E2764" s="3">
        <f>IF(INDEX(C:C, ROW())+INDEX(D:D, ROW())=0, 0, INDEX(C:C, ROW())/(INDEX(C:C, ROW())+INDEX(D:D, ROW())))</f>
        <v>0.97305389221556882</v>
      </c>
      <c r="F2764" s="1" t="s">
        <v>804</v>
      </c>
      <c r="G2764" s="1" t="s">
        <v>28</v>
      </c>
      <c r="H2764" s="1">
        <v>9689</v>
      </c>
      <c r="I2764" s="1">
        <v>22448</v>
      </c>
      <c r="J2764" s="7">
        <v>0.432</v>
      </c>
      <c r="K2764" s="1" t="s">
        <v>21</v>
      </c>
      <c r="L2764" s="1" t="s">
        <v>29</v>
      </c>
      <c r="M2764" s="1" t="s">
        <v>29</v>
      </c>
      <c r="N2764" s="1" t="s">
        <v>22</v>
      </c>
    </row>
    <row r="2765" spans="1:14" x14ac:dyDescent="0.25">
      <c r="A2765" s="1">
        <v>2764</v>
      </c>
      <c r="B2765" s="2" t="str">
        <f>HYPERLINK("https://leetcode.com/problems/is-array-a-preorder-of-some-binary-tree/", "Is Array a Preorder of Some ‌Binary Tree")</f>
        <v>Is Array a Preorder of Some ‌Binary Tree</v>
      </c>
      <c r="C2765" s="1">
        <v>35</v>
      </c>
      <c r="D2765" s="1">
        <v>5</v>
      </c>
      <c r="E2765" s="3">
        <f>IF(INDEX(C:C, ROW())+INDEX(D:D, ROW())=0, 0, INDEX(C:C, ROW())/(INDEX(C:C, ROW())+INDEX(D:D, ROW())))</f>
        <v>0.875</v>
      </c>
      <c r="F2765" s="1" t="s">
        <v>87</v>
      </c>
      <c r="G2765" s="1" t="s">
        <v>24</v>
      </c>
      <c r="H2765" s="1">
        <v>1916</v>
      </c>
      <c r="I2765" s="1">
        <v>2841</v>
      </c>
      <c r="J2765" s="7">
        <v>0.67400000000000004</v>
      </c>
      <c r="K2765" s="1" t="s">
        <v>29</v>
      </c>
      <c r="L2765" s="1" t="s">
        <v>29</v>
      </c>
      <c r="M2765" s="1" t="s">
        <v>29</v>
      </c>
      <c r="N2765" s="1" t="s">
        <v>22</v>
      </c>
    </row>
    <row r="2766" spans="1:14" x14ac:dyDescent="0.25">
      <c r="A2766" s="1">
        <v>2765</v>
      </c>
      <c r="B2766" s="2" t="str">
        <f>HYPERLINK("https://leetcode.com/problems/longest-alternating-subarray/", "Longest Alternating Subarray")</f>
        <v>Longest Alternating Subarray</v>
      </c>
      <c r="C2766" s="1">
        <v>245</v>
      </c>
      <c r="D2766" s="1">
        <v>188</v>
      </c>
      <c r="E2766" s="3">
        <f>IF(INDEX(C:C, ROW())+INDEX(D:D, ROW())=0, 0, INDEX(C:C, ROW())/(INDEX(C:C, ROW())+INDEX(D:D, ROW())))</f>
        <v>0.56581986143187069</v>
      </c>
      <c r="F2766" s="1" t="s">
        <v>654</v>
      </c>
      <c r="G2766" s="1" t="s">
        <v>20</v>
      </c>
      <c r="H2766" s="1">
        <v>32975</v>
      </c>
      <c r="I2766" s="1">
        <v>94032</v>
      </c>
      <c r="J2766" s="7">
        <v>0.35099999999999998</v>
      </c>
      <c r="K2766" s="1" t="s">
        <v>21</v>
      </c>
      <c r="L2766" s="1" t="s">
        <v>29</v>
      </c>
      <c r="M2766" s="1" t="s">
        <v>29</v>
      </c>
      <c r="N2766" s="1" t="s">
        <v>22</v>
      </c>
    </row>
    <row r="2767" spans="1:14" x14ac:dyDescent="0.25">
      <c r="A2767" s="1">
        <v>2766</v>
      </c>
      <c r="B2767" s="2" t="str">
        <f>HYPERLINK("https://leetcode.com/problems/relocate-marbles/", "Relocate Marbles")</f>
        <v>Relocate Marbles</v>
      </c>
      <c r="C2767" s="1">
        <v>212</v>
      </c>
      <c r="D2767" s="1">
        <v>19</v>
      </c>
      <c r="E2767" s="3">
        <f>IF(INDEX(C:C, ROW())+INDEX(D:D, ROW())=0, 0, INDEX(C:C, ROW())/(INDEX(C:C, ROW())+INDEX(D:D, ROW())))</f>
        <v>0.91774891774891776</v>
      </c>
      <c r="F2767" s="1" t="s">
        <v>700</v>
      </c>
      <c r="G2767" s="1" t="s">
        <v>24</v>
      </c>
      <c r="H2767" s="1">
        <v>25029</v>
      </c>
      <c r="I2767" s="1">
        <v>48869</v>
      </c>
      <c r="J2767" s="7">
        <v>0.51200000000000001</v>
      </c>
      <c r="K2767" s="1" t="s">
        <v>21</v>
      </c>
      <c r="L2767" s="1" t="s">
        <v>29</v>
      </c>
      <c r="M2767" s="1" t="s">
        <v>29</v>
      </c>
      <c r="N2767" s="1" t="s">
        <v>22</v>
      </c>
    </row>
    <row r="2768" spans="1:14" x14ac:dyDescent="0.25">
      <c r="A2768" s="1">
        <v>2767</v>
      </c>
      <c r="B2768" s="2" t="str">
        <f>HYPERLINK("https://leetcode.com/problems/partition-string-into-minimum-beautiful-substrings/", "Partition String Into Minimum Beautiful Substrings")</f>
        <v>Partition String Into Minimum Beautiful Substrings</v>
      </c>
      <c r="C2768" s="1">
        <v>383</v>
      </c>
      <c r="D2768" s="1">
        <v>19</v>
      </c>
      <c r="E2768" s="3">
        <f>IF(INDEX(C:C, ROW())+INDEX(D:D, ROW())=0, 0, INDEX(C:C, ROW())/(INDEX(C:C, ROW())+INDEX(D:D, ROW())))</f>
        <v>0.95273631840796025</v>
      </c>
      <c r="F2768" s="1" t="s">
        <v>998</v>
      </c>
      <c r="G2768" s="1" t="s">
        <v>24</v>
      </c>
      <c r="H2768" s="1">
        <v>21878</v>
      </c>
      <c r="I2768" s="1">
        <v>40572</v>
      </c>
      <c r="J2768" s="7">
        <v>0.53900000000000003</v>
      </c>
      <c r="K2768" s="1" t="s">
        <v>21</v>
      </c>
      <c r="L2768" s="1" t="s">
        <v>29</v>
      </c>
      <c r="M2768" s="1" t="s">
        <v>29</v>
      </c>
      <c r="N2768" s="1" t="s">
        <v>22</v>
      </c>
    </row>
    <row r="2769" spans="1:14" x14ac:dyDescent="0.25">
      <c r="A2769" s="1">
        <v>2768</v>
      </c>
      <c r="B2769" s="2" t="str">
        <f>HYPERLINK("https://leetcode.com/problems/number-of-black-blocks/", "Number of Black Blocks")</f>
        <v>Number of Black Blocks</v>
      </c>
      <c r="C2769" s="1">
        <v>282</v>
      </c>
      <c r="D2769" s="1">
        <v>48</v>
      </c>
      <c r="E2769" s="3">
        <f>IF(INDEX(C:C, ROW())+INDEX(D:D, ROW())=0, 0, INDEX(C:C, ROW())/(INDEX(C:C, ROW())+INDEX(D:D, ROW())))</f>
        <v>0.8545454545454545</v>
      </c>
      <c r="F2769" s="1" t="s">
        <v>804</v>
      </c>
      <c r="G2769" s="1" t="s">
        <v>24</v>
      </c>
      <c r="H2769" s="1">
        <v>20772</v>
      </c>
      <c r="I2769" s="1">
        <v>50036</v>
      </c>
      <c r="J2769" s="7">
        <v>0.41499999999999998</v>
      </c>
      <c r="K2769" s="1" t="s">
        <v>21</v>
      </c>
      <c r="L2769" s="1" t="s">
        <v>29</v>
      </c>
      <c r="M2769" s="1" t="s">
        <v>29</v>
      </c>
      <c r="N2769" s="1" t="s">
        <v>22</v>
      </c>
    </row>
    <row r="2770" spans="1:14" x14ac:dyDescent="0.25">
      <c r="A2770" s="1">
        <v>2769</v>
      </c>
      <c r="B2770" s="2" t="str">
        <f>HYPERLINK("https://leetcode.com/problems/find-the-maximum-achievable-number/", "Find the Maximum Achievable Number")</f>
        <v>Find the Maximum Achievable Number</v>
      </c>
      <c r="C2770" s="1">
        <v>517</v>
      </c>
      <c r="D2770" s="1">
        <v>767</v>
      </c>
      <c r="E2770" s="3">
        <f>IF(INDEX(C:C, ROW())+INDEX(D:D, ROW())=0, 0, INDEX(C:C, ROW())/(INDEX(C:C, ROW())+INDEX(D:D, ROW())))</f>
        <v>0.40264797507788164</v>
      </c>
      <c r="F2770" s="1" t="s">
        <v>84</v>
      </c>
      <c r="G2770" s="1" t="s">
        <v>20</v>
      </c>
      <c r="H2770" s="1">
        <v>198985</v>
      </c>
      <c r="I2770" s="1">
        <v>218165</v>
      </c>
      <c r="J2770" s="7">
        <v>0.91200000000000003</v>
      </c>
      <c r="K2770" s="1" t="s">
        <v>21</v>
      </c>
      <c r="L2770" s="1" t="s">
        <v>29</v>
      </c>
      <c r="M2770" s="1" t="s">
        <v>29</v>
      </c>
      <c r="N2770" s="1" t="s">
        <v>22</v>
      </c>
    </row>
    <row r="2771" spans="1:14" x14ac:dyDescent="0.25">
      <c r="A2771" s="1">
        <v>2770</v>
      </c>
      <c r="B2771" s="2" t="str">
        <f>HYPERLINK("https://leetcode.com/problems/maximum-number-of-jumps-to-reach-the-last-index/", "Maximum Number of Jumps to Reach the Last Index")</f>
        <v>Maximum Number of Jumps to Reach the Last Index</v>
      </c>
      <c r="C2771" s="1">
        <v>475</v>
      </c>
      <c r="D2771" s="1">
        <v>14</v>
      </c>
      <c r="E2771" s="3">
        <f>IF(INDEX(C:C, ROW())+INDEX(D:D, ROW())=0, 0, INDEX(C:C, ROW())/(INDEX(C:C, ROW())+INDEX(D:D, ROW())))</f>
        <v>0.97137014314928427</v>
      </c>
      <c r="F2771" s="1" t="s">
        <v>30</v>
      </c>
      <c r="G2771" s="1" t="s">
        <v>24</v>
      </c>
      <c r="H2771" s="1">
        <v>34521</v>
      </c>
      <c r="I2771" s="1">
        <v>106214</v>
      </c>
      <c r="J2771" s="7">
        <v>0.32500000000000001</v>
      </c>
      <c r="K2771" s="1" t="s">
        <v>21</v>
      </c>
      <c r="L2771" s="1" t="s">
        <v>29</v>
      </c>
      <c r="M2771" s="1" t="s">
        <v>29</v>
      </c>
      <c r="N2771" s="1" t="s">
        <v>22</v>
      </c>
    </row>
    <row r="2772" spans="1:14" x14ac:dyDescent="0.25">
      <c r="A2772" s="1">
        <v>2771</v>
      </c>
      <c r="B2772" s="2" t="str">
        <f>HYPERLINK("https://leetcode.com/problems/longest-non-decreasing-subarray-from-two-arrays/", "Longest Non-decreasing Subarray From Two Arrays")</f>
        <v>Longest Non-decreasing Subarray From Two Arrays</v>
      </c>
      <c r="C2772" s="1">
        <v>649</v>
      </c>
      <c r="D2772" s="1">
        <v>24</v>
      </c>
      <c r="E2772" s="3">
        <f>IF(INDEX(C:C, ROW())+INDEX(D:D, ROW())=0, 0, INDEX(C:C, ROW())/(INDEX(C:C, ROW())+INDEX(D:D, ROW())))</f>
        <v>0.96433878157503716</v>
      </c>
      <c r="F2772" s="1" t="s">
        <v>30</v>
      </c>
      <c r="G2772" s="1" t="s">
        <v>24</v>
      </c>
      <c r="H2772" s="1">
        <v>35876</v>
      </c>
      <c r="I2772" s="1">
        <v>115668</v>
      </c>
      <c r="J2772" s="7">
        <v>0.31</v>
      </c>
      <c r="K2772" s="1" t="s">
        <v>21</v>
      </c>
      <c r="L2772" s="1" t="s">
        <v>29</v>
      </c>
      <c r="M2772" s="1" t="s">
        <v>29</v>
      </c>
      <c r="N2772" s="1" t="s">
        <v>22</v>
      </c>
    </row>
    <row r="2773" spans="1:14" x14ac:dyDescent="0.25">
      <c r="A2773" s="1">
        <v>2772</v>
      </c>
      <c r="B2773" s="2" t="str">
        <f>HYPERLINK("https://leetcode.com/problems/apply-operations-to-make-all-array-elements-equal-to-zero/", "Apply Operations to Make All Array Elements Equal to Zero")</f>
        <v>Apply Operations to Make All Array Elements Equal to Zero</v>
      </c>
      <c r="C2773" s="1">
        <v>447</v>
      </c>
      <c r="D2773" s="1">
        <v>32</v>
      </c>
      <c r="E2773" s="3">
        <f>IF(INDEX(C:C, ROW())+INDEX(D:D, ROW())=0, 0, INDEX(C:C, ROW())/(INDEX(C:C, ROW())+INDEX(D:D, ROW())))</f>
        <v>0.93319415448851772</v>
      </c>
      <c r="F2773" s="1" t="s">
        <v>37</v>
      </c>
      <c r="G2773" s="1" t="s">
        <v>24</v>
      </c>
      <c r="H2773" s="1">
        <v>17975</v>
      </c>
      <c r="I2773" s="1">
        <v>54089</v>
      </c>
      <c r="J2773" s="7">
        <v>0.33200000000000002</v>
      </c>
      <c r="K2773" s="1" t="s">
        <v>21</v>
      </c>
      <c r="L2773" s="1" t="s">
        <v>29</v>
      </c>
      <c r="M2773" s="1" t="s">
        <v>29</v>
      </c>
      <c r="N2773" s="1" t="s">
        <v>22</v>
      </c>
    </row>
    <row r="2774" spans="1:14" x14ac:dyDescent="0.25">
      <c r="A2774" s="1">
        <v>2773</v>
      </c>
      <c r="B2774" s="2" t="str">
        <f>HYPERLINK("https://leetcode.com/problems/height-of-special-binary-tree/", "Height of Special Binary Tree")</f>
        <v>Height of Special Binary Tree</v>
      </c>
      <c r="C2774" s="1">
        <v>18</v>
      </c>
      <c r="D2774" s="1">
        <v>43</v>
      </c>
      <c r="E2774" s="3">
        <f>IF(INDEX(C:C, ROW())+INDEX(D:D, ROW())=0, 0, INDEX(C:C, ROW())/(INDEX(C:C, ROW())+INDEX(D:D, ROW())))</f>
        <v>0.29508196721311475</v>
      </c>
      <c r="F2774" s="1" t="s">
        <v>80</v>
      </c>
      <c r="G2774" s="1" t="s">
        <v>24</v>
      </c>
      <c r="H2774" s="1">
        <v>1408</v>
      </c>
      <c r="I2774" s="1">
        <v>1890</v>
      </c>
      <c r="J2774" s="7">
        <v>0.745</v>
      </c>
      <c r="K2774" s="1" t="s">
        <v>29</v>
      </c>
      <c r="L2774" s="1" t="s">
        <v>29</v>
      </c>
      <c r="M2774" s="1" t="s">
        <v>29</v>
      </c>
      <c r="N2774" s="1" t="s">
        <v>22</v>
      </c>
    </row>
    <row r="2775" spans="1:14" x14ac:dyDescent="0.25">
      <c r="A2775" s="1">
        <v>2774</v>
      </c>
      <c r="B2775" s="2" t="str">
        <f>HYPERLINK("https://leetcode.com/problems/array-upper-bound/", "Array Upper Bound")</f>
        <v>Array Upper Bound</v>
      </c>
      <c r="C2775" s="1">
        <v>23</v>
      </c>
      <c r="D2775" s="1">
        <v>2</v>
      </c>
      <c r="E2775" s="3">
        <f>IF(INDEX(C:C, ROW())+INDEX(D:D, ROW())=0, 0, INDEX(C:C, ROW())/(INDEX(C:C, ROW())+INDEX(D:D, ROW())))</f>
        <v>0.92</v>
      </c>
      <c r="G2775" s="1" t="s">
        <v>20</v>
      </c>
      <c r="H2775" s="1">
        <v>2249</v>
      </c>
      <c r="I2775" s="1">
        <v>2740</v>
      </c>
      <c r="J2775" s="7">
        <v>0.82099999999999995</v>
      </c>
      <c r="K2775" s="1" t="s">
        <v>29</v>
      </c>
      <c r="L2775" s="1" t="s">
        <v>21</v>
      </c>
      <c r="M2775" s="1" t="s">
        <v>29</v>
      </c>
      <c r="N2775" s="1" t="s">
        <v>555</v>
      </c>
    </row>
    <row r="2776" spans="1:14" x14ac:dyDescent="0.25">
      <c r="A2776" s="1">
        <v>2775</v>
      </c>
      <c r="B2776" s="2" t="str">
        <f>HYPERLINK("https://leetcode.com/problems/undefined-to-null/", "Undefined to Null")</f>
        <v>Undefined to Null</v>
      </c>
      <c r="C2776" s="1">
        <v>15</v>
      </c>
      <c r="D2776" s="1">
        <v>1</v>
      </c>
      <c r="E2776" s="3">
        <f>IF(INDEX(C:C, ROW())+INDEX(D:D, ROW())=0, 0, INDEX(C:C, ROW())/(INDEX(C:C, ROW())+INDEX(D:D, ROW())))</f>
        <v>0.9375</v>
      </c>
      <c r="G2776" s="1" t="s">
        <v>24</v>
      </c>
      <c r="H2776" s="1">
        <v>976</v>
      </c>
      <c r="I2776" s="1">
        <v>1359</v>
      </c>
      <c r="J2776" s="7">
        <v>0.71799999999999997</v>
      </c>
      <c r="K2776" s="1" t="s">
        <v>29</v>
      </c>
      <c r="L2776" s="1" t="s">
        <v>21</v>
      </c>
      <c r="M2776" s="1" t="s">
        <v>29</v>
      </c>
      <c r="N2776" s="1" t="s">
        <v>555</v>
      </c>
    </row>
    <row r="2777" spans="1:14" x14ac:dyDescent="0.25">
      <c r="A2777" s="1">
        <v>2776</v>
      </c>
      <c r="B2777" s="2" t="str">
        <f>HYPERLINK("https://leetcode.com/problems/convert-callback-based-function-to-promise-based-function/", "Convert Callback Based Function to Promise Based Function")</f>
        <v>Convert Callback Based Function to Promise Based Function</v>
      </c>
      <c r="C2777" s="1">
        <v>19</v>
      </c>
      <c r="D2777" s="1">
        <v>12</v>
      </c>
      <c r="E2777" s="3">
        <f>IF(INDEX(C:C, ROW())+INDEX(D:D, ROW())=0, 0, INDEX(C:C, ROW())/(INDEX(C:C, ROW())+INDEX(D:D, ROW())))</f>
        <v>0.61290322580645162</v>
      </c>
      <c r="G2777" s="1" t="s">
        <v>24</v>
      </c>
      <c r="H2777" s="1">
        <v>1250</v>
      </c>
      <c r="I2777" s="1">
        <v>1379</v>
      </c>
      <c r="J2777" s="7">
        <v>0.90600000000000003</v>
      </c>
      <c r="K2777" s="1" t="s">
        <v>29</v>
      </c>
      <c r="L2777" s="1" t="s">
        <v>21</v>
      </c>
      <c r="M2777" s="1" t="s">
        <v>29</v>
      </c>
      <c r="N2777" s="1" t="s">
        <v>555</v>
      </c>
    </row>
    <row r="2778" spans="1:14" x14ac:dyDescent="0.25">
      <c r="A2778" s="1">
        <v>2777</v>
      </c>
      <c r="B2778" s="2" t="str">
        <f>HYPERLINK("https://leetcode.com/problems/date-range-generator/", "Date Range Generator")</f>
        <v>Date Range Generator</v>
      </c>
      <c r="C2778" s="1">
        <v>11</v>
      </c>
      <c r="D2778" s="1">
        <v>2</v>
      </c>
      <c r="E2778" s="3">
        <f>IF(INDEX(C:C, ROW())+INDEX(D:D, ROW())=0, 0, INDEX(C:C, ROW())/(INDEX(C:C, ROW())+INDEX(D:D, ROW())))</f>
        <v>0.84615384615384615</v>
      </c>
      <c r="G2778" s="1" t="s">
        <v>24</v>
      </c>
      <c r="H2778" s="1">
        <v>680</v>
      </c>
      <c r="I2778" s="1">
        <v>818</v>
      </c>
      <c r="J2778" s="7">
        <v>0.83099999999999996</v>
      </c>
      <c r="K2778" s="1" t="s">
        <v>29</v>
      </c>
      <c r="L2778" s="1" t="s">
        <v>21</v>
      </c>
      <c r="M2778" s="1" t="s">
        <v>29</v>
      </c>
      <c r="N2778" s="1" t="s">
        <v>555</v>
      </c>
    </row>
    <row r="2779" spans="1:14" x14ac:dyDescent="0.25">
      <c r="A2779" s="1">
        <v>2778</v>
      </c>
      <c r="B2779" s="2" t="str">
        <f>HYPERLINK("https://leetcode.com/problems/sum-of-squares-of-special-elements/", "Sum of Squares of Special Elements ")</f>
        <v xml:space="preserve">Sum of Squares of Special Elements </v>
      </c>
      <c r="C2779" s="1">
        <v>318</v>
      </c>
      <c r="D2779" s="1">
        <v>138</v>
      </c>
      <c r="E2779" s="3">
        <f>IF(INDEX(C:C, ROW())+INDEX(D:D, ROW())=0, 0, INDEX(C:C, ROW())/(INDEX(C:C, ROW())+INDEX(D:D, ROW())))</f>
        <v>0.69736842105263153</v>
      </c>
      <c r="F2779" s="1" t="s">
        <v>654</v>
      </c>
      <c r="G2779" s="1" t="s">
        <v>20</v>
      </c>
      <c r="H2779" s="1">
        <v>99054</v>
      </c>
      <c r="I2779" s="1">
        <v>120918</v>
      </c>
      <c r="J2779" s="7">
        <v>0.81899999999999995</v>
      </c>
      <c r="K2779" s="1" t="s">
        <v>21</v>
      </c>
      <c r="L2779" s="1" t="s">
        <v>29</v>
      </c>
      <c r="M2779" s="1" t="s">
        <v>29</v>
      </c>
      <c r="N2779" s="1" t="s">
        <v>22</v>
      </c>
    </row>
    <row r="2780" spans="1:14" x14ac:dyDescent="0.25">
      <c r="A2780" s="1">
        <v>2779</v>
      </c>
      <c r="B2780" s="2" t="str">
        <f>HYPERLINK("https://leetcode.com/problems/maximum-beauty-of-an-array-after-applying-operation/", "Maximum Beauty of an Array After Applying Operation")</f>
        <v>Maximum Beauty of an Array After Applying Operation</v>
      </c>
      <c r="C2780" s="1">
        <v>1268</v>
      </c>
      <c r="D2780" s="1">
        <v>48</v>
      </c>
      <c r="E2780" s="3">
        <f>IF(INDEX(C:C, ROW())+INDEX(D:D, ROW())=0, 0, INDEX(C:C, ROW())/(INDEX(C:C, ROW())+INDEX(D:D, ROW())))</f>
        <v>0.96352583586626139</v>
      </c>
      <c r="F2780" s="1" t="s">
        <v>644</v>
      </c>
      <c r="G2780" s="1" t="s">
        <v>24</v>
      </c>
      <c r="H2780" s="1">
        <v>131477</v>
      </c>
      <c r="I2780" s="1">
        <v>225367</v>
      </c>
      <c r="J2780" s="7">
        <v>0.58299999999999996</v>
      </c>
      <c r="K2780" s="1" t="s">
        <v>21</v>
      </c>
      <c r="L2780" s="1" t="s">
        <v>21</v>
      </c>
      <c r="M2780" s="1" t="s">
        <v>29</v>
      </c>
      <c r="N2780" s="1" t="s">
        <v>22</v>
      </c>
    </row>
    <row r="2781" spans="1:14" x14ac:dyDescent="0.25">
      <c r="A2781" s="1">
        <v>2780</v>
      </c>
      <c r="B2781" s="2" t="str">
        <f>HYPERLINK("https://leetcode.com/problems/minimum-index-of-a-valid-split/", "Minimum Index of a Valid Split")</f>
        <v>Minimum Index of a Valid Split</v>
      </c>
      <c r="C2781" s="1">
        <v>818</v>
      </c>
      <c r="D2781" s="1">
        <v>47</v>
      </c>
      <c r="E2781" s="3">
        <f>IF(INDEX(C:C, ROW())+INDEX(D:D, ROW())=0, 0, INDEX(C:C, ROW())/(INDEX(C:C, ROW())+INDEX(D:D, ROW())))</f>
        <v>0.94566473988439304</v>
      </c>
      <c r="F2781" s="1" t="s">
        <v>92</v>
      </c>
      <c r="G2781" s="1" t="s">
        <v>24</v>
      </c>
      <c r="H2781" s="1">
        <v>148250</v>
      </c>
      <c r="I2781" s="1">
        <v>196315</v>
      </c>
      <c r="J2781" s="7">
        <v>0.755</v>
      </c>
      <c r="K2781" s="1" t="s">
        <v>21</v>
      </c>
      <c r="L2781" s="1" t="s">
        <v>21</v>
      </c>
      <c r="M2781" s="1" t="s">
        <v>29</v>
      </c>
      <c r="N2781" s="1" t="s">
        <v>22</v>
      </c>
    </row>
    <row r="2782" spans="1:14" x14ac:dyDescent="0.25">
      <c r="A2782" s="1">
        <v>2781</v>
      </c>
      <c r="B2782" s="2" t="str">
        <f>HYPERLINK("https://leetcode.com/problems/length-of-the-longest-valid-substring/", "Length of the Longest Valid Substring")</f>
        <v>Length of the Longest Valid Substring</v>
      </c>
      <c r="C2782" s="1">
        <v>614</v>
      </c>
      <c r="D2782" s="1">
        <v>32</v>
      </c>
      <c r="E2782" s="3">
        <f>IF(INDEX(C:C, ROW())+INDEX(D:D, ROW())=0, 0, INDEX(C:C, ROW())/(INDEX(C:C, ROW())+INDEX(D:D, ROW())))</f>
        <v>0.9504643962848297</v>
      </c>
      <c r="F2782" s="1" t="s">
        <v>842</v>
      </c>
      <c r="G2782" s="1" t="s">
        <v>28</v>
      </c>
      <c r="H2782" s="1">
        <v>38211</v>
      </c>
      <c r="I2782" s="1">
        <v>100088</v>
      </c>
      <c r="J2782" s="7">
        <v>0.38200000000000001</v>
      </c>
      <c r="K2782" s="1" t="s">
        <v>21</v>
      </c>
      <c r="L2782" s="1" t="s">
        <v>29</v>
      </c>
      <c r="M2782" s="1" t="s">
        <v>29</v>
      </c>
      <c r="N2782" s="1" t="s">
        <v>22</v>
      </c>
    </row>
    <row r="2783" spans="1:14" x14ac:dyDescent="0.25">
      <c r="A2783" s="1">
        <v>2782</v>
      </c>
      <c r="B2783" s="2" t="str">
        <f>HYPERLINK("https://leetcode.com/problems/number-of-unique-categories/", "Number of Unique Categories")</f>
        <v>Number of Unique Categories</v>
      </c>
      <c r="C2783" s="1">
        <v>35</v>
      </c>
      <c r="D2783" s="1">
        <v>4</v>
      </c>
      <c r="E2783" s="3">
        <f>IF(INDEX(C:C, ROW())+INDEX(D:D, ROW())=0, 0, INDEX(C:C, ROW())/(INDEX(C:C, ROW())+INDEX(D:D, ROW())))</f>
        <v>0.89743589743589747</v>
      </c>
      <c r="F2783" s="1" t="s">
        <v>1293</v>
      </c>
      <c r="G2783" s="1" t="s">
        <v>24</v>
      </c>
      <c r="H2783" s="1">
        <v>3463</v>
      </c>
      <c r="I2783" s="1">
        <v>4140</v>
      </c>
      <c r="J2783" s="7">
        <v>0.83599999999999997</v>
      </c>
      <c r="K2783" s="1" t="s">
        <v>29</v>
      </c>
      <c r="L2783" s="1" t="s">
        <v>21</v>
      </c>
      <c r="M2783" s="1" t="s">
        <v>29</v>
      </c>
      <c r="N2783" s="1" t="s">
        <v>22</v>
      </c>
    </row>
    <row r="2784" spans="1:14" x14ac:dyDescent="0.25">
      <c r="A2784" s="1">
        <v>2783</v>
      </c>
      <c r="B2784" s="2" t="str">
        <f>HYPERLINK("https://leetcode.com/problems/flight-occupancy-and-waitlist-analysis/", "Flight Occupancy and Waitlist Analysis")</f>
        <v>Flight Occupancy and Waitlist Analysis</v>
      </c>
      <c r="C2784" s="1">
        <v>20</v>
      </c>
      <c r="D2784" s="1">
        <v>8</v>
      </c>
      <c r="E2784" s="3">
        <f>IF(INDEX(C:C, ROW())+INDEX(D:D, ROW())=0, 0, INDEX(C:C, ROW())/(INDEX(C:C, ROW())+INDEX(D:D, ROW())))</f>
        <v>0.7142857142857143</v>
      </c>
      <c r="F2784" s="1" t="s">
        <v>297</v>
      </c>
      <c r="G2784" s="1" t="s">
        <v>24</v>
      </c>
      <c r="H2784" s="1">
        <v>4866</v>
      </c>
      <c r="I2784" s="1">
        <v>12594</v>
      </c>
      <c r="J2784" s="7">
        <v>0.38600000000000001</v>
      </c>
      <c r="K2784" s="1" t="s">
        <v>29</v>
      </c>
      <c r="L2784" s="1" t="s">
        <v>21</v>
      </c>
      <c r="M2784" s="1" t="s">
        <v>29</v>
      </c>
      <c r="N2784" s="1" t="s">
        <v>297</v>
      </c>
    </row>
    <row r="2785" spans="1:14" x14ac:dyDescent="0.25">
      <c r="A2785" s="1">
        <v>2784</v>
      </c>
      <c r="B2785" s="2" t="str">
        <f>HYPERLINK("https://leetcode.com/problems/check-if-array-is-good/", "Check if Array is Good")</f>
        <v>Check if Array is Good</v>
      </c>
      <c r="C2785" s="1">
        <v>312</v>
      </c>
      <c r="D2785" s="1">
        <v>54</v>
      </c>
      <c r="E2785" s="3">
        <f>IF(INDEX(C:C, ROW())+INDEX(D:D, ROW())=0, 0, INDEX(C:C, ROW())/(INDEX(C:C, ROW())+INDEX(D:D, ROW())))</f>
        <v>0.85245901639344257</v>
      </c>
      <c r="F2785" s="1" t="s">
        <v>92</v>
      </c>
      <c r="G2785" s="1" t="s">
        <v>20</v>
      </c>
      <c r="H2785" s="1">
        <v>64148</v>
      </c>
      <c r="I2785" s="1">
        <v>131721</v>
      </c>
      <c r="J2785" s="7">
        <v>0.48699999999999999</v>
      </c>
      <c r="K2785" s="1" t="s">
        <v>21</v>
      </c>
      <c r="L2785" s="1" t="s">
        <v>29</v>
      </c>
      <c r="M2785" s="1" t="s">
        <v>29</v>
      </c>
      <c r="N2785" s="1" t="s">
        <v>22</v>
      </c>
    </row>
    <row r="2786" spans="1:14" x14ac:dyDescent="0.25">
      <c r="A2786" s="1">
        <v>2785</v>
      </c>
      <c r="B2786" s="2" t="str">
        <f>HYPERLINK("https://leetcode.com/problems/sort-vowels-in-a-string/", "Sort Vowels in a String")</f>
        <v>Sort Vowels in a String</v>
      </c>
      <c r="C2786" s="1">
        <v>1422</v>
      </c>
      <c r="D2786" s="1">
        <v>73</v>
      </c>
      <c r="E2786" s="3">
        <f>IF(INDEX(C:C, ROW())+INDEX(D:D, ROW())=0, 0, INDEX(C:C, ROW())/(INDEX(C:C, ROW())+INDEX(D:D, ROW())))</f>
        <v>0.95117056856187288</v>
      </c>
      <c r="F2786" s="1" t="s">
        <v>444</v>
      </c>
      <c r="G2786" s="1" t="s">
        <v>24</v>
      </c>
      <c r="H2786" s="1">
        <v>307101</v>
      </c>
      <c r="I2786" s="1">
        <v>368035</v>
      </c>
      <c r="J2786" s="7">
        <v>0.83399999999999996</v>
      </c>
      <c r="K2786" s="1" t="s">
        <v>21</v>
      </c>
      <c r="L2786" s="1" t="s">
        <v>21</v>
      </c>
      <c r="M2786" s="1" t="s">
        <v>29</v>
      </c>
      <c r="N2786" s="1" t="s">
        <v>22</v>
      </c>
    </row>
    <row r="2787" spans="1:14" x14ac:dyDescent="0.25">
      <c r="A2787" s="1">
        <v>2786</v>
      </c>
      <c r="B2787" s="2" t="str">
        <f>HYPERLINK("https://leetcode.com/problems/visit-array-positions-to-maximize-score/", "Visit Array Positions to Maximize Score")</f>
        <v>Visit Array Positions to Maximize Score</v>
      </c>
      <c r="C2787" s="1">
        <v>533</v>
      </c>
      <c r="D2787" s="1">
        <v>33</v>
      </c>
      <c r="E2787" s="3">
        <f>IF(INDEX(C:C, ROW())+INDEX(D:D, ROW())=0, 0, INDEX(C:C, ROW())/(INDEX(C:C, ROW())+INDEX(D:D, ROW())))</f>
        <v>0.94169611307420498</v>
      </c>
      <c r="F2787" s="1" t="s">
        <v>30</v>
      </c>
      <c r="G2787" s="1" t="s">
        <v>24</v>
      </c>
      <c r="H2787" s="1">
        <v>24628</v>
      </c>
      <c r="I2787" s="1">
        <v>65749</v>
      </c>
      <c r="J2787" s="7">
        <v>0.375</v>
      </c>
      <c r="K2787" s="1" t="s">
        <v>21</v>
      </c>
      <c r="L2787" s="1" t="s">
        <v>29</v>
      </c>
      <c r="M2787" s="1" t="s">
        <v>29</v>
      </c>
      <c r="N2787" s="1" t="s">
        <v>22</v>
      </c>
    </row>
    <row r="2788" spans="1:14" x14ac:dyDescent="0.25">
      <c r="A2788" s="1">
        <v>2787</v>
      </c>
      <c r="B2788" s="2" t="str">
        <f>HYPERLINK("https://leetcode.com/problems/ways-to-express-an-integer-as-sum-of-powers/", "Ways to Express an Integer as Sum of Powers")</f>
        <v>Ways to Express an Integer as Sum of Powers</v>
      </c>
      <c r="C2788" s="1">
        <v>844</v>
      </c>
      <c r="D2788" s="1">
        <v>41</v>
      </c>
      <c r="E2788" s="3">
        <f>IF(INDEX(C:C, ROW())+INDEX(D:D, ROW())=0, 0, INDEX(C:C, ROW())/(INDEX(C:C, ROW())+INDEX(D:D, ROW())))</f>
        <v>0.95367231638418082</v>
      </c>
      <c r="F2788" s="1" t="s">
        <v>251</v>
      </c>
      <c r="G2788" s="1" t="s">
        <v>24</v>
      </c>
      <c r="H2788" s="1">
        <v>118141</v>
      </c>
      <c r="I2788" s="1">
        <v>236922</v>
      </c>
      <c r="J2788" s="7">
        <v>0.499</v>
      </c>
      <c r="K2788" s="1" t="s">
        <v>21</v>
      </c>
      <c r="L2788" s="1" t="s">
        <v>21</v>
      </c>
      <c r="M2788" s="1" t="s">
        <v>29</v>
      </c>
      <c r="N2788" s="1" t="s">
        <v>22</v>
      </c>
    </row>
    <row r="2789" spans="1:14" x14ac:dyDescent="0.25">
      <c r="A2789" s="1">
        <v>2788</v>
      </c>
      <c r="B2789" s="2" t="str">
        <f>HYPERLINK("https://leetcode.com/problems/split-strings-by-separator/", "Split Strings by Separator")</f>
        <v>Split Strings by Separator</v>
      </c>
      <c r="C2789" s="1">
        <v>346</v>
      </c>
      <c r="D2789" s="1">
        <v>13</v>
      </c>
      <c r="E2789" s="3">
        <f>IF(INDEX(C:C, ROW())+INDEX(D:D, ROW())=0, 0, INDEX(C:C, ROW())/(INDEX(C:C, ROW())+INDEX(D:D, ROW())))</f>
        <v>0.96378830083565459</v>
      </c>
      <c r="F2789" s="1" t="s">
        <v>369</v>
      </c>
      <c r="G2789" s="1" t="s">
        <v>20</v>
      </c>
      <c r="H2789" s="1">
        <v>77734</v>
      </c>
      <c r="I2789" s="1">
        <v>102332</v>
      </c>
      <c r="J2789" s="7">
        <v>0.76</v>
      </c>
      <c r="K2789" s="1" t="s">
        <v>21</v>
      </c>
      <c r="L2789" s="1" t="s">
        <v>29</v>
      </c>
      <c r="M2789" s="1" t="s">
        <v>29</v>
      </c>
      <c r="N2789" s="1" t="s">
        <v>22</v>
      </c>
    </row>
    <row r="2790" spans="1:14" x14ac:dyDescent="0.25">
      <c r="A2790" s="1">
        <v>2789</v>
      </c>
      <c r="B2790" s="2" t="str">
        <f>HYPERLINK("https://leetcode.com/problems/largest-element-in-an-array-after-merge-operations/", "Largest Element in an Array after Merge Operations")</f>
        <v>Largest Element in an Array after Merge Operations</v>
      </c>
      <c r="C2790" s="1">
        <v>500</v>
      </c>
      <c r="D2790" s="1">
        <v>33</v>
      </c>
      <c r="E2790" s="3">
        <f>IF(INDEX(C:C, ROW())+INDEX(D:D, ROW())=0, 0, INDEX(C:C, ROW())/(INDEX(C:C, ROW())+INDEX(D:D, ROW())))</f>
        <v>0.93808630393996251</v>
      </c>
      <c r="F2790" s="1" t="s">
        <v>96</v>
      </c>
      <c r="G2790" s="1" t="s">
        <v>24</v>
      </c>
      <c r="H2790" s="1">
        <v>36934</v>
      </c>
      <c r="I2790" s="1">
        <v>77551</v>
      </c>
      <c r="J2790" s="7">
        <v>0.47599999999999998</v>
      </c>
      <c r="K2790" s="1" t="s">
        <v>21</v>
      </c>
      <c r="L2790" s="1" t="s">
        <v>29</v>
      </c>
      <c r="M2790" s="1" t="s">
        <v>29</v>
      </c>
      <c r="N2790" s="1" t="s">
        <v>22</v>
      </c>
    </row>
    <row r="2791" spans="1:14" x14ac:dyDescent="0.25">
      <c r="A2791" s="1">
        <v>2790</v>
      </c>
      <c r="B2791" s="2" t="str">
        <f>HYPERLINK("https://leetcode.com/problems/maximum-number-of-groups-with-increasing-length/", "Maximum Number of Groups With Increasing Length")</f>
        <v>Maximum Number of Groups With Increasing Length</v>
      </c>
      <c r="C2791" s="1">
        <v>421</v>
      </c>
      <c r="D2791" s="1">
        <v>44</v>
      </c>
      <c r="E2791" s="3">
        <f>IF(INDEX(C:C, ROW())+INDEX(D:D, ROW())=0, 0, INDEX(C:C, ROW())/(INDEX(C:C, ROW())+INDEX(D:D, ROW())))</f>
        <v>0.90537634408602152</v>
      </c>
      <c r="F2791" s="1" t="s">
        <v>967</v>
      </c>
      <c r="G2791" s="1" t="s">
        <v>28</v>
      </c>
      <c r="H2791" s="1">
        <v>13599</v>
      </c>
      <c r="I2791" s="1">
        <v>59187</v>
      </c>
      <c r="J2791" s="7">
        <v>0.23</v>
      </c>
      <c r="K2791" s="1" t="s">
        <v>21</v>
      </c>
      <c r="L2791" s="1" t="s">
        <v>29</v>
      </c>
      <c r="M2791" s="1" t="s">
        <v>29</v>
      </c>
      <c r="N2791" s="1" t="s">
        <v>22</v>
      </c>
    </row>
    <row r="2792" spans="1:14" x14ac:dyDescent="0.25">
      <c r="A2792" s="1">
        <v>2791</v>
      </c>
      <c r="B2792" s="2" t="str">
        <f>HYPERLINK("https://leetcode.com/problems/count-paths-that-can-form-a-palindrome-in-a-tree/", "Count Paths That Can Form a Palindrome in a Tree")</f>
        <v>Count Paths That Can Form a Palindrome in a Tree</v>
      </c>
      <c r="C2792" s="1">
        <v>441</v>
      </c>
      <c r="D2792" s="1">
        <v>18</v>
      </c>
      <c r="E2792" s="3">
        <f>IF(INDEX(C:C, ROW())+INDEX(D:D, ROW())=0, 0, INDEX(C:C, ROW())/(INDEX(C:C, ROW())+INDEX(D:D, ROW())))</f>
        <v>0.96078431372549022</v>
      </c>
      <c r="F2792" s="1" t="s">
        <v>954</v>
      </c>
      <c r="G2792" s="1" t="s">
        <v>28</v>
      </c>
      <c r="H2792" s="1">
        <v>10586</v>
      </c>
      <c r="I2792" s="1">
        <v>21898</v>
      </c>
      <c r="J2792" s="7">
        <v>0.48299999999999998</v>
      </c>
      <c r="K2792" s="1" t="s">
        <v>21</v>
      </c>
      <c r="L2792" s="1" t="s">
        <v>29</v>
      </c>
      <c r="M2792" s="1" t="s">
        <v>29</v>
      </c>
      <c r="N2792" s="1" t="s">
        <v>22</v>
      </c>
    </row>
    <row r="2793" spans="1:14" x14ac:dyDescent="0.25">
      <c r="A2793" s="1">
        <v>2792</v>
      </c>
      <c r="B2793" s="2" t="str">
        <f>HYPERLINK("https://leetcode.com/problems/count-nodes-that-are-great-enough/", "Count Nodes That Are Great Enough")</f>
        <v>Count Nodes That Are Great Enough</v>
      </c>
      <c r="C2793" s="1">
        <v>24</v>
      </c>
      <c r="D2793" s="1">
        <v>0</v>
      </c>
      <c r="E2793" s="3">
        <f>IF(INDEX(C:C, ROW())+INDEX(D:D, ROW())=0, 0, INDEX(C:C, ROW())/(INDEX(C:C, ROW())+INDEX(D:D, ROW())))</f>
        <v>1</v>
      </c>
      <c r="F2793" s="1" t="s">
        <v>1312</v>
      </c>
      <c r="G2793" s="1" t="s">
        <v>28</v>
      </c>
      <c r="H2793" s="1">
        <v>1398</v>
      </c>
      <c r="I2793" s="1">
        <v>2452</v>
      </c>
      <c r="J2793" s="7">
        <v>0.56999999999999995</v>
      </c>
      <c r="K2793" s="1" t="s">
        <v>29</v>
      </c>
      <c r="L2793" s="1" t="s">
        <v>29</v>
      </c>
      <c r="M2793" s="1" t="s">
        <v>29</v>
      </c>
      <c r="N2793" s="1" t="s">
        <v>22</v>
      </c>
    </row>
    <row r="2794" spans="1:14" x14ac:dyDescent="0.25">
      <c r="A2794" s="1">
        <v>2793</v>
      </c>
      <c r="B2794" s="2" t="str">
        <f>HYPERLINK("https://leetcode.com/problems/status-of-flight-tickets/", "Status of Flight Tickets")</f>
        <v>Status of Flight Tickets</v>
      </c>
      <c r="C2794" s="1">
        <v>13</v>
      </c>
      <c r="D2794" s="1">
        <v>21</v>
      </c>
      <c r="E2794" s="3">
        <f>IF(INDEX(C:C, ROW())+INDEX(D:D, ROW())=0, 0, INDEX(C:C, ROW())/(INDEX(C:C, ROW())+INDEX(D:D, ROW())))</f>
        <v>0.38235294117647056</v>
      </c>
      <c r="G2794" s="1" t="s">
        <v>28</v>
      </c>
      <c r="H2794" s="1">
        <v>3385</v>
      </c>
      <c r="I2794" s="1">
        <v>4315</v>
      </c>
      <c r="J2794" s="7">
        <v>0.78400000000000003</v>
      </c>
      <c r="K2794" s="1" t="s">
        <v>29</v>
      </c>
      <c r="L2794" s="1" t="s">
        <v>29</v>
      </c>
      <c r="M2794" s="1" t="s">
        <v>29</v>
      </c>
      <c r="N2794" s="1" t="s">
        <v>297</v>
      </c>
    </row>
    <row r="2795" spans="1:14" x14ac:dyDescent="0.25">
      <c r="A2795" s="1">
        <v>2794</v>
      </c>
      <c r="B2795" s="2" t="str">
        <f>HYPERLINK("https://leetcode.com/problems/create-object-from-two-arrays/", "Create Object from Two Arrays")</f>
        <v>Create Object from Two Arrays</v>
      </c>
      <c r="C2795" s="1">
        <v>11</v>
      </c>
      <c r="D2795" s="1">
        <v>3</v>
      </c>
      <c r="E2795" s="3">
        <f>IF(INDEX(C:C, ROW())+INDEX(D:D, ROW())=0, 0, INDEX(C:C, ROW())/(INDEX(C:C, ROW())+INDEX(D:D, ROW())))</f>
        <v>0.7857142857142857</v>
      </c>
      <c r="G2795" s="1" t="s">
        <v>20</v>
      </c>
      <c r="H2795" s="1">
        <v>1722</v>
      </c>
      <c r="I2795" s="1">
        <v>2697</v>
      </c>
      <c r="J2795" s="7">
        <v>0.63800000000000001</v>
      </c>
      <c r="K2795" s="1" t="s">
        <v>29</v>
      </c>
      <c r="L2795" s="1" t="s">
        <v>21</v>
      </c>
      <c r="M2795" s="1" t="s">
        <v>29</v>
      </c>
      <c r="N2795" s="1" t="s">
        <v>555</v>
      </c>
    </row>
    <row r="2796" spans="1:14" x14ac:dyDescent="0.25">
      <c r="A2796" s="1">
        <v>2795</v>
      </c>
      <c r="B2796" s="2" t="str">
        <f>HYPERLINK("https://leetcode.com/problems/parallel-execution-of-promises-for-individual-results-retrieval/", "Parallel Execution of Promises for Individual Results Retrieval")</f>
        <v>Parallel Execution of Promises for Individual Results Retrieval</v>
      </c>
      <c r="C2796" s="1">
        <v>16</v>
      </c>
      <c r="D2796" s="1">
        <v>5</v>
      </c>
      <c r="E2796" s="3">
        <f>IF(INDEX(C:C, ROW())+INDEX(D:D, ROW())=0, 0, INDEX(C:C, ROW())/(INDEX(C:C, ROW())+INDEX(D:D, ROW())))</f>
        <v>0.76190476190476186</v>
      </c>
      <c r="G2796" s="1" t="s">
        <v>24</v>
      </c>
      <c r="H2796" s="1">
        <v>1042</v>
      </c>
      <c r="I2796" s="1">
        <v>1185</v>
      </c>
      <c r="J2796" s="7">
        <v>0.879</v>
      </c>
      <c r="K2796" s="1" t="s">
        <v>29</v>
      </c>
      <c r="L2796" s="1" t="s">
        <v>21</v>
      </c>
      <c r="M2796" s="1" t="s">
        <v>29</v>
      </c>
      <c r="N2796" s="1" t="s">
        <v>555</v>
      </c>
    </row>
    <row r="2797" spans="1:14" x14ac:dyDescent="0.25">
      <c r="A2797" s="1">
        <v>2796</v>
      </c>
      <c r="B2797" s="2" t="str">
        <f>HYPERLINK("https://leetcode.com/problems/repeat-string/", "Repeat String")</f>
        <v>Repeat String</v>
      </c>
      <c r="C2797" s="1">
        <v>25</v>
      </c>
      <c r="D2797" s="1">
        <v>2</v>
      </c>
      <c r="E2797" s="3">
        <f>IF(INDEX(C:C, ROW())+INDEX(D:D, ROW())=0, 0, INDEX(C:C, ROW())/(INDEX(C:C, ROW())+INDEX(D:D, ROW())))</f>
        <v>0.92592592592592593</v>
      </c>
      <c r="G2797" s="1" t="s">
        <v>20</v>
      </c>
      <c r="H2797" s="1">
        <v>3792</v>
      </c>
      <c r="I2797" s="1">
        <v>4074</v>
      </c>
      <c r="J2797" s="7">
        <v>0.93100000000000005</v>
      </c>
      <c r="K2797" s="1" t="s">
        <v>29</v>
      </c>
      <c r="L2797" s="1" t="s">
        <v>21</v>
      </c>
      <c r="M2797" s="1" t="s">
        <v>29</v>
      </c>
      <c r="N2797" s="1" t="s">
        <v>555</v>
      </c>
    </row>
    <row r="2798" spans="1:14" x14ac:dyDescent="0.25">
      <c r="A2798" s="1">
        <v>2797</v>
      </c>
      <c r="B2798" s="2" t="str">
        <f>HYPERLINK("https://leetcode.com/problems/partial-function-with-placeholders/", "Partial Function with Placeholders")</f>
        <v>Partial Function with Placeholders</v>
      </c>
      <c r="C2798" s="1">
        <v>11</v>
      </c>
      <c r="D2798" s="1">
        <v>4</v>
      </c>
      <c r="E2798" s="3">
        <f>IF(INDEX(C:C, ROW())+INDEX(D:D, ROW())=0, 0, INDEX(C:C, ROW())/(INDEX(C:C, ROW())+INDEX(D:D, ROW())))</f>
        <v>0.73333333333333328</v>
      </c>
      <c r="G2798" s="1" t="s">
        <v>20</v>
      </c>
      <c r="H2798" s="1">
        <v>1613</v>
      </c>
      <c r="I2798" s="1">
        <v>1796</v>
      </c>
      <c r="J2798" s="7">
        <v>0.89800000000000002</v>
      </c>
      <c r="K2798" s="1" t="s">
        <v>29</v>
      </c>
      <c r="L2798" s="1" t="s">
        <v>29</v>
      </c>
      <c r="M2798" s="1" t="s">
        <v>29</v>
      </c>
      <c r="N2798" s="1" t="s">
        <v>555</v>
      </c>
    </row>
    <row r="2799" spans="1:14" x14ac:dyDescent="0.25">
      <c r="A2799" s="1">
        <v>2798</v>
      </c>
      <c r="B2799" s="2" t="str">
        <f>HYPERLINK("https://leetcode.com/problems/number-of-employees-who-met-the-target/", "Number of Employees Who Met the Target")</f>
        <v>Number of Employees Who Met the Target</v>
      </c>
      <c r="C2799" s="1">
        <v>602</v>
      </c>
      <c r="D2799" s="1">
        <v>77</v>
      </c>
      <c r="E2799" s="3">
        <f>IF(INDEX(C:C, ROW())+INDEX(D:D, ROW())=0, 0, INDEX(C:C, ROW())/(INDEX(C:C, ROW())+INDEX(D:D, ROW())))</f>
        <v>0.88659793814432986</v>
      </c>
      <c r="F2799" s="1" t="s">
        <v>113</v>
      </c>
      <c r="G2799" s="1" t="s">
        <v>20</v>
      </c>
      <c r="H2799" s="1">
        <v>236458</v>
      </c>
      <c r="I2799" s="1">
        <v>269288</v>
      </c>
      <c r="J2799" s="7">
        <v>0.878</v>
      </c>
      <c r="K2799" s="1" t="s">
        <v>21</v>
      </c>
      <c r="L2799" s="1" t="s">
        <v>29</v>
      </c>
      <c r="M2799" s="1" t="s">
        <v>29</v>
      </c>
      <c r="N2799" s="1" t="s">
        <v>22</v>
      </c>
    </row>
    <row r="2800" spans="1:14" x14ac:dyDescent="0.25">
      <c r="A2800" s="1">
        <v>2799</v>
      </c>
      <c r="B2800" s="2" t="str">
        <f>HYPERLINK("https://leetcode.com/problems/count-complete-subarrays-in-an-array/", "Count Complete Subarrays in an Array")</f>
        <v>Count Complete Subarrays in an Array</v>
      </c>
      <c r="C2800" s="1">
        <v>1126</v>
      </c>
      <c r="D2800" s="1">
        <v>26</v>
      </c>
      <c r="E2800" s="3">
        <f>IF(INDEX(C:C, ROW())+INDEX(D:D, ROW())=0, 0, INDEX(C:C, ROW())/(INDEX(C:C, ROW())+INDEX(D:D, ROW())))</f>
        <v>0.97743055555555558</v>
      </c>
      <c r="F2800" s="1" t="s">
        <v>185</v>
      </c>
      <c r="G2800" s="1" t="s">
        <v>24</v>
      </c>
      <c r="H2800" s="1">
        <v>169050</v>
      </c>
      <c r="I2800" s="1">
        <v>222678</v>
      </c>
      <c r="J2800" s="7">
        <v>0.75900000000000001</v>
      </c>
      <c r="K2800" s="1" t="s">
        <v>21</v>
      </c>
      <c r="L2800" s="1" t="s">
        <v>21</v>
      </c>
      <c r="M2800" s="1" t="s">
        <v>29</v>
      </c>
      <c r="N2800" s="1" t="s">
        <v>22</v>
      </c>
    </row>
    <row r="2801" spans="1:14" x14ac:dyDescent="0.25">
      <c r="A2801" s="1">
        <v>2800</v>
      </c>
      <c r="B2801" s="2" t="str">
        <f>HYPERLINK("https://leetcode.com/problems/shortest-string-that-contains-three-strings/", "Shortest String That Contains Three Strings")</f>
        <v>Shortest String That Contains Three Strings</v>
      </c>
      <c r="C2801" s="1">
        <v>371</v>
      </c>
      <c r="D2801" s="1">
        <v>295</v>
      </c>
      <c r="E2801" s="3">
        <f>IF(INDEX(C:C, ROW())+INDEX(D:D, ROW())=0, 0, INDEX(C:C, ROW())/(INDEX(C:C, ROW())+INDEX(D:D, ROW())))</f>
        <v>0.5570570570570571</v>
      </c>
      <c r="F2801" s="1" t="s">
        <v>727</v>
      </c>
      <c r="G2801" s="1" t="s">
        <v>24</v>
      </c>
      <c r="H2801" s="1">
        <v>19210</v>
      </c>
      <c r="I2801" s="1">
        <v>60935</v>
      </c>
      <c r="J2801" s="7">
        <v>0.315</v>
      </c>
      <c r="K2801" s="1" t="s">
        <v>21</v>
      </c>
      <c r="L2801" s="1" t="s">
        <v>29</v>
      </c>
      <c r="M2801" s="1" t="s">
        <v>29</v>
      </c>
      <c r="N2801" s="1" t="s">
        <v>22</v>
      </c>
    </row>
    <row r="2802" spans="1:14" x14ac:dyDescent="0.25">
      <c r="A2802" s="1">
        <v>2801</v>
      </c>
      <c r="B2802" s="2" t="str">
        <f>HYPERLINK("https://leetcode.com/problems/count-stepping-numbers-in-range/", "Count Stepping Numbers in Range")</f>
        <v>Count Stepping Numbers in Range</v>
      </c>
      <c r="C2802" s="1">
        <v>355</v>
      </c>
      <c r="D2802" s="1">
        <v>11</v>
      </c>
      <c r="E2802" s="3">
        <f>IF(INDEX(C:C, ROW())+INDEX(D:D, ROW())=0, 0, INDEX(C:C, ROW())/(INDEX(C:C, ROW())+INDEX(D:D, ROW())))</f>
        <v>0.9699453551912568</v>
      </c>
      <c r="F2802" s="1" t="s">
        <v>82</v>
      </c>
      <c r="G2802" s="1" t="s">
        <v>28</v>
      </c>
      <c r="H2802" s="1">
        <v>10651</v>
      </c>
      <c r="I2802" s="1">
        <v>38467</v>
      </c>
      <c r="J2802" s="7">
        <v>0.27700000000000002</v>
      </c>
      <c r="K2802" s="1" t="s">
        <v>21</v>
      </c>
      <c r="L2802" s="1" t="s">
        <v>29</v>
      </c>
      <c r="M2802" s="1" t="s">
        <v>29</v>
      </c>
      <c r="N2802" s="1" t="s">
        <v>22</v>
      </c>
    </row>
    <row r="2803" spans="1:14" x14ac:dyDescent="0.25">
      <c r="A2803" s="1">
        <v>2802</v>
      </c>
      <c r="B2803" s="2" t="str">
        <f>HYPERLINK("https://leetcode.com/problems/find-the-k-th-lucky-number/", "Find The K-th Lucky Number")</f>
        <v>Find The K-th Lucky Number</v>
      </c>
      <c r="C2803" s="1">
        <v>64</v>
      </c>
      <c r="D2803" s="1">
        <v>15</v>
      </c>
      <c r="E2803" s="3">
        <f>IF(INDEX(C:C, ROW())+INDEX(D:D, ROW())=0, 0, INDEX(C:C, ROW())/(INDEX(C:C, ROW())+INDEX(D:D, ROW())))</f>
        <v>0.810126582278481</v>
      </c>
      <c r="F2803" s="1" t="s">
        <v>605</v>
      </c>
      <c r="G2803" s="1" t="s">
        <v>24</v>
      </c>
      <c r="H2803" s="1">
        <v>6295</v>
      </c>
      <c r="I2803" s="1">
        <v>8270</v>
      </c>
      <c r="J2803" s="7">
        <v>0.76100000000000001</v>
      </c>
      <c r="K2803" s="1" t="s">
        <v>29</v>
      </c>
      <c r="L2803" s="1" t="s">
        <v>21</v>
      </c>
      <c r="M2803" s="1" t="s">
        <v>29</v>
      </c>
      <c r="N2803" s="1" t="s">
        <v>22</v>
      </c>
    </row>
    <row r="2804" spans="1:14" x14ac:dyDescent="0.25">
      <c r="A2804" s="1">
        <v>2803</v>
      </c>
      <c r="B2804" s="2" t="str">
        <f>HYPERLINK("https://leetcode.com/problems/factorial-generator/", "Factorial Generator")</f>
        <v>Factorial Generator</v>
      </c>
      <c r="C2804" s="1">
        <v>20</v>
      </c>
      <c r="D2804" s="1">
        <v>1</v>
      </c>
      <c r="E2804" s="3">
        <f>IF(INDEX(C:C, ROW())+INDEX(D:D, ROW())=0, 0, INDEX(C:C, ROW())/(INDEX(C:C, ROW())+INDEX(D:D, ROW())))</f>
        <v>0.95238095238095233</v>
      </c>
      <c r="G2804" s="1" t="s">
        <v>20</v>
      </c>
      <c r="H2804" s="1">
        <v>1559</v>
      </c>
      <c r="I2804" s="1">
        <v>1814</v>
      </c>
      <c r="J2804" s="7">
        <v>0.85899999999999999</v>
      </c>
      <c r="K2804" s="1" t="s">
        <v>29</v>
      </c>
      <c r="L2804" s="1" t="s">
        <v>21</v>
      </c>
      <c r="M2804" s="1" t="s">
        <v>29</v>
      </c>
      <c r="N2804" s="1" t="s">
        <v>555</v>
      </c>
    </row>
    <row r="2805" spans="1:14" x14ac:dyDescent="0.25">
      <c r="A2805" s="1">
        <v>2804</v>
      </c>
      <c r="B2805" s="2" t="str">
        <f>HYPERLINK("https://leetcode.com/problems/array-prototype-foreach/", "Array Prototype ForEach")</f>
        <v>Array Prototype ForEach</v>
      </c>
      <c r="C2805" s="1">
        <v>9</v>
      </c>
      <c r="D2805" s="1">
        <v>10</v>
      </c>
      <c r="E2805" s="3">
        <f>IF(INDEX(C:C, ROW())+INDEX(D:D, ROW())=0, 0, INDEX(C:C, ROW())/(INDEX(C:C, ROW())+INDEX(D:D, ROW())))</f>
        <v>0.47368421052631576</v>
      </c>
      <c r="G2805" s="1" t="s">
        <v>20</v>
      </c>
      <c r="H2805" s="1">
        <v>1526</v>
      </c>
      <c r="I2805" s="1">
        <v>1696</v>
      </c>
      <c r="J2805" s="7">
        <v>0.9</v>
      </c>
      <c r="K2805" s="1" t="s">
        <v>29</v>
      </c>
      <c r="L2805" s="1" t="s">
        <v>21</v>
      </c>
      <c r="M2805" s="1" t="s">
        <v>29</v>
      </c>
      <c r="N2805" s="1" t="s">
        <v>555</v>
      </c>
    </row>
    <row r="2806" spans="1:14" x14ac:dyDescent="0.25">
      <c r="A2806" s="1">
        <v>2805</v>
      </c>
      <c r="B2806" s="2" t="str">
        <f>HYPERLINK("https://leetcode.com/problems/custom-interval/", "Custom Interval")</f>
        <v>Custom Interval</v>
      </c>
      <c r="C2806" s="1">
        <v>17</v>
      </c>
      <c r="D2806" s="1">
        <v>8</v>
      </c>
      <c r="E2806" s="3">
        <f>IF(INDEX(C:C, ROW())+INDEX(D:D, ROW())=0, 0, INDEX(C:C, ROW())/(INDEX(C:C, ROW())+INDEX(D:D, ROW())))</f>
        <v>0.68</v>
      </c>
      <c r="G2806" s="1" t="s">
        <v>24</v>
      </c>
      <c r="H2806" s="1">
        <v>720</v>
      </c>
      <c r="I2806" s="1">
        <v>854</v>
      </c>
      <c r="J2806" s="7">
        <v>0.84299999999999997</v>
      </c>
      <c r="K2806" s="1" t="s">
        <v>29</v>
      </c>
      <c r="L2806" s="1" t="s">
        <v>21</v>
      </c>
      <c r="M2806" s="1" t="s">
        <v>29</v>
      </c>
      <c r="N2806" s="1" t="s">
        <v>555</v>
      </c>
    </row>
    <row r="2807" spans="1:14" x14ac:dyDescent="0.25">
      <c r="A2807" s="1">
        <v>2806</v>
      </c>
      <c r="B2807" s="2" t="str">
        <f>HYPERLINK("https://leetcode.com/problems/account-balance-after-rounded-purchase/", "Account Balance After Rounded Purchase")</f>
        <v>Account Balance After Rounded Purchase</v>
      </c>
      <c r="C2807" s="1">
        <v>292</v>
      </c>
      <c r="D2807" s="1">
        <v>50</v>
      </c>
      <c r="E2807" s="3">
        <f>IF(INDEX(C:C, ROW())+INDEX(D:D, ROW())=0, 0, INDEX(C:C, ROW())/(INDEX(C:C, ROW())+INDEX(D:D, ROW())))</f>
        <v>0.85380116959064323</v>
      </c>
      <c r="F2807" s="1" t="s">
        <v>84</v>
      </c>
      <c r="G2807" s="1" t="s">
        <v>20</v>
      </c>
      <c r="H2807" s="1">
        <v>61772</v>
      </c>
      <c r="I2807" s="1">
        <v>109798</v>
      </c>
      <c r="J2807" s="7">
        <v>0.56299999999999994</v>
      </c>
      <c r="K2807" s="1" t="s">
        <v>21</v>
      </c>
      <c r="L2807" s="1" t="s">
        <v>29</v>
      </c>
      <c r="M2807" s="1" t="s">
        <v>29</v>
      </c>
      <c r="N2807" s="1" t="s">
        <v>22</v>
      </c>
    </row>
    <row r="2808" spans="1:14" x14ac:dyDescent="0.25">
      <c r="A2808" s="1">
        <v>2807</v>
      </c>
      <c r="B2808" s="2" t="str">
        <f>HYPERLINK("https://leetcode.com/problems/insert-greatest-common-divisors-in-linked-list/", "Insert Greatest Common Divisors in Linked List")</f>
        <v>Insert Greatest Common Divisors in Linked List</v>
      </c>
      <c r="C2808" s="1">
        <v>1136</v>
      </c>
      <c r="D2808" s="1">
        <v>36</v>
      </c>
      <c r="E2808" s="3">
        <f>IF(INDEX(C:C, ROW())+INDEX(D:D, ROW())=0, 0, INDEX(C:C, ROW())/(INDEX(C:C, ROW())+INDEX(D:D, ROW())))</f>
        <v>0.96928327645051193</v>
      </c>
      <c r="F2808" s="1" t="s">
        <v>675</v>
      </c>
      <c r="G2808" s="1" t="s">
        <v>24</v>
      </c>
      <c r="H2808" s="1">
        <v>289627</v>
      </c>
      <c r="I2808" s="1">
        <v>316686</v>
      </c>
      <c r="J2808" s="7">
        <v>0.91500000000000004</v>
      </c>
      <c r="K2808" s="1" t="s">
        <v>21</v>
      </c>
      <c r="L2808" s="1" t="s">
        <v>21</v>
      </c>
      <c r="M2808" s="1" t="s">
        <v>29</v>
      </c>
      <c r="N2808" s="1" t="s">
        <v>22</v>
      </c>
    </row>
    <row r="2809" spans="1:14" x14ac:dyDescent="0.25">
      <c r="A2809" s="1">
        <v>2808</v>
      </c>
      <c r="B2809" s="2" t="str">
        <f>HYPERLINK("https://leetcode.com/problems/minimum-seconds-to-equalize-a-circular-array/", "Minimum Seconds to Equalize a Circular Array")</f>
        <v>Minimum Seconds to Equalize a Circular Array</v>
      </c>
      <c r="C2809" s="1">
        <v>549</v>
      </c>
      <c r="D2809" s="1">
        <v>32</v>
      </c>
      <c r="E2809" s="3">
        <f>IF(INDEX(C:C, ROW())+INDEX(D:D, ROW())=0, 0, INDEX(C:C, ROW())/(INDEX(C:C, ROW())+INDEX(D:D, ROW())))</f>
        <v>0.94492254733218584</v>
      </c>
      <c r="F2809" s="1" t="s">
        <v>19</v>
      </c>
      <c r="G2809" s="1" t="s">
        <v>24</v>
      </c>
      <c r="H2809" s="1">
        <v>18427</v>
      </c>
      <c r="I2809" s="1">
        <v>64777</v>
      </c>
      <c r="J2809" s="7">
        <v>0.28399999999999997</v>
      </c>
      <c r="K2809" s="1" t="s">
        <v>21</v>
      </c>
      <c r="L2809" s="1" t="s">
        <v>29</v>
      </c>
      <c r="M2809" s="1" t="s">
        <v>29</v>
      </c>
      <c r="N2809" s="1" t="s">
        <v>22</v>
      </c>
    </row>
    <row r="2810" spans="1:14" x14ac:dyDescent="0.25">
      <c r="A2810" s="1">
        <v>2809</v>
      </c>
      <c r="B2810" s="2" t="str">
        <f>HYPERLINK("https://leetcode.com/problems/minimum-time-to-make-array-sum-at-most-x/", "Minimum Time to Make Array Sum At Most x")</f>
        <v>Minimum Time to Make Array Sum At Most x</v>
      </c>
      <c r="C2810" s="1">
        <v>248</v>
      </c>
      <c r="D2810" s="1">
        <v>16</v>
      </c>
      <c r="E2810" s="3">
        <f>IF(INDEX(C:C, ROW())+INDEX(D:D, ROW())=0, 0, INDEX(C:C, ROW())/(INDEX(C:C, ROW())+INDEX(D:D, ROW())))</f>
        <v>0.93939393939393945</v>
      </c>
      <c r="F2810" s="1" t="s">
        <v>270</v>
      </c>
      <c r="G2810" s="1" t="s">
        <v>28</v>
      </c>
      <c r="H2810" s="1">
        <v>6394</v>
      </c>
      <c r="I2810" s="1">
        <v>23630</v>
      </c>
      <c r="J2810" s="7">
        <v>0.27100000000000002</v>
      </c>
      <c r="K2810" s="1" t="s">
        <v>21</v>
      </c>
      <c r="L2810" s="1" t="s">
        <v>29</v>
      </c>
      <c r="M2810" s="1" t="s">
        <v>29</v>
      </c>
      <c r="N2810" s="1" t="s">
        <v>22</v>
      </c>
    </row>
    <row r="2811" spans="1:14" x14ac:dyDescent="0.25">
      <c r="A2811" s="1">
        <v>2810</v>
      </c>
      <c r="B2811" s="2" t="str">
        <f>HYPERLINK("https://leetcode.com/problems/faulty-keyboard/", "Faulty Keyboard")</f>
        <v>Faulty Keyboard</v>
      </c>
      <c r="C2811" s="1">
        <v>506</v>
      </c>
      <c r="D2811" s="1">
        <v>16</v>
      </c>
      <c r="E2811" s="3">
        <f>IF(INDEX(C:C, ROW())+INDEX(D:D, ROW())=0, 0, INDEX(C:C, ROW())/(INDEX(C:C, ROW())+INDEX(D:D, ROW())))</f>
        <v>0.96934865900383138</v>
      </c>
      <c r="F2811" s="1" t="s">
        <v>414</v>
      </c>
      <c r="G2811" s="1" t="s">
        <v>20</v>
      </c>
      <c r="H2811" s="1">
        <v>116916</v>
      </c>
      <c r="I2811" s="1">
        <v>146162</v>
      </c>
      <c r="J2811" s="7">
        <v>0.8</v>
      </c>
      <c r="K2811" s="1" t="s">
        <v>21</v>
      </c>
      <c r="L2811" s="1" t="s">
        <v>29</v>
      </c>
      <c r="M2811" s="1" t="s">
        <v>29</v>
      </c>
      <c r="N2811" s="1" t="s">
        <v>22</v>
      </c>
    </row>
    <row r="2812" spans="1:14" x14ac:dyDescent="0.25">
      <c r="A2812" s="1">
        <v>2811</v>
      </c>
      <c r="B2812" s="2" t="str">
        <f>HYPERLINK("https://leetcode.com/problems/check-if-it-is-possible-to-split-array/", "Check if it is Possible to Split Array")</f>
        <v>Check if it is Possible to Split Array</v>
      </c>
      <c r="C2812" s="1">
        <v>529</v>
      </c>
      <c r="D2812" s="1">
        <v>105</v>
      </c>
      <c r="E2812" s="3">
        <f>IF(INDEX(C:C, ROW())+INDEX(D:D, ROW())=0, 0, INDEX(C:C, ROW())/(INDEX(C:C, ROW())+INDEX(D:D, ROW())))</f>
        <v>0.83438485804416407</v>
      </c>
      <c r="F2812" s="1" t="s">
        <v>50</v>
      </c>
      <c r="G2812" s="1" t="s">
        <v>24</v>
      </c>
      <c r="H2812" s="1">
        <v>33327</v>
      </c>
      <c r="I2812" s="1">
        <v>96794</v>
      </c>
      <c r="J2812" s="7">
        <v>0.34399999999999997</v>
      </c>
      <c r="K2812" s="1" t="s">
        <v>21</v>
      </c>
      <c r="L2812" s="1" t="s">
        <v>29</v>
      </c>
      <c r="M2812" s="1" t="s">
        <v>29</v>
      </c>
      <c r="N2812" s="1" t="s">
        <v>22</v>
      </c>
    </row>
    <row r="2813" spans="1:14" x14ac:dyDescent="0.25">
      <c r="A2813" s="1">
        <v>2812</v>
      </c>
      <c r="B2813" s="2" t="str">
        <f>HYPERLINK("https://leetcode.com/problems/find-the-safest-path-in-a-grid/", "Find the Safest Path in a Grid")</f>
        <v>Find the Safest Path in a Grid</v>
      </c>
      <c r="C2813" s="1">
        <v>1821</v>
      </c>
      <c r="D2813" s="1">
        <v>323</v>
      </c>
      <c r="E2813" s="3">
        <f>IF(INDEX(C:C, ROW())+INDEX(D:D, ROW())=0, 0, INDEX(C:C, ROW())/(INDEX(C:C, ROW())+INDEX(D:D, ROW())))</f>
        <v>0.84934701492537312</v>
      </c>
      <c r="F2813" s="1" t="s">
        <v>532</v>
      </c>
      <c r="G2813" s="1" t="s">
        <v>24</v>
      </c>
      <c r="H2813" s="1">
        <v>111941</v>
      </c>
      <c r="I2813" s="1">
        <v>230210</v>
      </c>
      <c r="J2813" s="7">
        <v>0.48599999999999999</v>
      </c>
      <c r="K2813" s="1" t="s">
        <v>21</v>
      </c>
      <c r="L2813" s="1" t="s">
        <v>21</v>
      </c>
      <c r="M2813" s="1" t="s">
        <v>29</v>
      </c>
      <c r="N2813" s="1" t="s">
        <v>22</v>
      </c>
    </row>
    <row r="2814" spans="1:14" x14ac:dyDescent="0.25">
      <c r="A2814" s="1">
        <v>2813</v>
      </c>
      <c r="B2814" s="2" t="str">
        <f>HYPERLINK("https://leetcode.com/problems/maximum-elegance-of-a-k-length-subsequence/", "Maximum Elegance of a K-Length Subsequence")</f>
        <v>Maximum Elegance of a K-Length Subsequence</v>
      </c>
      <c r="C2814" s="1">
        <v>323</v>
      </c>
      <c r="D2814" s="1">
        <v>5</v>
      </c>
      <c r="E2814" s="3">
        <f>IF(INDEX(C:C, ROW())+INDEX(D:D, ROW())=0, 0, INDEX(C:C, ROW())/(INDEX(C:C, ROW())+INDEX(D:D, ROW())))</f>
        <v>0.9847560975609756</v>
      </c>
      <c r="F2814" s="1" t="s">
        <v>1033</v>
      </c>
      <c r="G2814" s="1" t="s">
        <v>28</v>
      </c>
      <c r="H2814" s="1">
        <v>8351</v>
      </c>
      <c r="I2814" s="1">
        <v>29370</v>
      </c>
      <c r="J2814" s="7">
        <v>0.28399999999999997</v>
      </c>
      <c r="K2814" s="1" t="s">
        <v>21</v>
      </c>
      <c r="L2814" s="1" t="s">
        <v>29</v>
      </c>
      <c r="M2814" s="1" t="s">
        <v>29</v>
      </c>
      <c r="N2814" s="1" t="s">
        <v>22</v>
      </c>
    </row>
    <row r="2815" spans="1:14" x14ac:dyDescent="0.25">
      <c r="A2815" s="1">
        <v>2814</v>
      </c>
      <c r="B2815" s="2" t="str">
        <f>HYPERLINK("https://leetcode.com/problems/minimum-time-takes-to-reach-destination-without-drowning/", "Minimum Time Takes to Reach Destination Without Drowning")</f>
        <v>Minimum Time Takes to Reach Destination Without Drowning</v>
      </c>
      <c r="C2815" s="1">
        <v>25</v>
      </c>
      <c r="D2815" s="1">
        <v>2</v>
      </c>
      <c r="E2815" s="3">
        <f>IF(INDEX(C:C, ROW())+INDEX(D:D, ROW())=0, 0, INDEX(C:C, ROW())/(INDEX(C:C, ROW())+INDEX(D:D, ROW())))</f>
        <v>0.92592592592592593</v>
      </c>
      <c r="F2815" s="1" t="s">
        <v>86</v>
      </c>
      <c r="G2815" s="1" t="s">
        <v>28</v>
      </c>
      <c r="H2815" s="1">
        <v>1557</v>
      </c>
      <c r="I2815" s="1">
        <v>2858</v>
      </c>
      <c r="J2815" s="7">
        <v>0.54500000000000004</v>
      </c>
      <c r="K2815" s="1" t="s">
        <v>29</v>
      </c>
      <c r="L2815" s="1" t="s">
        <v>29</v>
      </c>
      <c r="M2815" s="1" t="s">
        <v>29</v>
      </c>
      <c r="N2815" s="1" t="s">
        <v>22</v>
      </c>
    </row>
    <row r="2816" spans="1:14" x14ac:dyDescent="0.25">
      <c r="A2816" s="1">
        <v>2815</v>
      </c>
      <c r="B2816" s="2" t="str">
        <f>HYPERLINK("https://leetcode.com/problems/max-pair-sum-in-an-array/", "Max Pair Sum in an Array")</f>
        <v>Max Pair Sum in an Array</v>
      </c>
      <c r="C2816" s="1">
        <v>435</v>
      </c>
      <c r="D2816" s="1">
        <v>137</v>
      </c>
      <c r="E2816" s="3">
        <f>IF(INDEX(C:C, ROW())+INDEX(D:D, ROW())=0, 0, INDEX(C:C, ROW())/(INDEX(C:C, ROW())+INDEX(D:D, ROW())))</f>
        <v>0.76048951048951052</v>
      </c>
      <c r="F2816" s="1" t="s">
        <v>19</v>
      </c>
      <c r="G2816" s="1" t="s">
        <v>20</v>
      </c>
      <c r="H2816" s="1">
        <v>59565</v>
      </c>
      <c r="I2816" s="1">
        <v>98643</v>
      </c>
      <c r="J2816" s="7">
        <v>0.60399999999999998</v>
      </c>
      <c r="K2816" s="1" t="s">
        <v>21</v>
      </c>
      <c r="L2816" s="1" t="s">
        <v>29</v>
      </c>
      <c r="M2816" s="1" t="s">
        <v>29</v>
      </c>
      <c r="N2816" s="1" t="s">
        <v>22</v>
      </c>
    </row>
    <row r="2817" spans="1:14" x14ac:dyDescent="0.25">
      <c r="A2817" s="1">
        <v>2816</v>
      </c>
      <c r="B2817" s="2" t="str">
        <f>HYPERLINK("https://leetcode.com/problems/double-a-number-represented-as-a-linked-list/", "Double a Number Represented as a Linked List")</f>
        <v>Double a Number Represented as a Linked List</v>
      </c>
      <c r="C2817" s="1">
        <v>1279</v>
      </c>
      <c r="D2817" s="1">
        <v>32</v>
      </c>
      <c r="E2817" s="3">
        <f>IF(INDEX(C:C, ROW())+INDEX(D:D, ROW())=0, 0, INDEX(C:C, ROW())/(INDEX(C:C, ROW())+INDEX(D:D, ROW())))</f>
        <v>0.97559115179252476</v>
      </c>
      <c r="F2817" s="1" t="s">
        <v>222</v>
      </c>
      <c r="G2817" s="1" t="s">
        <v>24</v>
      </c>
      <c r="H2817" s="1">
        <v>199339</v>
      </c>
      <c r="I2817" s="1">
        <v>325442</v>
      </c>
      <c r="J2817" s="7">
        <v>0.61299999999999999</v>
      </c>
      <c r="K2817" s="1" t="s">
        <v>21</v>
      </c>
      <c r="L2817" s="1" t="s">
        <v>21</v>
      </c>
      <c r="M2817" s="1" t="s">
        <v>29</v>
      </c>
      <c r="N2817" s="1" t="s">
        <v>22</v>
      </c>
    </row>
    <row r="2818" spans="1:14" x14ac:dyDescent="0.25">
      <c r="A2818" s="1">
        <v>2817</v>
      </c>
      <c r="B2818" s="2" t="str">
        <f>HYPERLINK("https://leetcode.com/problems/minimum-absolute-difference-between-elements-with-constraint/", "Minimum Absolute Difference Between Elements With Constraint")</f>
        <v>Minimum Absolute Difference Between Elements With Constraint</v>
      </c>
      <c r="C2818" s="1">
        <v>767</v>
      </c>
      <c r="D2818" s="1">
        <v>78</v>
      </c>
      <c r="E2818" s="3">
        <f>IF(INDEX(C:C, ROW())+INDEX(D:D, ROW())=0, 0, INDEX(C:C, ROW())/(INDEX(C:C, ROW())+INDEX(D:D, ROW())))</f>
        <v>0.90769230769230769</v>
      </c>
      <c r="F2818" s="1" t="s">
        <v>778</v>
      </c>
      <c r="G2818" s="1" t="s">
        <v>24</v>
      </c>
      <c r="H2818" s="1">
        <v>40225</v>
      </c>
      <c r="I2818" s="1">
        <v>108240</v>
      </c>
      <c r="J2818" s="7">
        <v>0.372</v>
      </c>
      <c r="K2818" s="1" t="s">
        <v>21</v>
      </c>
      <c r="L2818" s="1" t="s">
        <v>29</v>
      </c>
      <c r="M2818" s="1" t="s">
        <v>29</v>
      </c>
      <c r="N2818" s="1" t="s">
        <v>22</v>
      </c>
    </row>
    <row r="2819" spans="1:14" x14ac:dyDescent="0.25">
      <c r="A2819" s="1">
        <v>2818</v>
      </c>
      <c r="B2819" s="2" t="str">
        <f>HYPERLINK("https://leetcode.com/problems/apply-operations-to-maximize-score/", "Apply Operations to Maximize Score")</f>
        <v>Apply Operations to Maximize Score</v>
      </c>
      <c r="C2819" s="1">
        <v>772</v>
      </c>
      <c r="D2819" s="1">
        <v>127</v>
      </c>
      <c r="E2819" s="3">
        <f>IF(INDEX(C:C, ROW())+INDEX(D:D, ROW())=0, 0, INDEX(C:C, ROW())/(INDEX(C:C, ROW())+INDEX(D:D, ROW())))</f>
        <v>0.85873192436040047</v>
      </c>
      <c r="F2819" s="1" t="s">
        <v>773</v>
      </c>
      <c r="G2819" s="1" t="s">
        <v>28</v>
      </c>
      <c r="H2819" s="1">
        <v>76017</v>
      </c>
      <c r="I2819" s="1">
        <v>141638</v>
      </c>
      <c r="J2819" s="7">
        <v>0.53700000000000003</v>
      </c>
      <c r="K2819" s="1" t="s">
        <v>21</v>
      </c>
      <c r="L2819" s="1" t="s">
        <v>21</v>
      </c>
      <c r="M2819" s="1" t="s">
        <v>29</v>
      </c>
      <c r="N2819" s="1" t="s">
        <v>22</v>
      </c>
    </row>
    <row r="2820" spans="1:14" x14ac:dyDescent="0.25">
      <c r="A2820" s="1">
        <v>2819</v>
      </c>
      <c r="B2820" s="2" t="str">
        <f>HYPERLINK("https://leetcode.com/problems/minimum-relative-loss-after-buying-chocolates/", "Minimum Relative Loss After Buying Chocolates")</f>
        <v>Minimum Relative Loss After Buying Chocolates</v>
      </c>
      <c r="C2820" s="1">
        <v>17</v>
      </c>
      <c r="D2820" s="1">
        <v>3</v>
      </c>
      <c r="E2820" s="3">
        <f>IF(INDEX(C:C, ROW())+INDEX(D:D, ROW())=0, 0, INDEX(C:C, ROW())/(INDEX(C:C, ROW())+INDEX(D:D, ROW())))</f>
        <v>0.85</v>
      </c>
      <c r="F2820" s="1" t="s">
        <v>750</v>
      </c>
      <c r="G2820" s="1" t="s">
        <v>28</v>
      </c>
      <c r="H2820" s="1">
        <v>688</v>
      </c>
      <c r="I2820" s="1">
        <v>1477</v>
      </c>
      <c r="J2820" s="7">
        <v>0.46600000000000003</v>
      </c>
      <c r="K2820" s="1" t="s">
        <v>29</v>
      </c>
      <c r="L2820" s="1" t="s">
        <v>29</v>
      </c>
      <c r="M2820" s="1" t="s">
        <v>29</v>
      </c>
      <c r="N2820" s="1" t="s">
        <v>22</v>
      </c>
    </row>
    <row r="2821" spans="1:14" x14ac:dyDescent="0.25">
      <c r="A2821" s="1">
        <v>2820</v>
      </c>
      <c r="B2821" s="2" t="str">
        <f>HYPERLINK("https://leetcode.com/problems/election-results/", "Election Results")</f>
        <v>Election Results</v>
      </c>
      <c r="C2821" s="1">
        <v>27</v>
      </c>
      <c r="D2821" s="1">
        <v>3</v>
      </c>
      <c r="E2821" s="3">
        <f>IF(INDEX(C:C, ROW())+INDEX(D:D, ROW())=0, 0, INDEX(C:C, ROW())/(INDEX(C:C, ROW())+INDEX(D:D, ROW())))</f>
        <v>0.9</v>
      </c>
      <c r="G2821" s="1" t="s">
        <v>24</v>
      </c>
      <c r="H2821" s="1">
        <v>4197</v>
      </c>
      <c r="I2821" s="1">
        <v>6322</v>
      </c>
      <c r="J2821" s="7">
        <v>0.66400000000000003</v>
      </c>
      <c r="K2821" s="1" t="s">
        <v>29</v>
      </c>
      <c r="L2821" s="1" t="s">
        <v>29</v>
      </c>
      <c r="M2821" s="1" t="s">
        <v>29</v>
      </c>
      <c r="N2821" s="1" t="s">
        <v>297</v>
      </c>
    </row>
    <row r="2822" spans="1:14" x14ac:dyDescent="0.25">
      <c r="A2822" s="1">
        <v>2821</v>
      </c>
      <c r="B2822" s="2" t="str">
        <f>HYPERLINK("https://leetcode.com/problems/delay-the-resolution-of-each-promise/", "Delay the Resolution of Each Promise")</f>
        <v>Delay the Resolution of Each Promise</v>
      </c>
      <c r="C2822" s="1">
        <v>18</v>
      </c>
      <c r="D2822" s="1">
        <v>5</v>
      </c>
      <c r="E2822" s="3">
        <f>IF(INDEX(C:C, ROW())+INDEX(D:D, ROW())=0, 0, INDEX(C:C, ROW())/(INDEX(C:C, ROW())+INDEX(D:D, ROW())))</f>
        <v>0.78260869565217395</v>
      </c>
      <c r="G2822" s="1" t="s">
        <v>24</v>
      </c>
      <c r="H2822" s="1">
        <v>1010</v>
      </c>
      <c r="I2822" s="1">
        <v>1371</v>
      </c>
      <c r="J2822" s="7">
        <v>0.73699999999999999</v>
      </c>
      <c r="K2822" s="1" t="s">
        <v>29</v>
      </c>
      <c r="L2822" s="1" t="s">
        <v>21</v>
      </c>
      <c r="M2822" s="1" t="s">
        <v>29</v>
      </c>
      <c r="N2822" s="1" t="s">
        <v>555</v>
      </c>
    </row>
    <row r="2823" spans="1:14" x14ac:dyDescent="0.25">
      <c r="A2823" s="1">
        <v>2822</v>
      </c>
      <c r="B2823" s="2" t="str">
        <f>HYPERLINK("https://leetcode.com/problems/inversion-of-object/", "Inversion of Object")</f>
        <v>Inversion of Object</v>
      </c>
      <c r="C2823" s="1">
        <v>17</v>
      </c>
      <c r="D2823" s="1">
        <v>1</v>
      </c>
      <c r="E2823" s="3">
        <f>IF(INDEX(C:C, ROW())+INDEX(D:D, ROW())=0, 0, INDEX(C:C, ROW())/(INDEX(C:C, ROW())+INDEX(D:D, ROW())))</f>
        <v>0.94444444444444442</v>
      </c>
      <c r="G2823" s="1" t="s">
        <v>20</v>
      </c>
      <c r="H2823" s="1">
        <v>1395</v>
      </c>
      <c r="I2823" s="1">
        <v>2324</v>
      </c>
      <c r="J2823" s="7">
        <v>0.6</v>
      </c>
      <c r="K2823" s="1" t="s">
        <v>29</v>
      </c>
      <c r="L2823" s="1" t="s">
        <v>29</v>
      </c>
      <c r="M2823" s="1" t="s">
        <v>29</v>
      </c>
      <c r="N2823" s="1" t="s">
        <v>555</v>
      </c>
    </row>
    <row r="2824" spans="1:14" x14ac:dyDescent="0.25">
      <c r="A2824" s="1">
        <v>2823</v>
      </c>
      <c r="B2824" s="2" t="str">
        <f>HYPERLINK("https://leetcode.com/problems/deep-object-filter/", "Deep Object Filter")</f>
        <v>Deep Object Filter</v>
      </c>
      <c r="C2824" s="1">
        <v>17</v>
      </c>
      <c r="D2824" s="1">
        <v>3</v>
      </c>
      <c r="E2824" s="3">
        <f>IF(INDEX(C:C, ROW())+INDEX(D:D, ROW())=0, 0, INDEX(C:C, ROW())/(INDEX(C:C, ROW())+INDEX(D:D, ROW())))</f>
        <v>0.85</v>
      </c>
      <c r="G2824" s="1" t="s">
        <v>24</v>
      </c>
      <c r="H2824" s="1">
        <v>691</v>
      </c>
      <c r="I2824" s="1">
        <v>1217</v>
      </c>
      <c r="J2824" s="7">
        <v>0.56799999999999995</v>
      </c>
      <c r="K2824" s="1" t="s">
        <v>29</v>
      </c>
      <c r="L2824" s="1" t="s">
        <v>21</v>
      </c>
      <c r="M2824" s="1" t="s">
        <v>29</v>
      </c>
      <c r="N2824" s="1" t="s">
        <v>555</v>
      </c>
    </row>
    <row r="2825" spans="1:14" x14ac:dyDescent="0.25">
      <c r="A2825" s="1">
        <v>2824</v>
      </c>
      <c r="B2825" s="2" t="str">
        <f>HYPERLINK("https://leetcode.com/problems/count-pairs-whose-sum-is-less-than-target/", "Count Pairs Whose Sum is Less than Target")</f>
        <v>Count Pairs Whose Sum is Less than Target</v>
      </c>
      <c r="C2825" s="1">
        <v>826</v>
      </c>
      <c r="D2825" s="1">
        <v>90</v>
      </c>
      <c r="E2825" s="3">
        <f>IF(INDEX(C:C, ROW())+INDEX(D:D, ROW())=0, 0, INDEX(C:C, ROW())/(INDEX(C:C, ROW())+INDEX(D:D, ROW())))</f>
        <v>0.90174672489082974</v>
      </c>
      <c r="F2825" s="1" t="s">
        <v>277</v>
      </c>
      <c r="G2825" s="1" t="s">
        <v>20</v>
      </c>
      <c r="H2825" s="1">
        <v>256878</v>
      </c>
      <c r="I2825" s="1">
        <v>292886</v>
      </c>
      <c r="J2825" s="7">
        <v>0.877</v>
      </c>
      <c r="K2825" s="1" t="s">
        <v>21</v>
      </c>
      <c r="L2825" s="1" t="s">
        <v>29</v>
      </c>
      <c r="M2825" s="1" t="s">
        <v>29</v>
      </c>
      <c r="N2825" s="1" t="s">
        <v>22</v>
      </c>
    </row>
    <row r="2826" spans="1:14" x14ac:dyDescent="0.25">
      <c r="A2826" s="1">
        <v>2825</v>
      </c>
      <c r="B2826" s="2" t="str">
        <f>HYPERLINK("https://leetcode.com/problems/make-string-a-subsequence-using-cyclic-increments/", "Make String a Subsequence Using Cyclic Increments")</f>
        <v>Make String a Subsequence Using Cyclic Increments</v>
      </c>
      <c r="C2826" s="1">
        <v>876</v>
      </c>
      <c r="D2826" s="1">
        <v>72</v>
      </c>
      <c r="E2826" s="3">
        <f>IF(INDEX(C:C, ROW())+INDEX(D:D, ROW())=0, 0, INDEX(C:C, ROW())/(INDEX(C:C, ROW())+INDEX(D:D, ROW())))</f>
        <v>0.92405063291139244</v>
      </c>
      <c r="F2826" s="1" t="s">
        <v>117</v>
      </c>
      <c r="G2826" s="1" t="s">
        <v>24</v>
      </c>
      <c r="H2826" s="1">
        <v>162555</v>
      </c>
      <c r="I2826" s="1">
        <v>247431</v>
      </c>
      <c r="J2826" s="7">
        <v>0.65700000000000003</v>
      </c>
      <c r="K2826" s="1" t="s">
        <v>21</v>
      </c>
      <c r="L2826" s="1" t="s">
        <v>21</v>
      </c>
      <c r="M2826" s="1" t="s">
        <v>29</v>
      </c>
      <c r="N2826" s="1" t="s">
        <v>22</v>
      </c>
    </row>
    <row r="2827" spans="1:14" x14ac:dyDescent="0.25">
      <c r="A2827" s="1">
        <v>2826</v>
      </c>
      <c r="B2827" s="2" t="str">
        <f>HYPERLINK("https://leetcode.com/problems/sorting-three-groups/", "Sorting Three Groups")</f>
        <v>Sorting Three Groups</v>
      </c>
      <c r="C2827" s="1">
        <v>525</v>
      </c>
      <c r="D2827" s="1">
        <v>92</v>
      </c>
      <c r="E2827" s="3">
        <f>IF(INDEX(C:C, ROW())+INDEX(D:D, ROW())=0, 0, INDEX(C:C, ROW())/(INDEX(C:C, ROW())+INDEX(D:D, ROW())))</f>
        <v>0.85089141004862234</v>
      </c>
      <c r="F2827" s="1" t="s">
        <v>47</v>
      </c>
      <c r="G2827" s="1" t="s">
        <v>24</v>
      </c>
      <c r="H2827" s="1">
        <v>26046</v>
      </c>
      <c r="I2827" s="1">
        <v>60765</v>
      </c>
      <c r="J2827" s="7">
        <v>0.42899999999999999</v>
      </c>
      <c r="K2827" s="1" t="s">
        <v>21</v>
      </c>
      <c r="L2827" s="1" t="s">
        <v>29</v>
      </c>
      <c r="M2827" s="1" t="s">
        <v>29</v>
      </c>
      <c r="N2827" s="1" t="s">
        <v>22</v>
      </c>
    </row>
    <row r="2828" spans="1:14" x14ac:dyDescent="0.25">
      <c r="A2828" s="1">
        <v>2827</v>
      </c>
      <c r="B2828" s="2" t="str">
        <f>HYPERLINK("https://leetcode.com/problems/number-of-beautiful-integers-in-the-range/", "Number of Beautiful Integers in the Range")</f>
        <v>Number of Beautiful Integers in the Range</v>
      </c>
      <c r="C2828" s="1">
        <v>396</v>
      </c>
      <c r="D2828" s="1">
        <v>37</v>
      </c>
      <c r="E2828" s="3">
        <f>IF(INDEX(C:C, ROW())+INDEX(D:D, ROW())=0, 0, INDEX(C:C, ROW())/(INDEX(C:C, ROW())+INDEX(D:D, ROW())))</f>
        <v>0.91454965357967666</v>
      </c>
      <c r="F2828" s="1" t="s">
        <v>250</v>
      </c>
      <c r="G2828" s="1" t="s">
        <v>28</v>
      </c>
      <c r="H2828" s="1">
        <v>13306</v>
      </c>
      <c r="I2828" s="1">
        <v>61619</v>
      </c>
      <c r="J2828" s="7">
        <v>0.216</v>
      </c>
      <c r="K2828" s="1" t="s">
        <v>21</v>
      </c>
      <c r="L2828" s="1" t="s">
        <v>29</v>
      </c>
      <c r="M2828" s="1" t="s">
        <v>29</v>
      </c>
      <c r="N2828" s="1" t="s">
        <v>22</v>
      </c>
    </row>
    <row r="2829" spans="1:14" x14ac:dyDescent="0.25">
      <c r="A2829" s="1">
        <v>2828</v>
      </c>
      <c r="B2829" s="2" t="str">
        <f>HYPERLINK("https://leetcode.com/problems/check-if-a-string-is-an-acronym-of-words/", "Check if a String Is an Acronym of Words")</f>
        <v>Check if a String Is an Acronym of Words</v>
      </c>
      <c r="C2829" s="1">
        <v>367</v>
      </c>
      <c r="D2829" s="1">
        <v>13</v>
      </c>
      <c r="E2829" s="3">
        <f>IF(INDEX(C:C, ROW())+INDEX(D:D, ROW())=0, 0, INDEX(C:C, ROW())/(INDEX(C:C, ROW())+INDEX(D:D, ROW())))</f>
        <v>0.96578947368421053</v>
      </c>
      <c r="F2829" s="1" t="s">
        <v>369</v>
      </c>
      <c r="G2829" s="1" t="s">
        <v>20</v>
      </c>
      <c r="H2829" s="1">
        <v>126551</v>
      </c>
      <c r="I2829" s="1">
        <v>152660</v>
      </c>
      <c r="J2829" s="7">
        <v>0.82899999999999996</v>
      </c>
      <c r="K2829" s="1" t="s">
        <v>21</v>
      </c>
      <c r="L2829" s="1" t="s">
        <v>29</v>
      </c>
      <c r="M2829" s="1" t="s">
        <v>29</v>
      </c>
      <c r="N2829" s="1" t="s">
        <v>22</v>
      </c>
    </row>
    <row r="2830" spans="1:14" x14ac:dyDescent="0.25">
      <c r="A2830" s="1">
        <v>2829</v>
      </c>
      <c r="B2830" s="2" t="str">
        <f>HYPERLINK("https://leetcode.com/problems/determine-the-minimum-sum-of-a-k-avoiding-array/", "Determine the Minimum Sum of a k-avoiding Array")</f>
        <v>Determine the Minimum Sum of a k-avoiding Array</v>
      </c>
      <c r="C2830" s="1">
        <v>344</v>
      </c>
      <c r="D2830" s="1">
        <v>13</v>
      </c>
      <c r="E2830" s="3">
        <f>IF(INDEX(C:C, ROW())+INDEX(D:D, ROW())=0, 0, INDEX(C:C, ROW())/(INDEX(C:C, ROW())+INDEX(D:D, ROW())))</f>
        <v>0.96358543417366949</v>
      </c>
      <c r="F2830" s="1" t="s">
        <v>296</v>
      </c>
      <c r="G2830" s="1" t="s">
        <v>24</v>
      </c>
      <c r="H2830" s="1">
        <v>40078</v>
      </c>
      <c r="I2830" s="1">
        <v>66210</v>
      </c>
      <c r="J2830" s="7">
        <v>0.60499999999999998</v>
      </c>
      <c r="K2830" s="1" t="s">
        <v>21</v>
      </c>
      <c r="L2830" s="1" t="s">
        <v>29</v>
      </c>
      <c r="M2830" s="1" t="s">
        <v>29</v>
      </c>
      <c r="N2830" s="1" t="s">
        <v>22</v>
      </c>
    </row>
    <row r="2831" spans="1:14" x14ac:dyDescent="0.25">
      <c r="A2831" s="1">
        <v>2830</v>
      </c>
      <c r="B2831" s="2" t="str">
        <f>HYPERLINK("https://leetcode.com/problems/maximize-the-profit-as-the-salesman/", "Maximize the Profit as the Salesman")</f>
        <v>Maximize the Profit as the Salesman</v>
      </c>
      <c r="C2831" s="1">
        <v>716</v>
      </c>
      <c r="D2831" s="1">
        <v>22</v>
      </c>
      <c r="E2831" s="3">
        <f>IF(INDEX(C:C, ROW())+INDEX(D:D, ROW())=0, 0, INDEX(C:C, ROW())/(INDEX(C:C, ROW())+INDEX(D:D, ROW())))</f>
        <v>0.97018970189701892</v>
      </c>
      <c r="F2831" s="1" t="s">
        <v>612</v>
      </c>
      <c r="G2831" s="1" t="s">
        <v>24</v>
      </c>
      <c r="H2831" s="1">
        <v>26621</v>
      </c>
      <c r="I2831" s="1">
        <v>70044</v>
      </c>
      <c r="J2831" s="7">
        <v>0.38</v>
      </c>
      <c r="K2831" s="1" t="s">
        <v>21</v>
      </c>
      <c r="L2831" s="1" t="s">
        <v>29</v>
      </c>
      <c r="M2831" s="1" t="s">
        <v>29</v>
      </c>
      <c r="N2831" s="1" t="s">
        <v>22</v>
      </c>
    </row>
    <row r="2832" spans="1:14" x14ac:dyDescent="0.25">
      <c r="A2832" s="1">
        <v>2831</v>
      </c>
      <c r="B2832" s="2" t="str">
        <f>HYPERLINK("https://leetcode.com/problems/find-the-longest-equal-subarray/", "Find the Longest Equal Subarray")</f>
        <v>Find the Longest Equal Subarray</v>
      </c>
      <c r="C2832" s="1">
        <v>756</v>
      </c>
      <c r="D2832" s="1">
        <v>19</v>
      </c>
      <c r="E2832" s="3">
        <f>IF(INDEX(C:C, ROW())+INDEX(D:D, ROW())=0, 0, INDEX(C:C, ROW())/(INDEX(C:C, ROW())+INDEX(D:D, ROW())))</f>
        <v>0.97548387096774192</v>
      </c>
      <c r="F2832" s="1" t="s">
        <v>503</v>
      </c>
      <c r="G2832" s="1" t="s">
        <v>24</v>
      </c>
      <c r="H2832" s="1">
        <v>29755</v>
      </c>
      <c r="I2832" s="1">
        <v>79073</v>
      </c>
      <c r="J2832" s="7">
        <v>0.376</v>
      </c>
      <c r="K2832" s="1" t="s">
        <v>21</v>
      </c>
      <c r="L2832" s="1" t="s">
        <v>29</v>
      </c>
      <c r="M2832" s="1" t="s">
        <v>29</v>
      </c>
      <c r="N2832" s="1" t="s">
        <v>22</v>
      </c>
    </row>
    <row r="2833" spans="1:14" x14ac:dyDescent="0.25">
      <c r="A2833" s="1">
        <v>2832</v>
      </c>
      <c r="B2833" s="2" t="str">
        <f>HYPERLINK("https://leetcode.com/problems/maximal-range-that-each-element-is-maximum-in-it/", "Maximal Range That Each Element Is Maximum in It")</f>
        <v>Maximal Range That Each Element Is Maximum in It</v>
      </c>
      <c r="C2833" s="1">
        <v>80</v>
      </c>
      <c r="D2833" s="1">
        <v>8</v>
      </c>
      <c r="E2833" s="3">
        <f>IF(INDEX(C:C, ROW())+INDEX(D:D, ROW())=0, 0, INDEX(C:C, ROW())/(INDEX(C:C, ROW())+INDEX(D:D, ROW())))</f>
        <v>0.90909090909090906</v>
      </c>
      <c r="F2833" s="1" t="s">
        <v>61</v>
      </c>
      <c r="G2833" s="1" t="s">
        <v>24</v>
      </c>
      <c r="H2833" s="1">
        <v>6351</v>
      </c>
      <c r="I2833" s="1">
        <v>8416</v>
      </c>
      <c r="J2833" s="7">
        <v>0.755</v>
      </c>
      <c r="K2833" s="1" t="s">
        <v>29</v>
      </c>
      <c r="L2833" s="1" t="s">
        <v>21</v>
      </c>
      <c r="M2833" s="1" t="s">
        <v>29</v>
      </c>
      <c r="N2833" s="1" t="s">
        <v>22</v>
      </c>
    </row>
    <row r="2834" spans="1:14" x14ac:dyDescent="0.25">
      <c r="A2834" s="1">
        <v>2833</v>
      </c>
      <c r="B2834" s="2" t="str">
        <f>HYPERLINK("https://leetcode.com/problems/furthest-point-from-origin/", "Furthest Point From Origin")</f>
        <v>Furthest Point From Origin</v>
      </c>
      <c r="C2834" s="1">
        <v>277</v>
      </c>
      <c r="D2834" s="1">
        <v>52</v>
      </c>
      <c r="E2834" s="3">
        <f>IF(INDEX(C:C, ROW())+INDEX(D:D, ROW())=0, 0, INDEX(C:C, ROW())/(INDEX(C:C, ROW())+INDEX(D:D, ROW())))</f>
        <v>0.84194528875379937</v>
      </c>
      <c r="F2834" s="1" t="s">
        <v>452</v>
      </c>
      <c r="G2834" s="1" t="s">
        <v>20</v>
      </c>
      <c r="H2834" s="1">
        <v>60375</v>
      </c>
      <c r="I2834" s="1">
        <v>92495</v>
      </c>
      <c r="J2834" s="7">
        <v>0.65300000000000002</v>
      </c>
      <c r="K2834" s="1" t="s">
        <v>21</v>
      </c>
      <c r="L2834" s="1" t="s">
        <v>29</v>
      </c>
      <c r="M2834" s="1" t="s">
        <v>29</v>
      </c>
      <c r="N2834" s="1" t="s">
        <v>22</v>
      </c>
    </row>
    <row r="2835" spans="1:14" x14ac:dyDescent="0.25">
      <c r="A2835" s="1">
        <v>2834</v>
      </c>
      <c r="B2835" s="2" t="str">
        <f>HYPERLINK("https://leetcode.com/problems/find-the-minimum-possible-sum-of-a-beautiful-array/", "Find the Minimum Possible Sum of a Beautiful Array")</f>
        <v>Find the Minimum Possible Sum of a Beautiful Array</v>
      </c>
      <c r="C2835" s="1">
        <v>317</v>
      </c>
      <c r="D2835" s="1">
        <v>59</v>
      </c>
      <c r="E2835" s="3">
        <f>IF(INDEX(C:C, ROW())+INDEX(D:D, ROW())=0, 0, INDEX(C:C, ROW())/(INDEX(C:C, ROW())+INDEX(D:D, ROW())))</f>
        <v>0.84308510638297873</v>
      </c>
      <c r="F2835" s="1" t="s">
        <v>296</v>
      </c>
      <c r="G2835" s="1" t="s">
        <v>24</v>
      </c>
      <c r="H2835" s="1">
        <v>32542</v>
      </c>
      <c r="I2835" s="1">
        <v>92420</v>
      </c>
      <c r="J2835" s="7">
        <v>0.35199999999999998</v>
      </c>
      <c r="K2835" s="1" t="s">
        <v>21</v>
      </c>
      <c r="L2835" s="1" t="s">
        <v>29</v>
      </c>
      <c r="M2835" s="1" t="s">
        <v>29</v>
      </c>
      <c r="N2835" s="1" t="s">
        <v>22</v>
      </c>
    </row>
    <row r="2836" spans="1:14" x14ac:dyDescent="0.25">
      <c r="A2836" s="1">
        <v>2835</v>
      </c>
      <c r="B2836" s="2" t="str">
        <f>HYPERLINK("https://leetcode.com/problems/minimum-operations-to-form-subsequence-with-target-sum/", "Minimum Operations to Form Subsequence With Target Sum")</f>
        <v>Minimum Operations to Form Subsequence With Target Sum</v>
      </c>
      <c r="C2836" s="1">
        <v>554</v>
      </c>
      <c r="D2836" s="1">
        <v>127</v>
      </c>
      <c r="E2836" s="3">
        <f>IF(INDEX(C:C, ROW())+INDEX(D:D, ROW())=0, 0, INDEX(C:C, ROW())/(INDEX(C:C, ROW())+INDEX(D:D, ROW())))</f>
        <v>0.81350954478707782</v>
      </c>
      <c r="F2836" s="1" t="s">
        <v>824</v>
      </c>
      <c r="G2836" s="1" t="s">
        <v>28</v>
      </c>
      <c r="H2836" s="1">
        <v>14136</v>
      </c>
      <c r="I2836" s="1">
        <v>43675</v>
      </c>
      <c r="J2836" s="7">
        <v>0.32400000000000001</v>
      </c>
      <c r="K2836" s="1" t="s">
        <v>21</v>
      </c>
      <c r="L2836" s="1" t="s">
        <v>29</v>
      </c>
      <c r="M2836" s="1" t="s">
        <v>29</v>
      </c>
      <c r="N2836" s="1" t="s">
        <v>22</v>
      </c>
    </row>
    <row r="2837" spans="1:14" x14ac:dyDescent="0.25">
      <c r="A2837" s="1">
        <v>2836</v>
      </c>
      <c r="B2837" s="2" t="str">
        <f>HYPERLINK("https://leetcode.com/problems/maximize-value-of-function-in-a-ball-passing-game/", "Maximize Value of Function in a Ball Passing Game")</f>
        <v>Maximize Value of Function in a Ball Passing Game</v>
      </c>
      <c r="C2837" s="1">
        <v>318</v>
      </c>
      <c r="D2837" s="1">
        <v>93</v>
      </c>
      <c r="E2837" s="3">
        <f>IF(INDEX(C:C, ROW())+INDEX(D:D, ROW())=0, 0, INDEX(C:C, ROW())/(INDEX(C:C, ROW())+INDEX(D:D, ROW())))</f>
        <v>0.77372262773722633</v>
      </c>
      <c r="F2837" s="1" t="s">
        <v>508</v>
      </c>
      <c r="G2837" s="1" t="s">
        <v>28</v>
      </c>
      <c r="H2837" s="1">
        <v>6470</v>
      </c>
      <c r="I2837" s="1">
        <v>21298</v>
      </c>
      <c r="J2837" s="7">
        <v>0.30399999999999999</v>
      </c>
      <c r="K2837" s="1" t="s">
        <v>21</v>
      </c>
      <c r="L2837" s="1" t="s">
        <v>29</v>
      </c>
      <c r="M2837" s="1" t="s">
        <v>29</v>
      </c>
      <c r="N2837" s="1" t="s">
        <v>22</v>
      </c>
    </row>
    <row r="2838" spans="1:14" x14ac:dyDescent="0.25">
      <c r="A2838" s="1">
        <v>2837</v>
      </c>
      <c r="B2838" s="2" t="str">
        <f>HYPERLINK("https://leetcode.com/problems/total-traveled-distance/", "Total Traveled Distance")</f>
        <v>Total Traveled Distance</v>
      </c>
      <c r="C2838" s="1">
        <v>18</v>
      </c>
      <c r="D2838" s="1">
        <v>4</v>
      </c>
      <c r="E2838" s="3">
        <f>IF(INDEX(C:C, ROW())+INDEX(D:D, ROW())=0, 0, INDEX(C:C, ROW())/(INDEX(C:C, ROW())+INDEX(D:D, ROW())))</f>
        <v>0.81818181818181823</v>
      </c>
      <c r="F2838" s="1" t="s">
        <v>297</v>
      </c>
      <c r="G2838" s="1" t="s">
        <v>20</v>
      </c>
      <c r="H2838" s="1">
        <v>5582</v>
      </c>
      <c r="I2838" s="1">
        <v>7290</v>
      </c>
      <c r="J2838" s="7">
        <v>0.76600000000000001</v>
      </c>
      <c r="K2838" s="1" t="s">
        <v>29</v>
      </c>
      <c r="L2838" s="1" t="s">
        <v>21</v>
      </c>
      <c r="M2838" s="1" t="s">
        <v>29</v>
      </c>
      <c r="N2838" s="1" t="s">
        <v>297</v>
      </c>
    </row>
    <row r="2839" spans="1:14" x14ac:dyDescent="0.25">
      <c r="A2839" s="1">
        <v>2838</v>
      </c>
      <c r="B2839" s="2" t="str">
        <f>HYPERLINK("https://leetcode.com/problems/maximum-coins-heroes-can-collect/", "Maximum Coins Heroes Can Collect")</f>
        <v>Maximum Coins Heroes Can Collect</v>
      </c>
      <c r="C2839" s="1">
        <v>74</v>
      </c>
      <c r="D2839" s="1">
        <v>7</v>
      </c>
      <c r="E2839" s="3">
        <f>IF(INDEX(C:C, ROW())+INDEX(D:D, ROW())=0, 0, INDEX(C:C, ROW())/(INDEX(C:C, ROW())+INDEX(D:D, ROW())))</f>
        <v>0.9135802469135802</v>
      </c>
      <c r="F2839" s="1" t="s">
        <v>560</v>
      </c>
      <c r="G2839" s="1" t="s">
        <v>24</v>
      </c>
      <c r="H2839" s="1">
        <v>7051</v>
      </c>
      <c r="I2839" s="1">
        <v>10265</v>
      </c>
      <c r="J2839" s="7">
        <v>0.68700000000000006</v>
      </c>
      <c r="K2839" s="1" t="s">
        <v>29</v>
      </c>
      <c r="L2839" s="1" t="s">
        <v>21</v>
      </c>
      <c r="M2839" s="1" t="s">
        <v>29</v>
      </c>
      <c r="N2839" s="1" t="s">
        <v>22</v>
      </c>
    </row>
    <row r="2840" spans="1:14" x14ac:dyDescent="0.25">
      <c r="A2840" s="1">
        <v>2839</v>
      </c>
      <c r="B2840" s="2" t="str">
        <f>HYPERLINK("https://leetcode.com/problems/check-if-strings-can-be-made-equal-with-operations-i/", "Check if Strings Can be Made Equal With Operations I")</f>
        <v>Check if Strings Can be Made Equal With Operations I</v>
      </c>
      <c r="C2840" s="1">
        <v>200</v>
      </c>
      <c r="D2840" s="1">
        <v>30</v>
      </c>
      <c r="E2840" s="3">
        <f>IF(INDEX(C:C, ROW())+INDEX(D:D, ROW())=0, 0, INDEX(C:C, ROW())/(INDEX(C:C, ROW())+INDEX(D:D, ROW())))</f>
        <v>0.86956521739130432</v>
      </c>
      <c r="F2840" s="1" t="s">
        <v>146</v>
      </c>
      <c r="G2840" s="1" t="s">
        <v>20</v>
      </c>
      <c r="H2840" s="1">
        <v>44734</v>
      </c>
      <c r="I2840" s="1">
        <v>93676</v>
      </c>
      <c r="J2840" s="7">
        <v>0.47799999999999998</v>
      </c>
      <c r="K2840" s="1" t="s">
        <v>21</v>
      </c>
      <c r="L2840" s="1" t="s">
        <v>29</v>
      </c>
      <c r="M2840" s="1" t="s">
        <v>29</v>
      </c>
      <c r="N2840" s="1" t="s">
        <v>22</v>
      </c>
    </row>
    <row r="2841" spans="1:14" x14ac:dyDescent="0.25">
      <c r="A2841" s="1">
        <v>2840</v>
      </c>
      <c r="B2841" s="2" t="str">
        <f>HYPERLINK("https://leetcode.com/problems/check-if-strings-can-be-made-equal-with-operations-ii/", "Check if Strings Can be Made Equal With Operations II")</f>
        <v>Check if Strings Can be Made Equal With Operations II</v>
      </c>
      <c r="C2841" s="1">
        <v>272</v>
      </c>
      <c r="D2841" s="1">
        <v>5</v>
      </c>
      <c r="E2841" s="3">
        <f>IF(INDEX(C:C, ROW())+INDEX(D:D, ROW())=0, 0, INDEX(C:C, ROW())/(INDEX(C:C, ROW())+INDEX(D:D, ROW())))</f>
        <v>0.98194945848375448</v>
      </c>
      <c r="F2841" s="1" t="s">
        <v>90</v>
      </c>
      <c r="G2841" s="1" t="s">
        <v>24</v>
      </c>
      <c r="H2841" s="1">
        <v>31156</v>
      </c>
      <c r="I2841" s="1">
        <v>55529</v>
      </c>
      <c r="J2841" s="7">
        <v>0.56100000000000005</v>
      </c>
      <c r="K2841" s="1" t="s">
        <v>21</v>
      </c>
      <c r="L2841" s="1" t="s">
        <v>29</v>
      </c>
      <c r="M2841" s="1" t="s">
        <v>29</v>
      </c>
      <c r="N2841" s="1" t="s">
        <v>22</v>
      </c>
    </row>
    <row r="2842" spans="1:14" x14ac:dyDescent="0.25">
      <c r="A2842" s="1">
        <v>2841</v>
      </c>
      <c r="B2842" s="2" t="str">
        <f>HYPERLINK("https://leetcode.com/problems/maximum-sum-of-almost-unique-subarray/", "Maximum Sum of Almost Unique Subarray")</f>
        <v>Maximum Sum of Almost Unique Subarray</v>
      </c>
      <c r="C2842" s="1">
        <v>317</v>
      </c>
      <c r="D2842" s="1">
        <v>139</v>
      </c>
      <c r="E2842" s="3">
        <f>IF(INDEX(C:C, ROW())+INDEX(D:D, ROW())=0, 0, INDEX(C:C, ROW())/(INDEX(C:C, ROW())+INDEX(D:D, ROW())))</f>
        <v>0.69517543859649122</v>
      </c>
      <c r="F2842" s="1" t="s">
        <v>185</v>
      </c>
      <c r="G2842" s="1" t="s">
        <v>24</v>
      </c>
      <c r="H2842" s="1">
        <v>34578</v>
      </c>
      <c r="I2842" s="1">
        <v>85010</v>
      </c>
      <c r="J2842" s="7">
        <v>0.40699999999999997</v>
      </c>
      <c r="K2842" s="1" t="s">
        <v>21</v>
      </c>
      <c r="L2842" s="1" t="s">
        <v>29</v>
      </c>
      <c r="M2842" s="1" t="s">
        <v>29</v>
      </c>
      <c r="N2842" s="1" t="s">
        <v>22</v>
      </c>
    </row>
    <row r="2843" spans="1:14" x14ac:dyDescent="0.25">
      <c r="A2843" s="1">
        <v>2842</v>
      </c>
      <c r="B2843" s="2" t="str">
        <f>HYPERLINK("https://leetcode.com/problems/count-k-subsequences-of-a-string-with-maximum-beauty/", "Count K-Subsequences of a String With Maximum Beauty")</f>
        <v>Count K-Subsequences of a String With Maximum Beauty</v>
      </c>
      <c r="C2843" s="1">
        <v>359</v>
      </c>
      <c r="D2843" s="1">
        <v>36</v>
      </c>
      <c r="E2843" s="3">
        <f>IF(INDEX(C:C, ROW())+INDEX(D:D, ROW())=0, 0, INDEX(C:C, ROW())/(INDEX(C:C, ROW())+INDEX(D:D, ROW())))</f>
        <v>0.90886075949367084</v>
      </c>
      <c r="F2843" s="1" t="s">
        <v>1010</v>
      </c>
      <c r="G2843" s="1" t="s">
        <v>28</v>
      </c>
      <c r="H2843" s="1">
        <v>14733</v>
      </c>
      <c r="I2843" s="1">
        <v>48861</v>
      </c>
      <c r="J2843" s="7">
        <v>0.30199999999999999</v>
      </c>
      <c r="K2843" s="1" t="s">
        <v>21</v>
      </c>
      <c r="L2843" s="1" t="s">
        <v>29</v>
      </c>
      <c r="M2843" s="1" t="s">
        <v>29</v>
      </c>
      <c r="N2843" s="1" t="s">
        <v>22</v>
      </c>
    </row>
    <row r="2844" spans="1:14" x14ac:dyDescent="0.25">
      <c r="A2844" s="1">
        <v>2843</v>
      </c>
      <c r="B2844" s="2" t="str">
        <f>HYPERLINK("https://leetcode.com/problems/count-symmetric-integers/", "  Count Symmetric Integers")</f>
        <v xml:space="preserve">  Count Symmetric Integers</v>
      </c>
      <c r="C2844" s="1">
        <v>647</v>
      </c>
      <c r="D2844" s="1">
        <v>65</v>
      </c>
      <c r="E2844" s="3">
        <f>IF(INDEX(C:C, ROW())+INDEX(D:D, ROW())=0, 0, INDEX(C:C, ROW())/(INDEX(C:C, ROW())+INDEX(D:D, ROW())))</f>
        <v>0.9087078651685393</v>
      </c>
      <c r="F2844" s="1" t="s">
        <v>602</v>
      </c>
      <c r="G2844" s="1" t="s">
        <v>20</v>
      </c>
      <c r="H2844" s="1">
        <v>195401</v>
      </c>
      <c r="I2844" s="1">
        <v>235156</v>
      </c>
      <c r="J2844" s="7">
        <v>0.83099999999999996</v>
      </c>
      <c r="K2844" s="1" t="s">
        <v>21</v>
      </c>
      <c r="L2844" s="1" t="s">
        <v>21</v>
      </c>
      <c r="M2844" s="1" t="s">
        <v>29</v>
      </c>
      <c r="N2844" s="1" t="s">
        <v>22</v>
      </c>
    </row>
    <row r="2845" spans="1:14" x14ac:dyDescent="0.25">
      <c r="A2845" s="1">
        <v>2844</v>
      </c>
      <c r="B2845" s="2" t="str">
        <f>HYPERLINK("https://leetcode.com/problems/minimum-operations-to-make-a-special-number/", "Minimum Operations to Make a Special Number")</f>
        <v>Minimum Operations to Make a Special Number</v>
      </c>
      <c r="C2845" s="1">
        <v>373</v>
      </c>
      <c r="D2845" s="1">
        <v>57</v>
      </c>
      <c r="E2845" s="3">
        <f>IF(INDEX(C:C, ROW())+INDEX(D:D, ROW())=0, 0, INDEX(C:C, ROW())/(INDEX(C:C, ROW())+INDEX(D:D, ROW())))</f>
        <v>0.86744186046511629</v>
      </c>
      <c r="F2845" s="1" t="s">
        <v>1005</v>
      </c>
      <c r="G2845" s="1" t="s">
        <v>24</v>
      </c>
      <c r="H2845" s="1">
        <v>29419</v>
      </c>
      <c r="I2845" s="1">
        <v>76395</v>
      </c>
      <c r="J2845" s="7">
        <v>0.38500000000000001</v>
      </c>
      <c r="K2845" s="1" t="s">
        <v>21</v>
      </c>
      <c r="L2845" s="1" t="s">
        <v>29</v>
      </c>
      <c r="M2845" s="1" t="s">
        <v>29</v>
      </c>
      <c r="N2845" s="1" t="s">
        <v>22</v>
      </c>
    </row>
    <row r="2846" spans="1:14" x14ac:dyDescent="0.25">
      <c r="A2846" s="1">
        <v>2845</v>
      </c>
      <c r="B2846" s="2" t="str">
        <f>HYPERLINK("https://leetcode.com/problems/count-of-interesting-subarrays/", "Count of Interesting Subarrays")</f>
        <v>Count of Interesting Subarrays</v>
      </c>
      <c r="C2846" s="1">
        <v>966</v>
      </c>
      <c r="D2846" s="1">
        <v>270</v>
      </c>
      <c r="E2846" s="3">
        <f>IF(INDEX(C:C, ROW())+INDEX(D:D, ROW())=0, 0, INDEX(C:C, ROW())/(INDEX(C:C, ROW())+INDEX(D:D, ROW())))</f>
        <v>0.78155339805825241</v>
      </c>
      <c r="F2846" s="1" t="s">
        <v>39</v>
      </c>
      <c r="G2846" s="1" t="s">
        <v>24</v>
      </c>
      <c r="H2846" s="1">
        <v>91818</v>
      </c>
      <c r="I2846" s="1">
        <v>158195</v>
      </c>
      <c r="J2846" s="7">
        <v>0.57999999999999996</v>
      </c>
      <c r="K2846" s="1" t="s">
        <v>21</v>
      </c>
      <c r="L2846" s="1" t="s">
        <v>21</v>
      </c>
      <c r="M2846" s="1" t="s">
        <v>29</v>
      </c>
      <c r="N2846" s="1" t="s">
        <v>22</v>
      </c>
    </row>
    <row r="2847" spans="1:14" x14ac:dyDescent="0.25">
      <c r="A2847" s="1">
        <v>2846</v>
      </c>
      <c r="B2847" s="2" t="str">
        <f>HYPERLINK("https://leetcode.com/problems/minimum-edge-weight-equilibrium-queries-in-a-tree/", "Minimum Edge Weight Equilibrium Queries in a Tree")</f>
        <v>Minimum Edge Weight Equilibrium Queries in a Tree</v>
      </c>
      <c r="C2847" s="1">
        <v>358</v>
      </c>
      <c r="D2847" s="1">
        <v>10</v>
      </c>
      <c r="E2847" s="3">
        <f>IF(INDEX(C:C, ROW())+INDEX(D:D, ROW())=0, 0, INDEX(C:C, ROW())/(INDEX(C:C, ROW())+INDEX(D:D, ROW())))</f>
        <v>0.97282608695652173</v>
      </c>
      <c r="F2847" s="1" t="s">
        <v>1011</v>
      </c>
      <c r="G2847" s="1" t="s">
        <v>28</v>
      </c>
      <c r="H2847" s="1">
        <v>9400</v>
      </c>
      <c r="I2847" s="1">
        <v>20683</v>
      </c>
      <c r="J2847" s="7">
        <v>0.45400000000000001</v>
      </c>
      <c r="K2847" s="1" t="s">
        <v>21</v>
      </c>
      <c r="L2847" s="1" t="s">
        <v>29</v>
      </c>
      <c r="M2847" s="1" t="s">
        <v>29</v>
      </c>
      <c r="N2847" s="1" t="s">
        <v>22</v>
      </c>
    </row>
    <row r="2848" spans="1:14" x14ac:dyDescent="0.25">
      <c r="A2848" s="1">
        <v>2847</v>
      </c>
      <c r="B2848" s="2" t="str">
        <f>HYPERLINK("https://leetcode.com/problems/smallest-number-with-given-digit-product/", "Smallest Number With Given Digit Product")</f>
        <v>Smallest Number With Given Digit Product</v>
      </c>
      <c r="C2848" s="1">
        <v>21</v>
      </c>
      <c r="D2848" s="1">
        <v>1</v>
      </c>
      <c r="E2848" s="3">
        <f>IF(INDEX(C:C, ROW())+INDEX(D:D, ROW())=0, 0, INDEX(C:C, ROW())/(INDEX(C:C, ROW())+INDEX(D:D, ROW())))</f>
        <v>0.95454545454545459</v>
      </c>
      <c r="F2848" s="1" t="s">
        <v>296</v>
      </c>
      <c r="G2848" s="1" t="s">
        <v>24</v>
      </c>
      <c r="H2848" s="1">
        <v>1365</v>
      </c>
      <c r="I2848" s="1">
        <v>3158</v>
      </c>
      <c r="J2848" s="7">
        <v>0.432</v>
      </c>
      <c r="K2848" s="1" t="s">
        <v>29</v>
      </c>
      <c r="L2848" s="1" t="s">
        <v>29</v>
      </c>
      <c r="M2848" s="1" t="s">
        <v>29</v>
      </c>
      <c r="N2848" s="1" t="s">
        <v>22</v>
      </c>
    </row>
    <row r="2849" spans="1:14" x14ac:dyDescent="0.25">
      <c r="A2849" s="1">
        <v>2848</v>
      </c>
      <c r="B2849" s="2" t="str">
        <f>HYPERLINK("https://leetcode.com/problems/points-that-intersect-with-cars/", "Points That Intersect With Cars")</f>
        <v>Points That Intersect With Cars</v>
      </c>
      <c r="C2849" s="1">
        <v>369</v>
      </c>
      <c r="D2849" s="1">
        <v>35</v>
      </c>
      <c r="E2849" s="3">
        <f>IF(INDEX(C:C, ROW())+INDEX(D:D, ROW())=0, 0, INDEX(C:C, ROW())/(INDEX(C:C, ROW())+INDEX(D:D, ROW())))</f>
        <v>0.9133663366336634</v>
      </c>
      <c r="F2849" s="1" t="s">
        <v>39</v>
      </c>
      <c r="G2849" s="1" t="s">
        <v>20</v>
      </c>
      <c r="H2849" s="1">
        <v>74263</v>
      </c>
      <c r="I2849" s="1">
        <v>101226</v>
      </c>
      <c r="J2849" s="7">
        <v>0.73399999999999999</v>
      </c>
      <c r="K2849" s="1" t="s">
        <v>21</v>
      </c>
      <c r="L2849" s="1" t="s">
        <v>29</v>
      </c>
      <c r="M2849" s="1" t="s">
        <v>29</v>
      </c>
      <c r="N2849" s="1" t="s">
        <v>22</v>
      </c>
    </row>
    <row r="2850" spans="1:14" x14ac:dyDescent="0.25">
      <c r="A2850" s="1">
        <v>2849</v>
      </c>
      <c r="B2850" s="2" t="str">
        <f>HYPERLINK("https://leetcode.com/problems/determine-if-a-cell-is-reachable-at-a-given-time/", "Determine if a Cell Is Reachable at a Given Time")</f>
        <v>Determine if a Cell Is Reachable at a Given Time</v>
      </c>
      <c r="C2850" s="1">
        <v>839</v>
      </c>
      <c r="D2850" s="1">
        <v>770</v>
      </c>
      <c r="E2850" s="3">
        <f>IF(INDEX(C:C, ROW())+INDEX(D:D, ROW())=0, 0, INDEX(C:C, ROW())/(INDEX(C:C, ROW())+INDEX(D:D, ROW())))</f>
        <v>0.52144188937228086</v>
      </c>
      <c r="F2850" s="1" t="s">
        <v>84</v>
      </c>
      <c r="G2850" s="1" t="s">
        <v>24</v>
      </c>
      <c r="H2850" s="1">
        <v>109991</v>
      </c>
      <c r="I2850" s="1">
        <v>296027</v>
      </c>
      <c r="J2850" s="7">
        <v>0.372</v>
      </c>
      <c r="K2850" s="1" t="s">
        <v>21</v>
      </c>
      <c r="L2850" s="1" t="s">
        <v>21</v>
      </c>
      <c r="M2850" s="1" t="s">
        <v>29</v>
      </c>
      <c r="N2850" s="1" t="s">
        <v>22</v>
      </c>
    </row>
    <row r="2851" spans="1:14" x14ac:dyDescent="0.25">
      <c r="A2851" s="1">
        <v>2850</v>
      </c>
      <c r="B2851" s="2" t="str">
        <f>HYPERLINK("https://leetcode.com/problems/minimum-moves-to-spread-stones-over-grid/", "Minimum Moves to Spread Stones Over Grid")</f>
        <v>Minimum Moves to Spread Stones Over Grid</v>
      </c>
      <c r="C2851" s="1">
        <v>551</v>
      </c>
      <c r="D2851" s="1">
        <v>77</v>
      </c>
      <c r="E2851" s="3">
        <f>IF(INDEX(C:C, ROW())+INDEX(D:D, ROW())=0, 0, INDEX(C:C, ROW())/(INDEX(C:C, ROW())+INDEX(D:D, ROW())))</f>
        <v>0.87738853503184711</v>
      </c>
      <c r="F2851" s="1" t="s">
        <v>877</v>
      </c>
      <c r="G2851" s="1" t="s">
        <v>24</v>
      </c>
      <c r="H2851" s="1">
        <v>29597</v>
      </c>
      <c r="I2851" s="1">
        <v>65271</v>
      </c>
      <c r="J2851" s="7">
        <v>0.45300000000000001</v>
      </c>
      <c r="K2851" s="1" t="s">
        <v>21</v>
      </c>
      <c r="L2851" s="1" t="s">
        <v>29</v>
      </c>
      <c r="M2851" s="1" t="s">
        <v>29</v>
      </c>
      <c r="N2851" s="1" t="s">
        <v>22</v>
      </c>
    </row>
    <row r="2852" spans="1:14" x14ac:dyDescent="0.25">
      <c r="A2852" s="1">
        <v>2851</v>
      </c>
      <c r="B2852" s="2" t="str">
        <f>HYPERLINK("https://leetcode.com/problems/string-transformation/", "String Transformation")</f>
        <v>String Transformation</v>
      </c>
      <c r="C2852" s="1">
        <v>183</v>
      </c>
      <c r="D2852" s="1">
        <v>49</v>
      </c>
      <c r="E2852" s="3">
        <f>IF(INDEX(C:C, ROW())+INDEX(D:D, ROW())=0, 0, INDEX(C:C, ROW())/(INDEX(C:C, ROW())+INDEX(D:D, ROW())))</f>
        <v>0.78879310344827591</v>
      </c>
      <c r="F2852" s="1" t="s">
        <v>1109</v>
      </c>
      <c r="G2852" s="1" t="s">
        <v>28</v>
      </c>
      <c r="H2852" s="1">
        <v>6786</v>
      </c>
      <c r="I2852" s="1">
        <v>25448</v>
      </c>
      <c r="J2852" s="7">
        <v>0.26700000000000002</v>
      </c>
      <c r="K2852" s="1" t="s">
        <v>21</v>
      </c>
      <c r="L2852" s="1" t="s">
        <v>29</v>
      </c>
      <c r="M2852" s="1" t="s">
        <v>29</v>
      </c>
      <c r="N2852" s="1" t="s">
        <v>22</v>
      </c>
    </row>
    <row r="2853" spans="1:14" x14ac:dyDescent="0.25">
      <c r="A2853" s="1">
        <v>2852</v>
      </c>
      <c r="B2853" s="2" t="str">
        <f>HYPERLINK("https://leetcode.com/problems/sum-of-remoteness-of-all-cells/", "Sum of Remoteness of All Cells")</f>
        <v>Sum of Remoteness of All Cells</v>
      </c>
      <c r="C2853" s="1">
        <v>59</v>
      </c>
      <c r="D2853" s="1">
        <v>16</v>
      </c>
      <c r="E2853" s="3">
        <f>IF(INDEX(C:C, ROW())+INDEX(D:D, ROW())=0, 0, INDEX(C:C, ROW())/(INDEX(C:C, ROW())+INDEX(D:D, ROW())))</f>
        <v>0.78666666666666663</v>
      </c>
      <c r="F2853" s="1" t="s">
        <v>311</v>
      </c>
      <c r="G2853" s="1" t="s">
        <v>24</v>
      </c>
      <c r="H2853" s="1">
        <v>6503</v>
      </c>
      <c r="I2853" s="1">
        <v>9181</v>
      </c>
      <c r="J2853" s="7">
        <v>0.70799999999999996</v>
      </c>
      <c r="K2853" s="1" t="s">
        <v>29</v>
      </c>
      <c r="L2853" s="1" t="s">
        <v>21</v>
      </c>
      <c r="M2853" s="1" t="s">
        <v>29</v>
      </c>
      <c r="N2853" s="1" t="s">
        <v>22</v>
      </c>
    </row>
    <row r="2854" spans="1:14" x14ac:dyDescent="0.25">
      <c r="A2854" s="1">
        <v>2853</v>
      </c>
      <c r="B2854" s="2" t="str">
        <f>HYPERLINK("https://leetcode.com/problems/highest-salaries-difference/", "Highest Salaries Difference")</f>
        <v>Highest Salaries Difference</v>
      </c>
      <c r="C2854" s="1">
        <v>19</v>
      </c>
      <c r="D2854" s="1">
        <v>1</v>
      </c>
      <c r="E2854" s="3">
        <f>IF(INDEX(C:C, ROW())+INDEX(D:D, ROW())=0, 0, INDEX(C:C, ROW())/(INDEX(C:C, ROW())+INDEX(D:D, ROW())))</f>
        <v>0.95</v>
      </c>
      <c r="F2854" s="1" t="s">
        <v>297</v>
      </c>
      <c r="G2854" s="1" t="s">
        <v>20</v>
      </c>
      <c r="H2854" s="1">
        <v>5909</v>
      </c>
      <c r="I2854" s="1">
        <v>8085</v>
      </c>
      <c r="J2854" s="7">
        <v>0.73099999999999998</v>
      </c>
      <c r="K2854" s="1" t="s">
        <v>29</v>
      </c>
      <c r="L2854" s="1" t="s">
        <v>29</v>
      </c>
      <c r="M2854" s="1" t="s">
        <v>29</v>
      </c>
      <c r="N2854" s="1" t="s">
        <v>297</v>
      </c>
    </row>
    <row r="2855" spans="1:14" x14ac:dyDescent="0.25">
      <c r="A2855" s="1">
        <v>2854</v>
      </c>
      <c r="B2855" s="2" t="str">
        <f>HYPERLINK("https://leetcode.com/problems/rolling-average-steps/", "Rolling Average Steps")</f>
        <v>Rolling Average Steps</v>
      </c>
      <c r="C2855" s="1">
        <v>28</v>
      </c>
      <c r="D2855" s="1">
        <v>3</v>
      </c>
      <c r="E2855" s="3">
        <f>IF(INDEX(C:C, ROW())+INDEX(D:D, ROW())=0, 0, INDEX(C:C, ROW())/(INDEX(C:C, ROW())+INDEX(D:D, ROW())))</f>
        <v>0.90322580645161288</v>
      </c>
      <c r="F2855" s="1" t="s">
        <v>297</v>
      </c>
      <c r="G2855" s="1" t="s">
        <v>24</v>
      </c>
      <c r="H2855" s="1">
        <v>5241</v>
      </c>
      <c r="I2855" s="1">
        <v>7599</v>
      </c>
      <c r="J2855" s="7">
        <v>0.69</v>
      </c>
      <c r="K2855" s="1" t="s">
        <v>29</v>
      </c>
      <c r="L2855" s="1" t="s">
        <v>29</v>
      </c>
      <c r="M2855" s="1" t="s">
        <v>29</v>
      </c>
      <c r="N2855" s="1" t="s">
        <v>297</v>
      </c>
    </row>
    <row r="2856" spans="1:14" x14ac:dyDescent="0.25">
      <c r="A2856" s="1">
        <v>2855</v>
      </c>
      <c r="B2856" s="2" t="str">
        <f>HYPERLINK("https://leetcode.com/problems/minimum-right-shifts-to-sort-the-array/", "Minimum Right Shifts to Sort the Array")</f>
        <v>Minimum Right Shifts to Sort the Array</v>
      </c>
      <c r="C2856" s="1">
        <v>243</v>
      </c>
      <c r="D2856" s="1">
        <v>11</v>
      </c>
      <c r="E2856" s="3">
        <f>IF(INDEX(C:C, ROW())+INDEX(D:D, ROW())=0, 0, INDEX(C:C, ROW())/(INDEX(C:C, ROW())+INDEX(D:D, ROW())))</f>
        <v>0.95669291338582674</v>
      </c>
      <c r="F2856" s="1" t="s">
        <v>113</v>
      </c>
      <c r="G2856" s="1" t="s">
        <v>20</v>
      </c>
      <c r="H2856" s="1">
        <v>42291</v>
      </c>
      <c r="I2856" s="1">
        <v>73831</v>
      </c>
      <c r="J2856" s="7">
        <v>0.57299999999999995</v>
      </c>
      <c r="K2856" s="1" t="s">
        <v>21</v>
      </c>
      <c r="L2856" s="1" t="s">
        <v>29</v>
      </c>
      <c r="M2856" s="1" t="s">
        <v>29</v>
      </c>
      <c r="N2856" s="1" t="s">
        <v>22</v>
      </c>
    </row>
    <row r="2857" spans="1:14" x14ac:dyDescent="0.25">
      <c r="A2857" s="1">
        <v>2856</v>
      </c>
      <c r="B2857" s="2" t="str">
        <f>HYPERLINK("https://leetcode.com/problems/minimum-array-length-after-pair-removals/", "Minimum Array Length After Pair Removals")</f>
        <v>Minimum Array Length After Pair Removals</v>
      </c>
      <c r="C2857" s="1">
        <v>422</v>
      </c>
      <c r="D2857" s="1">
        <v>108</v>
      </c>
      <c r="E2857" s="3">
        <f>IF(INDEX(C:C, ROW())+INDEX(D:D, ROW())=0, 0, INDEX(C:C, ROW())/(INDEX(C:C, ROW())+INDEX(D:D, ROW())))</f>
        <v>0.79622641509433967</v>
      </c>
      <c r="F2857" s="1" t="s">
        <v>965</v>
      </c>
      <c r="G2857" s="1" t="s">
        <v>24</v>
      </c>
      <c r="H2857" s="1">
        <v>31947</v>
      </c>
      <c r="I2857" s="1">
        <v>118007</v>
      </c>
      <c r="J2857" s="7">
        <v>0.27100000000000002</v>
      </c>
      <c r="K2857" s="1" t="s">
        <v>21</v>
      </c>
      <c r="L2857" s="1" t="s">
        <v>29</v>
      </c>
      <c r="M2857" s="1" t="s">
        <v>29</v>
      </c>
      <c r="N2857" s="1" t="s">
        <v>22</v>
      </c>
    </row>
    <row r="2858" spans="1:14" x14ac:dyDescent="0.25">
      <c r="A2858" s="1">
        <v>2857</v>
      </c>
      <c r="B2858" s="2" t="str">
        <f>HYPERLINK("https://leetcode.com/problems/count-pairs-of-points-with-distance-k/", "Count Pairs of Points With Distance k")</f>
        <v>Count Pairs of Points With Distance k</v>
      </c>
      <c r="C2858" s="1">
        <v>282</v>
      </c>
      <c r="D2858" s="1">
        <v>45</v>
      </c>
      <c r="E2858" s="3">
        <f>IF(INDEX(C:C, ROW())+INDEX(D:D, ROW())=0, 0, INDEX(C:C, ROW())/(INDEX(C:C, ROW())+INDEX(D:D, ROW())))</f>
        <v>0.86238532110091748</v>
      </c>
      <c r="F2858" s="1" t="s">
        <v>667</v>
      </c>
      <c r="G2858" s="1" t="s">
        <v>24</v>
      </c>
      <c r="H2858" s="1">
        <v>13378</v>
      </c>
      <c r="I2858" s="1">
        <v>40790</v>
      </c>
      <c r="J2858" s="7">
        <v>0.32800000000000001</v>
      </c>
      <c r="K2858" s="1" t="s">
        <v>21</v>
      </c>
      <c r="L2858" s="1" t="s">
        <v>29</v>
      </c>
      <c r="M2858" s="1" t="s">
        <v>29</v>
      </c>
      <c r="N2858" s="1" t="s">
        <v>22</v>
      </c>
    </row>
    <row r="2859" spans="1:14" x14ac:dyDescent="0.25">
      <c r="A2859" s="1">
        <v>2858</v>
      </c>
      <c r="B2859" s="2" t="str">
        <f>HYPERLINK("https://leetcode.com/problems/minimum-edge-reversals-so-every-node-is-reachable/", "Minimum Edge Reversals So Every Node Is Reachable")</f>
        <v>Minimum Edge Reversals So Every Node Is Reachable</v>
      </c>
      <c r="C2859" s="1">
        <v>413</v>
      </c>
      <c r="D2859" s="1">
        <v>11</v>
      </c>
      <c r="E2859" s="3">
        <f>IF(INDEX(C:C, ROW())+INDEX(D:D, ROW())=0, 0, INDEX(C:C, ROW())/(INDEX(C:C, ROW())+INDEX(D:D, ROW())))</f>
        <v>0.97405660377358494</v>
      </c>
      <c r="F2859" s="1" t="s">
        <v>972</v>
      </c>
      <c r="G2859" s="1" t="s">
        <v>28</v>
      </c>
      <c r="H2859" s="1">
        <v>18040</v>
      </c>
      <c r="I2859" s="1">
        <v>31510</v>
      </c>
      <c r="J2859" s="7">
        <v>0.57299999999999995</v>
      </c>
      <c r="K2859" s="1" t="s">
        <v>21</v>
      </c>
      <c r="L2859" s="1" t="s">
        <v>29</v>
      </c>
      <c r="M2859" s="1" t="s">
        <v>29</v>
      </c>
      <c r="N2859" s="1" t="s">
        <v>22</v>
      </c>
    </row>
    <row r="2860" spans="1:14" x14ac:dyDescent="0.25">
      <c r="A2860" s="1">
        <v>2859</v>
      </c>
      <c r="B2860" s="2" t="str">
        <f>HYPERLINK("https://leetcode.com/problems/sum-of-values-at-indices-with-k-set-bits/", "Sum of Values at Indices With K Set Bits")</f>
        <v>Sum of Values at Indices With K Set Bits</v>
      </c>
      <c r="C2860" s="1">
        <v>317</v>
      </c>
      <c r="D2860" s="1">
        <v>50</v>
      </c>
      <c r="E2860" s="3">
        <f>IF(INDEX(C:C, ROW())+INDEX(D:D, ROW())=0, 0, INDEX(C:C, ROW())/(INDEX(C:C, ROW())+INDEX(D:D, ROW())))</f>
        <v>0.86376021798365121</v>
      </c>
      <c r="F2860" s="1" t="s">
        <v>65</v>
      </c>
      <c r="G2860" s="1" t="s">
        <v>20</v>
      </c>
      <c r="H2860" s="1">
        <v>95214</v>
      </c>
      <c r="I2860" s="1">
        <v>110617</v>
      </c>
      <c r="J2860" s="7">
        <v>0.86099999999999999</v>
      </c>
      <c r="K2860" s="1" t="s">
        <v>21</v>
      </c>
      <c r="L2860" s="1" t="s">
        <v>29</v>
      </c>
      <c r="M2860" s="1" t="s">
        <v>29</v>
      </c>
      <c r="N2860" s="1" t="s">
        <v>22</v>
      </c>
    </row>
    <row r="2861" spans="1:14" x14ac:dyDescent="0.25">
      <c r="A2861" s="1">
        <v>2860</v>
      </c>
      <c r="B2861" s="2" t="str">
        <f>HYPERLINK("https://leetcode.com/problems/happy-students/", "Happy Students")</f>
        <v>Happy Students</v>
      </c>
      <c r="C2861" s="1">
        <v>182</v>
      </c>
      <c r="D2861" s="1">
        <v>310</v>
      </c>
      <c r="E2861" s="3">
        <f>IF(INDEX(C:C, ROW())+INDEX(D:D, ROW())=0, 0, INDEX(C:C, ROW())/(INDEX(C:C, ROW())+INDEX(D:D, ROW())))</f>
        <v>0.36991869918699188</v>
      </c>
      <c r="F2861" s="1" t="s">
        <v>913</v>
      </c>
      <c r="G2861" s="1" t="s">
        <v>24</v>
      </c>
      <c r="H2861" s="1">
        <v>25290</v>
      </c>
      <c r="I2861" s="1">
        <v>49733</v>
      </c>
      <c r="J2861" s="7">
        <v>0.50900000000000001</v>
      </c>
      <c r="K2861" s="1" t="s">
        <v>21</v>
      </c>
      <c r="L2861" s="1" t="s">
        <v>29</v>
      </c>
      <c r="M2861" s="1" t="s">
        <v>29</v>
      </c>
      <c r="N2861" s="1" t="s">
        <v>22</v>
      </c>
    </row>
    <row r="2862" spans="1:14" x14ac:dyDescent="0.25">
      <c r="A2862" s="1">
        <v>2861</v>
      </c>
      <c r="B2862" s="2" t="str">
        <f>HYPERLINK("https://leetcode.com/problems/maximum-number-of-alloys/", "Maximum Number of Alloys")</f>
        <v>Maximum Number of Alloys</v>
      </c>
      <c r="C2862" s="1">
        <v>302</v>
      </c>
      <c r="D2862" s="1">
        <v>57</v>
      </c>
      <c r="E2862" s="3">
        <f>IF(INDEX(C:C, ROW())+INDEX(D:D, ROW())=0, 0, INDEX(C:C, ROW())/(INDEX(C:C, ROW())+INDEX(D:D, ROW())))</f>
        <v>0.84122562674094703</v>
      </c>
      <c r="F2862" s="1" t="s">
        <v>35</v>
      </c>
      <c r="G2862" s="1" t="s">
        <v>24</v>
      </c>
      <c r="H2862" s="1">
        <v>19107</v>
      </c>
      <c r="I2862" s="1">
        <v>47472</v>
      </c>
      <c r="J2862" s="7">
        <v>0.40200000000000002</v>
      </c>
      <c r="K2862" s="1" t="s">
        <v>21</v>
      </c>
      <c r="L2862" s="1" t="s">
        <v>29</v>
      </c>
      <c r="M2862" s="1" t="s">
        <v>29</v>
      </c>
      <c r="N2862" s="1" t="s">
        <v>22</v>
      </c>
    </row>
    <row r="2863" spans="1:14" x14ac:dyDescent="0.25">
      <c r="A2863" s="1">
        <v>2862</v>
      </c>
      <c r="B2863" s="2" t="str">
        <f>HYPERLINK("https://leetcode.com/problems/maximum-element-sum-of-a-complete-subset-of-indices/", "Maximum Element-Sum of a Complete Subset of Indices")</f>
        <v>Maximum Element-Sum of a Complete Subset of Indices</v>
      </c>
      <c r="C2863" s="1">
        <v>233</v>
      </c>
      <c r="D2863" s="1">
        <v>59</v>
      </c>
      <c r="E2863" s="3">
        <f>IF(INDEX(C:C, ROW())+INDEX(D:D, ROW())=0, 0, INDEX(C:C, ROW())/(INDEX(C:C, ROW())+INDEX(D:D, ROW())))</f>
        <v>0.79794520547945202</v>
      </c>
      <c r="F2863" s="1" t="s">
        <v>640</v>
      </c>
      <c r="G2863" s="1" t="s">
        <v>28</v>
      </c>
      <c r="H2863" s="1">
        <v>9437</v>
      </c>
      <c r="I2863" s="1">
        <v>22093</v>
      </c>
      <c r="J2863" s="7">
        <v>0.42699999999999999</v>
      </c>
      <c r="K2863" s="1" t="s">
        <v>21</v>
      </c>
      <c r="L2863" s="1" t="s">
        <v>29</v>
      </c>
      <c r="M2863" s="1" t="s">
        <v>29</v>
      </c>
      <c r="N2863" s="1" t="s">
        <v>22</v>
      </c>
    </row>
    <row r="2864" spans="1:14" x14ac:dyDescent="0.25">
      <c r="A2864" s="1">
        <v>2863</v>
      </c>
      <c r="B2864" s="2" t="str">
        <f>HYPERLINK("https://leetcode.com/problems/maximum-length-of-semi-decreasing-subarrays/", "Maximum Length of Semi-Decreasing Subarrays")</f>
        <v>Maximum Length of Semi-Decreasing Subarrays</v>
      </c>
      <c r="C2864" s="1">
        <v>137</v>
      </c>
      <c r="D2864" s="1">
        <v>17</v>
      </c>
      <c r="E2864" s="3">
        <f>IF(INDEX(C:C, ROW())+INDEX(D:D, ROW())=0, 0, INDEX(C:C, ROW())/(INDEX(C:C, ROW())+INDEX(D:D, ROW())))</f>
        <v>0.88961038961038963</v>
      </c>
      <c r="F2864" s="1" t="s">
        <v>299</v>
      </c>
      <c r="G2864" s="1" t="s">
        <v>24</v>
      </c>
      <c r="H2864" s="1">
        <v>14365</v>
      </c>
      <c r="I2864" s="1">
        <v>20503</v>
      </c>
      <c r="J2864" s="7">
        <v>0.70099999999999996</v>
      </c>
      <c r="K2864" s="1" t="s">
        <v>29</v>
      </c>
      <c r="L2864" s="1" t="s">
        <v>29</v>
      </c>
      <c r="M2864" s="1" t="s">
        <v>29</v>
      </c>
      <c r="N2864" s="1" t="s">
        <v>22</v>
      </c>
    </row>
    <row r="2865" spans="1:14" x14ac:dyDescent="0.25">
      <c r="A2865" s="1">
        <v>2864</v>
      </c>
      <c r="B2865" s="2" t="str">
        <f>HYPERLINK("https://leetcode.com/problems/maximum-odd-binary-number/", "Maximum Odd Binary Number")</f>
        <v>Maximum Odd Binary Number</v>
      </c>
      <c r="C2865" s="1">
        <v>834</v>
      </c>
      <c r="D2865" s="1">
        <v>34</v>
      </c>
      <c r="E2865" s="3">
        <f>IF(INDEX(C:C, ROW())+INDEX(D:D, ROW())=0, 0, INDEX(C:C, ROW())/(INDEX(C:C, ROW())+INDEX(D:D, ROW())))</f>
        <v>0.96082949308755761</v>
      </c>
      <c r="F2865" s="1" t="s">
        <v>418</v>
      </c>
      <c r="G2865" s="1" t="s">
        <v>20</v>
      </c>
      <c r="H2865" s="1">
        <v>231794</v>
      </c>
      <c r="I2865" s="1">
        <v>279657</v>
      </c>
      <c r="J2865" s="7">
        <v>0.82899999999999996</v>
      </c>
      <c r="K2865" s="1" t="s">
        <v>21</v>
      </c>
      <c r="L2865" s="1" t="s">
        <v>21</v>
      </c>
      <c r="M2865" s="1" t="s">
        <v>29</v>
      </c>
      <c r="N2865" s="1" t="s">
        <v>22</v>
      </c>
    </row>
    <row r="2866" spans="1:14" x14ac:dyDescent="0.25">
      <c r="A2866" s="1">
        <v>2865</v>
      </c>
      <c r="B2866" s="2" t="str">
        <f>HYPERLINK("https://leetcode.com/problems/beautiful-towers-i/", "Beautiful Towers I")</f>
        <v>Beautiful Towers I</v>
      </c>
      <c r="C2866" s="1">
        <v>362</v>
      </c>
      <c r="D2866" s="1">
        <v>59</v>
      </c>
      <c r="E2866" s="3">
        <f>IF(INDEX(C:C, ROW())+INDEX(D:D, ROW())=0, 0, INDEX(C:C, ROW())/(INDEX(C:C, ROW())+INDEX(D:D, ROW())))</f>
        <v>0.85985748218527314</v>
      </c>
      <c r="F2866" s="1" t="s">
        <v>61</v>
      </c>
      <c r="G2866" s="1" t="s">
        <v>24</v>
      </c>
      <c r="H2866" s="1">
        <v>33408</v>
      </c>
      <c r="I2866" s="1">
        <v>75386</v>
      </c>
      <c r="J2866" s="7">
        <v>0.443</v>
      </c>
      <c r="K2866" s="1" t="s">
        <v>21</v>
      </c>
      <c r="L2866" s="1" t="s">
        <v>29</v>
      </c>
      <c r="M2866" s="1" t="s">
        <v>29</v>
      </c>
      <c r="N2866" s="1" t="s">
        <v>22</v>
      </c>
    </row>
    <row r="2867" spans="1:14" x14ac:dyDescent="0.25">
      <c r="A2867" s="1">
        <v>2866</v>
      </c>
      <c r="B2867" s="2" t="str">
        <f>HYPERLINK("https://leetcode.com/problems/beautiful-towers-ii/", "Beautiful Towers II")</f>
        <v>Beautiful Towers II</v>
      </c>
      <c r="C2867" s="1">
        <v>474</v>
      </c>
      <c r="D2867" s="1">
        <v>32</v>
      </c>
      <c r="E2867" s="3">
        <f>IF(INDEX(C:C, ROW())+INDEX(D:D, ROW())=0, 0, INDEX(C:C, ROW())/(INDEX(C:C, ROW())+INDEX(D:D, ROW())))</f>
        <v>0.93675889328063244</v>
      </c>
      <c r="F2867" s="1" t="s">
        <v>61</v>
      </c>
      <c r="G2867" s="1" t="s">
        <v>24</v>
      </c>
      <c r="H2867" s="1">
        <v>18089</v>
      </c>
      <c r="I2867" s="1">
        <v>49977</v>
      </c>
      <c r="J2867" s="7">
        <v>0.36199999999999999</v>
      </c>
      <c r="K2867" s="1" t="s">
        <v>21</v>
      </c>
      <c r="L2867" s="1" t="s">
        <v>29</v>
      </c>
      <c r="M2867" s="1" t="s">
        <v>29</v>
      </c>
      <c r="N2867" s="1" t="s">
        <v>22</v>
      </c>
    </row>
    <row r="2868" spans="1:14" x14ac:dyDescent="0.25">
      <c r="A2868" s="1">
        <v>2867</v>
      </c>
      <c r="B2868" s="2" t="str">
        <f>HYPERLINK("https://leetcode.com/problems/count-valid-paths-in-a-tree/", "Count Valid Paths in a Tree")</f>
        <v>Count Valid Paths in a Tree</v>
      </c>
      <c r="C2868" s="1">
        <v>284</v>
      </c>
      <c r="D2868" s="1">
        <v>9</v>
      </c>
      <c r="E2868" s="3">
        <f>IF(INDEX(C:C, ROW())+INDEX(D:D, ROW())=0, 0, INDEX(C:C, ROW())/(INDEX(C:C, ROW())+INDEX(D:D, ROW())))</f>
        <v>0.96928327645051193</v>
      </c>
      <c r="F2868" s="1" t="s">
        <v>1051</v>
      </c>
      <c r="G2868" s="1" t="s">
        <v>28</v>
      </c>
      <c r="H2868" s="1">
        <v>9555</v>
      </c>
      <c r="I2868" s="1">
        <v>26584</v>
      </c>
      <c r="J2868" s="7">
        <v>0.35899999999999999</v>
      </c>
      <c r="K2868" s="1" t="s">
        <v>21</v>
      </c>
      <c r="L2868" s="1" t="s">
        <v>29</v>
      </c>
      <c r="M2868" s="1" t="s">
        <v>29</v>
      </c>
      <c r="N2868" s="1" t="s">
        <v>22</v>
      </c>
    </row>
    <row r="2869" spans="1:14" x14ac:dyDescent="0.25">
      <c r="A2869" s="1">
        <v>2868</v>
      </c>
      <c r="B2869" s="2" t="str">
        <f>HYPERLINK("https://leetcode.com/problems/the-wording-game/", "The Wording Game")</f>
        <v>The Wording Game</v>
      </c>
      <c r="C2869" s="1">
        <v>10</v>
      </c>
      <c r="D2869" s="1">
        <v>6</v>
      </c>
      <c r="E2869" s="3">
        <f>IF(INDEX(C:C, ROW())+INDEX(D:D, ROW())=0, 0, INDEX(C:C, ROW())/(INDEX(C:C, ROW())+INDEX(D:D, ROW())))</f>
        <v>0.625</v>
      </c>
      <c r="F2869" s="1" t="s">
        <v>1329</v>
      </c>
      <c r="G2869" s="1" t="s">
        <v>28</v>
      </c>
      <c r="H2869" s="1">
        <v>766</v>
      </c>
      <c r="I2869" s="1">
        <v>1369</v>
      </c>
      <c r="J2869" s="7">
        <v>0.56000000000000005</v>
      </c>
      <c r="K2869" s="1" t="s">
        <v>29</v>
      </c>
      <c r="L2869" s="1" t="s">
        <v>29</v>
      </c>
      <c r="M2869" s="1" t="s">
        <v>29</v>
      </c>
      <c r="N2869" s="1" t="s">
        <v>22</v>
      </c>
    </row>
    <row r="2870" spans="1:14" x14ac:dyDescent="0.25">
      <c r="A2870" s="1">
        <v>2869</v>
      </c>
      <c r="B2870" s="2" t="str">
        <f>HYPERLINK("https://leetcode.com/problems/minimum-operations-to-collect-elements/", "Minimum Operations to Collect Elements")</f>
        <v>Minimum Operations to Collect Elements</v>
      </c>
      <c r="C2870" s="1">
        <v>207</v>
      </c>
      <c r="D2870" s="1">
        <v>25</v>
      </c>
      <c r="E2870" s="3">
        <f>IF(INDEX(C:C, ROW())+INDEX(D:D, ROW())=0, 0, INDEX(C:C, ROW())/(INDEX(C:C, ROW())+INDEX(D:D, ROW())))</f>
        <v>0.89224137931034486</v>
      </c>
      <c r="F2870" s="1" t="s">
        <v>667</v>
      </c>
      <c r="G2870" s="1" t="s">
        <v>20</v>
      </c>
      <c r="H2870" s="1">
        <v>49221</v>
      </c>
      <c r="I2870" s="1">
        <v>79131</v>
      </c>
      <c r="J2870" s="7">
        <v>0.622</v>
      </c>
      <c r="K2870" s="1" t="s">
        <v>21</v>
      </c>
      <c r="L2870" s="1" t="s">
        <v>29</v>
      </c>
      <c r="M2870" s="1" t="s">
        <v>29</v>
      </c>
      <c r="N2870" s="1" t="s">
        <v>22</v>
      </c>
    </row>
    <row r="2871" spans="1:14" x14ac:dyDescent="0.25">
      <c r="A2871" s="1">
        <v>2870</v>
      </c>
      <c r="B2871" s="2" t="str">
        <f>HYPERLINK("https://leetcode.com/problems/minimum-number-of-operations-to-make-array-empty/", "Minimum Number of Operations to Make Array Empty")</f>
        <v>Minimum Number of Operations to Make Array Empty</v>
      </c>
      <c r="C2871" s="1">
        <v>1441</v>
      </c>
      <c r="D2871" s="1">
        <v>69</v>
      </c>
      <c r="E2871" s="3">
        <f>IF(INDEX(C:C, ROW())+INDEX(D:D, ROW())=0, 0, INDEX(C:C, ROW())/(INDEX(C:C, ROW())+INDEX(D:D, ROW())))</f>
        <v>0.95430463576158941</v>
      </c>
      <c r="F2871" s="1" t="s">
        <v>389</v>
      </c>
      <c r="G2871" s="1" t="s">
        <v>24</v>
      </c>
      <c r="H2871" s="1">
        <v>197678</v>
      </c>
      <c r="I2871" s="1">
        <v>318495</v>
      </c>
      <c r="J2871" s="7">
        <v>0.621</v>
      </c>
      <c r="K2871" s="1" t="s">
        <v>21</v>
      </c>
      <c r="L2871" s="1" t="s">
        <v>21</v>
      </c>
      <c r="M2871" s="1" t="s">
        <v>29</v>
      </c>
      <c r="N2871" s="1" t="s">
        <v>22</v>
      </c>
    </row>
    <row r="2872" spans="1:14" x14ac:dyDescent="0.25">
      <c r="A2872" s="1">
        <v>2871</v>
      </c>
      <c r="B2872" s="2" t="str">
        <f>HYPERLINK("https://leetcode.com/problems/split-array-into-maximum-number-of-subarrays/", "Split Array Into Maximum Number of Subarrays")</f>
        <v>Split Array Into Maximum Number of Subarrays</v>
      </c>
      <c r="C2872" s="1">
        <v>244</v>
      </c>
      <c r="D2872" s="1">
        <v>32</v>
      </c>
      <c r="E2872" s="3">
        <f>IF(INDEX(C:C, ROW())+INDEX(D:D, ROW())=0, 0, INDEX(C:C, ROW())/(INDEX(C:C, ROW())+INDEX(D:D, ROW())))</f>
        <v>0.88405797101449279</v>
      </c>
      <c r="F2872" s="1" t="s">
        <v>824</v>
      </c>
      <c r="G2872" s="1" t="s">
        <v>24</v>
      </c>
      <c r="H2872" s="1">
        <v>19268</v>
      </c>
      <c r="I2872" s="1">
        <v>45511</v>
      </c>
      <c r="J2872" s="7">
        <v>0.42299999999999999</v>
      </c>
      <c r="K2872" s="1" t="s">
        <v>21</v>
      </c>
      <c r="L2872" s="1" t="s">
        <v>29</v>
      </c>
      <c r="M2872" s="1" t="s">
        <v>29</v>
      </c>
      <c r="N2872" s="1" t="s">
        <v>22</v>
      </c>
    </row>
    <row r="2873" spans="1:14" x14ac:dyDescent="0.25">
      <c r="A2873" s="1">
        <v>2872</v>
      </c>
      <c r="B2873" s="2" t="str">
        <f>HYPERLINK("https://leetcode.com/problems/maximum-number-of-k-divisible-components/", "Maximum Number of K-Divisible Components")</f>
        <v>Maximum Number of K-Divisible Components</v>
      </c>
      <c r="C2873" s="1">
        <v>947</v>
      </c>
      <c r="D2873" s="1">
        <v>41</v>
      </c>
      <c r="E2873" s="3">
        <f>IF(INDEX(C:C, ROW())+INDEX(D:D, ROW())=0, 0, INDEX(C:C, ROW())/(INDEX(C:C, ROW())+INDEX(D:D, ROW())))</f>
        <v>0.958502024291498</v>
      </c>
      <c r="F2873" s="1" t="s">
        <v>726</v>
      </c>
      <c r="G2873" s="1" t="s">
        <v>28</v>
      </c>
      <c r="H2873" s="1">
        <v>144561</v>
      </c>
      <c r="I2873" s="1">
        <v>195069</v>
      </c>
      <c r="J2873" s="7">
        <v>0.74099999999999999</v>
      </c>
      <c r="K2873" s="1" t="s">
        <v>21</v>
      </c>
      <c r="L2873" s="1" t="s">
        <v>21</v>
      </c>
      <c r="M2873" s="1" t="s">
        <v>29</v>
      </c>
      <c r="N2873" s="1" t="s">
        <v>22</v>
      </c>
    </row>
    <row r="2874" spans="1:14" x14ac:dyDescent="0.25">
      <c r="A2874" s="1">
        <v>2873</v>
      </c>
      <c r="B2874" s="2" t="str">
        <f>HYPERLINK("https://leetcode.com/problems/maximum-value-of-an-ordered-triplet-i/", "Maximum Value of an Ordered Triplet I")</f>
        <v>Maximum Value of an Ordered Triplet I</v>
      </c>
      <c r="C2874" s="1">
        <v>689</v>
      </c>
      <c r="D2874" s="1">
        <v>39</v>
      </c>
      <c r="E2874" s="3">
        <f>IF(INDEX(C:C, ROW())+INDEX(D:D, ROW())=0, 0, INDEX(C:C, ROW())/(INDEX(C:C, ROW())+INDEX(D:D, ROW())))</f>
        <v>0.9464285714285714</v>
      </c>
      <c r="F2874" s="1" t="s">
        <v>113</v>
      </c>
      <c r="G2874" s="1" t="s">
        <v>20</v>
      </c>
      <c r="H2874" s="1">
        <v>204007</v>
      </c>
      <c r="I2874" s="1">
        <v>350687</v>
      </c>
      <c r="J2874" s="7">
        <v>0.58199999999999996</v>
      </c>
      <c r="K2874" s="1" t="s">
        <v>21</v>
      </c>
      <c r="L2874" s="1" t="s">
        <v>21</v>
      </c>
      <c r="M2874" s="1" t="s">
        <v>29</v>
      </c>
      <c r="N2874" s="1" t="s">
        <v>22</v>
      </c>
    </row>
    <row r="2875" spans="1:14" x14ac:dyDescent="0.25">
      <c r="A2875" s="1">
        <v>2874</v>
      </c>
      <c r="B2875" s="2" t="str">
        <f>HYPERLINK("https://leetcode.com/problems/maximum-value-of-an-ordered-triplet-ii/", "Maximum Value of an Ordered Triplet II")</f>
        <v>Maximum Value of an Ordered Triplet II</v>
      </c>
      <c r="C2875" s="1">
        <v>826</v>
      </c>
      <c r="D2875" s="1">
        <v>20</v>
      </c>
      <c r="E2875" s="3">
        <f>IF(INDEX(C:C, ROW())+INDEX(D:D, ROW())=0, 0, INDEX(C:C, ROW())/(INDEX(C:C, ROW())+INDEX(D:D, ROW())))</f>
        <v>0.97635933806146569</v>
      </c>
      <c r="F2875" s="1" t="s">
        <v>113</v>
      </c>
      <c r="G2875" s="1" t="s">
        <v>24</v>
      </c>
      <c r="H2875" s="1">
        <v>158251</v>
      </c>
      <c r="I2875" s="1">
        <v>280353</v>
      </c>
      <c r="J2875" s="7">
        <v>0.56399999999999995</v>
      </c>
      <c r="K2875" s="1" t="s">
        <v>21</v>
      </c>
      <c r="L2875" s="1" t="s">
        <v>21</v>
      </c>
      <c r="M2875" s="1" t="s">
        <v>29</v>
      </c>
      <c r="N2875" s="1" t="s">
        <v>22</v>
      </c>
    </row>
    <row r="2876" spans="1:14" x14ac:dyDescent="0.25">
      <c r="A2876" s="1">
        <v>2875</v>
      </c>
      <c r="B2876" s="2" t="str">
        <f>HYPERLINK("https://leetcode.com/problems/minimum-size-subarray-in-infinite-array/", "Minimum Size Subarray in Infinite Array")</f>
        <v>Minimum Size Subarray in Infinite Array</v>
      </c>
      <c r="C2876" s="1">
        <v>415</v>
      </c>
      <c r="D2876" s="1">
        <v>32</v>
      </c>
      <c r="E2876" s="3">
        <f>IF(INDEX(C:C, ROW())+INDEX(D:D, ROW())=0, 0, INDEX(C:C, ROW())/(INDEX(C:C, ROW())+INDEX(D:D, ROW())))</f>
        <v>0.92841163310961972</v>
      </c>
      <c r="F2876" s="1" t="s">
        <v>272</v>
      </c>
      <c r="G2876" s="1" t="s">
        <v>24</v>
      </c>
      <c r="H2876" s="1">
        <v>25335</v>
      </c>
      <c r="I2876" s="1">
        <v>79237</v>
      </c>
      <c r="J2876" s="7">
        <v>0.32</v>
      </c>
      <c r="K2876" s="1" t="s">
        <v>21</v>
      </c>
      <c r="L2876" s="1" t="s">
        <v>29</v>
      </c>
      <c r="M2876" s="1" t="s">
        <v>29</v>
      </c>
      <c r="N2876" s="1" t="s">
        <v>22</v>
      </c>
    </row>
    <row r="2877" spans="1:14" x14ac:dyDescent="0.25">
      <c r="A2877" s="1">
        <v>2876</v>
      </c>
      <c r="B2877" s="2" t="str">
        <f>HYPERLINK("https://leetcode.com/problems/count-visited-nodes-in-a-directed-graph/", "Count Visited Nodes in a Directed Graph")</f>
        <v>Count Visited Nodes in a Directed Graph</v>
      </c>
      <c r="C2877" s="1">
        <v>357</v>
      </c>
      <c r="D2877" s="1">
        <v>7</v>
      </c>
      <c r="E2877" s="3">
        <f>IF(INDEX(C:C, ROW())+INDEX(D:D, ROW())=0, 0, INDEX(C:C, ROW())/(INDEX(C:C, ROW())+INDEX(D:D, ROW())))</f>
        <v>0.98076923076923073</v>
      </c>
      <c r="F2877" s="1" t="s">
        <v>1012</v>
      </c>
      <c r="G2877" s="1" t="s">
        <v>28</v>
      </c>
      <c r="H2877" s="1">
        <v>13822</v>
      </c>
      <c r="I2877" s="1">
        <v>45757</v>
      </c>
      <c r="J2877" s="7">
        <v>0.30199999999999999</v>
      </c>
      <c r="K2877" s="1" t="s">
        <v>21</v>
      </c>
      <c r="L2877" s="1" t="s">
        <v>29</v>
      </c>
      <c r="M2877" s="1" t="s">
        <v>29</v>
      </c>
      <c r="N2877" s="1" t="s">
        <v>22</v>
      </c>
    </row>
    <row r="2878" spans="1:14" x14ac:dyDescent="0.25">
      <c r="A2878" s="1">
        <v>2877</v>
      </c>
      <c r="B2878" s="2" t="str">
        <f>HYPERLINK("https://leetcode.com/problems/create-a-dataframe-from-list/", "Create a DataFrame from List")</f>
        <v>Create a DataFrame from List</v>
      </c>
      <c r="C2878" s="1">
        <v>290</v>
      </c>
      <c r="D2878" s="1">
        <v>12</v>
      </c>
      <c r="E2878" s="3">
        <f>IF(INDEX(C:C, ROW())+INDEX(D:D, ROW())=0, 0, INDEX(C:C, ROW())/(INDEX(C:C, ROW())+INDEX(D:D, ROW())))</f>
        <v>0.96026490066225167</v>
      </c>
      <c r="G2878" s="1" t="s">
        <v>20</v>
      </c>
      <c r="H2878" s="1">
        <v>246032</v>
      </c>
      <c r="I2878" s="1">
        <v>303382</v>
      </c>
      <c r="J2878" s="7">
        <v>0.81100000000000005</v>
      </c>
      <c r="K2878" s="1" t="s">
        <v>21</v>
      </c>
      <c r="L2878" s="1" t="s">
        <v>21</v>
      </c>
      <c r="M2878" s="1" t="s">
        <v>29</v>
      </c>
      <c r="N2878" s="1" t="s">
        <v>1047</v>
      </c>
    </row>
    <row r="2879" spans="1:14" x14ac:dyDescent="0.25">
      <c r="A2879" s="1">
        <v>2878</v>
      </c>
      <c r="B2879" s="2" t="str">
        <f>HYPERLINK("https://leetcode.com/problems/get-the-size-of-a-dataframe/", "Get the Size of a DataFrame")</f>
        <v>Get the Size of a DataFrame</v>
      </c>
      <c r="C2879" s="1">
        <v>153</v>
      </c>
      <c r="D2879" s="1">
        <v>13</v>
      </c>
      <c r="E2879" s="3">
        <f>IF(INDEX(C:C, ROW())+INDEX(D:D, ROW())=0, 0, INDEX(C:C, ROW())/(INDEX(C:C, ROW())+INDEX(D:D, ROW())))</f>
        <v>0.92168674698795183</v>
      </c>
      <c r="G2879" s="1" t="s">
        <v>20</v>
      </c>
      <c r="H2879" s="1">
        <v>192030</v>
      </c>
      <c r="I2879" s="1">
        <v>226127</v>
      </c>
      <c r="J2879" s="7">
        <v>0.84899999999999998</v>
      </c>
      <c r="K2879" s="1" t="s">
        <v>21</v>
      </c>
      <c r="L2879" s="1" t="s">
        <v>21</v>
      </c>
      <c r="M2879" s="1" t="s">
        <v>29</v>
      </c>
      <c r="N2879" s="1" t="s">
        <v>1047</v>
      </c>
    </row>
    <row r="2880" spans="1:14" x14ac:dyDescent="0.25">
      <c r="A2880" s="1">
        <v>2879</v>
      </c>
      <c r="B2880" s="2" t="str">
        <f>HYPERLINK("https://leetcode.com/problems/display-the-first-three-rows/", "Display the First Three Rows")</f>
        <v>Display the First Three Rows</v>
      </c>
      <c r="C2880" s="1">
        <v>123</v>
      </c>
      <c r="D2880" s="1">
        <v>24</v>
      </c>
      <c r="E2880" s="3">
        <f>IF(INDEX(C:C, ROW())+INDEX(D:D, ROW())=0, 0, INDEX(C:C, ROW())/(INDEX(C:C, ROW())+INDEX(D:D, ROW())))</f>
        <v>0.83673469387755106</v>
      </c>
      <c r="G2880" s="1" t="s">
        <v>20</v>
      </c>
      <c r="H2880" s="1">
        <v>204664</v>
      </c>
      <c r="I2880" s="1">
        <v>219917</v>
      </c>
      <c r="J2880" s="7">
        <v>0.93100000000000005</v>
      </c>
      <c r="K2880" s="1" t="s">
        <v>21</v>
      </c>
      <c r="L2880" s="1" t="s">
        <v>21</v>
      </c>
      <c r="M2880" s="1" t="s">
        <v>29</v>
      </c>
      <c r="N2880" s="1" t="s">
        <v>1047</v>
      </c>
    </row>
    <row r="2881" spans="1:14" x14ac:dyDescent="0.25">
      <c r="A2881" s="1">
        <v>2880</v>
      </c>
      <c r="B2881" s="2" t="str">
        <f>HYPERLINK("https://leetcode.com/problems/select-data/", "Select Data")</f>
        <v>Select Data</v>
      </c>
      <c r="C2881" s="1">
        <v>136</v>
      </c>
      <c r="D2881" s="1">
        <v>8</v>
      </c>
      <c r="E2881" s="3">
        <f>IF(INDEX(C:C, ROW())+INDEX(D:D, ROW())=0, 0, INDEX(C:C, ROW())/(INDEX(C:C, ROW())+INDEX(D:D, ROW())))</f>
        <v>0.94444444444444442</v>
      </c>
      <c r="G2881" s="1" t="s">
        <v>20</v>
      </c>
      <c r="H2881" s="1">
        <v>162185</v>
      </c>
      <c r="I2881" s="1">
        <v>206020</v>
      </c>
      <c r="J2881" s="7">
        <v>0.78700000000000003</v>
      </c>
      <c r="K2881" s="1" t="s">
        <v>21</v>
      </c>
      <c r="L2881" s="1" t="s">
        <v>21</v>
      </c>
      <c r="M2881" s="1" t="s">
        <v>29</v>
      </c>
      <c r="N2881" s="1" t="s">
        <v>1047</v>
      </c>
    </row>
    <row r="2882" spans="1:14" x14ac:dyDescent="0.25">
      <c r="A2882" s="1">
        <v>2881</v>
      </c>
      <c r="B2882" s="2" t="str">
        <f>HYPERLINK("https://leetcode.com/problems/create-a-new-column/", "Create a New Column")</f>
        <v>Create a New Column</v>
      </c>
      <c r="C2882" s="1">
        <v>109</v>
      </c>
      <c r="D2882" s="1">
        <v>6</v>
      </c>
      <c r="E2882" s="3">
        <f>IF(INDEX(C:C, ROW())+INDEX(D:D, ROW())=0, 0, INDEX(C:C, ROW())/(INDEX(C:C, ROW())+INDEX(D:D, ROW())))</f>
        <v>0.94782608695652171</v>
      </c>
      <c r="G2882" s="1" t="s">
        <v>20</v>
      </c>
      <c r="H2882" s="1">
        <v>152081</v>
      </c>
      <c r="I2882" s="1">
        <v>168556</v>
      </c>
      <c r="J2882" s="7">
        <v>0.90200000000000002</v>
      </c>
      <c r="K2882" s="1" t="s">
        <v>21</v>
      </c>
      <c r="L2882" s="1" t="s">
        <v>21</v>
      </c>
      <c r="M2882" s="1" t="s">
        <v>29</v>
      </c>
      <c r="N2882" s="1" t="s">
        <v>1047</v>
      </c>
    </row>
    <row r="2883" spans="1:14" x14ac:dyDescent="0.25">
      <c r="A2883" s="1">
        <v>2882</v>
      </c>
      <c r="B2883" s="2" t="str">
        <f>HYPERLINK("https://leetcode.com/problems/drop-duplicate-rows/", "Drop Duplicate Rows")</f>
        <v>Drop Duplicate Rows</v>
      </c>
      <c r="C2883" s="1">
        <v>133</v>
      </c>
      <c r="D2883" s="1">
        <v>6</v>
      </c>
      <c r="E2883" s="3">
        <f>IF(INDEX(C:C, ROW())+INDEX(D:D, ROW())=0, 0, INDEX(C:C, ROW())/(INDEX(C:C, ROW())+INDEX(D:D, ROW())))</f>
        <v>0.95683453237410077</v>
      </c>
      <c r="G2883" s="1" t="s">
        <v>20</v>
      </c>
      <c r="H2883" s="1">
        <v>136988</v>
      </c>
      <c r="I2883" s="1">
        <v>160637</v>
      </c>
      <c r="J2883" s="7">
        <v>0.85299999999999998</v>
      </c>
      <c r="K2883" s="1" t="s">
        <v>21</v>
      </c>
      <c r="L2883" s="1" t="s">
        <v>21</v>
      </c>
      <c r="M2883" s="1" t="s">
        <v>29</v>
      </c>
      <c r="N2883" s="1" t="s">
        <v>1047</v>
      </c>
    </row>
    <row r="2884" spans="1:14" x14ac:dyDescent="0.25">
      <c r="A2884" s="1">
        <v>2883</v>
      </c>
      <c r="B2884" s="2" t="str">
        <f>HYPERLINK("https://leetcode.com/problems/drop-missing-data/", "Drop Missing Data")</f>
        <v>Drop Missing Data</v>
      </c>
      <c r="C2884" s="1">
        <v>101</v>
      </c>
      <c r="D2884" s="1">
        <v>7</v>
      </c>
      <c r="E2884" s="3">
        <f>IF(INDEX(C:C, ROW())+INDEX(D:D, ROW())=0, 0, INDEX(C:C, ROW())/(INDEX(C:C, ROW())+INDEX(D:D, ROW())))</f>
        <v>0.93518518518518523</v>
      </c>
      <c r="G2884" s="1" t="s">
        <v>20</v>
      </c>
      <c r="H2884" s="1">
        <v>127707</v>
      </c>
      <c r="I2884" s="1">
        <v>197921</v>
      </c>
      <c r="J2884" s="7">
        <v>0.64500000000000002</v>
      </c>
      <c r="K2884" s="1" t="s">
        <v>21</v>
      </c>
      <c r="L2884" s="1" t="s">
        <v>21</v>
      </c>
      <c r="M2884" s="1" t="s">
        <v>29</v>
      </c>
      <c r="N2884" s="1" t="s">
        <v>1047</v>
      </c>
    </row>
    <row r="2885" spans="1:14" x14ac:dyDescent="0.25">
      <c r="A2885" s="1">
        <v>2884</v>
      </c>
      <c r="B2885" s="2" t="str">
        <f>HYPERLINK("https://leetcode.com/problems/modify-columns/", "Modify Columns")</f>
        <v>Modify Columns</v>
      </c>
      <c r="C2885" s="1">
        <v>96</v>
      </c>
      <c r="D2885" s="1">
        <v>7</v>
      </c>
      <c r="E2885" s="3">
        <f>IF(INDEX(C:C, ROW())+INDEX(D:D, ROW())=0, 0, INDEX(C:C, ROW())/(INDEX(C:C, ROW())+INDEX(D:D, ROW())))</f>
        <v>0.93203883495145634</v>
      </c>
      <c r="G2885" s="1" t="s">
        <v>20</v>
      </c>
      <c r="H2885" s="1">
        <v>140988</v>
      </c>
      <c r="I2885" s="1">
        <v>152584</v>
      </c>
      <c r="J2885" s="7">
        <v>0.92400000000000004</v>
      </c>
      <c r="K2885" s="1" t="s">
        <v>21</v>
      </c>
      <c r="L2885" s="1" t="s">
        <v>21</v>
      </c>
      <c r="M2885" s="1" t="s">
        <v>29</v>
      </c>
      <c r="N2885" s="1" t="s">
        <v>1047</v>
      </c>
    </row>
    <row r="2886" spans="1:14" x14ac:dyDescent="0.25">
      <c r="A2886" s="1">
        <v>2885</v>
      </c>
      <c r="B2886" s="2" t="str">
        <f>HYPERLINK("https://leetcode.com/problems/rename-columns/", "Rename Columns")</f>
        <v>Rename Columns</v>
      </c>
      <c r="C2886" s="1">
        <v>83</v>
      </c>
      <c r="D2886" s="1">
        <v>3</v>
      </c>
      <c r="E2886" s="3">
        <f>IF(INDEX(C:C, ROW())+INDEX(D:D, ROW())=0, 0, INDEX(C:C, ROW())/(INDEX(C:C, ROW())+INDEX(D:D, ROW())))</f>
        <v>0.96511627906976749</v>
      </c>
      <c r="G2886" s="1" t="s">
        <v>20</v>
      </c>
      <c r="H2886" s="1">
        <v>120991</v>
      </c>
      <c r="I2886" s="1">
        <v>141708</v>
      </c>
      <c r="J2886" s="7">
        <v>0.85399999999999998</v>
      </c>
      <c r="K2886" s="1" t="s">
        <v>21</v>
      </c>
      <c r="L2886" s="1" t="s">
        <v>21</v>
      </c>
      <c r="M2886" s="1" t="s">
        <v>29</v>
      </c>
      <c r="N2886" s="1" t="s">
        <v>1047</v>
      </c>
    </row>
    <row r="2887" spans="1:14" x14ac:dyDescent="0.25">
      <c r="A2887" s="1">
        <v>2886</v>
      </c>
      <c r="B2887" s="2" t="str">
        <f>HYPERLINK("https://leetcode.com/problems/change-data-type/", "Change Data Type")</f>
        <v>Change Data Type</v>
      </c>
      <c r="C2887" s="1">
        <v>88</v>
      </c>
      <c r="D2887" s="1">
        <v>9</v>
      </c>
      <c r="E2887" s="3">
        <f>IF(INDEX(C:C, ROW())+INDEX(D:D, ROW())=0, 0, INDEX(C:C, ROW())/(INDEX(C:C, ROW())+INDEX(D:D, ROW())))</f>
        <v>0.90721649484536082</v>
      </c>
      <c r="G2887" s="1" t="s">
        <v>20</v>
      </c>
      <c r="H2887" s="1">
        <v>118944</v>
      </c>
      <c r="I2887" s="1">
        <v>136054</v>
      </c>
      <c r="J2887" s="7">
        <v>0.874</v>
      </c>
      <c r="K2887" s="1" t="s">
        <v>21</v>
      </c>
      <c r="L2887" s="1" t="s">
        <v>21</v>
      </c>
      <c r="M2887" s="1" t="s">
        <v>29</v>
      </c>
      <c r="N2887" s="1" t="s">
        <v>1047</v>
      </c>
    </row>
    <row r="2888" spans="1:14" x14ac:dyDescent="0.25">
      <c r="A2888" s="1">
        <v>2887</v>
      </c>
      <c r="B2888" s="2" t="str">
        <f>HYPERLINK("https://leetcode.com/problems/fill-missing-data/", "Fill Missing Data")</f>
        <v>Fill Missing Data</v>
      </c>
      <c r="C2888" s="1">
        <v>89</v>
      </c>
      <c r="D2888" s="1">
        <v>3</v>
      </c>
      <c r="E2888" s="3">
        <f>IF(INDEX(C:C, ROW())+INDEX(D:D, ROW())=0, 0, INDEX(C:C, ROW())/(INDEX(C:C, ROW())+INDEX(D:D, ROW())))</f>
        <v>0.96739130434782605</v>
      </c>
      <c r="G2888" s="1" t="s">
        <v>20</v>
      </c>
      <c r="H2888" s="1">
        <v>113522</v>
      </c>
      <c r="I2888" s="1">
        <v>156718</v>
      </c>
      <c r="J2888" s="7">
        <v>0.72399999999999998</v>
      </c>
      <c r="K2888" s="1" t="s">
        <v>21</v>
      </c>
      <c r="L2888" s="1" t="s">
        <v>21</v>
      </c>
      <c r="M2888" s="1" t="s">
        <v>29</v>
      </c>
      <c r="N2888" s="1" t="s">
        <v>1047</v>
      </c>
    </row>
    <row r="2889" spans="1:14" x14ac:dyDescent="0.25">
      <c r="A2889" s="1">
        <v>2888</v>
      </c>
      <c r="B2889" s="2" t="str">
        <f>HYPERLINK("https://leetcode.com/problems/reshape-data-concatenate/", "Reshape Data: Concatenate")</f>
        <v>Reshape Data: Concatenate</v>
      </c>
      <c r="C2889" s="1">
        <v>89</v>
      </c>
      <c r="D2889" s="1">
        <v>7</v>
      </c>
      <c r="E2889" s="3">
        <f>IF(INDEX(C:C, ROW())+INDEX(D:D, ROW())=0, 0, INDEX(C:C, ROW())/(INDEX(C:C, ROW())+INDEX(D:D, ROW())))</f>
        <v>0.92708333333333337</v>
      </c>
      <c r="G2889" s="1" t="s">
        <v>20</v>
      </c>
      <c r="H2889" s="1">
        <v>119660</v>
      </c>
      <c r="I2889" s="1">
        <v>132165</v>
      </c>
      <c r="J2889" s="7">
        <v>0.90500000000000003</v>
      </c>
      <c r="K2889" s="1" t="s">
        <v>21</v>
      </c>
      <c r="L2889" s="1" t="s">
        <v>21</v>
      </c>
      <c r="M2889" s="1" t="s">
        <v>29</v>
      </c>
      <c r="N2889" s="1" t="s">
        <v>1047</v>
      </c>
    </row>
    <row r="2890" spans="1:14" x14ac:dyDescent="0.25">
      <c r="A2890" s="1">
        <v>2889</v>
      </c>
      <c r="B2890" s="2" t="str">
        <f>HYPERLINK("https://leetcode.com/problems/reshape-data-pivot/", "Reshape Data: Pivot")</f>
        <v>Reshape Data: Pivot</v>
      </c>
      <c r="C2890" s="1">
        <v>137</v>
      </c>
      <c r="D2890" s="1">
        <v>15</v>
      </c>
      <c r="E2890" s="3">
        <f>IF(INDEX(C:C, ROW())+INDEX(D:D, ROW())=0, 0, INDEX(C:C, ROW())/(INDEX(C:C, ROW())+INDEX(D:D, ROW())))</f>
        <v>0.90131578947368418</v>
      </c>
      <c r="G2890" s="1" t="s">
        <v>20</v>
      </c>
      <c r="H2890" s="1">
        <v>100624</v>
      </c>
      <c r="I2890" s="1">
        <v>120933</v>
      </c>
      <c r="J2890" s="7">
        <v>0.83199999999999996</v>
      </c>
      <c r="K2890" s="1" t="s">
        <v>21</v>
      </c>
      <c r="L2890" s="1" t="s">
        <v>21</v>
      </c>
      <c r="M2890" s="1" t="s">
        <v>29</v>
      </c>
      <c r="N2890" s="1" t="s">
        <v>1047</v>
      </c>
    </row>
    <row r="2891" spans="1:14" x14ac:dyDescent="0.25">
      <c r="A2891" s="1">
        <v>2890</v>
      </c>
      <c r="B2891" s="2" t="str">
        <f>HYPERLINK("https://leetcode.com/problems/reshape-data-melt/", "Reshape Data: Melt")</f>
        <v>Reshape Data: Melt</v>
      </c>
      <c r="C2891" s="1">
        <v>113</v>
      </c>
      <c r="D2891" s="1">
        <v>4</v>
      </c>
      <c r="E2891" s="3">
        <f>IF(INDEX(C:C, ROW())+INDEX(D:D, ROW())=0, 0, INDEX(C:C, ROW())/(INDEX(C:C, ROW())+INDEX(D:D, ROW())))</f>
        <v>0.96581196581196582</v>
      </c>
      <c r="G2891" s="1" t="s">
        <v>20</v>
      </c>
      <c r="H2891" s="1">
        <v>95041</v>
      </c>
      <c r="I2891" s="1">
        <v>110465</v>
      </c>
      <c r="J2891" s="7">
        <v>0.86</v>
      </c>
      <c r="K2891" s="1" t="s">
        <v>21</v>
      </c>
      <c r="L2891" s="1" t="s">
        <v>21</v>
      </c>
      <c r="M2891" s="1" t="s">
        <v>29</v>
      </c>
      <c r="N2891" s="1" t="s">
        <v>1047</v>
      </c>
    </row>
    <row r="2892" spans="1:14" x14ac:dyDescent="0.25">
      <c r="A2892" s="1">
        <v>2891</v>
      </c>
      <c r="B2892" s="2" t="str">
        <f>HYPERLINK("https://leetcode.com/problems/method-chaining/", "Method Chaining")</f>
        <v>Method Chaining</v>
      </c>
      <c r="C2892" s="1">
        <v>109</v>
      </c>
      <c r="D2892" s="1">
        <v>6</v>
      </c>
      <c r="E2892" s="3">
        <f>IF(INDEX(C:C, ROW())+INDEX(D:D, ROW())=0, 0, INDEX(C:C, ROW())/(INDEX(C:C, ROW())+INDEX(D:D, ROW())))</f>
        <v>0.94782608695652171</v>
      </c>
      <c r="G2892" s="1" t="s">
        <v>20</v>
      </c>
      <c r="H2892" s="1">
        <v>98047</v>
      </c>
      <c r="I2892" s="1">
        <v>128625</v>
      </c>
      <c r="J2892" s="7">
        <v>0.76200000000000001</v>
      </c>
      <c r="K2892" s="1" t="s">
        <v>21</v>
      </c>
      <c r="L2892" s="1" t="s">
        <v>21</v>
      </c>
      <c r="M2892" s="1" t="s">
        <v>29</v>
      </c>
      <c r="N2892" s="1" t="s">
        <v>1047</v>
      </c>
    </row>
    <row r="2893" spans="1:14" x14ac:dyDescent="0.25">
      <c r="A2893" s="1">
        <v>2892</v>
      </c>
      <c r="B2893" s="2" t="str">
        <f>HYPERLINK("https://leetcode.com/problems/minimizing-array-after-replacing-pairs-with-their-product/", "Minimizing Array After Replacing Pairs With Their Product")</f>
        <v>Minimizing Array After Replacing Pairs With Their Product</v>
      </c>
      <c r="C2893" s="1">
        <v>29</v>
      </c>
      <c r="D2893" s="1">
        <v>1</v>
      </c>
      <c r="E2893" s="3">
        <f>IF(INDEX(C:C, ROW())+INDEX(D:D, ROW())=0, 0, INDEX(C:C, ROW())/(INDEX(C:C, ROW())+INDEX(D:D, ROW())))</f>
        <v>0.96666666666666667</v>
      </c>
      <c r="F2893" s="1" t="s">
        <v>50</v>
      </c>
      <c r="G2893" s="1" t="s">
        <v>24</v>
      </c>
      <c r="H2893" s="1">
        <v>1770</v>
      </c>
      <c r="I2893" s="1">
        <v>4350</v>
      </c>
      <c r="J2893" s="7">
        <v>0.40699999999999997</v>
      </c>
      <c r="K2893" s="1" t="s">
        <v>29</v>
      </c>
      <c r="L2893" s="1" t="s">
        <v>29</v>
      </c>
      <c r="M2893" s="1" t="s">
        <v>29</v>
      </c>
      <c r="N2893" s="1" t="s">
        <v>22</v>
      </c>
    </row>
    <row r="2894" spans="1:14" x14ac:dyDescent="0.25">
      <c r="A2894" s="1">
        <v>2893</v>
      </c>
      <c r="B2894" s="2" t="str">
        <f>HYPERLINK("https://leetcode.com/problems/calculate-orders-within-each-interval/", "Calculate Orders Within Each Interval")</f>
        <v>Calculate Orders Within Each Interval</v>
      </c>
      <c r="C2894" s="1">
        <v>23</v>
      </c>
      <c r="D2894" s="1">
        <v>3</v>
      </c>
      <c r="E2894" s="3">
        <f>IF(INDEX(C:C, ROW())+INDEX(D:D, ROW())=0, 0, INDEX(C:C, ROW())/(INDEX(C:C, ROW())+INDEX(D:D, ROW())))</f>
        <v>0.88461538461538458</v>
      </c>
      <c r="F2894" s="1" t="s">
        <v>297</v>
      </c>
      <c r="G2894" s="1" t="s">
        <v>24</v>
      </c>
      <c r="H2894" s="1">
        <v>4128</v>
      </c>
      <c r="I2894" s="1">
        <v>6152</v>
      </c>
      <c r="J2894" s="7">
        <v>0.67100000000000004</v>
      </c>
      <c r="K2894" s="1" t="s">
        <v>29</v>
      </c>
      <c r="L2894" s="1" t="s">
        <v>29</v>
      </c>
      <c r="M2894" s="1" t="s">
        <v>29</v>
      </c>
      <c r="N2894" s="1" t="s">
        <v>297</v>
      </c>
    </row>
    <row r="2895" spans="1:14" x14ac:dyDescent="0.25">
      <c r="A2895" s="1">
        <v>2894</v>
      </c>
      <c r="B2895" s="2" t="str">
        <f>HYPERLINK("https://leetcode.com/problems/divisible-and-non-divisible-sums-difference/", "Divisible and Non-divisible Sums Difference")</f>
        <v>Divisible and Non-divisible Sums Difference</v>
      </c>
      <c r="C2895" s="1">
        <v>667</v>
      </c>
      <c r="D2895" s="1">
        <v>36</v>
      </c>
      <c r="E2895" s="3">
        <f>IF(INDEX(C:C, ROW())+INDEX(D:D, ROW())=0, 0, INDEX(C:C, ROW())/(INDEX(C:C, ROW())+INDEX(D:D, ROW())))</f>
        <v>0.94879089615931722</v>
      </c>
      <c r="F2895" s="1" t="s">
        <v>84</v>
      </c>
      <c r="G2895" s="1" t="s">
        <v>20</v>
      </c>
      <c r="H2895" s="1">
        <v>316312</v>
      </c>
      <c r="I2895" s="1">
        <v>347443</v>
      </c>
      <c r="J2895" s="7">
        <v>0.91</v>
      </c>
      <c r="K2895" s="1" t="s">
        <v>21</v>
      </c>
      <c r="L2895" s="1" t="s">
        <v>21</v>
      </c>
      <c r="M2895" s="1" t="s">
        <v>29</v>
      </c>
      <c r="N2895" s="1" t="s">
        <v>22</v>
      </c>
    </row>
    <row r="2896" spans="1:14" x14ac:dyDescent="0.25">
      <c r="A2896" s="1">
        <v>2895</v>
      </c>
      <c r="B2896" s="2" t="str">
        <f>HYPERLINK("https://leetcode.com/problems/minimum-processing-time/", "Minimum Processing Time")</f>
        <v>Minimum Processing Time</v>
      </c>
      <c r="C2896" s="1">
        <v>282</v>
      </c>
      <c r="D2896" s="1">
        <v>49</v>
      </c>
      <c r="E2896" s="3">
        <f>IF(INDEX(C:C, ROW())+INDEX(D:D, ROW())=0, 0, INDEX(C:C, ROW())/(INDEX(C:C, ROW())+INDEX(D:D, ROW())))</f>
        <v>0.85196374622356497</v>
      </c>
      <c r="F2896" s="1" t="s">
        <v>169</v>
      </c>
      <c r="G2896" s="1" t="s">
        <v>24</v>
      </c>
      <c r="H2896" s="1">
        <v>44551</v>
      </c>
      <c r="I2896" s="1">
        <v>63444</v>
      </c>
      <c r="J2896" s="7">
        <v>0.70199999999999996</v>
      </c>
      <c r="K2896" s="1" t="s">
        <v>21</v>
      </c>
      <c r="L2896" s="1" t="s">
        <v>29</v>
      </c>
      <c r="M2896" s="1" t="s">
        <v>29</v>
      </c>
      <c r="N2896" s="1" t="s">
        <v>22</v>
      </c>
    </row>
    <row r="2897" spans="1:14" x14ac:dyDescent="0.25">
      <c r="A2897" s="1">
        <v>2896</v>
      </c>
      <c r="B2897" s="2" t="str">
        <f>HYPERLINK("https://leetcode.com/problems/apply-operations-to-make-two-strings-equal/", "Apply Operations to Make Two Strings Equal")</f>
        <v>Apply Operations to Make Two Strings Equal</v>
      </c>
      <c r="C2897" s="1">
        <v>393</v>
      </c>
      <c r="D2897" s="1">
        <v>76</v>
      </c>
      <c r="E2897" s="3">
        <f>IF(INDEX(C:C, ROW())+INDEX(D:D, ROW())=0, 0, INDEX(C:C, ROW())/(INDEX(C:C, ROW())+INDEX(D:D, ROW())))</f>
        <v>0.83795309168443499</v>
      </c>
      <c r="F2897" s="1" t="s">
        <v>82</v>
      </c>
      <c r="G2897" s="1" t="s">
        <v>24</v>
      </c>
      <c r="H2897" s="1">
        <v>15253</v>
      </c>
      <c r="I2897" s="1">
        <v>55234</v>
      </c>
      <c r="J2897" s="7">
        <v>0.27600000000000002</v>
      </c>
      <c r="K2897" s="1" t="s">
        <v>21</v>
      </c>
      <c r="L2897" s="1" t="s">
        <v>29</v>
      </c>
      <c r="M2897" s="1" t="s">
        <v>29</v>
      </c>
      <c r="N2897" s="1" t="s">
        <v>22</v>
      </c>
    </row>
    <row r="2898" spans="1:14" x14ac:dyDescent="0.25">
      <c r="A2898" s="1">
        <v>2897</v>
      </c>
      <c r="B2898" s="2" t="str">
        <f>HYPERLINK("https://leetcode.com/problems/apply-operations-on-array-to-maximize-sum-of-squares/", "Apply Operations on Array to Maximize Sum of Squares")</f>
        <v>Apply Operations on Array to Maximize Sum of Squares</v>
      </c>
      <c r="C2898" s="1">
        <v>196</v>
      </c>
      <c r="D2898" s="1">
        <v>4</v>
      </c>
      <c r="E2898" s="3">
        <f>IF(INDEX(C:C, ROW())+INDEX(D:D, ROW())=0, 0, INDEX(C:C, ROW())/(INDEX(C:C, ROW())+INDEX(D:D, ROW())))</f>
        <v>0.98</v>
      </c>
      <c r="F2898" s="1" t="s">
        <v>719</v>
      </c>
      <c r="G2898" s="1" t="s">
        <v>28</v>
      </c>
      <c r="H2898" s="1">
        <v>8365</v>
      </c>
      <c r="I2898" s="1">
        <v>18920</v>
      </c>
      <c r="J2898" s="7">
        <v>0.442</v>
      </c>
      <c r="K2898" s="1" t="s">
        <v>21</v>
      </c>
      <c r="L2898" s="1" t="s">
        <v>29</v>
      </c>
      <c r="M2898" s="1" t="s">
        <v>29</v>
      </c>
      <c r="N2898" s="1" t="s">
        <v>22</v>
      </c>
    </row>
    <row r="2899" spans="1:14" x14ac:dyDescent="0.25">
      <c r="A2899" s="1">
        <v>2898</v>
      </c>
      <c r="B2899" s="2" t="str">
        <f>HYPERLINK("https://leetcode.com/problems/maximum-linear-stock-score/", "Maximum Linear Stock Score")</f>
        <v>Maximum Linear Stock Score</v>
      </c>
      <c r="C2899" s="1">
        <v>23</v>
      </c>
      <c r="D2899" s="1">
        <v>4</v>
      </c>
      <c r="E2899" s="3">
        <f>IF(INDEX(C:C, ROW())+INDEX(D:D, ROW())=0, 0, INDEX(C:C, ROW())/(INDEX(C:C, ROW())+INDEX(D:D, ROW())))</f>
        <v>0.85185185185185186</v>
      </c>
      <c r="F2899" s="1" t="s">
        <v>19</v>
      </c>
      <c r="G2899" s="1" t="s">
        <v>24</v>
      </c>
      <c r="H2899" s="1">
        <v>1325</v>
      </c>
      <c r="I2899" s="1">
        <v>2160</v>
      </c>
      <c r="J2899" s="7">
        <v>0.61299999999999999</v>
      </c>
      <c r="K2899" s="1" t="s">
        <v>29</v>
      </c>
      <c r="L2899" s="1" t="s">
        <v>29</v>
      </c>
      <c r="M2899" s="1" t="s">
        <v>29</v>
      </c>
      <c r="N2899" s="1" t="s">
        <v>22</v>
      </c>
    </row>
    <row r="2900" spans="1:14" x14ac:dyDescent="0.25">
      <c r="A2900" s="1">
        <v>2899</v>
      </c>
      <c r="B2900" s="2" t="str">
        <f>HYPERLINK("https://leetcode.com/problems/last-visited-integers/", "Last Visited Integers")</f>
        <v>Last Visited Integers</v>
      </c>
      <c r="C2900" s="1">
        <v>165</v>
      </c>
      <c r="D2900" s="1">
        <v>235</v>
      </c>
      <c r="E2900" s="3">
        <f>IF(INDEX(C:C, ROW())+INDEX(D:D, ROW())=0, 0, INDEX(C:C, ROW())/(INDEX(C:C, ROW())+INDEX(D:D, ROW())))</f>
        <v>0.41249999999999998</v>
      </c>
      <c r="F2900" s="1" t="s">
        <v>306</v>
      </c>
      <c r="G2900" s="1" t="s">
        <v>20</v>
      </c>
      <c r="H2900" s="1">
        <v>32827</v>
      </c>
      <c r="I2900" s="1">
        <v>52867</v>
      </c>
      <c r="J2900" s="7">
        <v>0.621</v>
      </c>
      <c r="K2900" s="1" t="s">
        <v>21</v>
      </c>
      <c r="L2900" s="1" t="s">
        <v>29</v>
      </c>
      <c r="M2900" s="1" t="s">
        <v>29</v>
      </c>
      <c r="N2900" s="1" t="s">
        <v>22</v>
      </c>
    </row>
    <row r="2901" spans="1:14" x14ac:dyDescent="0.25">
      <c r="A2901" s="1">
        <v>2900</v>
      </c>
      <c r="B2901" s="2" t="str">
        <f>HYPERLINK("https://leetcode.com/problems/longest-unequal-adjacent-groups-subsequence-i/", "Longest Unequal Adjacent Groups Subsequence I")</f>
        <v>Longest Unequal Adjacent Groups Subsequence I</v>
      </c>
      <c r="C2901" s="1">
        <v>483</v>
      </c>
      <c r="D2901" s="1">
        <v>275</v>
      </c>
      <c r="E2901" s="3">
        <f>IF(INDEX(C:C, ROW())+INDEX(D:D, ROW())=0, 0, INDEX(C:C, ROW())/(INDEX(C:C, ROW())+INDEX(D:D, ROW())))</f>
        <v>0.63720316622691298</v>
      </c>
      <c r="F2901" s="1" t="s">
        <v>292</v>
      </c>
      <c r="G2901" s="1" t="s">
        <v>20</v>
      </c>
      <c r="H2901" s="1">
        <v>147451</v>
      </c>
      <c r="I2901" s="1">
        <v>220229</v>
      </c>
      <c r="J2901" s="7">
        <v>0.67</v>
      </c>
      <c r="K2901" s="1" t="s">
        <v>21</v>
      </c>
      <c r="L2901" s="1" t="s">
        <v>21</v>
      </c>
      <c r="M2901" s="1" t="s">
        <v>29</v>
      </c>
      <c r="N2901" s="1" t="s">
        <v>22</v>
      </c>
    </row>
    <row r="2902" spans="1:14" x14ac:dyDescent="0.25">
      <c r="A2902" s="1">
        <v>2901</v>
      </c>
      <c r="B2902" s="2" t="str">
        <f>HYPERLINK("https://leetcode.com/problems/longest-unequal-adjacent-groups-subsequence-ii/", "Longest Unequal Adjacent Groups Subsequence II")</f>
        <v>Longest Unequal Adjacent Groups Subsequence II</v>
      </c>
      <c r="C2902" s="1">
        <v>573</v>
      </c>
      <c r="D2902" s="1">
        <v>168</v>
      </c>
      <c r="E2902" s="3">
        <f>IF(INDEX(C:C, ROW())+INDEX(D:D, ROW())=0, 0, INDEX(C:C, ROW())/(INDEX(C:C, ROW())+INDEX(D:D, ROW())))</f>
        <v>0.77327935222672062</v>
      </c>
      <c r="F2902" s="1" t="s">
        <v>225</v>
      </c>
      <c r="G2902" s="1" t="s">
        <v>24</v>
      </c>
      <c r="H2902" s="1">
        <v>83316</v>
      </c>
      <c r="I2902" s="1">
        <v>161948</v>
      </c>
      <c r="J2902" s="7">
        <v>0.51400000000000001</v>
      </c>
      <c r="K2902" s="1" t="s">
        <v>21</v>
      </c>
      <c r="L2902" s="1" t="s">
        <v>21</v>
      </c>
      <c r="M2902" s="1" t="s">
        <v>29</v>
      </c>
      <c r="N2902" s="1" t="s">
        <v>22</v>
      </c>
    </row>
    <row r="2903" spans="1:14" x14ac:dyDescent="0.25">
      <c r="A2903" s="1">
        <v>2902</v>
      </c>
      <c r="B2903" s="2" t="str">
        <f>HYPERLINK("https://leetcode.com/problems/count-of-sub-multisets-with-bounded-sum/", "Count of Sub-Multisets With Bounded Sum")</f>
        <v>Count of Sub-Multisets With Bounded Sum</v>
      </c>
      <c r="C2903" s="1">
        <v>162</v>
      </c>
      <c r="D2903" s="1">
        <v>27</v>
      </c>
      <c r="E2903" s="3">
        <f>IF(INDEX(C:C, ROW())+INDEX(D:D, ROW())=0, 0, INDEX(C:C, ROW())/(INDEX(C:C, ROW())+INDEX(D:D, ROW())))</f>
        <v>0.8571428571428571</v>
      </c>
      <c r="F2903" s="1" t="s">
        <v>1126</v>
      </c>
      <c r="G2903" s="1" t="s">
        <v>28</v>
      </c>
      <c r="H2903" s="1">
        <v>5952</v>
      </c>
      <c r="I2903" s="1">
        <v>26860</v>
      </c>
      <c r="J2903" s="7">
        <v>0.222</v>
      </c>
      <c r="K2903" s="1" t="s">
        <v>21</v>
      </c>
      <c r="L2903" s="1" t="s">
        <v>29</v>
      </c>
      <c r="M2903" s="1" t="s">
        <v>29</v>
      </c>
      <c r="N2903" s="1" t="s">
        <v>22</v>
      </c>
    </row>
    <row r="2904" spans="1:14" x14ac:dyDescent="0.25">
      <c r="A2904" s="1">
        <v>2903</v>
      </c>
      <c r="B2904" s="2" t="str">
        <f>HYPERLINK("https://leetcode.com/problems/find-indices-with-index-and-value-difference-i/", "Find Indices With Index and Value Difference I")</f>
        <v>Find Indices With Index and Value Difference I</v>
      </c>
      <c r="C2904" s="1">
        <v>167</v>
      </c>
      <c r="D2904" s="1">
        <v>18</v>
      </c>
      <c r="E2904" s="3">
        <f>IF(INDEX(C:C, ROW())+INDEX(D:D, ROW())=0, 0, INDEX(C:C, ROW())/(INDEX(C:C, ROW())+INDEX(D:D, ROW())))</f>
        <v>0.9027027027027027</v>
      </c>
      <c r="F2904" s="1" t="s">
        <v>51</v>
      </c>
      <c r="G2904" s="1" t="s">
        <v>20</v>
      </c>
      <c r="H2904" s="1">
        <v>53237</v>
      </c>
      <c r="I2904" s="1">
        <v>88303</v>
      </c>
      <c r="J2904" s="7">
        <v>0.60299999999999998</v>
      </c>
      <c r="K2904" s="1" t="s">
        <v>21</v>
      </c>
      <c r="L2904" s="1" t="s">
        <v>29</v>
      </c>
      <c r="M2904" s="1" t="s">
        <v>29</v>
      </c>
      <c r="N2904" s="1" t="s">
        <v>22</v>
      </c>
    </row>
    <row r="2905" spans="1:14" x14ac:dyDescent="0.25">
      <c r="A2905" s="1">
        <v>2904</v>
      </c>
      <c r="B2905" s="2" t="str">
        <f>HYPERLINK("https://leetcode.com/problems/shortest-and-lexicographically-smallest-beautiful-string/", "Shortest and Lexicographically Smallest Beautiful String")</f>
        <v>Shortest and Lexicographically Smallest Beautiful String</v>
      </c>
      <c r="C2905" s="1">
        <v>204</v>
      </c>
      <c r="D2905" s="1">
        <v>11</v>
      </c>
      <c r="E2905" s="3">
        <f>IF(INDEX(C:C, ROW())+INDEX(D:D, ROW())=0, 0, INDEX(C:C, ROW())/(INDEX(C:C, ROW())+INDEX(D:D, ROW())))</f>
        <v>0.94883720930232562</v>
      </c>
      <c r="F2905" s="1" t="s">
        <v>314</v>
      </c>
      <c r="G2905" s="1" t="s">
        <v>24</v>
      </c>
      <c r="H2905" s="1">
        <v>33082</v>
      </c>
      <c r="I2905" s="1">
        <v>80991</v>
      </c>
      <c r="J2905" s="7">
        <v>0.40799999999999997</v>
      </c>
      <c r="K2905" s="1" t="s">
        <v>21</v>
      </c>
      <c r="L2905" s="1" t="s">
        <v>29</v>
      </c>
      <c r="M2905" s="1" t="s">
        <v>29</v>
      </c>
      <c r="N2905" s="1" t="s">
        <v>22</v>
      </c>
    </row>
    <row r="2906" spans="1:14" x14ac:dyDescent="0.25">
      <c r="A2906" s="1">
        <v>2905</v>
      </c>
      <c r="B2906" s="2" t="str">
        <f>HYPERLINK("https://leetcode.com/problems/find-indices-with-index-and-value-difference-ii/", "Find Indices With Index and Value Difference II")</f>
        <v>Find Indices With Index and Value Difference II</v>
      </c>
      <c r="C2906" s="1">
        <v>299</v>
      </c>
      <c r="D2906" s="1">
        <v>11</v>
      </c>
      <c r="E2906" s="3">
        <f>IF(INDEX(C:C, ROW())+INDEX(D:D, ROW())=0, 0, INDEX(C:C, ROW())/(INDEX(C:C, ROW())+INDEX(D:D, ROW())))</f>
        <v>0.96451612903225803</v>
      </c>
      <c r="F2906" s="1" t="s">
        <v>51</v>
      </c>
      <c r="G2906" s="1" t="s">
        <v>24</v>
      </c>
      <c r="H2906" s="1">
        <v>22722</v>
      </c>
      <c r="I2906" s="1">
        <v>69695</v>
      </c>
      <c r="J2906" s="7">
        <v>0.32600000000000001</v>
      </c>
      <c r="K2906" s="1" t="s">
        <v>21</v>
      </c>
      <c r="L2906" s="1" t="s">
        <v>29</v>
      </c>
      <c r="M2906" s="1" t="s">
        <v>29</v>
      </c>
      <c r="N2906" s="1" t="s">
        <v>22</v>
      </c>
    </row>
    <row r="2907" spans="1:14" x14ac:dyDescent="0.25">
      <c r="A2907" s="1">
        <v>2906</v>
      </c>
      <c r="B2907" s="2" t="str">
        <f>HYPERLINK("https://leetcode.com/problems/construct-product-matrix/", "Construct Product Matrix")</f>
        <v>Construct Product Matrix</v>
      </c>
      <c r="C2907" s="1">
        <v>261</v>
      </c>
      <c r="D2907" s="1">
        <v>23</v>
      </c>
      <c r="E2907" s="3">
        <f>IF(INDEX(C:C, ROW())+INDEX(D:D, ROW())=0, 0, INDEX(C:C, ROW())/(INDEX(C:C, ROW())+INDEX(D:D, ROW())))</f>
        <v>0.91901408450704225</v>
      </c>
      <c r="F2907" s="1" t="s">
        <v>425</v>
      </c>
      <c r="G2907" s="1" t="s">
        <v>24</v>
      </c>
      <c r="H2907" s="1">
        <v>16995</v>
      </c>
      <c r="I2907" s="1">
        <v>53044</v>
      </c>
      <c r="J2907" s="7">
        <v>0.32</v>
      </c>
      <c r="K2907" s="1" t="s">
        <v>21</v>
      </c>
      <c r="L2907" s="1" t="s">
        <v>29</v>
      </c>
      <c r="M2907" s="1" t="s">
        <v>29</v>
      </c>
      <c r="N2907" s="1" t="s">
        <v>22</v>
      </c>
    </row>
    <row r="2908" spans="1:14" x14ac:dyDescent="0.25">
      <c r="A2908" s="1">
        <v>2907</v>
      </c>
      <c r="B2908" s="2" t="str">
        <f>HYPERLINK("https://leetcode.com/problems/maximum-profitable-triplets-with-increasing-prices-i/", "Maximum Profitable Triplets With Increasing Prices I")</f>
        <v>Maximum Profitable Triplets With Increasing Prices I</v>
      </c>
      <c r="C2908" s="1">
        <v>20</v>
      </c>
      <c r="D2908" s="1">
        <v>1</v>
      </c>
      <c r="E2908" s="3">
        <f>IF(INDEX(C:C, ROW())+INDEX(D:D, ROW())=0, 0, INDEX(C:C, ROW())/(INDEX(C:C, ROW())+INDEX(D:D, ROW())))</f>
        <v>0.95238095238095233</v>
      </c>
      <c r="F2908" s="1" t="s">
        <v>1145</v>
      </c>
      <c r="G2908" s="1" t="s">
        <v>24</v>
      </c>
      <c r="H2908" s="1">
        <v>1825</v>
      </c>
      <c r="I2908" s="1">
        <v>3298</v>
      </c>
      <c r="J2908" s="7">
        <v>0.55300000000000005</v>
      </c>
      <c r="K2908" s="1" t="s">
        <v>29</v>
      </c>
      <c r="L2908" s="1" t="s">
        <v>29</v>
      </c>
      <c r="M2908" s="1" t="s">
        <v>29</v>
      </c>
      <c r="N2908" s="1" t="s">
        <v>22</v>
      </c>
    </row>
    <row r="2909" spans="1:14" x14ac:dyDescent="0.25">
      <c r="A2909" s="1">
        <v>2908</v>
      </c>
      <c r="B2909" s="2" t="str">
        <f>HYPERLINK("https://leetcode.com/problems/minimum-sum-of-mountain-triplets-i/", "Minimum Sum of Mountain Triplets I")</f>
        <v>Minimum Sum of Mountain Triplets I</v>
      </c>
      <c r="C2909" s="1">
        <v>198</v>
      </c>
      <c r="D2909" s="1">
        <v>15</v>
      </c>
      <c r="E2909" s="3">
        <f>IF(INDEX(C:C, ROW())+INDEX(D:D, ROW())=0, 0, INDEX(C:C, ROW())/(INDEX(C:C, ROW())+INDEX(D:D, ROW())))</f>
        <v>0.92957746478873238</v>
      </c>
      <c r="F2909" s="1" t="s">
        <v>113</v>
      </c>
      <c r="G2909" s="1" t="s">
        <v>20</v>
      </c>
      <c r="H2909" s="1">
        <v>47451</v>
      </c>
      <c r="I2909" s="1">
        <v>70628</v>
      </c>
      <c r="J2909" s="7">
        <v>0.67200000000000004</v>
      </c>
      <c r="K2909" s="1" t="s">
        <v>21</v>
      </c>
      <c r="L2909" s="1" t="s">
        <v>29</v>
      </c>
      <c r="M2909" s="1" t="s">
        <v>29</v>
      </c>
      <c r="N2909" s="1" t="s">
        <v>22</v>
      </c>
    </row>
    <row r="2910" spans="1:14" x14ac:dyDescent="0.25">
      <c r="A2910" s="1">
        <v>2909</v>
      </c>
      <c r="B2910" s="2" t="str">
        <f>HYPERLINK("https://leetcode.com/problems/minimum-sum-of-mountain-triplets-ii/", "Minimum Sum of Mountain Triplets II")</f>
        <v>Minimum Sum of Mountain Triplets II</v>
      </c>
      <c r="C2910" s="1">
        <v>248</v>
      </c>
      <c r="D2910" s="1">
        <v>11</v>
      </c>
      <c r="E2910" s="3">
        <f>IF(INDEX(C:C, ROW())+INDEX(D:D, ROW())=0, 0, INDEX(C:C, ROW())/(INDEX(C:C, ROW())+INDEX(D:D, ROW())))</f>
        <v>0.9575289575289575</v>
      </c>
      <c r="F2910" s="1" t="s">
        <v>113</v>
      </c>
      <c r="G2910" s="1" t="s">
        <v>24</v>
      </c>
      <c r="H2910" s="1">
        <v>31617</v>
      </c>
      <c r="I2910" s="1">
        <v>58027</v>
      </c>
      <c r="J2910" s="7">
        <v>0.54500000000000004</v>
      </c>
      <c r="K2910" s="1" t="s">
        <v>21</v>
      </c>
      <c r="L2910" s="1" t="s">
        <v>29</v>
      </c>
      <c r="M2910" s="1" t="s">
        <v>29</v>
      </c>
      <c r="N2910" s="1" t="s">
        <v>22</v>
      </c>
    </row>
    <row r="2911" spans="1:14" x14ac:dyDescent="0.25">
      <c r="A2911" s="1">
        <v>2910</v>
      </c>
      <c r="B2911" s="2" t="str">
        <f>HYPERLINK("https://leetcode.com/problems/minimum-number-of-groups-to-create-a-valid-assignment/", "Minimum Number of Groups to Create a Valid Assignment")</f>
        <v>Minimum Number of Groups to Create a Valid Assignment</v>
      </c>
      <c r="C2911" s="1">
        <v>395</v>
      </c>
      <c r="D2911" s="1">
        <v>188</v>
      </c>
      <c r="E2911" s="3">
        <f>IF(INDEX(C:C, ROW())+INDEX(D:D, ROW())=0, 0, INDEX(C:C, ROW())/(INDEX(C:C, ROW())+INDEX(D:D, ROW())))</f>
        <v>0.6775300171526587</v>
      </c>
      <c r="F2911" s="1" t="s">
        <v>368</v>
      </c>
      <c r="G2911" s="1" t="s">
        <v>24</v>
      </c>
      <c r="H2911" s="1">
        <v>15719</v>
      </c>
      <c r="I2911" s="1">
        <v>63434</v>
      </c>
      <c r="J2911" s="7">
        <v>0.248</v>
      </c>
      <c r="K2911" s="1" t="s">
        <v>21</v>
      </c>
      <c r="L2911" s="1" t="s">
        <v>29</v>
      </c>
      <c r="M2911" s="1" t="s">
        <v>29</v>
      </c>
      <c r="N2911" s="1" t="s">
        <v>22</v>
      </c>
    </row>
    <row r="2912" spans="1:14" x14ac:dyDescent="0.25">
      <c r="A2912" s="1">
        <v>2911</v>
      </c>
      <c r="B2912" s="2" t="str">
        <f>HYPERLINK("https://leetcode.com/problems/minimum-changes-to-make-k-semi-palindromes/", "Minimum Changes to Make K Semi-palindromes")</f>
        <v>Minimum Changes to Make K Semi-palindromes</v>
      </c>
      <c r="C2912" s="1">
        <v>130</v>
      </c>
      <c r="D2912" s="1">
        <v>106</v>
      </c>
      <c r="E2912" s="3">
        <f>IF(INDEX(C:C, ROW())+INDEX(D:D, ROW())=0, 0, INDEX(C:C, ROW())/(INDEX(C:C, ROW())+INDEX(D:D, ROW())))</f>
        <v>0.55084745762711862</v>
      </c>
      <c r="F2912" s="1" t="s">
        <v>33</v>
      </c>
      <c r="G2912" s="1" t="s">
        <v>28</v>
      </c>
      <c r="H2912" s="1">
        <v>5097</v>
      </c>
      <c r="I2912" s="1">
        <v>14135</v>
      </c>
      <c r="J2912" s="7">
        <v>0.36099999999999999</v>
      </c>
      <c r="K2912" s="1" t="s">
        <v>21</v>
      </c>
      <c r="L2912" s="1" t="s">
        <v>29</v>
      </c>
      <c r="M2912" s="1" t="s">
        <v>29</v>
      </c>
      <c r="N2912" s="1" t="s">
        <v>22</v>
      </c>
    </row>
    <row r="2913" spans="1:14" x14ac:dyDescent="0.25">
      <c r="A2913" s="1">
        <v>2912</v>
      </c>
      <c r="B2913" s="2" t="str">
        <f>HYPERLINK("https://leetcode.com/problems/number-of-ways-to-reach-destination-in-the-grid/", "Number of Ways to Reach Destination in the Grid")</f>
        <v>Number of Ways to Reach Destination in the Grid</v>
      </c>
      <c r="C2913" s="1">
        <v>18</v>
      </c>
      <c r="D2913" s="1">
        <v>5</v>
      </c>
      <c r="E2913" s="3">
        <f>IF(INDEX(C:C, ROW())+INDEX(D:D, ROW())=0, 0, INDEX(C:C, ROW())/(INDEX(C:C, ROW())+INDEX(D:D, ROW())))</f>
        <v>0.78260869565217395</v>
      </c>
      <c r="F2913" s="1" t="s">
        <v>70</v>
      </c>
      <c r="G2913" s="1" t="s">
        <v>28</v>
      </c>
      <c r="H2913" s="1">
        <v>1163</v>
      </c>
      <c r="I2913" s="1">
        <v>1994</v>
      </c>
      <c r="J2913" s="7">
        <v>0.58299999999999996</v>
      </c>
      <c r="K2913" s="1" t="s">
        <v>29</v>
      </c>
      <c r="L2913" s="1" t="s">
        <v>29</v>
      </c>
      <c r="M2913" s="1" t="s">
        <v>29</v>
      </c>
      <c r="N2913" s="1" t="s">
        <v>22</v>
      </c>
    </row>
    <row r="2914" spans="1:14" x14ac:dyDescent="0.25">
      <c r="A2914" s="1">
        <v>2913</v>
      </c>
      <c r="B2914" s="2" t="str">
        <f>HYPERLINK("https://leetcode.com/problems/subarrays-distinct-element-sum-of-squares-i/", "Subarrays Distinct Element Sum of Squares I")</f>
        <v>Subarrays Distinct Element Sum of Squares I</v>
      </c>
      <c r="C2914" s="1">
        <v>182</v>
      </c>
      <c r="D2914" s="1">
        <v>36</v>
      </c>
      <c r="E2914" s="3">
        <f>IF(INDEX(C:C, ROW())+INDEX(D:D, ROW())=0, 0, INDEX(C:C, ROW())/(INDEX(C:C, ROW())+INDEX(D:D, ROW())))</f>
        <v>0.83486238532110091</v>
      </c>
      <c r="F2914" s="1" t="s">
        <v>19</v>
      </c>
      <c r="G2914" s="1" t="s">
        <v>20</v>
      </c>
      <c r="H2914" s="1">
        <v>43947</v>
      </c>
      <c r="I2914" s="1">
        <v>54847</v>
      </c>
      <c r="J2914" s="7">
        <v>0.80100000000000005</v>
      </c>
      <c r="K2914" s="1" t="s">
        <v>21</v>
      </c>
      <c r="L2914" s="1" t="s">
        <v>29</v>
      </c>
      <c r="M2914" s="1" t="s">
        <v>29</v>
      </c>
      <c r="N2914" s="1" t="s">
        <v>22</v>
      </c>
    </row>
    <row r="2915" spans="1:14" x14ac:dyDescent="0.25">
      <c r="A2915" s="1">
        <v>2914</v>
      </c>
      <c r="B2915" s="2" t="str">
        <f>HYPERLINK("https://leetcode.com/problems/minimum-number-of-changes-to-make-binary-string-beautiful/", "Minimum Number of Changes to Make Binary String Beautiful")</f>
        <v>Minimum Number of Changes to Make Binary String Beautiful</v>
      </c>
      <c r="C2915" s="1">
        <v>680</v>
      </c>
      <c r="D2915" s="1">
        <v>117</v>
      </c>
      <c r="E2915" s="3">
        <f>IF(INDEX(C:C, ROW())+INDEX(D:D, ROW())=0, 0, INDEX(C:C, ROW())/(INDEX(C:C, ROW())+INDEX(D:D, ROW())))</f>
        <v>0.85319949811794227</v>
      </c>
      <c r="F2915" s="1" t="s">
        <v>146</v>
      </c>
      <c r="G2915" s="1" t="s">
        <v>24</v>
      </c>
      <c r="H2915" s="1">
        <v>163778</v>
      </c>
      <c r="I2915" s="1">
        <v>214345</v>
      </c>
      <c r="J2915" s="7">
        <v>0.76400000000000001</v>
      </c>
      <c r="K2915" s="1" t="s">
        <v>21</v>
      </c>
      <c r="L2915" s="1" t="s">
        <v>21</v>
      </c>
      <c r="M2915" s="1" t="s">
        <v>29</v>
      </c>
      <c r="N2915" s="1" t="s">
        <v>22</v>
      </c>
    </row>
    <row r="2916" spans="1:14" x14ac:dyDescent="0.25">
      <c r="A2916" s="1">
        <v>2915</v>
      </c>
      <c r="B2916" s="2" t="str">
        <f>HYPERLINK("https://leetcode.com/problems/length-of-the-longest-subsequence-that-sums-to-target/", "Length of the Longest Subsequence That Sums to Target")</f>
        <v>Length of the Longest Subsequence That Sums to Target</v>
      </c>
      <c r="C2916" s="1">
        <v>297</v>
      </c>
      <c r="D2916" s="1">
        <v>34</v>
      </c>
      <c r="E2916" s="3">
        <f>IF(INDEX(C:C, ROW())+INDEX(D:D, ROW())=0, 0, INDEX(C:C, ROW())/(INDEX(C:C, ROW())+INDEX(D:D, ROW())))</f>
        <v>0.89728096676737157</v>
      </c>
      <c r="F2916" s="1" t="s">
        <v>30</v>
      </c>
      <c r="G2916" s="1" t="s">
        <v>24</v>
      </c>
      <c r="H2916" s="1">
        <v>36644</v>
      </c>
      <c r="I2916" s="1">
        <v>93312</v>
      </c>
      <c r="J2916" s="7">
        <v>0.39300000000000002</v>
      </c>
      <c r="K2916" s="1" t="s">
        <v>21</v>
      </c>
      <c r="L2916" s="1" t="s">
        <v>29</v>
      </c>
      <c r="M2916" s="1" t="s">
        <v>29</v>
      </c>
      <c r="N2916" s="1" t="s">
        <v>22</v>
      </c>
    </row>
    <row r="2917" spans="1:14" x14ac:dyDescent="0.25">
      <c r="A2917" s="1">
        <v>2916</v>
      </c>
      <c r="B2917" s="2" t="str">
        <f>HYPERLINK("https://leetcode.com/problems/subarrays-distinct-element-sum-of-squares-ii/", "Subarrays Distinct Element Sum of Squares II")</f>
        <v>Subarrays Distinct Element Sum of Squares II</v>
      </c>
      <c r="C2917" s="1">
        <v>157</v>
      </c>
      <c r="D2917" s="1">
        <v>12</v>
      </c>
      <c r="E2917" s="3">
        <f>IF(INDEX(C:C, ROW())+INDEX(D:D, ROW())=0, 0, INDEX(C:C, ROW())/(INDEX(C:C, ROW())+INDEX(D:D, ROW())))</f>
        <v>0.92899408284023666</v>
      </c>
      <c r="F2917" s="1" t="s">
        <v>186</v>
      </c>
      <c r="G2917" s="1" t="s">
        <v>28</v>
      </c>
      <c r="H2917" s="1">
        <v>4550</v>
      </c>
      <c r="I2917" s="1">
        <v>20041</v>
      </c>
      <c r="J2917" s="7">
        <v>0.22700000000000001</v>
      </c>
      <c r="K2917" s="1" t="s">
        <v>21</v>
      </c>
      <c r="L2917" s="1" t="s">
        <v>29</v>
      </c>
      <c r="M2917" s="1" t="s">
        <v>29</v>
      </c>
      <c r="N2917" s="1" t="s">
        <v>22</v>
      </c>
    </row>
    <row r="2918" spans="1:14" x14ac:dyDescent="0.25">
      <c r="A2918" s="1">
        <v>2917</v>
      </c>
      <c r="B2918" s="2" t="str">
        <f>HYPERLINK("https://leetcode.com/problems/find-the-k-or-of-an-array/", "Find the K-or of an Array")</f>
        <v>Find the K-or of an Array</v>
      </c>
      <c r="C2918" s="1">
        <v>250</v>
      </c>
      <c r="D2918" s="1">
        <v>278</v>
      </c>
      <c r="E2918" s="3">
        <f>IF(INDEX(C:C, ROW())+INDEX(D:D, ROW())=0, 0, INDEX(C:C, ROW())/(INDEX(C:C, ROW())+INDEX(D:D, ROW())))</f>
        <v>0.47348484848484851</v>
      </c>
      <c r="F2918" s="1" t="s">
        <v>65</v>
      </c>
      <c r="G2918" s="1" t="s">
        <v>20</v>
      </c>
      <c r="H2918" s="1">
        <v>34692</v>
      </c>
      <c r="I2918" s="1">
        <v>47715</v>
      </c>
      <c r="J2918" s="7">
        <v>0.72699999999999998</v>
      </c>
      <c r="K2918" s="1" t="s">
        <v>21</v>
      </c>
      <c r="L2918" s="1" t="s">
        <v>29</v>
      </c>
      <c r="M2918" s="1" t="s">
        <v>29</v>
      </c>
      <c r="N2918" s="1" t="s">
        <v>22</v>
      </c>
    </row>
    <row r="2919" spans="1:14" x14ac:dyDescent="0.25">
      <c r="A2919" s="1">
        <v>2918</v>
      </c>
      <c r="B2919" s="2" t="str">
        <f>HYPERLINK("https://leetcode.com/problems/minimum-equal-sum-of-two-arrays-after-replacing-zeros/", "Minimum Equal Sum of Two Arrays After Replacing Zeros")</f>
        <v>Minimum Equal Sum of Two Arrays After Replacing Zeros</v>
      </c>
      <c r="C2919" s="1">
        <v>604</v>
      </c>
      <c r="D2919" s="1">
        <v>55</v>
      </c>
      <c r="E2919" s="3">
        <f>IF(INDEX(C:C, ROW())+INDEX(D:D, ROW())=0, 0, INDEX(C:C, ROW())/(INDEX(C:C, ROW())+INDEX(D:D, ROW())))</f>
        <v>0.91654021244309558</v>
      </c>
      <c r="F2919" s="1" t="s">
        <v>96</v>
      </c>
      <c r="G2919" s="1" t="s">
        <v>24</v>
      </c>
      <c r="H2919" s="1">
        <v>143014</v>
      </c>
      <c r="I2919" s="1">
        <v>284907</v>
      </c>
      <c r="J2919" s="7">
        <v>0.502</v>
      </c>
      <c r="K2919" s="1" t="s">
        <v>21</v>
      </c>
      <c r="L2919" s="1" t="s">
        <v>21</v>
      </c>
      <c r="M2919" s="1" t="s">
        <v>29</v>
      </c>
      <c r="N2919" s="1" t="s">
        <v>22</v>
      </c>
    </row>
    <row r="2920" spans="1:14" x14ac:dyDescent="0.25">
      <c r="A2920" s="1">
        <v>2919</v>
      </c>
      <c r="B2920" s="2" t="str">
        <f>HYPERLINK("https://leetcode.com/problems/minimum-increment-operations-to-make-array-beautiful/", "Minimum Increment Operations to Make Array Beautiful")</f>
        <v>Minimum Increment Operations to Make Array Beautiful</v>
      </c>
      <c r="C2920" s="1">
        <v>351</v>
      </c>
      <c r="D2920" s="1">
        <v>22</v>
      </c>
      <c r="E2920" s="3">
        <f>IF(INDEX(C:C, ROW())+INDEX(D:D, ROW())=0, 0, INDEX(C:C, ROW())/(INDEX(C:C, ROW())+INDEX(D:D, ROW())))</f>
        <v>0.94101876675603213</v>
      </c>
      <c r="F2920" s="1" t="s">
        <v>30</v>
      </c>
      <c r="G2920" s="1" t="s">
        <v>24</v>
      </c>
      <c r="H2920" s="1">
        <v>17046</v>
      </c>
      <c r="I2920" s="1">
        <v>49190</v>
      </c>
      <c r="J2920" s="7">
        <v>0.34699999999999998</v>
      </c>
      <c r="K2920" s="1" t="s">
        <v>21</v>
      </c>
      <c r="L2920" s="1" t="s">
        <v>29</v>
      </c>
      <c r="M2920" s="1" t="s">
        <v>29</v>
      </c>
      <c r="N2920" s="1" t="s">
        <v>22</v>
      </c>
    </row>
    <row r="2921" spans="1:14" x14ac:dyDescent="0.25">
      <c r="A2921" s="1">
        <v>2920</v>
      </c>
      <c r="B2921" s="2" t="str">
        <f>HYPERLINK("https://leetcode.com/problems/maximum-points-after-collecting-coins-from-all-nodes/", "Maximum Points After Collecting Coins From All Nodes")</f>
        <v>Maximum Points After Collecting Coins From All Nodes</v>
      </c>
      <c r="C2921" s="1">
        <v>237</v>
      </c>
      <c r="D2921" s="1">
        <v>19</v>
      </c>
      <c r="E2921" s="3">
        <f>IF(INDEX(C:C, ROW())+INDEX(D:D, ROW())=0, 0, INDEX(C:C, ROW())/(INDEX(C:C, ROW())+INDEX(D:D, ROW())))</f>
        <v>0.92578125</v>
      </c>
      <c r="F2921" s="1" t="s">
        <v>1072</v>
      </c>
      <c r="G2921" s="1" t="s">
        <v>28</v>
      </c>
      <c r="H2921" s="1">
        <v>10936</v>
      </c>
      <c r="I2921" s="1">
        <v>30095</v>
      </c>
      <c r="J2921" s="7">
        <v>0.36299999999999999</v>
      </c>
      <c r="K2921" s="1" t="s">
        <v>21</v>
      </c>
      <c r="L2921" s="1" t="s">
        <v>29</v>
      </c>
      <c r="M2921" s="1" t="s">
        <v>29</v>
      </c>
      <c r="N2921" s="1" t="s">
        <v>22</v>
      </c>
    </row>
    <row r="2922" spans="1:14" x14ac:dyDescent="0.25">
      <c r="A2922" s="1">
        <v>2921</v>
      </c>
      <c r="B2922" s="2" t="str">
        <f>HYPERLINK("https://leetcode.com/problems/maximum-profitable-triplets-with-increasing-prices-ii/", "Maximum Profitable Triplets With Increasing Prices II")</f>
        <v>Maximum Profitable Triplets With Increasing Prices II</v>
      </c>
      <c r="C2922" s="1">
        <v>8</v>
      </c>
      <c r="D2922" s="1">
        <v>1</v>
      </c>
      <c r="E2922" s="3">
        <f>IF(INDEX(C:C, ROW())+INDEX(D:D, ROW())=0, 0, INDEX(C:C, ROW())/(INDEX(C:C, ROW())+INDEX(D:D, ROW())))</f>
        <v>0.88888888888888884</v>
      </c>
      <c r="F2922" s="1" t="s">
        <v>1145</v>
      </c>
      <c r="G2922" s="1" t="s">
        <v>28</v>
      </c>
      <c r="H2922" s="1">
        <v>753</v>
      </c>
      <c r="I2922" s="1">
        <v>1651</v>
      </c>
      <c r="J2922" s="7">
        <v>0.45600000000000002</v>
      </c>
      <c r="K2922" s="1" t="s">
        <v>29</v>
      </c>
      <c r="L2922" s="1" t="s">
        <v>29</v>
      </c>
      <c r="M2922" s="1" t="s">
        <v>29</v>
      </c>
      <c r="N2922" s="1" t="s">
        <v>22</v>
      </c>
    </row>
    <row r="2923" spans="1:14" x14ac:dyDescent="0.25">
      <c r="A2923" s="1">
        <v>2922</v>
      </c>
      <c r="B2923" s="2" t="str">
        <f>HYPERLINK("https://leetcode.com/problems/market-analysis-iii/", "Market Analysis III")</f>
        <v>Market Analysis III</v>
      </c>
      <c r="C2923" s="1">
        <v>20</v>
      </c>
      <c r="D2923" s="1">
        <v>6</v>
      </c>
      <c r="E2923" s="3">
        <f>IF(INDEX(C:C, ROW())+INDEX(D:D, ROW())=0, 0, INDEX(C:C, ROW())/(INDEX(C:C, ROW())+INDEX(D:D, ROW())))</f>
        <v>0.76923076923076927</v>
      </c>
      <c r="F2923" s="1" t="s">
        <v>297</v>
      </c>
      <c r="G2923" s="1" t="s">
        <v>24</v>
      </c>
      <c r="H2923" s="1">
        <v>3925</v>
      </c>
      <c r="I2923" s="1">
        <v>9439</v>
      </c>
      <c r="J2923" s="7">
        <v>0.41599999999999998</v>
      </c>
      <c r="K2923" s="1" t="s">
        <v>29</v>
      </c>
      <c r="L2923" s="1" t="s">
        <v>29</v>
      </c>
      <c r="M2923" s="1" t="s">
        <v>29</v>
      </c>
      <c r="N2923" s="1" t="s">
        <v>297</v>
      </c>
    </row>
    <row r="2924" spans="1:14" x14ac:dyDescent="0.25">
      <c r="A2924" s="1">
        <v>2923</v>
      </c>
      <c r="B2924" s="2" t="str">
        <f>HYPERLINK("https://leetcode.com/problems/find-champion-i/", "Find Champion I")</f>
        <v>Find Champion I</v>
      </c>
      <c r="C2924" s="1">
        <v>187</v>
      </c>
      <c r="D2924" s="1">
        <v>54</v>
      </c>
      <c r="E2924" s="3">
        <f>IF(INDEX(C:C, ROW())+INDEX(D:D, ROW())=0, 0, INDEX(C:C, ROW())/(INDEX(C:C, ROW())+INDEX(D:D, ROW())))</f>
        <v>0.77593360995850624</v>
      </c>
      <c r="F2924" s="1" t="s">
        <v>266</v>
      </c>
      <c r="G2924" s="1" t="s">
        <v>20</v>
      </c>
      <c r="H2924" s="1">
        <v>52191</v>
      </c>
      <c r="I2924" s="1">
        <v>71264</v>
      </c>
      <c r="J2924" s="7">
        <v>0.73199999999999998</v>
      </c>
      <c r="K2924" s="1" t="s">
        <v>21</v>
      </c>
      <c r="L2924" s="1" t="s">
        <v>29</v>
      </c>
      <c r="M2924" s="1" t="s">
        <v>29</v>
      </c>
      <c r="N2924" s="1" t="s">
        <v>22</v>
      </c>
    </row>
    <row r="2925" spans="1:14" x14ac:dyDescent="0.25">
      <c r="A2925" s="1">
        <v>2924</v>
      </c>
      <c r="B2925" s="2" t="str">
        <f>HYPERLINK("https://leetcode.com/problems/find-champion-ii/", "Find Champion II")</f>
        <v>Find Champion II</v>
      </c>
      <c r="C2925" s="1">
        <v>595</v>
      </c>
      <c r="D2925" s="1">
        <v>49</v>
      </c>
      <c r="E2925" s="3">
        <f>IF(INDEX(C:C, ROW())+INDEX(D:D, ROW())=0, 0, INDEX(C:C, ROW())/(INDEX(C:C, ROW())+INDEX(D:D, ROW())))</f>
        <v>0.92391304347826086</v>
      </c>
      <c r="F2925" s="1" t="s">
        <v>319</v>
      </c>
      <c r="G2925" s="1" t="s">
        <v>24</v>
      </c>
      <c r="H2925" s="1">
        <v>134081</v>
      </c>
      <c r="I2925" s="1">
        <v>190757</v>
      </c>
      <c r="J2925" s="7">
        <v>0.70299999999999996</v>
      </c>
      <c r="K2925" s="1" t="s">
        <v>21</v>
      </c>
      <c r="L2925" s="1" t="s">
        <v>21</v>
      </c>
      <c r="M2925" s="1" t="s">
        <v>29</v>
      </c>
      <c r="N2925" s="1" t="s">
        <v>22</v>
      </c>
    </row>
    <row r="2926" spans="1:14" x14ac:dyDescent="0.25">
      <c r="A2926" s="1">
        <v>2925</v>
      </c>
      <c r="B2926" s="2" t="str">
        <f>HYPERLINK("https://leetcode.com/problems/maximum-score-after-applying-operations-on-a-tree/", "Maximum Score After Applying Operations on a Tree")</f>
        <v>Maximum Score After Applying Operations on a Tree</v>
      </c>
      <c r="C2926" s="1">
        <v>366</v>
      </c>
      <c r="D2926" s="1">
        <v>76</v>
      </c>
      <c r="E2926" s="3">
        <f>IF(INDEX(C:C, ROW())+INDEX(D:D, ROW())=0, 0, INDEX(C:C, ROW())/(INDEX(C:C, ROW())+INDEX(D:D, ROW())))</f>
        <v>0.82805429864253388</v>
      </c>
      <c r="F2926" s="1" t="s">
        <v>1007</v>
      </c>
      <c r="G2926" s="1" t="s">
        <v>24</v>
      </c>
      <c r="H2926" s="1">
        <v>16797</v>
      </c>
      <c r="I2926" s="1">
        <v>35657</v>
      </c>
      <c r="J2926" s="7">
        <v>0.47099999999999997</v>
      </c>
      <c r="K2926" s="1" t="s">
        <v>21</v>
      </c>
      <c r="L2926" s="1" t="s">
        <v>29</v>
      </c>
      <c r="M2926" s="1" t="s">
        <v>29</v>
      </c>
      <c r="N2926" s="1" t="s">
        <v>22</v>
      </c>
    </row>
    <row r="2927" spans="1:14" x14ac:dyDescent="0.25">
      <c r="A2927" s="1">
        <v>2926</v>
      </c>
      <c r="B2927" s="2" t="str">
        <f>HYPERLINK("https://leetcode.com/problems/maximum-balanced-subsequence-sum/", "Maximum Balanced Subsequence Sum")</f>
        <v>Maximum Balanced Subsequence Sum</v>
      </c>
      <c r="C2927" s="1">
        <v>289</v>
      </c>
      <c r="D2927" s="1">
        <v>10</v>
      </c>
      <c r="E2927" s="3">
        <f>IF(INDEX(C:C, ROW())+INDEX(D:D, ROW())=0, 0, INDEX(C:C, ROW())/(INDEX(C:C, ROW())+INDEX(D:D, ROW())))</f>
        <v>0.96655518394648832</v>
      </c>
      <c r="F2927" s="1" t="s">
        <v>1048</v>
      </c>
      <c r="G2927" s="1" t="s">
        <v>28</v>
      </c>
      <c r="H2927" s="1">
        <v>9692</v>
      </c>
      <c r="I2927" s="1">
        <v>37721</v>
      </c>
      <c r="J2927" s="7">
        <v>0.25700000000000001</v>
      </c>
      <c r="K2927" s="1" t="s">
        <v>21</v>
      </c>
      <c r="L2927" s="1" t="s">
        <v>29</v>
      </c>
      <c r="M2927" s="1" t="s">
        <v>29</v>
      </c>
      <c r="N2927" s="1" t="s">
        <v>22</v>
      </c>
    </row>
    <row r="2928" spans="1:14" x14ac:dyDescent="0.25">
      <c r="A2928" s="1">
        <v>2927</v>
      </c>
      <c r="B2928" s="2" t="str">
        <f>HYPERLINK("https://leetcode.com/problems/distribute-candies-among-children-iii/", "Distribute Candies Among Children III")</f>
        <v>Distribute Candies Among Children III</v>
      </c>
      <c r="C2928" s="1">
        <v>25</v>
      </c>
      <c r="D2928" s="1">
        <v>7</v>
      </c>
      <c r="E2928" s="3">
        <f>IF(INDEX(C:C, ROW())+INDEX(D:D, ROW())=0, 0, INDEX(C:C, ROW())/(INDEX(C:C, ROW())+INDEX(D:D, ROW())))</f>
        <v>0.78125</v>
      </c>
      <c r="F2928" s="1" t="s">
        <v>960</v>
      </c>
      <c r="G2928" s="1" t="s">
        <v>28</v>
      </c>
      <c r="H2928" s="1">
        <v>3004</v>
      </c>
      <c r="I2928" s="1">
        <v>5253</v>
      </c>
      <c r="J2928" s="7">
        <v>0.57199999999999995</v>
      </c>
      <c r="K2928" s="1" t="s">
        <v>29</v>
      </c>
      <c r="L2928" s="1" t="s">
        <v>21</v>
      </c>
      <c r="M2928" s="1" t="s">
        <v>29</v>
      </c>
      <c r="N2928" s="1" t="s">
        <v>22</v>
      </c>
    </row>
    <row r="2929" spans="1:14" x14ac:dyDescent="0.25">
      <c r="A2929" s="1">
        <v>2928</v>
      </c>
      <c r="B2929" s="2" t="str">
        <f>HYPERLINK("https://leetcode.com/problems/distribute-candies-among-children-i/", "Distribute Candies Among Children I")</f>
        <v>Distribute Candies Among Children I</v>
      </c>
      <c r="C2929" s="1">
        <v>151</v>
      </c>
      <c r="D2929" s="1">
        <v>74</v>
      </c>
      <c r="E2929" s="3">
        <f>IF(INDEX(C:C, ROW())+INDEX(D:D, ROW())=0, 0, INDEX(C:C, ROW())/(INDEX(C:C, ROW())+INDEX(D:D, ROW())))</f>
        <v>0.6711111111111111</v>
      </c>
      <c r="F2929" s="1" t="s">
        <v>868</v>
      </c>
      <c r="G2929" s="1" t="s">
        <v>20</v>
      </c>
      <c r="H2929" s="1">
        <v>41556</v>
      </c>
      <c r="I2929" s="1">
        <v>54553</v>
      </c>
      <c r="J2929" s="7">
        <v>0.76200000000000001</v>
      </c>
      <c r="K2929" s="1" t="s">
        <v>21</v>
      </c>
      <c r="L2929" s="1" t="s">
        <v>29</v>
      </c>
      <c r="M2929" s="1" t="s">
        <v>29</v>
      </c>
      <c r="N2929" s="1" t="s">
        <v>22</v>
      </c>
    </row>
    <row r="2930" spans="1:14" x14ac:dyDescent="0.25">
      <c r="A2930" s="1">
        <v>2929</v>
      </c>
      <c r="B2930" s="2" t="str">
        <f>HYPERLINK("https://leetcode.com/problems/distribute-candies-among-children-ii/", "Distribute Candies Among Children II")</f>
        <v>Distribute Candies Among Children II</v>
      </c>
      <c r="C2930" s="1">
        <v>564</v>
      </c>
      <c r="D2930" s="1">
        <v>176</v>
      </c>
      <c r="E2930" s="3">
        <f>IF(INDEX(C:C, ROW())+INDEX(D:D, ROW())=0, 0, INDEX(C:C, ROW())/(INDEX(C:C, ROW())+INDEX(D:D, ROW())))</f>
        <v>0.76216216216216215</v>
      </c>
      <c r="F2930" s="1" t="s">
        <v>868</v>
      </c>
      <c r="G2930" s="1" t="s">
        <v>24</v>
      </c>
      <c r="H2930" s="1">
        <v>104723</v>
      </c>
      <c r="I2930" s="1">
        <v>187989</v>
      </c>
      <c r="J2930" s="7">
        <v>0.55700000000000005</v>
      </c>
      <c r="K2930" s="1" t="s">
        <v>21</v>
      </c>
      <c r="L2930" s="1" t="s">
        <v>21</v>
      </c>
      <c r="M2930" s="1" t="s">
        <v>29</v>
      </c>
      <c r="N2930" s="1" t="s">
        <v>22</v>
      </c>
    </row>
    <row r="2931" spans="1:14" x14ac:dyDescent="0.25">
      <c r="A2931" s="1">
        <v>2930</v>
      </c>
      <c r="B2931" s="2" t="str">
        <f>HYPERLINK("https://leetcode.com/problems/number-of-strings-which-can-be-rearranged-to-contain-substring/", "Number of Strings Which Can Be Rearranged to Contain Substring")</f>
        <v>Number of Strings Which Can Be Rearranged to Contain Substring</v>
      </c>
      <c r="C2931" s="1">
        <v>187</v>
      </c>
      <c r="D2931" s="1">
        <v>74</v>
      </c>
      <c r="E2931" s="3">
        <f>IF(INDEX(C:C, ROW())+INDEX(D:D, ROW())=0, 0, INDEX(C:C, ROW())/(INDEX(C:C, ROW())+INDEX(D:D, ROW())))</f>
        <v>0.71647509578544066</v>
      </c>
      <c r="F2931" s="1" t="s">
        <v>70</v>
      </c>
      <c r="G2931" s="1" t="s">
        <v>24</v>
      </c>
      <c r="H2931" s="1">
        <v>8773</v>
      </c>
      <c r="I2931" s="1">
        <v>15400</v>
      </c>
      <c r="J2931" s="7">
        <v>0.56999999999999995</v>
      </c>
      <c r="K2931" s="1" t="s">
        <v>21</v>
      </c>
      <c r="L2931" s="1" t="s">
        <v>29</v>
      </c>
      <c r="M2931" s="1" t="s">
        <v>29</v>
      </c>
      <c r="N2931" s="1" t="s">
        <v>22</v>
      </c>
    </row>
    <row r="2932" spans="1:14" x14ac:dyDescent="0.25">
      <c r="A2932" s="1">
        <v>2931</v>
      </c>
      <c r="B2932" s="2" t="str">
        <f>HYPERLINK("https://leetcode.com/problems/maximum-spending-after-buying-items/", "Maximum Spending After Buying Items")</f>
        <v>Maximum Spending After Buying Items</v>
      </c>
      <c r="C2932" s="1">
        <v>118</v>
      </c>
      <c r="D2932" s="1">
        <v>36</v>
      </c>
      <c r="E2932" s="3">
        <f>IF(INDEX(C:C, ROW())+INDEX(D:D, ROW())=0, 0, INDEX(C:C, ROW())/(INDEX(C:C, ROW())+INDEX(D:D, ROW())))</f>
        <v>0.76623376623376627</v>
      </c>
      <c r="F2932" s="1" t="s">
        <v>1166</v>
      </c>
      <c r="G2932" s="1" t="s">
        <v>28</v>
      </c>
      <c r="H2932" s="1">
        <v>15475</v>
      </c>
      <c r="I2932" s="1">
        <v>25258</v>
      </c>
      <c r="J2932" s="7">
        <v>0.61299999999999999</v>
      </c>
      <c r="K2932" s="1" t="s">
        <v>21</v>
      </c>
      <c r="L2932" s="1" t="s">
        <v>29</v>
      </c>
      <c r="M2932" s="1" t="s">
        <v>29</v>
      </c>
      <c r="N2932" s="1" t="s">
        <v>22</v>
      </c>
    </row>
    <row r="2933" spans="1:14" x14ac:dyDescent="0.25">
      <c r="A2933" s="1">
        <v>2932</v>
      </c>
      <c r="B2933" s="2" t="str">
        <f>HYPERLINK("https://leetcode.com/problems/maximum-strong-pair-xor-i/", "Maximum Strong Pair XOR I")</f>
        <v>Maximum Strong Pair XOR I</v>
      </c>
      <c r="C2933" s="1">
        <v>188</v>
      </c>
      <c r="D2933" s="1">
        <v>27</v>
      </c>
      <c r="E2933" s="3">
        <f>IF(INDEX(C:C, ROW())+INDEX(D:D, ROW())=0, 0, INDEX(C:C, ROW())/(INDEX(C:C, ROW())+INDEX(D:D, ROW())))</f>
        <v>0.87441860465116283</v>
      </c>
      <c r="F2933" s="1" t="s">
        <v>1087</v>
      </c>
      <c r="G2933" s="1" t="s">
        <v>20</v>
      </c>
      <c r="H2933" s="1">
        <v>57334</v>
      </c>
      <c r="I2933" s="1">
        <v>75522</v>
      </c>
      <c r="J2933" s="7">
        <v>0.75900000000000001</v>
      </c>
      <c r="K2933" s="1" t="s">
        <v>21</v>
      </c>
      <c r="L2933" s="1" t="s">
        <v>29</v>
      </c>
      <c r="M2933" s="1" t="s">
        <v>29</v>
      </c>
      <c r="N2933" s="1" t="s">
        <v>22</v>
      </c>
    </row>
    <row r="2934" spans="1:14" x14ac:dyDescent="0.25">
      <c r="A2934" s="1">
        <v>2933</v>
      </c>
      <c r="B2934" s="2" t="str">
        <f>HYPERLINK("https://leetcode.com/problems/high-access-employees/", "High-Access Employees")</f>
        <v>High-Access Employees</v>
      </c>
      <c r="C2934" s="1">
        <v>226</v>
      </c>
      <c r="D2934" s="1">
        <v>22</v>
      </c>
      <c r="E2934" s="3">
        <f>IF(INDEX(C:C, ROW())+INDEX(D:D, ROW())=0, 0, INDEX(C:C, ROW())/(INDEX(C:C, ROW())+INDEX(D:D, ROW())))</f>
        <v>0.91129032258064513</v>
      </c>
      <c r="F2934" s="1" t="s">
        <v>49</v>
      </c>
      <c r="G2934" s="1" t="s">
        <v>24</v>
      </c>
      <c r="H2934" s="1">
        <v>32922</v>
      </c>
      <c r="I2934" s="1">
        <v>69598</v>
      </c>
      <c r="J2934" s="7">
        <v>0.47299999999999998</v>
      </c>
      <c r="K2934" s="1" t="s">
        <v>21</v>
      </c>
      <c r="L2934" s="1" t="s">
        <v>29</v>
      </c>
      <c r="M2934" s="1" t="s">
        <v>29</v>
      </c>
      <c r="N2934" s="1" t="s">
        <v>22</v>
      </c>
    </row>
    <row r="2935" spans="1:14" x14ac:dyDescent="0.25">
      <c r="A2935" s="1">
        <v>2934</v>
      </c>
      <c r="B2935" s="2" t="str">
        <f>HYPERLINK("https://leetcode.com/problems/minimum-operations-to-maximize-last-elements-in-arrays/", "Minimum Operations to Maximize Last Elements in Arrays")</f>
        <v>Minimum Operations to Maximize Last Elements in Arrays</v>
      </c>
      <c r="C2935" s="1">
        <v>203</v>
      </c>
      <c r="D2935" s="1">
        <v>16</v>
      </c>
      <c r="E2935" s="3">
        <f>IF(INDEX(C:C, ROW())+INDEX(D:D, ROW())=0, 0, INDEX(C:C, ROW())/(INDEX(C:C, ROW())+INDEX(D:D, ROW())))</f>
        <v>0.9269406392694064</v>
      </c>
      <c r="F2935" s="1" t="s">
        <v>654</v>
      </c>
      <c r="G2935" s="1" t="s">
        <v>24</v>
      </c>
      <c r="H2935" s="1">
        <v>14835</v>
      </c>
      <c r="I2935" s="1">
        <v>33840</v>
      </c>
      <c r="J2935" s="7">
        <v>0.438</v>
      </c>
      <c r="K2935" s="1" t="s">
        <v>21</v>
      </c>
      <c r="L2935" s="1" t="s">
        <v>29</v>
      </c>
      <c r="M2935" s="1" t="s">
        <v>29</v>
      </c>
      <c r="N2935" s="1" t="s">
        <v>22</v>
      </c>
    </row>
    <row r="2936" spans="1:14" x14ac:dyDescent="0.25">
      <c r="A2936" s="1">
        <v>2935</v>
      </c>
      <c r="B2936" s="2" t="str">
        <f>HYPERLINK("https://leetcode.com/problems/maximum-strong-pair-xor-ii/", "Maximum Strong Pair XOR II")</f>
        <v>Maximum Strong Pair XOR II</v>
      </c>
      <c r="C2936" s="1">
        <v>209</v>
      </c>
      <c r="D2936" s="1">
        <v>2</v>
      </c>
      <c r="E2936" s="3">
        <f>IF(INDEX(C:C, ROW())+INDEX(D:D, ROW())=0, 0, INDEX(C:C, ROW())/(INDEX(C:C, ROW())+INDEX(D:D, ROW())))</f>
        <v>0.99052132701421802</v>
      </c>
      <c r="F2936" s="1" t="s">
        <v>1087</v>
      </c>
      <c r="G2936" s="1" t="s">
        <v>28</v>
      </c>
      <c r="H2936" s="1">
        <v>8551</v>
      </c>
      <c r="I2936" s="1">
        <v>26568</v>
      </c>
      <c r="J2936" s="7">
        <v>0.32200000000000001</v>
      </c>
      <c r="K2936" s="1" t="s">
        <v>21</v>
      </c>
      <c r="L2936" s="1" t="s">
        <v>29</v>
      </c>
      <c r="M2936" s="1" t="s">
        <v>29</v>
      </c>
      <c r="N2936" s="1" t="s">
        <v>22</v>
      </c>
    </row>
    <row r="2937" spans="1:14" x14ac:dyDescent="0.25">
      <c r="A2937" s="1">
        <v>2936</v>
      </c>
      <c r="B2937" s="2" t="str">
        <f>HYPERLINK("https://leetcode.com/problems/number-of-equal-numbers-blocks/", "Number of Equal Numbers Blocks")</f>
        <v>Number of Equal Numbers Blocks</v>
      </c>
      <c r="C2937" s="1">
        <v>24</v>
      </c>
      <c r="D2937" s="1">
        <v>8</v>
      </c>
      <c r="E2937" s="3">
        <f>IF(INDEX(C:C, ROW())+INDEX(D:D, ROW())=0, 0, INDEX(C:C, ROW())/(INDEX(C:C, ROW())+INDEX(D:D, ROW())))</f>
        <v>0.75</v>
      </c>
      <c r="F2937" s="1" t="s">
        <v>341</v>
      </c>
      <c r="G2937" s="1" t="s">
        <v>24</v>
      </c>
      <c r="H2937" s="1">
        <v>2391</v>
      </c>
      <c r="I2937" s="1">
        <v>3832</v>
      </c>
      <c r="J2937" s="7">
        <v>0.624</v>
      </c>
      <c r="K2937" s="1" t="s">
        <v>29</v>
      </c>
      <c r="L2937" s="1" t="s">
        <v>29</v>
      </c>
      <c r="M2937" s="1" t="s">
        <v>29</v>
      </c>
      <c r="N2937" s="1" t="s">
        <v>22</v>
      </c>
    </row>
    <row r="2938" spans="1:14" x14ac:dyDescent="0.25">
      <c r="A2938" s="1">
        <v>2937</v>
      </c>
      <c r="B2938" s="2" t="str">
        <f>HYPERLINK("https://leetcode.com/problems/make-three-strings-equal/", "Make Three Strings Equal")</f>
        <v>Make Three Strings Equal</v>
      </c>
      <c r="C2938" s="1">
        <v>321</v>
      </c>
      <c r="D2938" s="1">
        <v>43</v>
      </c>
      <c r="E2938" s="3">
        <f>IF(INDEX(C:C, ROW())+INDEX(D:D, ROW())=0, 0, INDEX(C:C, ROW())/(INDEX(C:C, ROW())+INDEX(D:D, ROW())))</f>
        <v>0.88186813186813184</v>
      </c>
      <c r="F2938" s="1" t="s">
        <v>146</v>
      </c>
      <c r="G2938" s="1" t="s">
        <v>20</v>
      </c>
      <c r="H2938" s="1">
        <v>39426</v>
      </c>
      <c r="I2938" s="1">
        <v>88498</v>
      </c>
      <c r="J2938" s="7">
        <v>0.44600000000000001</v>
      </c>
      <c r="K2938" s="1" t="s">
        <v>21</v>
      </c>
      <c r="L2938" s="1" t="s">
        <v>29</v>
      </c>
      <c r="M2938" s="1" t="s">
        <v>29</v>
      </c>
      <c r="N2938" s="1" t="s">
        <v>22</v>
      </c>
    </row>
    <row r="2939" spans="1:14" x14ac:dyDescent="0.25">
      <c r="A2939" s="1">
        <v>2938</v>
      </c>
      <c r="B2939" s="2" t="str">
        <f>HYPERLINK("https://leetcode.com/problems/separate-black-and-white-balls/", "Separate Black and White Balls")</f>
        <v>Separate Black and White Balls</v>
      </c>
      <c r="C2939" s="1">
        <v>877</v>
      </c>
      <c r="D2939" s="1">
        <v>43</v>
      </c>
      <c r="E2939" s="3">
        <f>IF(INDEX(C:C, ROW())+INDEX(D:D, ROW())=0, 0, INDEX(C:C, ROW())/(INDEX(C:C, ROW())+INDEX(D:D, ROW())))</f>
        <v>0.95326086956521738</v>
      </c>
      <c r="F2939" s="1" t="s">
        <v>158</v>
      </c>
      <c r="G2939" s="1" t="s">
        <v>24</v>
      </c>
      <c r="H2939" s="1">
        <v>179954</v>
      </c>
      <c r="I2939" s="1">
        <v>281300</v>
      </c>
      <c r="J2939" s="7">
        <v>0.64</v>
      </c>
      <c r="K2939" s="1" t="s">
        <v>21</v>
      </c>
      <c r="L2939" s="1" t="s">
        <v>21</v>
      </c>
      <c r="M2939" s="1" t="s">
        <v>29</v>
      </c>
      <c r="N2939" s="1" t="s">
        <v>22</v>
      </c>
    </row>
    <row r="2940" spans="1:14" x14ac:dyDescent="0.25">
      <c r="A2940" s="1">
        <v>2939</v>
      </c>
      <c r="B2940" s="2" t="str">
        <f>HYPERLINK("https://leetcode.com/problems/maximum-xor-product/", "Maximum Xor Product")</f>
        <v>Maximum Xor Product</v>
      </c>
      <c r="C2940" s="1">
        <v>271</v>
      </c>
      <c r="D2940" s="1">
        <v>73</v>
      </c>
      <c r="E2940" s="3">
        <f>IF(INDEX(C:C, ROW())+INDEX(D:D, ROW())=0, 0, INDEX(C:C, ROW())/(INDEX(C:C, ROW())+INDEX(D:D, ROW())))</f>
        <v>0.78779069767441856</v>
      </c>
      <c r="F2940" s="1" t="s">
        <v>1054</v>
      </c>
      <c r="G2940" s="1" t="s">
        <v>24</v>
      </c>
      <c r="H2940" s="1">
        <v>15094</v>
      </c>
      <c r="I2940" s="1">
        <v>51152</v>
      </c>
      <c r="J2940" s="7">
        <v>0.29499999999999998</v>
      </c>
      <c r="K2940" s="1" t="s">
        <v>21</v>
      </c>
      <c r="L2940" s="1" t="s">
        <v>29</v>
      </c>
      <c r="M2940" s="1" t="s">
        <v>29</v>
      </c>
      <c r="N2940" s="1" t="s">
        <v>22</v>
      </c>
    </row>
    <row r="2941" spans="1:14" x14ac:dyDescent="0.25">
      <c r="A2941" s="1">
        <v>2940</v>
      </c>
      <c r="B2941" s="2" t="str">
        <f>HYPERLINK("https://leetcode.com/problems/find-building-where-alice-and-bob-can-meet/", "Find Building Where Alice and Bob Can Meet")</f>
        <v>Find Building Where Alice and Bob Can Meet</v>
      </c>
      <c r="C2941" s="1">
        <v>841</v>
      </c>
      <c r="D2941" s="1">
        <v>57</v>
      </c>
      <c r="E2941" s="3">
        <f>IF(INDEX(C:C, ROW())+INDEX(D:D, ROW())=0, 0, INDEX(C:C, ROW())/(INDEX(C:C, ROW())+INDEX(D:D, ROW())))</f>
        <v>0.93652561247216037</v>
      </c>
      <c r="F2941" s="1" t="s">
        <v>754</v>
      </c>
      <c r="G2941" s="1" t="s">
        <v>28</v>
      </c>
      <c r="H2941" s="1">
        <v>75061</v>
      </c>
      <c r="I2941" s="1">
        <v>143678</v>
      </c>
      <c r="J2941" s="7">
        <v>0.52200000000000002</v>
      </c>
      <c r="K2941" s="1" t="s">
        <v>21</v>
      </c>
      <c r="L2941" s="1" t="s">
        <v>21</v>
      </c>
      <c r="M2941" s="1" t="s">
        <v>29</v>
      </c>
      <c r="N2941" s="1" t="s">
        <v>22</v>
      </c>
    </row>
    <row r="2942" spans="1:14" x14ac:dyDescent="0.25">
      <c r="A2942" s="1">
        <v>2941</v>
      </c>
      <c r="B2942" s="2" t="str">
        <f>HYPERLINK("https://leetcode.com/problems/maximum-gcd-sum-of-a-subarray/", "Maximum GCD-Sum of a Subarray")</f>
        <v>Maximum GCD-Sum of a Subarray</v>
      </c>
      <c r="C2942" s="1">
        <v>17</v>
      </c>
      <c r="D2942" s="1">
        <v>3</v>
      </c>
      <c r="E2942" s="3">
        <f>IF(INDEX(C:C, ROW())+INDEX(D:D, ROW())=0, 0, INDEX(C:C, ROW())/(INDEX(C:C, ROW())+INDEX(D:D, ROW())))</f>
        <v>0.85</v>
      </c>
      <c r="F2942" s="1" t="s">
        <v>1320</v>
      </c>
      <c r="G2942" s="1" t="s">
        <v>28</v>
      </c>
      <c r="H2942" s="1">
        <v>670</v>
      </c>
      <c r="I2942" s="1">
        <v>1740</v>
      </c>
      <c r="J2942" s="7">
        <v>0.38500000000000001</v>
      </c>
      <c r="K2942" s="1" t="s">
        <v>29</v>
      </c>
      <c r="L2942" s="1" t="s">
        <v>29</v>
      </c>
      <c r="M2942" s="1" t="s">
        <v>29</v>
      </c>
      <c r="N2942" s="1" t="s">
        <v>22</v>
      </c>
    </row>
    <row r="2943" spans="1:14" x14ac:dyDescent="0.25">
      <c r="A2943" s="1">
        <v>2942</v>
      </c>
      <c r="B2943" s="2" t="str">
        <f>HYPERLINK("https://leetcode.com/problems/find-words-containing-character/", "Find Words Containing Character")</f>
        <v>Find Words Containing Character</v>
      </c>
      <c r="C2943" s="1">
        <v>688</v>
      </c>
      <c r="D2943" s="1">
        <v>54</v>
      </c>
      <c r="E2943" s="3">
        <f>IF(INDEX(C:C, ROW())+INDEX(D:D, ROW())=0, 0, INDEX(C:C, ROW())/(INDEX(C:C, ROW())+INDEX(D:D, ROW())))</f>
        <v>0.92722371967654982</v>
      </c>
      <c r="F2943" s="1" t="s">
        <v>369</v>
      </c>
      <c r="G2943" s="1" t="s">
        <v>20</v>
      </c>
      <c r="H2943" s="1">
        <v>384184</v>
      </c>
      <c r="I2943" s="1">
        <v>424952</v>
      </c>
      <c r="J2943" s="7">
        <v>0.90400000000000003</v>
      </c>
      <c r="K2943" s="1" t="s">
        <v>21</v>
      </c>
      <c r="L2943" s="1" t="s">
        <v>21</v>
      </c>
      <c r="M2943" s="1" t="s">
        <v>29</v>
      </c>
      <c r="N2943" s="1" t="s">
        <v>22</v>
      </c>
    </row>
    <row r="2944" spans="1:14" x14ac:dyDescent="0.25">
      <c r="A2944" s="1">
        <v>2943</v>
      </c>
      <c r="B2944" s="2" t="str">
        <f>HYPERLINK("https://leetcode.com/problems/maximize-area-of-square-hole-in-grid/", "Maximize Area of Square Hole in Grid")</f>
        <v>Maximize Area of Square Hole in Grid</v>
      </c>
      <c r="C2944" s="1">
        <v>635</v>
      </c>
      <c r="D2944" s="1">
        <v>277</v>
      </c>
      <c r="E2944" s="3">
        <f>IF(INDEX(C:C, ROW())+INDEX(D:D, ROW())=0, 0, INDEX(C:C, ROW())/(INDEX(C:C, ROW())+INDEX(D:D, ROW())))</f>
        <v>0.69627192982456143</v>
      </c>
      <c r="F2944" s="1" t="s">
        <v>42</v>
      </c>
      <c r="G2944" s="1" t="s">
        <v>24</v>
      </c>
      <c r="H2944" s="1">
        <v>97766</v>
      </c>
      <c r="I2944" s="1">
        <v>157905</v>
      </c>
      <c r="J2944" s="7">
        <v>0.61899999999999999</v>
      </c>
      <c r="K2944" s="1" t="s">
        <v>21</v>
      </c>
      <c r="L2944" s="1" t="s">
        <v>21</v>
      </c>
      <c r="M2944" s="1" t="s">
        <v>29</v>
      </c>
      <c r="N2944" s="1" t="s">
        <v>22</v>
      </c>
    </row>
    <row r="2945" spans="1:14" x14ac:dyDescent="0.25">
      <c r="A2945" s="1">
        <v>2944</v>
      </c>
      <c r="B2945" s="2" t="str">
        <f>HYPERLINK("https://leetcode.com/problems/minimum-number-of-coins-for-fruits/", "Minimum Number of Coins for Fruits")</f>
        <v>Minimum Number of Coins for Fruits</v>
      </c>
      <c r="C2945" s="1">
        <v>316</v>
      </c>
      <c r="D2945" s="1">
        <v>82</v>
      </c>
      <c r="E2945" s="3">
        <f>IF(INDEX(C:C, ROW())+INDEX(D:D, ROW())=0, 0, INDEX(C:C, ROW())/(INDEX(C:C, ROW())+INDEX(D:D, ROW())))</f>
        <v>0.79396984924623115</v>
      </c>
      <c r="F2945" s="1" t="s">
        <v>345</v>
      </c>
      <c r="G2945" s="1" t="s">
        <v>24</v>
      </c>
      <c r="H2945" s="1">
        <v>23375</v>
      </c>
      <c r="I2945" s="1">
        <v>47880</v>
      </c>
      <c r="J2945" s="7">
        <v>0.48799999999999999</v>
      </c>
      <c r="K2945" s="1" t="s">
        <v>21</v>
      </c>
      <c r="L2945" s="1" t="s">
        <v>29</v>
      </c>
      <c r="M2945" s="1" t="s">
        <v>29</v>
      </c>
      <c r="N2945" s="1" t="s">
        <v>22</v>
      </c>
    </row>
    <row r="2946" spans="1:14" x14ac:dyDescent="0.25">
      <c r="A2946" s="1">
        <v>2945</v>
      </c>
      <c r="B2946" s="2" t="str">
        <f>HYPERLINK("https://leetcode.com/problems/find-maximum-non-decreasing-array-length/", "Find Maximum Non-decreasing Array Length")</f>
        <v>Find Maximum Non-decreasing Array Length</v>
      </c>
      <c r="C2946" s="1">
        <v>214</v>
      </c>
      <c r="D2946" s="1">
        <v>25</v>
      </c>
      <c r="E2946" s="3">
        <f>IF(INDEX(C:C, ROW())+INDEX(D:D, ROW())=0, 0, INDEX(C:C, ROW())/(INDEX(C:C, ROW())+INDEX(D:D, ROW())))</f>
        <v>0.89539748953974896</v>
      </c>
      <c r="F2946" s="1" t="s">
        <v>1083</v>
      </c>
      <c r="G2946" s="1" t="s">
        <v>28</v>
      </c>
      <c r="H2946" s="1">
        <v>6502</v>
      </c>
      <c r="I2946" s="1">
        <v>35132</v>
      </c>
      <c r="J2946" s="7">
        <v>0.185</v>
      </c>
      <c r="K2946" s="1" t="s">
        <v>21</v>
      </c>
      <c r="L2946" s="1" t="s">
        <v>29</v>
      </c>
      <c r="M2946" s="1" t="s">
        <v>29</v>
      </c>
      <c r="N2946" s="1" t="s">
        <v>22</v>
      </c>
    </row>
    <row r="2947" spans="1:14" x14ac:dyDescent="0.25">
      <c r="A2947" s="1">
        <v>2946</v>
      </c>
      <c r="B2947" s="2" t="str">
        <f>HYPERLINK("https://leetcode.com/problems/matrix-similarity-after-cyclic-shifts/", "Matrix Similarity After Cyclic Shifts")</f>
        <v>Matrix Similarity After Cyclic Shifts</v>
      </c>
      <c r="C2947" s="1">
        <v>195</v>
      </c>
      <c r="D2947" s="1">
        <v>68</v>
      </c>
      <c r="E2947" s="3">
        <f>IF(INDEX(C:C, ROW())+INDEX(D:D, ROW())=0, 0, INDEX(C:C, ROW())/(INDEX(C:C, ROW())+INDEX(D:D, ROW())))</f>
        <v>0.7414448669201521</v>
      </c>
      <c r="F2947" s="1" t="s">
        <v>1102</v>
      </c>
      <c r="G2947" s="1" t="s">
        <v>20</v>
      </c>
      <c r="H2947" s="1">
        <v>30659</v>
      </c>
      <c r="I2947" s="1">
        <v>51705</v>
      </c>
      <c r="J2947" s="7">
        <v>0.59299999999999997</v>
      </c>
      <c r="K2947" s="1" t="s">
        <v>21</v>
      </c>
      <c r="L2947" s="1" t="s">
        <v>29</v>
      </c>
      <c r="M2947" s="1" t="s">
        <v>29</v>
      </c>
      <c r="N2947" s="1" t="s">
        <v>22</v>
      </c>
    </row>
    <row r="2948" spans="1:14" x14ac:dyDescent="0.25">
      <c r="A2948" s="1">
        <v>2947</v>
      </c>
      <c r="B2948" s="2" t="str">
        <f>HYPERLINK("https://leetcode.com/problems/count-beautiful-substrings-i/", "Count Beautiful Substrings I")</f>
        <v>Count Beautiful Substrings I</v>
      </c>
      <c r="C2948" s="1">
        <v>176</v>
      </c>
      <c r="D2948" s="1">
        <v>16</v>
      </c>
      <c r="E2948" s="3">
        <f>IF(INDEX(C:C, ROW())+INDEX(D:D, ROW())=0, 0, INDEX(C:C, ROW())/(INDEX(C:C, ROW())+INDEX(D:D, ROW())))</f>
        <v>0.91666666666666663</v>
      </c>
      <c r="F2948" s="1" t="s">
        <v>1113</v>
      </c>
      <c r="G2948" s="1" t="s">
        <v>24</v>
      </c>
      <c r="H2948" s="1">
        <v>28005</v>
      </c>
      <c r="I2948" s="1">
        <v>45959</v>
      </c>
      <c r="J2948" s="7">
        <v>0.60899999999999999</v>
      </c>
      <c r="K2948" s="1" t="s">
        <v>21</v>
      </c>
      <c r="L2948" s="1" t="s">
        <v>29</v>
      </c>
      <c r="M2948" s="1" t="s">
        <v>29</v>
      </c>
      <c r="N2948" s="1" t="s">
        <v>22</v>
      </c>
    </row>
    <row r="2949" spans="1:14" x14ac:dyDescent="0.25">
      <c r="A2949" s="1">
        <v>2948</v>
      </c>
      <c r="B2949" s="2" t="str">
        <f>HYPERLINK("https://leetcode.com/problems/make-lexicographically-smallest-array-by-swapping-elements/", "Make Lexicographically Smallest Array by Swapping Elements")</f>
        <v>Make Lexicographically Smallest Array by Swapping Elements</v>
      </c>
      <c r="C2949" s="1">
        <v>967</v>
      </c>
      <c r="D2949" s="1">
        <v>79</v>
      </c>
      <c r="E2949" s="3">
        <f>IF(INDEX(C:C, ROW())+INDEX(D:D, ROW())=0, 0, INDEX(C:C, ROW())/(INDEX(C:C, ROW())+INDEX(D:D, ROW())))</f>
        <v>0.92447418738049714</v>
      </c>
      <c r="F2949" s="1" t="s">
        <v>684</v>
      </c>
      <c r="G2949" s="1" t="s">
        <v>24</v>
      </c>
      <c r="H2949" s="1">
        <v>101401</v>
      </c>
      <c r="I2949" s="1">
        <v>168336</v>
      </c>
      <c r="J2949" s="7">
        <v>0.60199999999999998</v>
      </c>
      <c r="K2949" s="1" t="s">
        <v>21</v>
      </c>
      <c r="L2949" s="1" t="s">
        <v>21</v>
      </c>
      <c r="M2949" s="1" t="s">
        <v>29</v>
      </c>
      <c r="N2949" s="1" t="s">
        <v>22</v>
      </c>
    </row>
    <row r="2950" spans="1:14" x14ac:dyDescent="0.25">
      <c r="A2950" s="1">
        <v>2949</v>
      </c>
      <c r="B2950" s="2" t="str">
        <f>HYPERLINK("https://leetcode.com/problems/count-beautiful-substrings-ii/", "Count Beautiful Substrings II")</f>
        <v>Count Beautiful Substrings II</v>
      </c>
      <c r="C2950" s="1">
        <v>214</v>
      </c>
      <c r="D2950" s="1">
        <v>9</v>
      </c>
      <c r="E2950" s="3">
        <f>IF(INDEX(C:C, ROW())+INDEX(D:D, ROW())=0, 0, INDEX(C:C, ROW())/(INDEX(C:C, ROW())+INDEX(D:D, ROW())))</f>
        <v>0.95964125560538116</v>
      </c>
      <c r="F2950" s="1" t="s">
        <v>1084</v>
      </c>
      <c r="G2950" s="1" t="s">
        <v>28</v>
      </c>
      <c r="H2950" s="1">
        <v>7761</v>
      </c>
      <c r="I2950" s="1">
        <v>29068</v>
      </c>
      <c r="J2950" s="7">
        <v>0.26700000000000002</v>
      </c>
      <c r="K2950" s="1" t="s">
        <v>21</v>
      </c>
      <c r="L2950" s="1" t="s">
        <v>29</v>
      </c>
      <c r="M2950" s="1" t="s">
        <v>29</v>
      </c>
      <c r="N2950" s="1" t="s">
        <v>22</v>
      </c>
    </row>
    <row r="2951" spans="1:14" x14ac:dyDescent="0.25">
      <c r="A2951" s="1">
        <v>2950</v>
      </c>
      <c r="B2951" s="2" t="str">
        <f>HYPERLINK("https://leetcode.com/problems/number-of-divisible-substrings/", "Number of Divisible Substrings")</f>
        <v>Number of Divisible Substrings</v>
      </c>
      <c r="C2951" s="1">
        <v>31</v>
      </c>
      <c r="D2951" s="1">
        <v>6</v>
      </c>
      <c r="E2951" s="3">
        <f>IF(INDEX(C:C, ROW())+INDEX(D:D, ROW())=0, 0, INDEX(C:C, ROW())/(INDEX(C:C, ROW())+INDEX(D:D, ROW())))</f>
        <v>0.83783783783783783</v>
      </c>
      <c r="F2951" s="1" t="s">
        <v>1029</v>
      </c>
      <c r="G2951" s="1" t="s">
        <v>24</v>
      </c>
      <c r="H2951" s="1">
        <v>3513</v>
      </c>
      <c r="I2951" s="1">
        <v>4740</v>
      </c>
      <c r="J2951" s="7">
        <v>0.74099999999999999</v>
      </c>
      <c r="K2951" s="1" t="s">
        <v>29</v>
      </c>
      <c r="L2951" s="1" t="s">
        <v>29</v>
      </c>
      <c r="M2951" s="1" t="s">
        <v>29</v>
      </c>
      <c r="N2951" s="1" t="s">
        <v>22</v>
      </c>
    </row>
    <row r="2952" spans="1:14" x14ac:dyDescent="0.25">
      <c r="A2952" s="1">
        <v>2951</v>
      </c>
      <c r="B2952" s="2" t="str">
        <f>HYPERLINK("https://leetcode.com/problems/find-the-peaks/", "Find the Peaks")</f>
        <v>Find the Peaks</v>
      </c>
      <c r="C2952" s="1">
        <v>216</v>
      </c>
      <c r="D2952" s="1">
        <v>18</v>
      </c>
      <c r="E2952" s="3">
        <f>IF(INDEX(C:C, ROW())+INDEX(D:D, ROW())=0, 0, INDEX(C:C, ROW())/(INDEX(C:C, ROW())+INDEX(D:D, ROW())))</f>
        <v>0.92307692307692313</v>
      </c>
      <c r="F2952" s="1" t="s">
        <v>654</v>
      </c>
      <c r="G2952" s="1" t="s">
        <v>20</v>
      </c>
      <c r="H2952" s="1">
        <v>78032</v>
      </c>
      <c r="I2952" s="1">
        <v>104029</v>
      </c>
      <c r="J2952" s="7">
        <v>0.75</v>
      </c>
      <c r="K2952" s="1" t="s">
        <v>21</v>
      </c>
      <c r="L2952" s="1" t="s">
        <v>29</v>
      </c>
      <c r="M2952" s="1" t="s">
        <v>29</v>
      </c>
      <c r="N2952" s="1" t="s">
        <v>22</v>
      </c>
    </row>
    <row r="2953" spans="1:14" x14ac:dyDescent="0.25">
      <c r="A2953" s="1">
        <v>2952</v>
      </c>
      <c r="B2953" s="2" t="str">
        <f>HYPERLINK("https://leetcode.com/problems/minimum-number-of-coins-to-be-added/", "Minimum Number of Coins to be Added")</f>
        <v>Minimum Number of Coins to be Added</v>
      </c>
      <c r="C2953" s="1">
        <v>432</v>
      </c>
      <c r="D2953" s="1">
        <v>65</v>
      </c>
      <c r="E2953" s="3">
        <f>IF(INDEX(C:C, ROW())+INDEX(D:D, ROW())=0, 0, INDEX(C:C, ROW())/(INDEX(C:C, ROW())+INDEX(D:D, ROW())))</f>
        <v>0.86921529175050305</v>
      </c>
      <c r="F2953" s="1" t="s">
        <v>169</v>
      </c>
      <c r="G2953" s="1" t="s">
        <v>24</v>
      </c>
      <c r="H2953" s="1">
        <v>26594</v>
      </c>
      <c r="I2953" s="1">
        <v>45890</v>
      </c>
      <c r="J2953" s="7">
        <v>0.57999999999999996</v>
      </c>
      <c r="K2953" s="1" t="s">
        <v>21</v>
      </c>
      <c r="L2953" s="1" t="s">
        <v>29</v>
      </c>
      <c r="M2953" s="1" t="s">
        <v>29</v>
      </c>
      <c r="N2953" s="1" t="s">
        <v>22</v>
      </c>
    </row>
    <row r="2954" spans="1:14" x14ac:dyDescent="0.25">
      <c r="A2954" s="1">
        <v>2953</v>
      </c>
      <c r="B2954" s="2" t="str">
        <f>HYPERLINK("https://leetcode.com/problems/count-complete-substrings/", "Count Complete Substrings")</f>
        <v>Count Complete Substrings</v>
      </c>
      <c r="C2954" s="1">
        <v>257</v>
      </c>
      <c r="D2954" s="1">
        <v>41</v>
      </c>
      <c r="E2954" s="3">
        <f>IF(INDEX(C:C, ROW())+INDEX(D:D, ROW())=0, 0, INDEX(C:C, ROW())/(INDEX(C:C, ROW())+INDEX(D:D, ROW())))</f>
        <v>0.86241610738255037</v>
      </c>
      <c r="F2954" s="1" t="s">
        <v>23</v>
      </c>
      <c r="G2954" s="1" t="s">
        <v>28</v>
      </c>
      <c r="H2954" s="1">
        <v>10855</v>
      </c>
      <c r="I2954" s="1">
        <v>36300</v>
      </c>
      <c r="J2954" s="7">
        <v>0.29899999999999999</v>
      </c>
      <c r="K2954" s="1" t="s">
        <v>21</v>
      </c>
      <c r="L2954" s="1" t="s">
        <v>29</v>
      </c>
      <c r="M2954" s="1" t="s">
        <v>29</v>
      </c>
      <c r="N2954" s="1" t="s">
        <v>22</v>
      </c>
    </row>
    <row r="2955" spans="1:14" x14ac:dyDescent="0.25">
      <c r="A2955" s="1">
        <v>2954</v>
      </c>
      <c r="B2955" s="2" t="str">
        <f>HYPERLINK("https://leetcode.com/problems/count-the-number-of-infection-sequences/", "Count the Number of Infection Sequences")</f>
        <v>Count the Number of Infection Sequences</v>
      </c>
      <c r="C2955" s="1">
        <v>147</v>
      </c>
      <c r="D2955" s="1">
        <v>32</v>
      </c>
      <c r="E2955" s="3">
        <f>IF(INDEX(C:C, ROW())+INDEX(D:D, ROW())=0, 0, INDEX(C:C, ROW())/(INDEX(C:C, ROW())+INDEX(D:D, ROW())))</f>
        <v>0.82122905027932958</v>
      </c>
      <c r="F2955" s="1" t="s">
        <v>1138</v>
      </c>
      <c r="G2955" s="1" t="s">
        <v>28</v>
      </c>
      <c r="H2955" s="1">
        <v>6004</v>
      </c>
      <c r="I2955" s="1">
        <v>16149</v>
      </c>
      <c r="J2955" s="7">
        <v>0.372</v>
      </c>
      <c r="K2955" s="1" t="s">
        <v>21</v>
      </c>
      <c r="L2955" s="1" t="s">
        <v>29</v>
      </c>
      <c r="M2955" s="1" t="s">
        <v>29</v>
      </c>
      <c r="N2955" s="1" t="s">
        <v>22</v>
      </c>
    </row>
    <row r="2956" spans="1:14" x14ac:dyDescent="0.25">
      <c r="A2956" s="1">
        <v>2955</v>
      </c>
      <c r="B2956" s="2" t="str">
        <f>HYPERLINK("https://leetcode.com/problems/number-of-same-end-substrings/", "Number of Same-End Substrings")</f>
        <v>Number of Same-End Substrings</v>
      </c>
      <c r="C2956" s="1">
        <v>86</v>
      </c>
      <c r="D2956" s="1">
        <v>18</v>
      </c>
      <c r="E2956" s="3">
        <f>IF(INDEX(C:C, ROW())+INDEX(D:D, ROW())=0, 0, INDEX(C:C, ROW())/(INDEX(C:C, ROW())+INDEX(D:D, ROW())))</f>
        <v>0.82692307692307687</v>
      </c>
      <c r="F2956" s="1" t="s">
        <v>1196</v>
      </c>
      <c r="G2956" s="1" t="s">
        <v>24</v>
      </c>
      <c r="H2956" s="1">
        <v>8936</v>
      </c>
      <c r="I2956" s="1">
        <v>14502</v>
      </c>
      <c r="J2956" s="7">
        <v>0.61599999999999999</v>
      </c>
      <c r="K2956" s="1" t="s">
        <v>29</v>
      </c>
      <c r="L2956" s="1" t="s">
        <v>21</v>
      </c>
      <c r="M2956" s="1" t="s">
        <v>29</v>
      </c>
      <c r="N2956" s="1" t="s">
        <v>22</v>
      </c>
    </row>
    <row r="2957" spans="1:14" x14ac:dyDescent="0.25">
      <c r="A2957" s="1">
        <v>2956</v>
      </c>
      <c r="B2957" s="2" t="str">
        <f>HYPERLINK("https://leetcode.com/problems/find-common-elements-between-two-arrays/", "Find Common Elements Between Two Arrays")</f>
        <v>Find Common Elements Between Two Arrays</v>
      </c>
      <c r="C2957" s="1">
        <v>299</v>
      </c>
      <c r="D2957" s="1">
        <v>109</v>
      </c>
      <c r="E2957" s="3">
        <f>IF(INDEX(C:C, ROW())+INDEX(D:D, ROW())=0, 0, INDEX(C:C, ROW())/(INDEX(C:C, ROW())+INDEX(D:D, ROW())))</f>
        <v>0.73284313725490191</v>
      </c>
      <c r="F2957" s="1" t="s">
        <v>19</v>
      </c>
      <c r="G2957" s="1" t="s">
        <v>20</v>
      </c>
      <c r="H2957" s="1">
        <v>102772</v>
      </c>
      <c r="I2957" s="1">
        <v>121731</v>
      </c>
      <c r="J2957" s="7">
        <v>0.84399999999999997</v>
      </c>
      <c r="K2957" s="1" t="s">
        <v>21</v>
      </c>
      <c r="L2957" s="1" t="s">
        <v>29</v>
      </c>
      <c r="M2957" s="1" t="s">
        <v>29</v>
      </c>
      <c r="N2957" s="1" t="s">
        <v>22</v>
      </c>
    </row>
    <row r="2958" spans="1:14" x14ac:dyDescent="0.25">
      <c r="A2958" s="1">
        <v>2957</v>
      </c>
      <c r="B2958" s="2" t="str">
        <f>HYPERLINK("https://leetcode.com/problems/remove-adjacent-almost-equal-characters/", "Remove Adjacent Almost-Equal Characters")</f>
        <v>Remove Adjacent Almost-Equal Characters</v>
      </c>
      <c r="C2958" s="1">
        <v>198</v>
      </c>
      <c r="D2958" s="1">
        <v>25</v>
      </c>
      <c r="E2958" s="3">
        <f>IF(INDEX(C:C, ROW())+INDEX(D:D, ROW())=0, 0, INDEX(C:C, ROW())/(INDEX(C:C, ROW())+INDEX(D:D, ROW())))</f>
        <v>0.88789237668161436</v>
      </c>
      <c r="F2958" s="1" t="s">
        <v>861</v>
      </c>
      <c r="G2958" s="1" t="s">
        <v>24</v>
      </c>
      <c r="H2958" s="1">
        <v>28720</v>
      </c>
      <c r="I2958" s="1">
        <v>54090</v>
      </c>
      <c r="J2958" s="7">
        <v>0.53100000000000003</v>
      </c>
      <c r="K2958" s="1" t="s">
        <v>21</v>
      </c>
      <c r="L2958" s="1" t="s">
        <v>29</v>
      </c>
      <c r="M2958" s="1" t="s">
        <v>29</v>
      </c>
      <c r="N2958" s="1" t="s">
        <v>22</v>
      </c>
    </row>
    <row r="2959" spans="1:14" x14ac:dyDescent="0.25">
      <c r="A2959" s="1">
        <v>2958</v>
      </c>
      <c r="B2959" s="2" t="str">
        <f>HYPERLINK("https://leetcode.com/problems/length-of-longest-subarray-with-at-most-k-frequency/", "Length of Longest Subarray With at Most K Frequency")</f>
        <v>Length of Longest Subarray With at Most K Frequency</v>
      </c>
      <c r="C2959" s="1">
        <v>1179</v>
      </c>
      <c r="D2959" s="1">
        <v>36</v>
      </c>
      <c r="E2959" s="3">
        <f>IF(INDEX(C:C, ROW())+INDEX(D:D, ROW())=0, 0, INDEX(C:C, ROW())/(INDEX(C:C, ROW())+INDEX(D:D, ROW())))</f>
        <v>0.97037037037037033</v>
      </c>
      <c r="F2959" s="1" t="s">
        <v>185</v>
      </c>
      <c r="G2959" s="1" t="s">
        <v>24</v>
      </c>
      <c r="H2959" s="1">
        <v>188896</v>
      </c>
      <c r="I2959" s="1">
        <v>334772</v>
      </c>
      <c r="J2959" s="7">
        <v>0.56399999999999995</v>
      </c>
      <c r="K2959" s="1" t="s">
        <v>21</v>
      </c>
      <c r="L2959" s="1" t="s">
        <v>21</v>
      </c>
      <c r="M2959" s="1" t="s">
        <v>29</v>
      </c>
      <c r="N2959" s="1" t="s">
        <v>22</v>
      </c>
    </row>
    <row r="2960" spans="1:14" x14ac:dyDescent="0.25">
      <c r="A2960" s="1">
        <v>2959</v>
      </c>
      <c r="B2960" s="2" t="str">
        <f>HYPERLINK("https://leetcode.com/problems/number-of-possible-sets-of-closing-branches/", "Number of Possible Sets of Closing Branches")</f>
        <v>Number of Possible Sets of Closing Branches</v>
      </c>
      <c r="C2960" s="1">
        <v>200</v>
      </c>
      <c r="D2960" s="1">
        <v>17</v>
      </c>
      <c r="E2960" s="3">
        <f>IF(INDEX(C:C, ROW())+INDEX(D:D, ROW())=0, 0, INDEX(C:C, ROW())/(INDEX(C:C, ROW())+INDEX(D:D, ROW())))</f>
        <v>0.92165898617511521</v>
      </c>
      <c r="F2960" s="1" t="s">
        <v>1097</v>
      </c>
      <c r="G2960" s="1" t="s">
        <v>28</v>
      </c>
      <c r="H2960" s="1">
        <v>10625</v>
      </c>
      <c r="I2960" s="1">
        <v>20969</v>
      </c>
      <c r="J2960" s="7">
        <v>0.50700000000000001</v>
      </c>
      <c r="K2960" s="1" t="s">
        <v>21</v>
      </c>
      <c r="L2960" s="1" t="s">
        <v>29</v>
      </c>
      <c r="M2960" s="1" t="s">
        <v>29</v>
      </c>
      <c r="N2960" s="1" t="s">
        <v>22</v>
      </c>
    </row>
    <row r="2961" spans="1:14" x14ac:dyDescent="0.25">
      <c r="A2961" s="1">
        <v>2960</v>
      </c>
      <c r="B2961" s="2" t="str">
        <f>HYPERLINK("https://leetcode.com/problems/count-tested-devices-after-test-operations/", "Count Tested Devices After Test Operations")</f>
        <v>Count Tested Devices After Test Operations</v>
      </c>
      <c r="C2961" s="1">
        <v>175</v>
      </c>
      <c r="D2961" s="1">
        <v>18</v>
      </c>
      <c r="E2961" s="3">
        <f>IF(INDEX(C:C, ROW())+INDEX(D:D, ROW())=0, 0, INDEX(C:C, ROW())/(INDEX(C:C, ROW())+INDEX(D:D, ROW())))</f>
        <v>0.90673575129533679</v>
      </c>
      <c r="F2961" s="1" t="s">
        <v>1116</v>
      </c>
      <c r="G2961" s="1" t="s">
        <v>20</v>
      </c>
      <c r="H2961" s="1">
        <v>54332</v>
      </c>
      <c r="I2961" s="1">
        <v>68977</v>
      </c>
      <c r="J2961" s="7">
        <v>0.78800000000000003</v>
      </c>
      <c r="K2961" s="1" t="s">
        <v>21</v>
      </c>
      <c r="L2961" s="1" t="s">
        <v>29</v>
      </c>
      <c r="M2961" s="1" t="s">
        <v>29</v>
      </c>
      <c r="N2961" s="1" t="s">
        <v>22</v>
      </c>
    </row>
    <row r="2962" spans="1:14" x14ac:dyDescent="0.25">
      <c r="A2962" s="1">
        <v>2961</v>
      </c>
      <c r="B2962" s="2" t="str">
        <f>HYPERLINK("https://leetcode.com/problems/double-modular-exponentiation/", "Double Modular Exponentiation")</f>
        <v>Double Modular Exponentiation</v>
      </c>
      <c r="C2962" s="1">
        <v>123</v>
      </c>
      <c r="D2962" s="1">
        <v>23</v>
      </c>
      <c r="E2962" s="3">
        <f>IF(INDEX(C:C, ROW())+INDEX(D:D, ROW())=0, 0, INDEX(C:C, ROW())/(INDEX(C:C, ROW())+INDEX(D:D, ROW())))</f>
        <v>0.84246575342465757</v>
      </c>
      <c r="F2962" s="1" t="s">
        <v>629</v>
      </c>
      <c r="G2962" s="1" t="s">
        <v>24</v>
      </c>
      <c r="H2962" s="1">
        <v>25276</v>
      </c>
      <c r="I2962" s="1">
        <v>52727</v>
      </c>
      <c r="J2962" s="7">
        <v>0.47899999999999998</v>
      </c>
      <c r="K2962" s="1" t="s">
        <v>21</v>
      </c>
      <c r="L2962" s="1" t="s">
        <v>29</v>
      </c>
      <c r="M2962" s="1" t="s">
        <v>29</v>
      </c>
      <c r="N2962" s="1" t="s">
        <v>22</v>
      </c>
    </row>
    <row r="2963" spans="1:14" x14ac:dyDescent="0.25">
      <c r="A2963" s="1">
        <v>2962</v>
      </c>
      <c r="B2963" s="2" t="str">
        <f>HYPERLINK("https://leetcode.com/problems/count-subarrays-where-max-element-appears-at-least-k-times/", "Count Subarrays Where Max Element Appears at Least K Times")</f>
        <v>Count Subarrays Where Max Element Appears at Least K Times</v>
      </c>
      <c r="C2963" s="1">
        <v>1706</v>
      </c>
      <c r="D2963" s="1">
        <v>81</v>
      </c>
      <c r="E2963" s="3">
        <f>IF(INDEX(C:C, ROW())+INDEX(D:D, ROW())=0, 0, INDEX(C:C, ROW())/(INDEX(C:C, ROW())+INDEX(D:D, ROW())))</f>
        <v>0.95467263570229433</v>
      </c>
      <c r="F2963" s="1" t="s">
        <v>295</v>
      </c>
      <c r="G2963" s="1" t="s">
        <v>24</v>
      </c>
      <c r="H2963" s="1">
        <v>257107</v>
      </c>
      <c r="I2963" s="1">
        <v>412058</v>
      </c>
      <c r="J2963" s="7">
        <v>0.624</v>
      </c>
      <c r="K2963" s="1" t="s">
        <v>21</v>
      </c>
      <c r="L2963" s="1" t="s">
        <v>21</v>
      </c>
      <c r="M2963" s="1" t="s">
        <v>29</v>
      </c>
      <c r="N2963" s="1" t="s">
        <v>22</v>
      </c>
    </row>
    <row r="2964" spans="1:14" x14ac:dyDescent="0.25">
      <c r="A2964" s="1">
        <v>2963</v>
      </c>
      <c r="B2964" s="2" t="str">
        <f>HYPERLINK("https://leetcode.com/problems/count-the-number-of-good-partitions/", "Count the Number of Good Partitions")</f>
        <v>Count the Number of Good Partitions</v>
      </c>
      <c r="C2964" s="1">
        <v>307</v>
      </c>
      <c r="D2964" s="1">
        <v>5</v>
      </c>
      <c r="E2964" s="3">
        <f>IF(INDEX(C:C, ROW())+INDEX(D:D, ROW())=0, 0, INDEX(C:C, ROW())/(INDEX(C:C, ROW())+INDEX(D:D, ROW())))</f>
        <v>0.98397435897435892</v>
      </c>
      <c r="F2964" s="1" t="s">
        <v>1041</v>
      </c>
      <c r="G2964" s="1" t="s">
        <v>28</v>
      </c>
      <c r="H2964" s="1">
        <v>15340</v>
      </c>
      <c r="I2964" s="1">
        <v>31322</v>
      </c>
      <c r="J2964" s="7">
        <v>0.49</v>
      </c>
      <c r="K2964" s="1" t="s">
        <v>21</v>
      </c>
      <c r="L2964" s="1" t="s">
        <v>29</v>
      </c>
      <c r="M2964" s="1" t="s">
        <v>29</v>
      </c>
      <c r="N2964" s="1" t="s">
        <v>22</v>
      </c>
    </row>
    <row r="2965" spans="1:14" x14ac:dyDescent="0.25">
      <c r="A2965" s="1">
        <v>2964</v>
      </c>
      <c r="B2965" s="2" t="str">
        <f>HYPERLINK("https://leetcode.com/problems/number-of-divisible-triplet-sums/", "Number of Divisible Triplet Sums")</f>
        <v>Number of Divisible Triplet Sums</v>
      </c>
      <c r="C2965" s="1">
        <v>33</v>
      </c>
      <c r="D2965" s="1">
        <v>6</v>
      </c>
      <c r="E2965" s="3">
        <f>IF(INDEX(C:C, ROW())+INDEX(D:D, ROW())=0, 0, INDEX(C:C, ROW())/(INDEX(C:C, ROW())+INDEX(D:D, ROW())))</f>
        <v>0.84615384615384615</v>
      </c>
      <c r="F2965" s="1" t="s">
        <v>19</v>
      </c>
      <c r="G2965" s="1" t="s">
        <v>24</v>
      </c>
      <c r="H2965" s="1">
        <v>8938</v>
      </c>
      <c r="I2965" s="1">
        <v>13222</v>
      </c>
      <c r="J2965" s="7">
        <v>0.67600000000000005</v>
      </c>
      <c r="K2965" s="1" t="s">
        <v>29</v>
      </c>
      <c r="L2965" s="1" t="s">
        <v>29</v>
      </c>
      <c r="M2965" s="1" t="s">
        <v>29</v>
      </c>
      <c r="N2965" s="1" t="s">
        <v>22</v>
      </c>
    </row>
    <row r="2966" spans="1:14" x14ac:dyDescent="0.25">
      <c r="A2966" s="1">
        <v>2965</v>
      </c>
      <c r="B2966" s="2" t="str">
        <f>HYPERLINK("https://leetcode.com/problems/find-missing-and-repeated-values/", "Find Missing and Repeated Values")</f>
        <v>Find Missing and Repeated Values</v>
      </c>
      <c r="C2966" s="1">
        <v>990</v>
      </c>
      <c r="D2966" s="1">
        <v>49</v>
      </c>
      <c r="E2966" s="3">
        <f>IF(INDEX(C:C, ROW())+INDEX(D:D, ROW())=0, 0, INDEX(C:C, ROW())/(INDEX(C:C, ROW())+INDEX(D:D, ROW())))</f>
        <v>0.95283926852743017</v>
      </c>
      <c r="F2966" s="1" t="s">
        <v>685</v>
      </c>
      <c r="G2966" s="1" t="s">
        <v>20</v>
      </c>
      <c r="H2966" s="1">
        <v>322968</v>
      </c>
      <c r="I2966" s="1">
        <v>387904</v>
      </c>
      <c r="J2966" s="7">
        <v>0.83299999999999996</v>
      </c>
      <c r="K2966" s="1" t="s">
        <v>21</v>
      </c>
      <c r="L2966" s="1" t="s">
        <v>21</v>
      </c>
      <c r="M2966" s="1" t="s">
        <v>29</v>
      </c>
      <c r="N2966" s="1" t="s">
        <v>22</v>
      </c>
    </row>
    <row r="2967" spans="1:14" x14ac:dyDescent="0.25">
      <c r="A2967" s="1">
        <v>2966</v>
      </c>
      <c r="B2967" s="2" t="str">
        <f>HYPERLINK("https://leetcode.com/problems/divide-array-into-arrays-with-max-difference/", "Divide Array Into Arrays With Max Difference")</f>
        <v>Divide Array Into Arrays With Max Difference</v>
      </c>
      <c r="C2967" s="1">
        <v>1165</v>
      </c>
      <c r="D2967" s="1">
        <v>222</v>
      </c>
      <c r="E2967" s="3">
        <f>IF(INDEX(C:C, ROW())+INDEX(D:D, ROW())=0, 0, INDEX(C:C, ROW())/(INDEX(C:C, ROW())+INDEX(D:D, ROW())))</f>
        <v>0.83994232155731796</v>
      </c>
      <c r="F2967" s="1" t="s">
        <v>169</v>
      </c>
      <c r="G2967" s="1" t="s">
        <v>24</v>
      </c>
      <c r="H2967" s="1">
        <v>281158</v>
      </c>
      <c r="I2967" s="1">
        <v>356016</v>
      </c>
      <c r="J2967" s="7">
        <v>0.79</v>
      </c>
      <c r="K2967" s="1" t="s">
        <v>21</v>
      </c>
      <c r="L2967" s="1" t="s">
        <v>21</v>
      </c>
      <c r="M2967" s="1" t="s">
        <v>29</v>
      </c>
      <c r="N2967" s="1" t="s">
        <v>22</v>
      </c>
    </row>
    <row r="2968" spans="1:14" x14ac:dyDescent="0.25">
      <c r="A2968" s="1">
        <v>2967</v>
      </c>
      <c r="B2968" s="2" t="str">
        <f>HYPERLINK("https://leetcode.com/problems/minimum-cost-to-make-array-equalindromic/", "Minimum Cost to Make Array Equalindromic")</f>
        <v>Minimum Cost to Make Array Equalindromic</v>
      </c>
      <c r="C2968" s="1">
        <v>244</v>
      </c>
      <c r="D2968" s="1">
        <v>100</v>
      </c>
      <c r="E2968" s="3">
        <f>IF(INDEX(C:C, ROW())+INDEX(D:D, ROW())=0, 0, INDEX(C:C, ROW())/(INDEX(C:C, ROW())+INDEX(D:D, ROW())))</f>
        <v>0.70930232558139539</v>
      </c>
      <c r="F2968" s="1" t="s">
        <v>967</v>
      </c>
      <c r="G2968" s="1" t="s">
        <v>24</v>
      </c>
      <c r="H2968" s="1">
        <v>16169</v>
      </c>
      <c r="I2968" s="1">
        <v>69390</v>
      </c>
      <c r="J2968" s="7">
        <v>0.23300000000000001</v>
      </c>
      <c r="K2968" s="1" t="s">
        <v>21</v>
      </c>
      <c r="L2968" s="1" t="s">
        <v>29</v>
      </c>
      <c r="M2968" s="1" t="s">
        <v>29</v>
      </c>
      <c r="N2968" s="1" t="s">
        <v>22</v>
      </c>
    </row>
    <row r="2969" spans="1:14" x14ac:dyDescent="0.25">
      <c r="A2969" s="1">
        <v>2968</v>
      </c>
      <c r="B2969" s="2" t="str">
        <f>HYPERLINK("https://leetcode.com/problems/apply-operations-to-maximize-frequency-score/", "Apply Operations to Maximize Frequency Score")</f>
        <v>Apply Operations to Maximize Frequency Score</v>
      </c>
      <c r="C2969" s="1">
        <v>294</v>
      </c>
      <c r="D2969" s="1">
        <v>10</v>
      </c>
      <c r="E2969" s="3">
        <f>IF(INDEX(C:C, ROW())+INDEX(D:D, ROW())=0, 0, INDEX(C:C, ROW())/(INDEX(C:C, ROW())+INDEX(D:D, ROW())))</f>
        <v>0.96710526315789469</v>
      </c>
      <c r="F2969" s="1" t="s">
        <v>849</v>
      </c>
      <c r="G2969" s="1" t="s">
        <v>28</v>
      </c>
      <c r="H2969" s="1">
        <v>9862</v>
      </c>
      <c r="I2969" s="1">
        <v>25598</v>
      </c>
      <c r="J2969" s="7">
        <v>0.38500000000000001</v>
      </c>
      <c r="K2969" s="1" t="s">
        <v>21</v>
      </c>
      <c r="L2969" s="1" t="s">
        <v>29</v>
      </c>
      <c r="M2969" s="1" t="s">
        <v>29</v>
      </c>
      <c r="N2969" s="1" t="s">
        <v>22</v>
      </c>
    </row>
    <row r="2970" spans="1:14" x14ac:dyDescent="0.25">
      <c r="A2970" s="1">
        <v>2969</v>
      </c>
      <c r="B2970" s="2" t="str">
        <f>HYPERLINK("https://leetcode.com/problems/minimum-number-of-coins-for-fruits-ii/", "Minimum Number of Coins for Fruits II")</f>
        <v>Minimum Number of Coins for Fruits II</v>
      </c>
      <c r="C2970" s="1">
        <v>21</v>
      </c>
      <c r="D2970" s="1">
        <v>0</v>
      </c>
      <c r="E2970" s="3">
        <f>IF(INDEX(C:C, ROW())+INDEX(D:D, ROW())=0, 0, INDEX(C:C, ROW())/(INDEX(C:C, ROW())+INDEX(D:D, ROW())))</f>
        <v>1</v>
      </c>
      <c r="F2970" s="1" t="s">
        <v>345</v>
      </c>
      <c r="G2970" s="1" t="s">
        <v>28</v>
      </c>
      <c r="H2970" s="1">
        <v>955</v>
      </c>
      <c r="I2970" s="1">
        <v>2033</v>
      </c>
      <c r="J2970" s="7">
        <v>0.47</v>
      </c>
      <c r="K2970" s="1" t="s">
        <v>29</v>
      </c>
      <c r="L2970" s="1" t="s">
        <v>29</v>
      </c>
      <c r="M2970" s="1" t="s">
        <v>29</v>
      </c>
      <c r="N2970" s="1" t="s">
        <v>22</v>
      </c>
    </row>
    <row r="2971" spans="1:14" x14ac:dyDescent="0.25">
      <c r="A2971" s="1">
        <v>2970</v>
      </c>
      <c r="B2971" s="2" t="str">
        <f>HYPERLINK("https://leetcode.com/problems/count-the-number-of-incremovable-subarrays-i/", "Count the Number of Incremovable Subarrays I")</f>
        <v>Count the Number of Incremovable Subarrays I</v>
      </c>
      <c r="C2971" s="1">
        <v>196</v>
      </c>
      <c r="D2971" s="1">
        <v>125</v>
      </c>
      <c r="E2971" s="3">
        <f>IF(INDEX(C:C, ROW())+INDEX(D:D, ROW())=0, 0, INDEX(C:C, ROW())/(INDEX(C:C, ROW())+INDEX(D:D, ROW())))</f>
        <v>0.61059190031152644</v>
      </c>
      <c r="F2971" s="1" t="s">
        <v>1100</v>
      </c>
      <c r="G2971" s="1" t="s">
        <v>20</v>
      </c>
      <c r="H2971" s="1">
        <v>29467</v>
      </c>
      <c r="I2971" s="1">
        <v>52390</v>
      </c>
      <c r="J2971" s="7">
        <v>0.56200000000000006</v>
      </c>
      <c r="K2971" s="1" t="s">
        <v>21</v>
      </c>
      <c r="L2971" s="1" t="s">
        <v>29</v>
      </c>
      <c r="M2971" s="1" t="s">
        <v>29</v>
      </c>
      <c r="N2971" s="1" t="s">
        <v>22</v>
      </c>
    </row>
    <row r="2972" spans="1:14" x14ac:dyDescent="0.25">
      <c r="A2972" s="1">
        <v>2971</v>
      </c>
      <c r="B2972" s="2" t="str">
        <f>HYPERLINK("https://leetcode.com/problems/find-polygon-with-the-largest-perimeter/", "Find Polygon With the Largest Perimeter")</f>
        <v>Find Polygon With the Largest Perimeter</v>
      </c>
      <c r="C2972" s="1">
        <v>836</v>
      </c>
      <c r="D2972" s="1">
        <v>71</v>
      </c>
      <c r="E2972" s="3">
        <f>IF(INDEX(C:C, ROW())+INDEX(D:D, ROW())=0, 0, INDEX(C:C, ROW())/(INDEX(C:C, ROW())+INDEX(D:D, ROW())))</f>
        <v>0.9217199558985667</v>
      </c>
      <c r="F2972" s="1" t="s">
        <v>755</v>
      </c>
      <c r="G2972" s="1" t="s">
        <v>24</v>
      </c>
      <c r="H2972" s="1">
        <v>145052</v>
      </c>
      <c r="I2972" s="1">
        <v>221402</v>
      </c>
      <c r="J2972" s="7">
        <v>0.65500000000000003</v>
      </c>
      <c r="K2972" s="1" t="s">
        <v>21</v>
      </c>
      <c r="L2972" s="1" t="s">
        <v>21</v>
      </c>
      <c r="M2972" s="1" t="s">
        <v>29</v>
      </c>
      <c r="N2972" s="1" t="s">
        <v>22</v>
      </c>
    </row>
    <row r="2973" spans="1:14" x14ac:dyDescent="0.25">
      <c r="A2973" s="1">
        <v>2972</v>
      </c>
      <c r="B2973" s="2" t="str">
        <f>HYPERLINK("https://leetcode.com/problems/count-the-number-of-incremovable-subarrays-ii/", "Count the Number of Incremovable Subarrays II")</f>
        <v>Count the Number of Incremovable Subarrays II</v>
      </c>
      <c r="C2973" s="1">
        <v>245</v>
      </c>
      <c r="D2973" s="1">
        <v>20</v>
      </c>
      <c r="E2973" s="3">
        <f>IF(INDEX(C:C, ROW())+INDEX(D:D, ROW())=0, 0, INDEX(C:C, ROW())/(INDEX(C:C, ROW())+INDEX(D:D, ROW())))</f>
        <v>0.92452830188679247</v>
      </c>
      <c r="F2973" s="1" t="s">
        <v>97</v>
      </c>
      <c r="G2973" s="1" t="s">
        <v>28</v>
      </c>
      <c r="H2973" s="1">
        <v>11081</v>
      </c>
      <c r="I2973" s="1">
        <v>27621</v>
      </c>
      <c r="J2973" s="7">
        <v>0.40100000000000002</v>
      </c>
      <c r="K2973" s="1" t="s">
        <v>21</v>
      </c>
      <c r="L2973" s="1" t="s">
        <v>29</v>
      </c>
      <c r="M2973" s="1" t="s">
        <v>29</v>
      </c>
      <c r="N2973" s="1" t="s">
        <v>22</v>
      </c>
    </row>
    <row r="2974" spans="1:14" x14ac:dyDescent="0.25">
      <c r="A2974" s="1">
        <v>2973</v>
      </c>
      <c r="B2974" s="2" t="str">
        <f>HYPERLINK("https://leetcode.com/problems/find-number-of-coins-to-place-in-tree-nodes/", "Find Number of Coins to Place in Tree Nodes")</f>
        <v>Find Number of Coins to Place in Tree Nodes</v>
      </c>
      <c r="C2974" s="1">
        <v>201</v>
      </c>
      <c r="D2974" s="1">
        <v>22</v>
      </c>
      <c r="E2974" s="3">
        <f>IF(INDEX(C:C, ROW())+INDEX(D:D, ROW())=0, 0, INDEX(C:C, ROW())/(INDEX(C:C, ROW())+INDEX(D:D, ROW())))</f>
        <v>0.90134529147982068</v>
      </c>
      <c r="F2974" s="1" t="s">
        <v>1096</v>
      </c>
      <c r="G2974" s="1" t="s">
        <v>28</v>
      </c>
      <c r="H2974" s="1">
        <v>11122</v>
      </c>
      <c r="I2974" s="1">
        <v>29839</v>
      </c>
      <c r="J2974" s="7">
        <v>0.373</v>
      </c>
      <c r="K2974" s="1" t="s">
        <v>21</v>
      </c>
      <c r="L2974" s="1" t="s">
        <v>29</v>
      </c>
      <c r="M2974" s="1" t="s">
        <v>29</v>
      </c>
      <c r="N2974" s="1" t="s">
        <v>22</v>
      </c>
    </row>
    <row r="2975" spans="1:14" x14ac:dyDescent="0.25">
      <c r="A2975" s="1">
        <v>2974</v>
      </c>
      <c r="B2975" s="2" t="str">
        <f>HYPERLINK("https://leetcode.com/problems/minimum-number-game/", "Minimum Number Game")</f>
        <v>Minimum Number Game</v>
      </c>
      <c r="C2975" s="1">
        <v>338</v>
      </c>
      <c r="D2975" s="1">
        <v>23</v>
      </c>
      <c r="E2975" s="3">
        <f>IF(INDEX(C:C, ROW())+INDEX(D:D, ROW())=0, 0, INDEX(C:C, ROW())/(INDEX(C:C, ROW())+INDEX(D:D, ROW())))</f>
        <v>0.93628808864265933</v>
      </c>
      <c r="F2975" s="1" t="s">
        <v>1027</v>
      </c>
      <c r="G2975" s="1" t="s">
        <v>20</v>
      </c>
      <c r="H2975" s="1">
        <v>144699</v>
      </c>
      <c r="I2975" s="1">
        <v>169510</v>
      </c>
      <c r="J2975" s="7">
        <v>0.85399999999999998</v>
      </c>
      <c r="K2975" s="1" t="s">
        <v>21</v>
      </c>
      <c r="L2975" s="1" t="s">
        <v>29</v>
      </c>
      <c r="M2975" s="1" t="s">
        <v>29</v>
      </c>
      <c r="N2975" s="1" t="s">
        <v>22</v>
      </c>
    </row>
    <row r="2976" spans="1:14" x14ac:dyDescent="0.25">
      <c r="A2976" s="1">
        <v>2975</v>
      </c>
      <c r="B2976" s="2" t="str">
        <f>HYPERLINK("https://leetcode.com/problems/maximum-square-area-by-removing-fences-from-a-field/", "Maximum Square Area by Removing Fences From a Field")</f>
        <v>Maximum Square Area by Removing Fences From a Field</v>
      </c>
      <c r="C2976" s="1">
        <v>452</v>
      </c>
      <c r="D2976" s="1">
        <v>162</v>
      </c>
      <c r="E2976" s="3">
        <f>IF(INDEX(C:C, ROW())+INDEX(D:D, ROW())=0, 0, INDEX(C:C, ROW())/(INDEX(C:C, ROW())+INDEX(D:D, ROW())))</f>
        <v>0.73615635179153094</v>
      </c>
      <c r="F2976" s="1" t="s">
        <v>804</v>
      </c>
      <c r="G2976" s="1" t="s">
        <v>24</v>
      </c>
      <c r="H2976" s="1">
        <v>97080</v>
      </c>
      <c r="I2976" s="1">
        <v>196453</v>
      </c>
      <c r="J2976" s="7">
        <v>0.49399999999999999</v>
      </c>
      <c r="K2976" s="1" t="s">
        <v>21</v>
      </c>
      <c r="L2976" s="1" t="s">
        <v>21</v>
      </c>
      <c r="M2976" s="1" t="s">
        <v>29</v>
      </c>
      <c r="N2976" s="1" t="s">
        <v>22</v>
      </c>
    </row>
    <row r="2977" spans="1:14" x14ac:dyDescent="0.25">
      <c r="A2977" s="1">
        <v>2976</v>
      </c>
      <c r="B2977" s="2" t="str">
        <f>HYPERLINK("https://leetcode.com/problems/minimum-cost-to-convert-string-i/", "Minimum Cost to Convert String I")</f>
        <v>Minimum Cost to Convert String I</v>
      </c>
      <c r="C2977" s="1">
        <v>1332</v>
      </c>
      <c r="D2977" s="1">
        <v>94</v>
      </c>
      <c r="E2977" s="3">
        <f>IF(INDEX(C:C, ROW())+INDEX(D:D, ROW())=0, 0, INDEX(C:C, ROW())/(INDEX(C:C, ROW())+INDEX(D:D, ROW())))</f>
        <v>0.93408134642356244</v>
      </c>
      <c r="F2977" s="1" t="s">
        <v>630</v>
      </c>
      <c r="G2977" s="1" t="s">
        <v>24</v>
      </c>
      <c r="H2977" s="1">
        <v>192212</v>
      </c>
      <c r="I2977" s="1">
        <v>303968</v>
      </c>
      <c r="J2977" s="7">
        <v>0.63200000000000001</v>
      </c>
      <c r="K2977" s="1" t="s">
        <v>21</v>
      </c>
      <c r="L2977" s="1" t="s">
        <v>21</v>
      </c>
      <c r="M2977" s="1" t="s">
        <v>29</v>
      </c>
      <c r="N2977" s="1" t="s">
        <v>22</v>
      </c>
    </row>
    <row r="2978" spans="1:14" x14ac:dyDescent="0.25">
      <c r="A2978" s="1">
        <v>2977</v>
      </c>
      <c r="B2978" s="2" t="str">
        <f>HYPERLINK("https://leetcode.com/problems/minimum-cost-to-convert-string-ii/", "Minimum Cost to Convert String II")</f>
        <v>Minimum Cost to Convert String II</v>
      </c>
      <c r="C2978" s="1">
        <v>379</v>
      </c>
      <c r="D2978" s="1">
        <v>116</v>
      </c>
      <c r="E2978" s="3">
        <f>IF(INDEX(C:C, ROW())+INDEX(D:D, ROW())=0, 0, INDEX(C:C, ROW())/(INDEX(C:C, ROW())+INDEX(D:D, ROW())))</f>
        <v>0.7656565656565657</v>
      </c>
      <c r="F2978" s="1" t="s">
        <v>1000</v>
      </c>
      <c r="G2978" s="1" t="s">
        <v>28</v>
      </c>
      <c r="H2978" s="1">
        <v>63838</v>
      </c>
      <c r="I2978" s="1">
        <v>106994</v>
      </c>
      <c r="J2978" s="7">
        <v>0.59699999999999998</v>
      </c>
      <c r="K2978" s="1" t="s">
        <v>21</v>
      </c>
      <c r="L2978" s="1" t="s">
        <v>21</v>
      </c>
      <c r="M2978" s="1" t="s">
        <v>29</v>
      </c>
      <c r="N2978" s="1" t="s">
        <v>22</v>
      </c>
    </row>
    <row r="2979" spans="1:14" x14ac:dyDescent="0.25">
      <c r="A2979" s="1">
        <v>2978</v>
      </c>
      <c r="B2979" s="2" t="str">
        <f>HYPERLINK("https://leetcode.com/problems/symmetric-coordinates/", "Symmetric Coordinates")</f>
        <v>Symmetric Coordinates</v>
      </c>
      <c r="C2979" s="1">
        <v>14</v>
      </c>
      <c r="D2979" s="1">
        <v>3</v>
      </c>
      <c r="E2979" s="3">
        <f>IF(INDEX(C:C, ROW())+INDEX(D:D, ROW())=0, 0, INDEX(C:C, ROW())/(INDEX(C:C, ROW())+INDEX(D:D, ROW())))</f>
        <v>0.82352941176470584</v>
      </c>
      <c r="F2979" s="1" t="s">
        <v>297</v>
      </c>
      <c r="G2979" s="1" t="s">
        <v>24</v>
      </c>
      <c r="H2979" s="1">
        <v>2981</v>
      </c>
      <c r="I2979" s="1">
        <v>7343</v>
      </c>
      <c r="J2979" s="7">
        <v>0.40600000000000003</v>
      </c>
      <c r="K2979" s="1" t="s">
        <v>29</v>
      </c>
      <c r="L2979" s="1" t="s">
        <v>29</v>
      </c>
      <c r="M2979" s="1" t="s">
        <v>29</v>
      </c>
      <c r="N2979" s="1" t="s">
        <v>297</v>
      </c>
    </row>
    <row r="2980" spans="1:14" x14ac:dyDescent="0.25">
      <c r="A2980" s="1">
        <v>2979</v>
      </c>
      <c r="B2980" s="2" t="str">
        <f>HYPERLINK("https://leetcode.com/problems/most-expensive-item-that-can-not-be-bought/", "Most Expensive Item That Can Not Be Bought")</f>
        <v>Most Expensive Item That Can Not Be Bought</v>
      </c>
      <c r="C2980" s="1">
        <v>23</v>
      </c>
      <c r="D2980" s="1">
        <v>28</v>
      </c>
      <c r="E2980" s="3">
        <f>IF(INDEX(C:C, ROW())+INDEX(D:D, ROW())=0, 0, INDEX(C:C, ROW())/(INDEX(C:C, ROW())+INDEX(D:D, ROW())))</f>
        <v>0.45098039215686275</v>
      </c>
      <c r="F2980" s="1" t="s">
        <v>1314</v>
      </c>
      <c r="G2980" s="1" t="s">
        <v>24</v>
      </c>
      <c r="H2980" s="1">
        <v>6400</v>
      </c>
      <c r="I2980" s="1">
        <v>7968</v>
      </c>
      <c r="J2980" s="7">
        <v>0.80300000000000005</v>
      </c>
      <c r="K2980" s="1" t="s">
        <v>29</v>
      </c>
      <c r="L2980" s="1" t="s">
        <v>29</v>
      </c>
      <c r="M2980" s="1" t="s">
        <v>29</v>
      </c>
      <c r="N2980" s="1" t="s">
        <v>22</v>
      </c>
    </row>
    <row r="2981" spans="1:14" x14ac:dyDescent="0.25">
      <c r="A2981" s="1">
        <v>2980</v>
      </c>
      <c r="B2981" s="2" t="str">
        <f>HYPERLINK("https://leetcode.com/problems/check-if-bitwise-or-has-trailing-zeros/", "Check if Bitwise OR Has Trailing Zeros")</f>
        <v>Check if Bitwise OR Has Trailing Zeros</v>
      </c>
      <c r="C2981" s="1">
        <v>139</v>
      </c>
      <c r="D2981" s="1">
        <v>11</v>
      </c>
      <c r="E2981" s="3">
        <f>IF(INDEX(C:C, ROW())+INDEX(D:D, ROW())=0, 0, INDEX(C:C, ROW())/(INDEX(C:C, ROW())+INDEX(D:D, ROW())))</f>
        <v>0.92666666666666664</v>
      </c>
      <c r="F2981" s="1" t="s">
        <v>65</v>
      </c>
      <c r="G2981" s="1" t="s">
        <v>20</v>
      </c>
      <c r="H2981" s="1">
        <v>48975</v>
      </c>
      <c r="I2981" s="1">
        <v>68908</v>
      </c>
      <c r="J2981" s="7">
        <v>0.71099999999999997</v>
      </c>
      <c r="K2981" s="1" t="s">
        <v>21</v>
      </c>
      <c r="L2981" s="1" t="s">
        <v>29</v>
      </c>
      <c r="M2981" s="1" t="s">
        <v>29</v>
      </c>
      <c r="N2981" s="1" t="s">
        <v>22</v>
      </c>
    </row>
    <row r="2982" spans="1:14" x14ac:dyDescent="0.25">
      <c r="A2982" s="1">
        <v>2981</v>
      </c>
      <c r="B2982" s="2" t="str">
        <f>HYPERLINK("https://leetcode.com/problems/find-longest-special-substring-that-occurs-thrice-i/", "Find Longest Special Substring That Occurs Thrice I")</f>
        <v>Find Longest Special Substring That Occurs Thrice I</v>
      </c>
      <c r="C2982" s="1">
        <v>725</v>
      </c>
      <c r="D2982" s="1">
        <v>75</v>
      </c>
      <c r="E2982" s="3">
        <f>IF(INDEX(C:C, ROW())+INDEX(D:D, ROW())=0, 0, INDEX(C:C, ROW())/(INDEX(C:C, ROW())+INDEX(D:D, ROW())))</f>
        <v>0.90625</v>
      </c>
      <c r="F2982" s="1" t="s">
        <v>792</v>
      </c>
      <c r="G2982" s="1" t="s">
        <v>24</v>
      </c>
      <c r="H2982" s="1">
        <v>130996</v>
      </c>
      <c r="I2982" s="1">
        <v>211726</v>
      </c>
      <c r="J2982" s="7">
        <v>0.61899999999999999</v>
      </c>
      <c r="K2982" s="1" t="s">
        <v>21</v>
      </c>
      <c r="L2982" s="1" t="s">
        <v>21</v>
      </c>
      <c r="M2982" s="1" t="s">
        <v>29</v>
      </c>
      <c r="N2982" s="1" t="s">
        <v>22</v>
      </c>
    </row>
    <row r="2983" spans="1:14" x14ac:dyDescent="0.25">
      <c r="A2983" s="1">
        <v>2982</v>
      </c>
      <c r="B2983" s="2" t="str">
        <f>HYPERLINK("https://leetcode.com/problems/find-longest-special-substring-that-occurs-thrice-ii/", "Find Longest Special Substring That Occurs Thrice II")</f>
        <v>Find Longest Special Substring That Occurs Thrice II</v>
      </c>
      <c r="C2983" s="1">
        <v>405</v>
      </c>
      <c r="D2983" s="1">
        <v>33</v>
      </c>
      <c r="E2983" s="3">
        <f>IF(INDEX(C:C, ROW())+INDEX(D:D, ROW())=0, 0, INDEX(C:C, ROW())/(INDEX(C:C, ROW())+INDEX(D:D, ROW())))</f>
        <v>0.92465753424657537</v>
      </c>
      <c r="F2983" s="1" t="s">
        <v>792</v>
      </c>
      <c r="G2983" s="1" t="s">
        <v>24</v>
      </c>
      <c r="H2983" s="1">
        <v>31431</v>
      </c>
      <c r="I2983" s="1">
        <v>80312</v>
      </c>
      <c r="J2983" s="7">
        <v>0.39100000000000001</v>
      </c>
      <c r="K2983" s="1" t="s">
        <v>21</v>
      </c>
      <c r="L2983" s="1" t="s">
        <v>21</v>
      </c>
      <c r="M2983" s="1" t="s">
        <v>29</v>
      </c>
      <c r="N2983" s="1" t="s">
        <v>22</v>
      </c>
    </row>
    <row r="2984" spans="1:14" x14ac:dyDescent="0.25">
      <c r="A2984" s="1">
        <v>2983</v>
      </c>
      <c r="B2984" s="2" t="str">
        <f>HYPERLINK("https://leetcode.com/problems/palindrome-rearrangement-queries/", "Palindrome Rearrangement Queries")</f>
        <v>Palindrome Rearrangement Queries</v>
      </c>
      <c r="C2984" s="1">
        <v>98</v>
      </c>
      <c r="D2984" s="1">
        <v>27</v>
      </c>
      <c r="E2984" s="3">
        <f>IF(INDEX(C:C, ROW())+INDEX(D:D, ROW())=0, 0, INDEX(C:C, ROW())/(INDEX(C:C, ROW())+INDEX(D:D, ROW())))</f>
        <v>0.78400000000000003</v>
      </c>
      <c r="F2984" s="1" t="s">
        <v>883</v>
      </c>
      <c r="G2984" s="1" t="s">
        <v>28</v>
      </c>
      <c r="H2984" s="1">
        <v>4281</v>
      </c>
      <c r="I2984" s="1">
        <v>17225</v>
      </c>
      <c r="J2984" s="7">
        <v>0.249</v>
      </c>
      <c r="K2984" s="1" t="s">
        <v>21</v>
      </c>
      <c r="L2984" s="1" t="s">
        <v>29</v>
      </c>
      <c r="M2984" s="1" t="s">
        <v>29</v>
      </c>
      <c r="N2984" s="1" t="s">
        <v>22</v>
      </c>
    </row>
    <row r="2985" spans="1:14" x14ac:dyDescent="0.25">
      <c r="A2985" s="1">
        <v>2984</v>
      </c>
      <c r="B2985" s="2" t="str">
        <f>HYPERLINK("https://leetcode.com/problems/find-peak-calling-hours-for-each-city/", "Find Peak Calling Hours for Each City")</f>
        <v>Find Peak Calling Hours for Each City</v>
      </c>
      <c r="C2985" s="1">
        <v>11</v>
      </c>
      <c r="D2985" s="1">
        <v>5</v>
      </c>
      <c r="E2985" s="3">
        <f>IF(INDEX(C:C, ROW())+INDEX(D:D, ROW())=0, 0, INDEX(C:C, ROW())/(INDEX(C:C, ROW())+INDEX(D:D, ROW())))</f>
        <v>0.6875</v>
      </c>
      <c r="F2985" s="1" t="s">
        <v>297</v>
      </c>
      <c r="G2985" s="1" t="s">
        <v>24</v>
      </c>
      <c r="H2985" s="1">
        <v>3810</v>
      </c>
      <c r="I2985" s="1">
        <v>6209</v>
      </c>
      <c r="J2985" s="7">
        <v>0.61399999999999999</v>
      </c>
      <c r="K2985" s="1" t="s">
        <v>29</v>
      </c>
      <c r="L2985" s="1" t="s">
        <v>29</v>
      </c>
      <c r="M2985" s="1" t="s">
        <v>29</v>
      </c>
      <c r="N2985" s="1" t="s">
        <v>297</v>
      </c>
    </row>
    <row r="2986" spans="1:14" x14ac:dyDescent="0.25">
      <c r="A2986" s="1">
        <v>2985</v>
      </c>
      <c r="B2986" s="2" t="str">
        <f>HYPERLINK("https://leetcode.com/problems/calculate-compressed-mean/", "Calculate Compressed Mean")</f>
        <v>Calculate Compressed Mean</v>
      </c>
      <c r="C2986" s="1">
        <v>14</v>
      </c>
      <c r="D2986" s="1">
        <v>6</v>
      </c>
      <c r="E2986" s="3">
        <f>IF(INDEX(C:C, ROW())+INDEX(D:D, ROW())=0, 0, INDEX(C:C, ROW())/(INDEX(C:C, ROW())+INDEX(D:D, ROW())))</f>
        <v>0.7</v>
      </c>
      <c r="F2986" s="1" t="s">
        <v>297</v>
      </c>
      <c r="G2986" s="1" t="s">
        <v>20</v>
      </c>
      <c r="H2986" s="1">
        <v>5471</v>
      </c>
      <c r="I2986" s="1">
        <v>6358</v>
      </c>
      <c r="J2986" s="7">
        <v>0.86</v>
      </c>
      <c r="K2986" s="1" t="s">
        <v>29</v>
      </c>
      <c r="L2986" s="1" t="s">
        <v>29</v>
      </c>
      <c r="M2986" s="1" t="s">
        <v>29</v>
      </c>
      <c r="N2986" s="1" t="s">
        <v>297</v>
      </c>
    </row>
    <row r="2987" spans="1:14" x14ac:dyDescent="0.25">
      <c r="A2987" s="1">
        <v>2986</v>
      </c>
      <c r="B2987" s="2" t="str">
        <f>HYPERLINK("https://leetcode.com/problems/find-third-transaction/", "Find Third Transaction")</f>
        <v>Find Third Transaction</v>
      </c>
      <c r="C2987" s="1">
        <v>16</v>
      </c>
      <c r="D2987" s="1">
        <v>9</v>
      </c>
      <c r="E2987" s="3">
        <f>IF(INDEX(C:C, ROW())+INDEX(D:D, ROW())=0, 0, INDEX(C:C, ROW())/(INDEX(C:C, ROW())+INDEX(D:D, ROW())))</f>
        <v>0.64</v>
      </c>
      <c r="F2987" s="1" t="s">
        <v>297</v>
      </c>
      <c r="G2987" s="1" t="s">
        <v>24</v>
      </c>
      <c r="H2987" s="1">
        <v>4252</v>
      </c>
      <c r="I2987" s="1">
        <v>7928</v>
      </c>
      <c r="J2987" s="7">
        <v>0.53600000000000003</v>
      </c>
      <c r="K2987" s="1" t="s">
        <v>29</v>
      </c>
      <c r="L2987" s="1" t="s">
        <v>29</v>
      </c>
      <c r="M2987" s="1" t="s">
        <v>29</v>
      </c>
      <c r="N2987" s="1" t="s">
        <v>297</v>
      </c>
    </row>
    <row r="2988" spans="1:14" x14ac:dyDescent="0.25">
      <c r="A2988" s="1">
        <v>2987</v>
      </c>
      <c r="B2988" s="2" t="str">
        <f>HYPERLINK("https://leetcode.com/problems/find-expensive-cities/", "Find Expensive Cities")</f>
        <v>Find Expensive Cities</v>
      </c>
      <c r="C2988" s="1">
        <v>11</v>
      </c>
      <c r="D2988" s="1">
        <v>12</v>
      </c>
      <c r="E2988" s="3">
        <f>IF(INDEX(C:C, ROW())+INDEX(D:D, ROW())=0, 0, INDEX(C:C, ROW())/(INDEX(C:C, ROW())+INDEX(D:D, ROW())))</f>
        <v>0.47826086956521741</v>
      </c>
      <c r="F2988" s="1" t="s">
        <v>297</v>
      </c>
      <c r="G2988" s="1" t="s">
        <v>20</v>
      </c>
      <c r="H2988" s="1">
        <v>5623</v>
      </c>
      <c r="I2988" s="1">
        <v>7309</v>
      </c>
      <c r="J2988" s="7">
        <v>0.76900000000000002</v>
      </c>
      <c r="K2988" s="1" t="s">
        <v>29</v>
      </c>
      <c r="L2988" s="1" t="s">
        <v>29</v>
      </c>
      <c r="M2988" s="1" t="s">
        <v>29</v>
      </c>
      <c r="N2988" s="1" t="s">
        <v>297</v>
      </c>
    </row>
    <row r="2989" spans="1:14" x14ac:dyDescent="0.25">
      <c r="A2989" s="1">
        <v>2988</v>
      </c>
      <c r="B2989" s="2" t="str">
        <f>HYPERLINK("https://leetcode.com/problems/manager-of-the-largest-department/", "Manager of the Largest Department")</f>
        <v>Manager of the Largest Department</v>
      </c>
      <c r="C2989" s="1">
        <v>8</v>
      </c>
      <c r="D2989" s="1">
        <v>1</v>
      </c>
      <c r="E2989" s="3">
        <f>IF(INDEX(C:C, ROW())+INDEX(D:D, ROW())=0, 0, INDEX(C:C, ROW())/(INDEX(C:C, ROW())+INDEX(D:D, ROW())))</f>
        <v>0.88888888888888884</v>
      </c>
      <c r="F2989" s="1" t="s">
        <v>297</v>
      </c>
      <c r="G2989" s="1" t="s">
        <v>24</v>
      </c>
      <c r="H2989" s="1">
        <v>4471</v>
      </c>
      <c r="I2989" s="1">
        <v>5539</v>
      </c>
      <c r="J2989" s="7">
        <v>0.80700000000000005</v>
      </c>
      <c r="K2989" s="1" t="s">
        <v>29</v>
      </c>
      <c r="L2989" s="1" t="s">
        <v>29</v>
      </c>
      <c r="M2989" s="1" t="s">
        <v>29</v>
      </c>
      <c r="N2989" s="1" t="s">
        <v>297</v>
      </c>
    </row>
    <row r="2990" spans="1:14" x14ac:dyDescent="0.25">
      <c r="A2990" s="1">
        <v>2989</v>
      </c>
      <c r="B2990" s="2" t="str">
        <f>HYPERLINK("https://leetcode.com/problems/class-performance/", "Class Performance")</f>
        <v>Class Performance</v>
      </c>
      <c r="C2990" s="1">
        <v>14</v>
      </c>
      <c r="D2990" s="1">
        <v>3</v>
      </c>
      <c r="E2990" s="3">
        <f>IF(INDEX(C:C, ROW())+INDEX(D:D, ROW())=0, 0, INDEX(C:C, ROW())/(INDEX(C:C, ROW())+INDEX(D:D, ROW())))</f>
        <v>0.82352941176470584</v>
      </c>
      <c r="F2990" s="1" t="s">
        <v>297</v>
      </c>
      <c r="G2990" s="1" t="s">
        <v>24</v>
      </c>
      <c r="H2990" s="1">
        <v>5745</v>
      </c>
      <c r="I2990" s="1">
        <v>6460</v>
      </c>
      <c r="J2990" s="7">
        <v>0.88900000000000001</v>
      </c>
      <c r="K2990" s="1" t="s">
        <v>29</v>
      </c>
      <c r="L2990" s="1" t="s">
        <v>29</v>
      </c>
      <c r="M2990" s="1" t="s">
        <v>29</v>
      </c>
      <c r="N2990" s="1" t="s">
        <v>297</v>
      </c>
    </row>
    <row r="2991" spans="1:14" x14ac:dyDescent="0.25">
      <c r="A2991" s="1">
        <v>2990</v>
      </c>
      <c r="B2991" s="2" t="str">
        <f>HYPERLINK("https://leetcode.com/problems/loan-types/", "Loan Types")</f>
        <v>Loan Types</v>
      </c>
      <c r="C2991" s="1">
        <v>19</v>
      </c>
      <c r="D2991" s="1">
        <v>8</v>
      </c>
      <c r="E2991" s="3">
        <f>IF(INDEX(C:C, ROW())+INDEX(D:D, ROW())=0, 0, INDEX(C:C, ROW())/(INDEX(C:C, ROW())+INDEX(D:D, ROW())))</f>
        <v>0.70370370370370372</v>
      </c>
      <c r="F2991" s="1" t="s">
        <v>297</v>
      </c>
      <c r="G2991" s="1" t="s">
        <v>20</v>
      </c>
      <c r="H2991" s="1">
        <v>5986</v>
      </c>
      <c r="I2991" s="1">
        <v>9376</v>
      </c>
      <c r="J2991" s="7">
        <v>0.63800000000000001</v>
      </c>
      <c r="K2991" s="1" t="s">
        <v>29</v>
      </c>
      <c r="L2991" s="1" t="s">
        <v>29</v>
      </c>
      <c r="M2991" s="1" t="s">
        <v>29</v>
      </c>
      <c r="N2991" s="1" t="s">
        <v>297</v>
      </c>
    </row>
    <row r="2992" spans="1:14" x14ac:dyDescent="0.25">
      <c r="A2992" s="1">
        <v>2991</v>
      </c>
      <c r="B2992" s="2" t="str">
        <f>HYPERLINK("https://leetcode.com/problems/top-three-wineries/", "Top Three Wineries ")</f>
        <v xml:space="preserve">Top Three Wineries </v>
      </c>
      <c r="C2992" s="1">
        <v>14</v>
      </c>
      <c r="D2992" s="1">
        <v>7</v>
      </c>
      <c r="E2992" s="3">
        <f>IF(INDEX(C:C, ROW())+INDEX(D:D, ROW())=0, 0, INDEX(C:C, ROW())/(INDEX(C:C, ROW())+INDEX(D:D, ROW())))</f>
        <v>0.66666666666666663</v>
      </c>
      <c r="F2992" s="1" t="s">
        <v>297</v>
      </c>
      <c r="G2992" s="1" t="s">
        <v>28</v>
      </c>
      <c r="H2992" s="1">
        <v>3504</v>
      </c>
      <c r="I2992" s="1">
        <v>6537</v>
      </c>
      <c r="J2992" s="7">
        <v>0.53600000000000003</v>
      </c>
      <c r="K2992" s="1" t="s">
        <v>29</v>
      </c>
      <c r="L2992" s="1" t="s">
        <v>29</v>
      </c>
      <c r="M2992" s="1" t="s">
        <v>29</v>
      </c>
      <c r="N2992" s="1" t="s">
        <v>297</v>
      </c>
    </row>
    <row r="2993" spans="1:14" x14ac:dyDescent="0.25">
      <c r="A2993" s="1">
        <v>2992</v>
      </c>
      <c r="B2993" s="2" t="str">
        <f>HYPERLINK("https://leetcode.com/problems/number-of-self-divisible-permutations/", "Number of Self-Divisible Permutations")</f>
        <v>Number of Self-Divisible Permutations</v>
      </c>
      <c r="C2993" s="1">
        <v>22</v>
      </c>
      <c r="D2993" s="1">
        <v>0</v>
      </c>
      <c r="E2993" s="3">
        <f>IF(INDEX(C:C, ROW())+INDEX(D:D, ROW())=0, 0, INDEX(C:C, ROW())/(INDEX(C:C, ROW())+INDEX(D:D, ROW())))</f>
        <v>1</v>
      </c>
      <c r="F2993" s="1" t="s">
        <v>546</v>
      </c>
      <c r="G2993" s="1" t="s">
        <v>24</v>
      </c>
      <c r="H2993" s="1">
        <v>2191</v>
      </c>
      <c r="I2993" s="1">
        <v>3059</v>
      </c>
      <c r="J2993" s="7">
        <v>0.71599999999999997</v>
      </c>
      <c r="K2993" s="1" t="s">
        <v>29</v>
      </c>
      <c r="L2993" s="1" t="s">
        <v>29</v>
      </c>
      <c r="M2993" s="1" t="s">
        <v>29</v>
      </c>
      <c r="N2993" s="1" t="s">
        <v>22</v>
      </c>
    </row>
    <row r="2994" spans="1:14" x14ac:dyDescent="0.25">
      <c r="A2994" s="1">
        <v>2993</v>
      </c>
      <c r="B2994" s="2" t="str">
        <f>HYPERLINK("https://leetcode.com/problems/friday-purchases-i/", "Friday Purchases I")</f>
        <v>Friday Purchases I</v>
      </c>
      <c r="C2994" s="1">
        <v>15</v>
      </c>
      <c r="D2994" s="1">
        <v>4</v>
      </c>
      <c r="E2994" s="3">
        <f>IF(INDEX(C:C, ROW())+INDEX(D:D, ROW())=0, 0, INDEX(C:C, ROW())/(INDEX(C:C, ROW())+INDEX(D:D, ROW())))</f>
        <v>0.78947368421052633</v>
      </c>
      <c r="F2994" s="1" t="s">
        <v>297</v>
      </c>
      <c r="G2994" s="1" t="s">
        <v>24</v>
      </c>
      <c r="H2994" s="1">
        <v>4046</v>
      </c>
      <c r="I2994" s="1">
        <v>5022</v>
      </c>
      <c r="J2994" s="7">
        <v>0.80600000000000005</v>
      </c>
      <c r="K2994" s="1" t="s">
        <v>29</v>
      </c>
      <c r="L2994" s="1" t="s">
        <v>29</v>
      </c>
      <c r="M2994" s="1" t="s">
        <v>29</v>
      </c>
      <c r="N2994" s="1" t="s">
        <v>297</v>
      </c>
    </row>
    <row r="2995" spans="1:14" x14ac:dyDescent="0.25">
      <c r="A2995" s="1">
        <v>2994</v>
      </c>
      <c r="B2995" s="2" t="str">
        <f>HYPERLINK("https://leetcode.com/problems/friday-purchases-ii/", "Friday Purchases II ")</f>
        <v xml:space="preserve">Friday Purchases II </v>
      </c>
      <c r="C2995" s="1">
        <v>13</v>
      </c>
      <c r="D2995" s="1">
        <v>4</v>
      </c>
      <c r="E2995" s="3">
        <f>IF(INDEX(C:C, ROW())+INDEX(D:D, ROW())=0, 0, INDEX(C:C, ROW())/(INDEX(C:C, ROW())+INDEX(D:D, ROW())))</f>
        <v>0.76470588235294112</v>
      </c>
      <c r="F2995" s="1" t="s">
        <v>297</v>
      </c>
      <c r="G2995" s="1" t="s">
        <v>28</v>
      </c>
      <c r="H2995" s="1">
        <v>2547</v>
      </c>
      <c r="I2995" s="1">
        <v>3448</v>
      </c>
      <c r="J2995" s="7">
        <v>0.73899999999999999</v>
      </c>
      <c r="K2995" s="1" t="s">
        <v>29</v>
      </c>
      <c r="L2995" s="1" t="s">
        <v>29</v>
      </c>
      <c r="M2995" s="1" t="s">
        <v>29</v>
      </c>
      <c r="N2995" s="1" t="s">
        <v>297</v>
      </c>
    </row>
    <row r="2996" spans="1:14" x14ac:dyDescent="0.25">
      <c r="A2996" s="1">
        <v>2995</v>
      </c>
      <c r="B2996" s="2" t="str">
        <f>HYPERLINK("https://leetcode.com/problems/viewers-turned-streamers/", "Viewers Turned Streamers")</f>
        <v>Viewers Turned Streamers</v>
      </c>
      <c r="C2996" s="1">
        <v>10</v>
      </c>
      <c r="D2996" s="1">
        <v>6</v>
      </c>
      <c r="E2996" s="3">
        <f>IF(INDEX(C:C, ROW())+INDEX(D:D, ROW())=0, 0, INDEX(C:C, ROW())/(INDEX(C:C, ROW())+INDEX(D:D, ROW())))</f>
        <v>0.625</v>
      </c>
      <c r="F2996" s="1" t="s">
        <v>297</v>
      </c>
      <c r="G2996" s="1" t="s">
        <v>28</v>
      </c>
      <c r="H2996" s="1">
        <v>4220</v>
      </c>
      <c r="I2996" s="1">
        <v>9879</v>
      </c>
      <c r="J2996" s="7">
        <v>0.42699999999999999</v>
      </c>
      <c r="K2996" s="1" t="s">
        <v>29</v>
      </c>
      <c r="L2996" s="1" t="s">
        <v>29</v>
      </c>
      <c r="M2996" s="1" t="s">
        <v>29</v>
      </c>
      <c r="N2996" s="1" t="s">
        <v>297</v>
      </c>
    </row>
    <row r="2997" spans="1:14" x14ac:dyDescent="0.25">
      <c r="A2997" s="1">
        <v>2996</v>
      </c>
      <c r="B2997" s="2" t="str">
        <f>HYPERLINK("https://leetcode.com/problems/smallest-missing-integer-greater-than-sequential-prefix-sum/", "Smallest Missing Integer Greater Than Sequential Prefix Sum")</f>
        <v>Smallest Missing Integer Greater Than Sequential Prefix Sum</v>
      </c>
      <c r="C2997" s="1">
        <v>174</v>
      </c>
      <c r="D2997" s="1">
        <v>309</v>
      </c>
      <c r="E2997" s="3">
        <f>IF(INDEX(C:C, ROW())+INDEX(D:D, ROW())=0, 0, INDEX(C:C, ROW())/(INDEX(C:C, ROW())+INDEX(D:D, ROW())))</f>
        <v>0.36024844720496896</v>
      </c>
      <c r="F2997" s="1" t="s">
        <v>92</v>
      </c>
      <c r="G2997" s="1" t="s">
        <v>20</v>
      </c>
      <c r="H2997" s="1">
        <v>49396</v>
      </c>
      <c r="I2997" s="1">
        <v>140721</v>
      </c>
      <c r="J2997" s="7">
        <v>0.35099999999999998</v>
      </c>
      <c r="K2997" s="1" t="s">
        <v>21</v>
      </c>
      <c r="L2997" s="1" t="s">
        <v>29</v>
      </c>
      <c r="M2997" s="1" t="s">
        <v>29</v>
      </c>
      <c r="N2997" s="1" t="s">
        <v>22</v>
      </c>
    </row>
    <row r="2998" spans="1:14" x14ac:dyDescent="0.25">
      <c r="A2998" s="1">
        <v>2997</v>
      </c>
      <c r="B2998" s="2" t="str">
        <f>HYPERLINK("https://leetcode.com/problems/minimum-number-of-operations-to-make-array-xor-equal-to-k/", "Minimum Number of Operations to Make Array XOR Equal to K")</f>
        <v>Minimum Number of Operations to Make Array XOR Equal to K</v>
      </c>
      <c r="C2998" s="1">
        <v>620</v>
      </c>
      <c r="D2998" s="1">
        <v>61</v>
      </c>
      <c r="E2998" s="3">
        <f>IF(INDEX(C:C, ROW())+INDEX(D:D, ROW())=0, 0, INDEX(C:C, ROW())/(INDEX(C:C, ROW())+INDEX(D:D, ROW())))</f>
        <v>0.91042584434654916</v>
      </c>
      <c r="F2998" s="1" t="s">
        <v>65</v>
      </c>
      <c r="G2998" s="1" t="s">
        <v>24</v>
      </c>
      <c r="H2998" s="1">
        <v>122852</v>
      </c>
      <c r="I2998" s="1">
        <v>143730</v>
      </c>
      <c r="J2998" s="7">
        <v>0.85499999999999998</v>
      </c>
      <c r="K2998" s="1" t="s">
        <v>21</v>
      </c>
      <c r="L2998" s="1" t="s">
        <v>21</v>
      </c>
      <c r="M2998" s="1" t="s">
        <v>29</v>
      </c>
      <c r="N2998" s="1" t="s">
        <v>22</v>
      </c>
    </row>
    <row r="2999" spans="1:14" x14ac:dyDescent="0.25">
      <c r="A2999" s="1">
        <v>2998</v>
      </c>
      <c r="B2999" s="2" t="str">
        <f>HYPERLINK("https://leetcode.com/problems/minimum-number-of-operations-to-make-x-and-y-equal/", "Minimum Number of Operations to Make X and Y Equal")</f>
        <v>Minimum Number of Operations to Make X and Y Equal</v>
      </c>
      <c r="C2999" s="1">
        <v>286</v>
      </c>
      <c r="D2999" s="1">
        <v>23</v>
      </c>
      <c r="E2999" s="3">
        <f>IF(INDEX(C:C, ROW())+INDEX(D:D, ROW())=0, 0, INDEX(C:C, ROW())/(INDEX(C:C, ROW())+INDEX(D:D, ROW())))</f>
        <v>0.92556634304207119</v>
      </c>
      <c r="F2999" s="1" t="s">
        <v>1050</v>
      </c>
      <c r="G2999" s="1" t="s">
        <v>24</v>
      </c>
      <c r="H2999" s="1">
        <v>27885</v>
      </c>
      <c r="I2999" s="1">
        <v>57577</v>
      </c>
      <c r="J2999" s="7">
        <v>0.48399999999999999</v>
      </c>
      <c r="K2999" s="1" t="s">
        <v>21</v>
      </c>
      <c r="L2999" s="1" t="s">
        <v>29</v>
      </c>
      <c r="M2999" s="1" t="s">
        <v>29</v>
      </c>
      <c r="N2999" s="1" t="s">
        <v>22</v>
      </c>
    </row>
    <row r="3000" spans="1:14" x14ac:dyDescent="0.25">
      <c r="A3000" s="1">
        <v>2999</v>
      </c>
      <c r="B3000" s="2" t="str">
        <f>HYPERLINK("https://leetcode.com/problems/count-the-number-of-powerful-integers/", "Count the Number of Powerful Integers")</f>
        <v>Count the Number of Powerful Integers</v>
      </c>
      <c r="C3000" s="1">
        <v>554</v>
      </c>
      <c r="D3000" s="1">
        <v>78</v>
      </c>
      <c r="E3000" s="3">
        <f>IF(INDEX(C:C, ROW())+INDEX(D:D, ROW())=0, 0, INDEX(C:C, ROW())/(INDEX(C:C, ROW())+INDEX(D:D, ROW())))</f>
        <v>0.87658227848101267</v>
      </c>
      <c r="F3000" s="1" t="s">
        <v>627</v>
      </c>
      <c r="G3000" s="1" t="s">
        <v>28</v>
      </c>
      <c r="H3000" s="1">
        <v>77519</v>
      </c>
      <c r="I3000" s="1">
        <v>167320</v>
      </c>
      <c r="J3000" s="7">
        <v>0.46300000000000002</v>
      </c>
      <c r="K3000" s="1" t="s">
        <v>21</v>
      </c>
      <c r="L3000" s="1" t="s">
        <v>21</v>
      </c>
      <c r="M3000" s="1" t="s">
        <v>29</v>
      </c>
      <c r="N3000" s="1" t="s">
        <v>22</v>
      </c>
    </row>
    <row r="3001" spans="1:14" x14ac:dyDescent="0.25">
      <c r="A3001" s="1">
        <v>3000</v>
      </c>
      <c r="B3001" s="2" t="str">
        <f>HYPERLINK("https://leetcode.com/problems/maximum-area-of-longest-diagonal-rectangle/", "Maximum Area of Longest Diagonal Rectangle")</f>
        <v>Maximum Area of Longest Diagonal Rectangle</v>
      </c>
      <c r="C3001" s="1">
        <v>498</v>
      </c>
      <c r="D3001" s="1">
        <v>42</v>
      </c>
      <c r="E3001" s="3">
        <f>IF(INDEX(C:C, ROW())+INDEX(D:D, ROW())=0, 0, INDEX(C:C, ROW())/(INDEX(C:C, ROW())+INDEX(D:D, ROW())))</f>
        <v>0.92222222222222228</v>
      </c>
      <c r="F3001" s="1" t="s">
        <v>113</v>
      </c>
      <c r="G3001" s="1" t="s">
        <v>20</v>
      </c>
      <c r="H3001" s="1">
        <v>185462</v>
      </c>
      <c r="I3001" s="1">
        <v>404285</v>
      </c>
      <c r="J3001" s="7">
        <v>0.45900000000000002</v>
      </c>
      <c r="K3001" s="1" t="s">
        <v>21</v>
      </c>
      <c r="L3001" s="1" t="s">
        <v>21</v>
      </c>
      <c r="M3001" s="1" t="s">
        <v>29</v>
      </c>
      <c r="N3001" s="1" t="s">
        <v>22</v>
      </c>
    </row>
    <row r="3002" spans="1:14" x14ac:dyDescent="0.25">
      <c r="A3002" s="1">
        <v>3001</v>
      </c>
      <c r="B3002" s="2" t="str">
        <f>HYPERLINK("https://leetcode.com/problems/minimum-moves-to-capture-the-queen/", "Minimum Moves to Capture The Queen")</f>
        <v>Minimum Moves to Capture The Queen</v>
      </c>
      <c r="C3002" s="1">
        <v>183</v>
      </c>
      <c r="D3002" s="1">
        <v>209</v>
      </c>
      <c r="E3002" s="3">
        <f>IF(INDEX(C:C, ROW())+INDEX(D:D, ROW())=0, 0, INDEX(C:C, ROW())/(INDEX(C:C, ROW())+INDEX(D:D, ROW())))</f>
        <v>0.46683673469387754</v>
      </c>
      <c r="F3002" s="1" t="s">
        <v>602</v>
      </c>
      <c r="G3002" s="1" t="s">
        <v>24</v>
      </c>
      <c r="H3002" s="1">
        <v>22522</v>
      </c>
      <c r="I3002" s="1">
        <v>101177</v>
      </c>
      <c r="J3002" s="7">
        <v>0.223</v>
      </c>
      <c r="K3002" s="1" t="s">
        <v>21</v>
      </c>
      <c r="L3002" s="1" t="s">
        <v>29</v>
      </c>
      <c r="M3002" s="1" t="s">
        <v>29</v>
      </c>
      <c r="N3002" s="1" t="s">
        <v>22</v>
      </c>
    </row>
    <row r="3003" spans="1:14" x14ac:dyDescent="0.25">
      <c r="A3003" s="1">
        <v>3002</v>
      </c>
      <c r="B3003" s="2" t="str">
        <f>HYPERLINK("https://leetcode.com/problems/maximum-size-of-a-set-after-removals/", "Maximum Size of a Set After Removals")</f>
        <v>Maximum Size of a Set After Removals</v>
      </c>
      <c r="C3003" s="1">
        <v>323</v>
      </c>
      <c r="D3003" s="1">
        <v>30</v>
      </c>
      <c r="E3003" s="3">
        <f>IF(INDEX(C:C, ROW())+INDEX(D:D, ROW())=0, 0, INDEX(C:C, ROW())/(INDEX(C:C, ROW())+INDEX(D:D, ROW())))</f>
        <v>0.91501416430594906</v>
      </c>
      <c r="F3003" s="1" t="s">
        <v>368</v>
      </c>
      <c r="G3003" s="1" t="s">
        <v>24</v>
      </c>
      <c r="H3003" s="1">
        <v>20079</v>
      </c>
      <c r="I3003" s="1">
        <v>43606</v>
      </c>
      <c r="J3003" s="7">
        <v>0.46</v>
      </c>
      <c r="K3003" s="1" t="s">
        <v>21</v>
      </c>
      <c r="L3003" s="1" t="s">
        <v>29</v>
      </c>
      <c r="M3003" s="1" t="s">
        <v>29</v>
      </c>
      <c r="N3003" s="1" t="s">
        <v>22</v>
      </c>
    </row>
    <row r="3004" spans="1:14" x14ac:dyDescent="0.25">
      <c r="A3004" s="1">
        <v>3003</v>
      </c>
      <c r="B3004" s="2" t="str">
        <f>HYPERLINK("https://leetcode.com/problems/maximize-the-number-of-partitions-after-operations/", "Maximize the Number of Partitions After Operations")</f>
        <v>Maximize the Number of Partitions After Operations</v>
      </c>
      <c r="C3004" s="1">
        <v>434</v>
      </c>
      <c r="D3004" s="1">
        <v>88</v>
      </c>
      <c r="E3004" s="3">
        <f>IF(INDEX(C:C, ROW())+INDEX(D:D, ROW())=0, 0, INDEX(C:C, ROW())/(INDEX(C:C, ROW())+INDEX(D:D, ROW())))</f>
        <v>0.83141762452107282</v>
      </c>
      <c r="F3004" s="1" t="s">
        <v>958</v>
      </c>
      <c r="G3004" s="1" t="s">
        <v>28</v>
      </c>
      <c r="H3004" s="1">
        <v>54343</v>
      </c>
      <c r="I3004" s="1">
        <v>101351</v>
      </c>
      <c r="J3004" s="7">
        <v>0.53600000000000003</v>
      </c>
      <c r="K3004" s="1" t="s">
        <v>21</v>
      </c>
      <c r="L3004" s="1" t="s">
        <v>21</v>
      </c>
      <c r="M3004" s="1" t="s">
        <v>29</v>
      </c>
      <c r="N3004" s="1" t="s">
        <v>22</v>
      </c>
    </row>
    <row r="3005" spans="1:14" x14ac:dyDescent="0.25">
      <c r="A3005" s="1">
        <v>3004</v>
      </c>
      <c r="B3005" s="2" t="str">
        <f>HYPERLINK("https://leetcode.com/problems/maximum-subtree-of-the-same-color/", "Maximum Subtree of the Same Color")</f>
        <v>Maximum Subtree of the Same Color</v>
      </c>
      <c r="C3005" s="1">
        <v>25</v>
      </c>
      <c r="D3005" s="1">
        <v>0</v>
      </c>
      <c r="E3005" s="3">
        <f>IF(INDEX(C:C, ROW())+INDEX(D:D, ROW())=0, 0, INDEX(C:C, ROW())/(INDEX(C:C, ROW())+INDEX(D:D, ROW())))</f>
        <v>1</v>
      </c>
      <c r="F3005" s="1" t="s">
        <v>939</v>
      </c>
      <c r="G3005" s="1" t="s">
        <v>24</v>
      </c>
      <c r="H3005" s="1">
        <v>2367</v>
      </c>
      <c r="I3005" s="1">
        <v>4061</v>
      </c>
      <c r="J3005" s="7">
        <v>0.58299999999999996</v>
      </c>
      <c r="K3005" s="1" t="s">
        <v>29</v>
      </c>
      <c r="L3005" s="1" t="s">
        <v>29</v>
      </c>
      <c r="M3005" s="1" t="s">
        <v>29</v>
      </c>
      <c r="N3005" s="1" t="s">
        <v>22</v>
      </c>
    </row>
    <row r="3006" spans="1:14" x14ac:dyDescent="0.25">
      <c r="A3006" s="1">
        <v>3005</v>
      </c>
      <c r="B3006" s="2" t="str">
        <f>HYPERLINK("https://leetcode.com/problems/count-elements-with-maximum-frequency/", "Count Elements With Maximum Frequency")</f>
        <v>Count Elements With Maximum Frequency</v>
      </c>
      <c r="C3006" s="1">
        <v>1078</v>
      </c>
      <c r="D3006" s="1">
        <v>96</v>
      </c>
      <c r="E3006" s="3">
        <f>IF(INDEX(C:C, ROW())+INDEX(D:D, ROW())=0, 0, INDEX(C:C, ROW())/(INDEX(C:C, ROW())+INDEX(D:D, ROW())))</f>
        <v>0.91822827938671214</v>
      </c>
      <c r="F3006" s="1" t="s">
        <v>294</v>
      </c>
      <c r="G3006" s="1" t="s">
        <v>20</v>
      </c>
      <c r="H3006" s="1">
        <v>415758</v>
      </c>
      <c r="I3006" s="1">
        <v>520723</v>
      </c>
      <c r="J3006" s="7">
        <v>0.79800000000000004</v>
      </c>
      <c r="K3006" s="1" t="s">
        <v>21</v>
      </c>
      <c r="L3006" s="1" t="s">
        <v>21</v>
      </c>
      <c r="M3006" s="1" t="s">
        <v>29</v>
      </c>
      <c r="N3006" s="1" t="s">
        <v>22</v>
      </c>
    </row>
    <row r="3007" spans="1:14" x14ac:dyDescent="0.25">
      <c r="A3007" s="1">
        <v>3006</v>
      </c>
      <c r="B3007" s="2" t="str">
        <f>HYPERLINK("https://leetcode.com/problems/find-beautiful-indices-in-the-given-array-i/", "Find Beautiful Indices in the Given Array I")</f>
        <v>Find Beautiful Indices in the Given Array I</v>
      </c>
      <c r="C3007" s="1">
        <v>203</v>
      </c>
      <c r="D3007" s="1">
        <v>48</v>
      </c>
      <c r="E3007" s="3">
        <f>IF(INDEX(C:C, ROW())+INDEX(D:D, ROW())=0, 0, INDEX(C:C, ROW())/(INDEX(C:C, ROW())+INDEX(D:D, ROW())))</f>
        <v>0.80876494023904377</v>
      </c>
      <c r="F3007" s="1" t="s">
        <v>1090</v>
      </c>
      <c r="G3007" s="1" t="s">
        <v>24</v>
      </c>
      <c r="H3007" s="1">
        <v>46583</v>
      </c>
      <c r="I3007" s="1">
        <v>114998</v>
      </c>
      <c r="J3007" s="7">
        <v>0.40500000000000003</v>
      </c>
      <c r="K3007" s="1" t="s">
        <v>21</v>
      </c>
      <c r="L3007" s="1" t="s">
        <v>29</v>
      </c>
      <c r="M3007" s="1" t="s">
        <v>29</v>
      </c>
      <c r="N3007" s="1" t="s">
        <v>22</v>
      </c>
    </row>
    <row r="3008" spans="1:14" x14ac:dyDescent="0.25">
      <c r="A3008" s="1">
        <v>3007</v>
      </c>
      <c r="B3008" s="2" t="str">
        <f>HYPERLINK("https://leetcode.com/problems/maximum-number-that-sum-of-the-prices-is-less-than-or-equal-to-k/", "Maximum Number That Sum of the Prices Is Less Than or Equal to K")</f>
        <v>Maximum Number That Sum of the Prices Is Less Than or Equal to K</v>
      </c>
      <c r="C3008" s="1">
        <v>342</v>
      </c>
      <c r="D3008" s="1">
        <v>131</v>
      </c>
      <c r="E3008" s="3">
        <f>IF(INDEX(C:C, ROW())+INDEX(D:D, ROW())=0, 0, INDEX(C:C, ROW())/(INDEX(C:C, ROW())+INDEX(D:D, ROW())))</f>
        <v>0.72304439746300209</v>
      </c>
      <c r="F3008" s="1" t="s">
        <v>1023</v>
      </c>
      <c r="G3008" s="1" t="s">
        <v>24</v>
      </c>
      <c r="H3008" s="1">
        <v>12706</v>
      </c>
      <c r="I3008" s="1">
        <v>33063</v>
      </c>
      <c r="J3008" s="7">
        <v>0.38400000000000001</v>
      </c>
      <c r="K3008" s="1" t="s">
        <v>21</v>
      </c>
      <c r="L3008" s="1" t="s">
        <v>29</v>
      </c>
      <c r="M3008" s="1" t="s">
        <v>29</v>
      </c>
      <c r="N3008" s="1" t="s">
        <v>22</v>
      </c>
    </row>
    <row r="3009" spans="1:14" x14ac:dyDescent="0.25">
      <c r="A3009" s="1">
        <v>3008</v>
      </c>
      <c r="B3009" s="2" t="str">
        <f>HYPERLINK("https://leetcode.com/problems/find-beautiful-indices-in-the-given-array-ii/", "Find Beautiful Indices in the Given Array II")</f>
        <v>Find Beautiful Indices in the Given Array II</v>
      </c>
      <c r="C3009" s="1">
        <v>208</v>
      </c>
      <c r="D3009" s="1">
        <v>16</v>
      </c>
      <c r="E3009" s="3">
        <f>IF(INDEX(C:C, ROW())+INDEX(D:D, ROW())=0, 0, INDEX(C:C, ROW())/(INDEX(C:C, ROW())+INDEX(D:D, ROW())))</f>
        <v>0.9285714285714286</v>
      </c>
      <c r="F3009" s="1" t="s">
        <v>1090</v>
      </c>
      <c r="G3009" s="1" t="s">
        <v>28</v>
      </c>
      <c r="H3009" s="1">
        <v>17052</v>
      </c>
      <c r="I3009" s="1">
        <v>61834</v>
      </c>
      <c r="J3009" s="7">
        <v>0.27600000000000002</v>
      </c>
      <c r="K3009" s="1" t="s">
        <v>21</v>
      </c>
      <c r="L3009" s="1" t="s">
        <v>29</v>
      </c>
      <c r="M3009" s="1" t="s">
        <v>29</v>
      </c>
      <c r="N3009" s="1" t="s">
        <v>22</v>
      </c>
    </row>
    <row r="3010" spans="1:14" x14ac:dyDescent="0.25">
      <c r="A3010" s="1">
        <v>3009</v>
      </c>
      <c r="B3010" s="2" t="str">
        <f>HYPERLINK("https://leetcode.com/problems/maximum-number-of-intersections-on-the-chart/", "Maximum Number of Intersections on the Chart")</f>
        <v>Maximum Number of Intersections on the Chart</v>
      </c>
      <c r="C3010" s="1">
        <v>29</v>
      </c>
      <c r="D3010" s="1">
        <v>4</v>
      </c>
      <c r="E3010" s="3">
        <f>IF(INDEX(C:C, ROW())+INDEX(D:D, ROW())=0, 0, INDEX(C:C, ROW())/(INDEX(C:C, ROW())+INDEX(D:D, ROW())))</f>
        <v>0.87878787878787878</v>
      </c>
      <c r="F3010" s="1" t="s">
        <v>1306</v>
      </c>
      <c r="G3010" s="1" t="s">
        <v>28</v>
      </c>
      <c r="H3010" s="1">
        <v>4341</v>
      </c>
      <c r="I3010" s="1">
        <v>9626</v>
      </c>
      <c r="J3010" s="7">
        <v>0.45100000000000001</v>
      </c>
      <c r="K3010" s="1" t="s">
        <v>29</v>
      </c>
      <c r="L3010" s="1" t="s">
        <v>29</v>
      </c>
      <c r="M3010" s="1" t="s">
        <v>29</v>
      </c>
      <c r="N3010" s="1" t="s">
        <v>22</v>
      </c>
    </row>
    <row r="3011" spans="1:14" x14ac:dyDescent="0.25">
      <c r="A3011" s="1">
        <v>3010</v>
      </c>
      <c r="B3011" s="2" t="str">
        <f>HYPERLINK("https://leetcode.com/problems/divide-an-array-into-subarrays-with-minimum-cost-i/", "Divide an Array Into Subarrays With Minimum Cost I")</f>
        <v>Divide an Array Into Subarrays With Minimum Cost I</v>
      </c>
      <c r="C3011" s="1">
        <v>516</v>
      </c>
      <c r="D3011" s="1">
        <v>26</v>
      </c>
      <c r="E3011" s="3">
        <f>IF(INDEX(C:C, ROW())+INDEX(D:D, ROW())=0, 0, INDEX(C:C, ROW())/(INDEX(C:C, ROW())+INDEX(D:D, ROW())))</f>
        <v>0.95202952029520294</v>
      </c>
      <c r="F3011" s="1" t="s">
        <v>913</v>
      </c>
      <c r="G3011" s="1" t="s">
        <v>20</v>
      </c>
      <c r="H3011" s="1">
        <v>180947</v>
      </c>
      <c r="I3011" s="1">
        <v>224847</v>
      </c>
      <c r="J3011" s="7">
        <v>0.80500000000000005</v>
      </c>
      <c r="K3011" s="1" t="s">
        <v>21</v>
      </c>
      <c r="L3011" s="1" t="s">
        <v>21</v>
      </c>
      <c r="M3011" s="1" t="s">
        <v>29</v>
      </c>
      <c r="N3011" s="1" t="s">
        <v>22</v>
      </c>
    </row>
    <row r="3012" spans="1:14" x14ac:dyDescent="0.25">
      <c r="A3012" s="1">
        <v>3011</v>
      </c>
      <c r="B3012" s="2" t="str">
        <f>HYPERLINK("https://leetcode.com/problems/find-if-array-can-be-sorted/", "Find if Array Can Be Sorted")</f>
        <v>Find if Array Can Be Sorted</v>
      </c>
      <c r="C3012" s="1">
        <v>704</v>
      </c>
      <c r="D3012" s="1">
        <v>62</v>
      </c>
      <c r="E3012" s="3">
        <f>IF(INDEX(C:C, ROW())+INDEX(D:D, ROW())=0, 0, INDEX(C:C, ROW())/(INDEX(C:C, ROW())+INDEX(D:D, ROW())))</f>
        <v>0.91906005221932119</v>
      </c>
      <c r="F3012" s="1" t="s">
        <v>802</v>
      </c>
      <c r="G3012" s="1" t="s">
        <v>24</v>
      </c>
      <c r="H3012" s="1">
        <v>149035</v>
      </c>
      <c r="I3012" s="1">
        <v>224268</v>
      </c>
      <c r="J3012" s="7">
        <v>0.66500000000000004</v>
      </c>
      <c r="K3012" s="1" t="s">
        <v>21</v>
      </c>
      <c r="L3012" s="1" t="s">
        <v>21</v>
      </c>
      <c r="M3012" s="1" t="s">
        <v>29</v>
      </c>
      <c r="N3012" s="1" t="s">
        <v>22</v>
      </c>
    </row>
    <row r="3013" spans="1:14" x14ac:dyDescent="0.25">
      <c r="A3013" s="1">
        <v>3012</v>
      </c>
      <c r="B3013" s="2" t="str">
        <f>HYPERLINK("https://leetcode.com/problems/minimize-length-of-array-using-operations/", "Minimize Length of Array Using Operations")</f>
        <v>Minimize Length of Array Using Operations</v>
      </c>
      <c r="C3013" s="1">
        <v>197</v>
      </c>
      <c r="D3013" s="1">
        <v>43</v>
      </c>
      <c r="E3013" s="3">
        <f>IF(INDEX(C:C, ROW())+INDEX(D:D, ROW())=0, 0, INDEX(C:C, ROW())/(INDEX(C:C, ROW())+INDEX(D:D, ROW())))</f>
        <v>0.8208333333333333</v>
      </c>
      <c r="F3013" s="1" t="s">
        <v>1099</v>
      </c>
      <c r="G3013" s="1" t="s">
        <v>24</v>
      </c>
      <c r="H3013" s="1">
        <v>17364</v>
      </c>
      <c r="I3013" s="1">
        <v>48666</v>
      </c>
      <c r="J3013" s="7">
        <v>0.35699999999999998</v>
      </c>
      <c r="K3013" s="1" t="s">
        <v>21</v>
      </c>
      <c r="L3013" s="1" t="s">
        <v>29</v>
      </c>
      <c r="M3013" s="1" t="s">
        <v>29</v>
      </c>
      <c r="N3013" s="1" t="s">
        <v>22</v>
      </c>
    </row>
    <row r="3014" spans="1:14" x14ac:dyDescent="0.25">
      <c r="A3014" s="1">
        <v>3013</v>
      </c>
      <c r="B3014" s="2" t="str">
        <f>HYPERLINK("https://leetcode.com/problems/divide-an-array-into-subarrays-with-minimum-cost-ii/", "Divide an Array Into Subarrays With Minimum Cost II")</f>
        <v>Divide an Array Into Subarrays With Minimum Cost II</v>
      </c>
      <c r="C3014" s="1">
        <v>541</v>
      </c>
      <c r="D3014" s="1">
        <v>63</v>
      </c>
      <c r="E3014" s="3">
        <f>IF(INDEX(C:C, ROW())+INDEX(D:D, ROW())=0, 0, INDEX(C:C, ROW())/(INDEX(C:C, ROW())+INDEX(D:D, ROW())))</f>
        <v>0.89569536423841056</v>
      </c>
      <c r="F3014" s="1" t="s">
        <v>344</v>
      </c>
      <c r="G3014" s="1" t="s">
        <v>28</v>
      </c>
      <c r="H3014" s="1">
        <v>72536</v>
      </c>
      <c r="I3014" s="1">
        <v>132536</v>
      </c>
      <c r="J3014" s="7">
        <v>0.54700000000000004</v>
      </c>
      <c r="K3014" s="1" t="s">
        <v>21</v>
      </c>
      <c r="L3014" s="1" t="s">
        <v>21</v>
      </c>
      <c r="M3014" s="1" t="s">
        <v>29</v>
      </c>
      <c r="N3014" s="1" t="s">
        <v>22</v>
      </c>
    </row>
    <row r="3015" spans="1:14" x14ac:dyDescent="0.25">
      <c r="A3015" s="1">
        <v>3014</v>
      </c>
      <c r="B3015" s="2" t="str">
        <f>HYPERLINK("https://leetcode.com/problems/minimum-number-of-pushes-to-type-word-i/", "Minimum Number of Pushes to Type Word I")</f>
        <v>Minimum Number of Pushes to Type Word I</v>
      </c>
      <c r="C3015" s="1">
        <v>195</v>
      </c>
      <c r="D3015" s="1">
        <v>38</v>
      </c>
      <c r="E3015" s="3">
        <f>IF(INDEX(C:C, ROW())+INDEX(D:D, ROW())=0, 0, INDEX(C:C, ROW())/(INDEX(C:C, ROW())+INDEX(D:D, ROW())))</f>
        <v>0.83690987124463523</v>
      </c>
      <c r="F3015" s="1" t="s">
        <v>418</v>
      </c>
      <c r="G3015" s="1" t="s">
        <v>20</v>
      </c>
      <c r="H3015" s="1">
        <v>50613</v>
      </c>
      <c r="I3015" s="1">
        <v>75645</v>
      </c>
      <c r="J3015" s="7">
        <v>0.66900000000000004</v>
      </c>
      <c r="K3015" s="1" t="s">
        <v>21</v>
      </c>
      <c r="L3015" s="1" t="s">
        <v>29</v>
      </c>
      <c r="M3015" s="1" t="s">
        <v>29</v>
      </c>
      <c r="N3015" s="1" t="s">
        <v>22</v>
      </c>
    </row>
    <row r="3016" spans="1:14" x14ac:dyDescent="0.25">
      <c r="A3016" s="1">
        <v>3015</v>
      </c>
      <c r="B3016" s="2" t="str">
        <f>HYPERLINK("https://leetcode.com/problems/count-the-number-of-houses-at-a-certain-distance-i/", "Count the Number of Houses at a Certain Distance I")</f>
        <v>Count the Number of Houses at a Certain Distance I</v>
      </c>
      <c r="C3016" s="1">
        <v>209</v>
      </c>
      <c r="D3016" s="1">
        <v>45</v>
      </c>
      <c r="E3016" s="3">
        <f>IF(INDEX(C:C, ROW())+INDEX(D:D, ROW())=0, 0, INDEX(C:C, ROW())/(INDEX(C:C, ROW())+INDEX(D:D, ROW())))</f>
        <v>0.82283464566929132</v>
      </c>
      <c r="F3016" s="1" t="s">
        <v>1088</v>
      </c>
      <c r="G3016" s="1" t="s">
        <v>24</v>
      </c>
      <c r="H3016" s="1">
        <v>26741</v>
      </c>
      <c r="I3016" s="1">
        <v>46677</v>
      </c>
      <c r="J3016" s="7">
        <v>0.57299999999999995</v>
      </c>
      <c r="K3016" s="1" t="s">
        <v>21</v>
      </c>
      <c r="L3016" s="1" t="s">
        <v>29</v>
      </c>
      <c r="M3016" s="1" t="s">
        <v>29</v>
      </c>
      <c r="N3016" s="1" t="s">
        <v>22</v>
      </c>
    </row>
    <row r="3017" spans="1:14" x14ac:dyDescent="0.25">
      <c r="A3017" s="1">
        <v>3016</v>
      </c>
      <c r="B3017" s="2" t="str">
        <f>HYPERLINK("https://leetcode.com/problems/minimum-number-of-pushes-to-type-word-ii/", "Minimum Number of Pushes to Type Word II")</f>
        <v>Minimum Number of Pushes to Type Word II</v>
      </c>
      <c r="C3017" s="1">
        <v>775</v>
      </c>
      <c r="D3017" s="1">
        <v>80</v>
      </c>
      <c r="E3017" s="3">
        <f>IF(INDEX(C:C, ROW())+INDEX(D:D, ROW())=0, 0, INDEX(C:C, ROW())/(INDEX(C:C, ROW())+INDEX(D:D, ROW())))</f>
        <v>0.9064327485380117</v>
      </c>
      <c r="F3017" s="1" t="s">
        <v>772</v>
      </c>
      <c r="G3017" s="1" t="s">
        <v>24</v>
      </c>
      <c r="H3017" s="1">
        <v>186174</v>
      </c>
      <c r="I3017" s="1">
        <v>232793</v>
      </c>
      <c r="J3017" s="7">
        <v>0.8</v>
      </c>
      <c r="K3017" s="1" t="s">
        <v>21</v>
      </c>
      <c r="L3017" s="1" t="s">
        <v>21</v>
      </c>
      <c r="M3017" s="1" t="s">
        <v>29</v>
      </c>
      <c r="N3017" s="1" t="s">
        <v>22</v>
      </c>
    </row>
    <row r="3018" spans="1:14" x14ac:dyDescent="0.25">
      <c r="A3018" s="1">
        <v>3017</v>
      </c>
      <c r="B3018" s="2" t="str">
        <f>HYPERLINK("https://leetcode.com/problems/count-the-number-of-houses-at-a-certain-distance-ii/", "Count the Number of Houses at a Certain Distance II")</f>
        <v>Count the Number of Houses at a Certain Distance II</v>
      </c>
      <c r="C3018" s="1">
        <v>90</v>
      </c>
      <c r="D3018" s="1">
        <v>26</v>
      </c>
      <c r="E3018" s="3">
        <f>IF(INDEX(C:C, ROW())+INDEX(D:D, ROW())=0, 0, INDEX(C:C, ROW())/(INDEX(C:C, ROW())+INDEX(D:D, ROW())))</f>
        <v>0.77586206896551724</v>
      </c>
      <c r="F3018" s="1" t="s">
        <v>1192</v>
      </c>
      <c r="G3018" s="1" t="s">
        <v>28</v>
      </c>
      <c r="H3018" s="1">
        <v>4305</v>
      </c>
      <c r="I3018" s="1">
        <v>18225</v>
      </c>
      <c r="J3018" s="7">
        <v>0.23599999999999999</v>
      </c>
      <c r="K3018" s="1" t="s">
        <v>21</v>
      </c>
      <c r="L3018" s="1" t="s">
        <v>29</v>
      </c>
      <c r="M3018" s="1" t="s">
        <v>29</v>
      </c>
      <c r="N3018" s="1" t="s">
        <v>22</v>
      </c>
    </row>
    <row r="3019" spans="1:14" x14ac:dyDescent="0.25">
      <c r="A3019" s="1">
        <v>3018</v>
      </c>
      <c r="B3019" s="2" t="str">
        <f>HYPERLINK("https://leetcode.com/problems/maximum-number-of-removal-queries-that-can-be-processed-i/", "Maximum Number of Removal Queries That Can Be Processed I")</f>
        <v>Maximum Number of Removal Queries That Can Be Processed I</v>
      </c>
      <c r="C3019" s="1">
        <v>7</v>
      </c>
      <c r="D3019" s="1">
        <v>3</v>
      </c>
      <c r="E3019" s="3">
        <f>IF(INDEX(C:C, ROW())+INDEX(D:D, ROW())=0, 0, INDEX(C:C, ROW())/(INDEX(C:C, ROW())+INDEX(D:D, ROW())))</f>
        <v>0.7</v>
      </c>
      <c r="F3019" s="1" t="s">
        <v>30</v>
      </c>
      <c r="G3019" s="1" t="s">
        <v>28</v>
      </c>
      <c r="H3019" s="1">
        <v>632</v>
      </c>
      <c r="I3019" s="1">
        <v>1446</v>
      </c>
      <c r="J3019" s="7">
        <v>0.437</v>
      </c>
      <c r="K3019" s="1" t="s">
        <v>29</v>
      </c>
      <c r="L3019" s="1" t="s">
        <v>29</v>
      </c>
      <c r="M3019" s="1" t="s">
        <v>29</v>
      </c>
      <c r="N3019" s="1" t="s">
        <v>22</v>
      </c>
    </row>
    <row r="3020" spans="1:14" x14ac:dyDescent="0.25">
      <c r="A3020" s="1">
        <v>3019</v>
      </c>
      <c r="B3020" s="2" t="str">
        <f>HYPERLINK("https://leetcode.com/problems/number-of-changing-keys/", "Number of Changing Keys")</f>
        <v>Number of Changing Keys</v>
      </c>
      <c r="C3020" s="1">
        <v>163</v>
      </c>
      <c r="D3020" s="1">
        <v>18</v>
      </c>
      <c r="E3020" s="3">
        <f>IF(INDEX(C:C, ROW())+INDEX(D:D, ROW())=0, 0, INDEX(C:C, ROW())/(INDEX(C:C, ROW())+INDEX(D:D, ROW())))</f>
        <v>0.90055248618784534</v>
      </c>
      <c r="F3020" s="1" t="s">
        <v>146</v>
      </c>
      <c r="G3020" s="1" t="s">
        <v>20</v>
      </c>
      <c r="H3020" s="1">
        <v>80029</v>
      </c>
      <c r="I3020" s="1">
        <v>99438</v>
      </c>
      <c r="J3020" s="7">
        <v>0.80500000000000005</v>
      </c>
      <c r="K3020" s="1" t="s">
        <v>21</v>
      </c>
      <c r="L3020" s="1" t="s">
        <v>29</v>
      </c>
      <c r="M3020" s="1" t="s">
        <v>29</v>
      </c>
      <c r="N3020" s="1" t="s">
        <v>22</v>
      </c>
    </row>
    <row r="3021" spans="1:14" x14ac:dyDescent="0.25">
      <c r="A3021" s="1">
        <v>3020</v>
      </c>
      <c r="B3021" s="2" t="str">
        <f>HYPERLINK("https://leetcode.com/problems/find-the-maximum-number-of-elements-in-subset/", "Find the Maximum Number of Elements in Subset")</f>
        <v>Find the Maximum Number of Elements in Subset</v>
      </c>
      <c r="C3021" s="1">
        <v>217</v>
      </c>
      <c r="D3021" s="1">
        <v>44</v>
      </c>
      <c r="E3021" s="3">
        <f>IF(INDEX(C:C, ROW())+INDEX(D:D, ROW())=0, 0, INDEX(C:C, ROW())/(INDEX(C:C, ROW())+INDEX(D:D, ROW())))</f>
        <v>0.83141762452107282</v>
      </c>
      <c r="F3021" s="1" t="s">
        <v>804</v>
      </c>
      <c r="G3021" s="1" t="s">
        <v>24</v>
      </c>
      <c r="H3021" s="1">
        <v>28499</v>
      </c>
      <c r="I3021" s="1">
        <v>106217</v>
      </c>
      <c r="J3021" s="7">
        <v>0.26800000000000002</v>
      </c>
      <c r="K3021" s="1" t="s">
        <v>21</v>
      </c>
      <c r="L3021" s="1" t="s">
        <v>29</v>
      </c>
      <c r="M3021" s="1" t="s">
        <v>29</v>
      </c>
      <c r="N3021" s="1" t="s">
        <v>22</v>
      </c>
    </row>
    <row r="3022" spans="1:14" x14ac:dyDescent="0.25">
      <c r="A3022" s="1">
        <v>3021</v>
      </c>
      <c r="B3022" s="2" t="str">
        <f>HYPERLINK("https://leetcode.com/problems/alice-and-bob-playing-flower-game/", "Alice and Bob Playing Flower Game")</f>
        <v>Alice and Bob Playing Flower Game</v>
      </c>
      <c r="C3022" s="1">
        <v>517</v>
      </c>
      <c r="D3022" s="1">
        <v>275</v>
      </c>
      <c r="E3022" s="3">
        <f>IF(INDEX(C:C, ROW())+INDEX(D:D, ROW())=0, 0, INDEX(C:C, ROW())/(INDEX(C:C, ROW())+INDEX(D:D, ROW())))</f>
        <v>0.65277777777777779</v>
      </c>
      <c r="F3022" s="1" t="s">
        <v>84</v>
      </c>
      <c r="G3022" s="1" t="s">
        <v>24</v>
      </c>
      <c r="H3022" s="1">
        <v>126724</v>
      </c>
      <c r="I3022" s="1">
        <v>210721</v>
      </c>
      <c r="J3022" s="7">
        <v>0.60099999999999998</v>
      </c>
      <c r="K3022" s="1" t="s">
        <v>21</v>
      </c>
      <c r="L3022" s="1" t="s">
        <v>21</v>
      </c>
      <c r="M3022" s="1" t="s">
        <v>29</v>
      </c>
      <c r="N3022" s="1" t="s">
        <v>22</v>
      </c>
    </row>
    <row r="3023" spans="1:14" x14ac:dyDescent="0.25">
      <c r="A3023" s="1">
        <v>3022</v>
      </c>
      <c r="B3023" s="2" t="str">
        <f>HYPERLINK("https://leetcode.com/problems/minimize-or-of-remaining-elements-using-operations/", "Minimize OR of Remaining Elements Using Operations")</f>
        <v>Minimize OR of Remaining Elements Using Operations</v>
      </c>
      <c r="C3023" s="1">
        <v>95</v>
      </c>
      <c r="D3023" s="1">
        <v>16</v>
      </c>
      <c r="E3023" s="3">
        <f>IF(INDEX(C:C, ROW())+INDEX(D:D, ROW())=0, 0, INDEX(C:C, ROW())/(INDEX(C:C, ROW())+INDEX(D:D, ROW())))</f>
        <v>0.85585585585585588</v>
      </c>
      <c r="F3023" s="1" t="s">
        <v>824</v>
      </c>
      <c r="G3023" s="1" t="s">
        <v>28</v>
      </c>
      <c r="H3023" s="1">
        <v>4267</v>
      </c>
      <c r="I3023" s="1">
        <v>14197</v>
      </c>
      <c r="J3023" s="7">
        <v>0.30099999999999999</v>
      </c>
      <c r="K3023" s="1" t="s">
        <v>21</v>
      </c>
      <c r="L3023" s="1" t="s">
        <v>29</v>
      </c>
      <c r="M3023" s="1" t="s">
        <v>29</v>
      </c>
      <c r="N3023" s="1" t="s">
        <v>22</v>
      </c>
    </row>
    <row r="3024" spans="1:14" x14ac:dyDescent="0.25">
      <c r="A3024" s="1">
        <v>3023</v>
      </c>
      <c r="B3024" s="2" t="str">
        <f>HYPERLINK("https://leetcode.com/problems/find-pattern-in-infinite-stream-i/", "Find Pattern in Infinite Stream I")</f>
        <v>Find Pattern in Infinite Stream I</v>
      </c>
      <c r="C3024" s="1">
        <v>15</v>
      </c>
      <c r="D3024" s="1">
        <v>2</v>
      </c>
      <c r="E3024" s="3">
        <f>IF(INDEX(C:C, ROW())+INDEX(D:D, ROW())=0, 0, INDEX(C:C, ROW())/(INDEX(C:C, ROW())+INDEX(D:D, ROW())))</f>
        <v>0.88235294117647056</v>
      </c>
      <c r="F3024" s="1" t="s">
        <v>1322</v>
      </c>
      <c r="G3024" s="1" t="s">
        <v>24</v>
      </c>
      <c r="H3024" s="1">
        <v>1863</v>
      </c>
      <c r="I3024" s="1">
        <v>3291</v>
      </c>
      <c r="J3024" s="7">
        <v>0.56599999999999995</v>
      </c>
      <c r="K3024" s="1" t="s">
        <v>29</v>
      </c>
      <c r="L3024" s="1" t="s">
        <v>29</v>
      </c>
      <c r="M3024" s="1" t="s">
        <v>29</v>
      </c>
      <c r="N3024" s="1" t="s">
        <v>22</v>
      </c>
    </row>
    <row r="3025" spans="1:14" x14ac:dyDescent="0.25">
      <c r="A3025" s="1">
        <v>3024</v>
      </c>
      <c r="B3025" s="2" t="str">
        <f>HYPERLINK("https://leetcode.com/problems/type-of-triangle/", "Type of Triangle")</f>
        <v>Type of Triangle</v>
      </c>
      <c r="C3025" s="1">
        <v>458</v>
      </c>
      <c r="D3025" s="1">
        <v>66</v>
      </c>
      <c r="E3025" s="3">
        <f>IF(INDEX(C:C, ROW())+INDEX(D:D, ROW())=0, 0, INDEX(C:C, ROW())/(INDEX(C:C, ROW())+INDEX(D:D, ROW())))</f>
        <v>0.87404580152671751</v>
      </c>
      <c r="F3025" s="1" t="s">
        <v>284</v>
      </c>
      <c r="G3025" s="1" t="s">
        <v>20</v>
      </c>
      <c r="H3025" s="1">
        <v>213280</v>
      </c>
      <c r="I3025" s="1">
        <v>483277</v>
      </c>
      <c r="J3025" s="7">
        <v>0.441</v>
      </c>
      <c r="K3025" s="1" t="s">
        <v>21</v>
      </c>
      <c r="L3025" s="1" t="s">
        <v>21</v>
      </c>
      <c r="M3025" s="1" t="s">
        <v>29</v>
      </c>
      <c r="N3025" s="1" t="s">
        <v>22</v>
      </c>
    </row>
    <row r="3026" spans="1:14" x14ac:dyDescent="0.25">
      <c r="A3026" s="1">
        <v>3025</v>
      </c>
      <c r="B3026" s="2" t="str">
        <f>HYPERLINK("https://leetcode.com/problems/find-the-number-of-ways-to-place-people-i/", "Find the Number of Ways to Place People I")</f>
        <v>Find the Number of Ways to Place People I</v>
      </c>
      <c r="C3026" s="1">
        <v>482</v>
      </c>
      <c r="D3026" s="1">
        <v>180</v>
      </c>
      <c r="E3026" s="3">
        <f>IF(INDEX(C:C, ROW())+INDEX(D:D, ROW())=0, 0, INDEX(C:C, ROW())/(INDEX(C:C, ROW())+INDEX(D:D, ROW())))</f>
        <v>0.72809667673716016</v>
      </c>
      <c r="F3026" s="1" t="s">
        <v>935</v>
      </c>
      <c r="G3026" s="1" t="s">
        <v>24</v>
      </c>
      <c r="H3026" s="1">
        <v>115393</v>
      </c>
      <c r="I3026" s="1">
        <v>180222</v>
      </c>
      <c r="J3026" s="7">
        <v>0.64</v>
      </c>
      <c r="K3026" s="1" t="s">
        <v>21</v>
      </c>
      <c r="L3026" s="1" t="s">
        <v>21</v>
      </c>
      <c r="M3026" s="1" t="s">
        <v>29</v>
      </c>
      <c r="N3026" s="1" t="s">
        <v>22</v>
      </c>
    </row>
    <row r="3027" spans="1:14" x14ac:dyDescent="0.25">
      <c r="A3027" s="1">
        <v>3026</v>
      </c>
      <c r="B3027" s="2" t="str">
        <f>HYPERLINK("https://leetcode.com/problems/maximum-good-subarray-sum/", "Maximum Good Subarray Sum")</f>
        <v>Maximum Good Subarray Sum</v>
      </c>
      <c r="C3027" s="1">
        <v>474</v>
      </c>
      <c r="D3027" s="1">
        <v>24</v>
      </c>
      <c r="E3027" s="3">
        <f>IF(INDEX(C:C, ROW())+INDEX(D:D, ROW())=0, 0, INDEX(C:C, ROW())/(INDEX(C:C, ROW())+INDEX(D:D, ROW())))</f>
        <v>0.95180722891566261</v>
      </c>
      <c r="F3027" s="1" t="s">
        <v>39</v>
      </c>
      <c r="G3027" s="1" t="s">
        <v>24</v>
      </c>
      <c r="H3027" s="1">
        <v>31144</v>
      </c>
      <c r="I3027" s="1">
        <v>145461</v>
      </c>
      <c r="J3027" s="7">
        <v>0.214</v>
      </c>
      <c r="K3027" s="1" t="s">
        <v>21</v>
      </c>
      <c r="L3027" s="1" t="s">
        <v>29</v>
      </c>
      <c r="M3027" s="1" t="s">
        <v>29</v>
      </c>
      <c r="N3027" s="1" t="s">
        <v>22</v>
      </c>
    </row>
    <row r="3028" spans="1:14" x14ac:dyDescent="0.25">
      <c r="A3028" s="1">
        <v>3027</v>
      </c>
      <c r="B3028" s="2" t="str">
        <f>HYPERLINK("https://leetcode.com/problems/find-the-number-of-ways-to-place-people-ii/", "Find the Number of Ways to Place People II")</f>
        <v>Find the Number of Ways to Place People II</v>
      </c>
      <c r="C3028" s="1">
        <v>357</v>
      </c>
      <c r="D3028" s="1">
        <v>63</v>
      </c>
      <c r="E3028" s="3">
        <f>IF(INDEX(C:C, ROW())+INDEX(D:D, ROW())=0, 0, INDEX(C:C, ROW())/(INDEX(C:C, ROW())+INDEX(D:D, ROW())))</f>
        <v>0.85</v>
      </c>
      <c r="F3028" s="1" t="s">
        <v>935</v>
      </c>
      <c r="G3028" s="1" t="s">
        <v>28</v>
      </c>
      <c r="H3028" s="1">
        <v>88204</v>
      </c>
      <c r="I3028" s="1">
        <v>136885</v>
      </c>
      <c r="J3028" s="7">
        <v>0.64400000000000002</v>
      </c>
      <c r="K3028" s="1" t="s">
        <v>21</v>
      </c>
      <c r="L3028" s="1" t="s">
        <v>21</v>
      </c>
      <c r="M3028" s="1" t="s">
        <v>29</v>
      </c>
      <c r="N3028" s="1" t="s">
        <v>22</v>
      </c>
    </row>
    <row r="3029" spans="1:14" x14ac:dyDescent="0.25">
      <c r="A3029" s="1">
        <v>3028</v>
      </c>
      <c r="B3029" s="2" t="str">
        <f>HYPERLINK("https://leetcode.com/problems/ant-on-the-boundary/", "Ant on the Boundary")</f>
        <v>Ant on the Boundary</v>
      </c>
      <c r="C3029" s="1">
        <v>170</v>
      </c>
      <c r="D3029" s="1">
        <v>53</v>
      </c>
      <c r="E3029" s="3">
        <f>IF(INDEX(C:C, ROW())+INDEX(D:D, ROW())=0, 0, INDEX(C:C, ROW())/(INDEX(C:C, ROW())+INDEX(D:D, ROW())))</f>
        <v>0.7623318385650224</v>
      </c>
      <c r="F3029" s="1" t="s">
        <v>874</v>
      </c>
      <c r="G3029" s="1" t="s">
        <v>20</v>
      </c>
      <c r="H3029" s="1">
        <v>73218</v>
      </c>
      <c r="I3029" s="1">
        <v>98618</v>
      </c>
      <c r="J3029" s="7">
        <v>0.74199999999999999</v>
      </c>
      <c r="K3029" s="1" t="s">
        <v>21</v>
      </c>
      <c r="L3029" s="1" t="s">
        <v>29</v>
      </c>
      <c r="M3029" s="1" t="s">
        <v>29</v>
      </c>
      <c r="N3029" s="1" t="s">
        <v>22</v>
      </c>
    </row>
    <row r="3030" spans="1:14" x14ac:dyDescent="0.25">
      <c r="A3030" s="1">
        <v>3029</v>
      </c>
      <c r="B3030" s="2" t="str">
        <f>HYPERLINK("https://leetcode.com/problems/minimum-time-to-revert-word-to-initial-state-i/", "Minimum Time to Revert Word to Initial State I")</f>
        <v>Minimum Time to Revert Word to Initial State I</v>
      </c>
      <c r="C3030" s="1">
        <v>176</v>
      </c>
      <c r="D3030" s="1">
        <v>34</v>
      </c>
      <c r="E3030" s="3">
        <f>IF(INDEX(C:C, ROW())+INDEX(D:D, ROW())=0, 0, INDEX(C:C, ROW())/(INDEX(C:C, ROW())+INDEX(D:D, ROW())))</f>
        <v>0.83809523809523812</v>
      </c>
      <c r="F3030" s="1" t="s">
        <v>283</v>
      </c>
      <c r="G3030" s="1" t="s">
        <v>24</v>
      </c>
      <c r="H3030" s="1">
        <v>23741</v>
      </c>
      <c r="I3030" s="1">
        <v>56151</v>
      </c>
      <c r="J3030" s="7">
        <v>0.42299999999999999</v>
      </c>
      <c r="K3030" s="1" t="s">
        <v>21</v>
      </c>
      <c r="L3030" s="1" t="s">
        <v>29</v>
      </c>
      <c r="M3030" s="1" t="s">
        <v>29</v>
      </c>
      <c r="N3030" s="1" t="s">
        <v>22</v>
      </c>
    </row>
    <row r="3031" spans="1:14" x14ac:dyDescent="0.25">
      <c r="A3031" s="1">
        <v>3030</v>
      </c>
      <c r="B3031" s="2" t="str">
        <f>HYPERLINK("https://leetcode.com/problems/find-the-grid-of-region-average/", "Find the Grid of Region Average")</f>
        <v>Find the Grid of Region Average</v>
      </c>
      <c r="C3031" s="1">
        <v>91</v>
      </c>
      <c r="D3031" s="1">
        <v>134</v>
      </c>
      <c r="E3031" s="3">
        <f>IF(INDEX(C:C, ROW())+INDEX(D:D, ROW())=0, 0, INDEX(C:C, ROW())/(INDEX(C:C, ROW())+INDEX(D:D, ROW())))</f>
        <v>0.40444444444444444</v>
      </c>
      <c r="F3031" s="1" t="s">
        <v>266</v>
      </c>
      <c r="G3031" s="1" t="s">
        <v>24</v>
      </c>
      <c r="H3031" s="1">
        <v>11926</v>
      </c>
      <c r="I3031" s="1">
        <v>27578</v>
      </c>
      <c r="J3031" s="7">
        <v>0.432</v>
      </c>
      <c r="K3031" s="1" t="s">
        <v>21</v>
      </c>
      <c r="L3031" s="1" t="s">
        <v>29</v>
      </c>
      <c r="M3031" s="1" t="s">
        <v>29</v>
      </c>
      <c r="N3031" s="1" t="s">
        <v>22</v>
      </c>
    </row>
    <row r="3032" spans="1:14" x14ac:dyDescent="0.25">
      <c r="A3032" s="1">
        <v>3031</v>
      </c>
      <c r="B3032" s="2" t="str">
        <f>HYPERLINK("https://leetcode.com/problems/minimum-time-to-revert-word-to-initial-state-ii/", "Minimum Time to Revert Word to Initial State II")</f>
        <v>Minimum Time to Revert Word to Initial State II</v>
      </c>
      <c r="C3032" s="1">
        <v>159</v>
      </c>
      <c r="D3032" s="1">
        <v>22</v>
      </c>
      <c r="E3032" s="3">
        <f>IF(INDEX(C:C, ROW())+INDEX(D:D, ROW())=0, 0, INDEX(C:C, ROW())/(INDEX(C:C, ROW())+INDEX(D:D, ROW())))</f>
        <v>0.87845303867403313</v>
      </c>
      <c r="F3032" s="1" t="s">
        <v>283</v>
      </c>
      <c r="G3032" s="1" t="s">
        <v>28</v>
      </c>
      <c r="H3032" s="1">
        <v>13383</v>
      </c>
      <c r="I3032" s="1">
        <v>38211</v>
      </c>
      <c r="J3032" s="7">
        <v>0.35</v>
      </c>
      <c r="K3032" s="1" t="s">
        <v>21</v>
      </c>
      <c r="L3032" s="1" t="s">
        <v>29</v>
      </c>
      <c r="M3032" s="1" t="s">
        <v>29</v>
      </c>
      <c r="N3032" s="1" t="s">
        <v>22</v>
      </c>
    </row>
    <row r="3033" spans="1:14" x14ac:dyDescent="0.25">
      <c r="A3033" s="1">
        <v>3032</v>
      </c>
      <c r="B3033" s="2" t="str">
        <f>HYPERLINK("https://leetcode.com/problems/count-numbers-with-unique-digits-ii/", "Count Numbers With Unique Digits II")</f>
        <v>Count Numbers With Unique Digits II</v>
      </c>
      <c r="C3033" s="1">
        <v>35</v>
      </c>
      <c r="D3033" s="1">
        <v>4</v>
      </c>
      <c r="E3033" s="3">
        <f>IF(INDEX(C:C, ROW())+INDEX(D:D, ROW())=0, 0, INDEX(C:C, ROW())/(INDEX(C:C, ROW())+INDEX(D:D, ROW())))</f>
        <v>0.89743589743589747</v>
      </c>
      <c r="F3033" s="1" t="s">
        <v>1294</v>
      </c>
      <c r="G3033" s="1" t="s">
        <v>20</v>
      </c>
      <c r="H3033" s="1">
        <v>8260</v>
      </c>
      <c r="I3033" s="1">
        <v>9490</v>
      </c>
      <c r="J3033" s="7">
        <v>0.87</v>
      </c>
      <c r="K3033" s="1" t="s">
        <v>29</v>
      </c>
      <c r="L3033" s="1" t="s">
        <v>29</v>
      </c>
      <c r="M3033" s="1" t="s">
        <v>29</v>
      </c>
      <c r="N3033" s="1" t="s">
        <v>22</v>
      </c>
    </row>
    <row r="3034" spans="1:14" x14ac:dyDescent="0.25">
      <c r="A3034" s="1">
        <v>3033</v>
      </c>
      <c r="B3034" s="2" t="str">
        <f>HYPERLINK("https://leetcode.com/problems/modify-the-matrix/", "Modify the Matrix")</f>
        <v>Modify the Matrix</v>
      </c>
      <c r="C3034" s="1">
        <v>153</v>
      </c>
      <c r="D3034" s="1">
        <v>9</v>
      </c>
      <c r="E3034" s="3">
        <f>IF(INDEX(C:C, ROW())+INDEX(D:D, ROW())=0, 0, INDEX(C:C, ROW())/(INDEX(C:C, ROW())+INDEX(D:D, ROW())))</f>
        <v>0.94444444444444442</v>
      </c>
      <c r="F3034" s="1" t="s">
        <v>266</v>
      </c>
      <c r="G3034" s="1" t="s">
        <v>20</v>
      </c>
      <c r="H3034" s="1">
        <v>56516</v>
      </c>
      <c r="I3034" s="1">
        <v>81952</v>
      </c>
      <c r="J3034" s="7">
        <v>0.69</v>
      </c>
      <c r="K3034" s="1" t="s">
        <v>21</v>
      </c>
      <c r="L3034" s="1" t="s">
        <v>29</v>
      </c>
      <c r="M3034" s="1" t="s">
        <v>29</v>
      </c>
      <c r="N3034" s="1" t="s">
        <v>22</v>
      </c>
    </row>
    <row r="3035" spans="1:14" x14ac:dyDescent="0.25">
      <c r="A3035" s="1">
        <v>3034</v>
      </c>
      <c r="B3035" s="2" t="str">
        <f>HYPERLINK("https://leetcode.com/problems/number-of-subarrays-that-match-a-pattern-i/", "Number of Subarrays That Match a Pattern I")</f>
        <v>Number of Subarrays That Match a Pattern I</v>
      </c>
      <c r="C3035" s="1">
        <v>124</v>
      </c>
      <c r="D3035" s="1">
        <v>19</v>
      </c>
      <c r="E3035" s="3">
        <f>IF(INDEX(C:C, ROW())+INDEX(D:D, ROW())=0, 0, INDEX(C:C, ROW())/(INDEX(C:C, ROW())+INDEX(D:D, ROW())))</f>
        <v>0.86713286713286708</v>
      </c>
      <c r="F3035" s="1" t="s">
        <v>1124</v>
      </c>
      <c r="G3035" s="1" t="s">
        <v>24</v>
      </c>
      <c r="H3035" s="1">
        <v>35306</v>
      </c>
      <c r="I3035" s="1">
        <v>51620</v>
      </c>
      <c r="J3035" s="7">
        <v>0.68400000000000005</v>
      </c>
      <c r="K3035" s="1" t="s">
        <v>21</v>
      </c>
      <c r="L3035" s="1" t="s">
        <v>29</v>
      </c>
      <c r="M3035" s="1" t="s">
        <v>29</v>
      </c>
      <c r="N3035" s="1" t="s">
        <v>22</v>
      </c>
    </row>
    <row r="3036" spans="1:14" x14ac:dyDescent="0.25">
      <c r="A3036" s="1">
        <v>3035</v>
      </c>
      <c r="B3036" s="2" t="str">
        <f>HYPERLINK("https://leetcode.com/problems/maximum-palindromes-after-operations/", "Maximum Palindromes After Operations")</f>
        <v>Maximum Palindromes After Operations</v>
      </c>
      <c r="C3036" s="1">
        <v>255</v>
      </c>
      <c r="D3036" s="1">
        <v>11</v>
      </c>
      <c r="E3036" s="3">
        <f>IF(INDEX(C:C, ROW())+INDEX(D:D, ROW())=0, 0, INDEX(C:C, ROW())/(INDEX(C:C, ROW())+INDEX(D:D, ROW())))</f>
        <v>0.95864661654135341</v>
      </c>
      <c r="F3036" s="1" t="s">
        <v>1063</v>
      </c>
      <c r="G3036" s="1" t="s">
        <v>24</v>
      </c>
      <c r="H3036" s="1">
        <v>20927</v>
      </c>
      <c r="I3036" s="1">
        <v>45923</v>
      </c>
      <c r="J3036" s="7">
        <v>0.45600000000000002</v>
      </c>
      <c r="K3036" s="1" t="s">
        <v>21</v>
      </c>
      <c r="L3036" s="1" t="s">
        <v>29</v>
      </c>
      <c r="M3036" s="1" t="s">
        <v>29</v>
      </c>
      <c r="N3036" s="1" t="s">
        <v>22</v>
      </c>
    </row>
    <row r="3037" spans="1:14" x14ac:dyDescent="0.25">
      <c r="A3037" s="1">
        <v>3036</v>
      </c>
      <c r="B3037" s="2" t="str">
        <f>HYPERLINK("https://leetcode.com/problems/number-of-subarrays-that-match-a-pattern-ii/", "Number of Subarrays That Match a Pattern II")</f>
        <v>Number of Subarrays That Match a Pattern II</v>
      </c>
      <c r="C3037" s="1">
        <v>169</v>
      </c>
      <c r="D3037" s="1">
        <v>6</v>
      </c>
      <c r="E3037" s="3">
        <f>IF(INDEX(C:C, ROW())+INDEX(D:D, ROW())=0, 0, INDEX(C:C, ROW())/(INDEX(C:C, ROW())+INDEX(D:D, ROW())))</f>
        <v>0.96571428571428575</v>
      </c>
      <c r="F3037" s="1" t="s">
        <v>1124</v>
      </c>
      <c r="G3037" s="1" t="s">
        <v>28</v>
      </c>
      <c r="H3037" s="1">
        <v>13874</v>
      </c>
      <c r="I3037" s="1">
        <v>41637</v>
      </c>
      <c r="J3037" s="7">
        <v>0.33300000000000002</v>
      </c>
      <c r="K3037" s="1" t="s">
        <v>21</v>
      </c>
      <c r="L3037" s="1" t="s">
        <v>29</v>
      </c>
      <c r="M3037" s="1" t="s">
        <v>29</v>
      </c>
      <c r="N3037" s="1" t="s">
        <v>22</v>
      </c>
    </row>
    <row r="3038" spans="1:14" x14ac:dyDescent="0.25">
      <c r="A3038" s="1">
        <v>3037</v>
      </c>
      <c r="B3038" s="2" t="str">
        <f>HYPERLINK("https://leetcode.com/problems/find-pattern-in-infinite-stream-ii/", "Find Pattern in Infinite Stream II")</f>
        <v>Find Pattern in Infinite Stream II</v>
      </c>
      <c r="C3038" s="1">
        <v>7</v>
      </c>
      <c r="D3038" s="1">
        <v>3</v>
      </c>
      <c r="E3038" s="3">
        <f>IF(INDEX(C:C, ROW())+INDEX(D:D, ROW())=0, 0, INDEX(C:C, ROW())/(INDEX(C:C, ROW())+INDEX(D:D, ROW())))</f>
        <v>0.7</v>
      </c>
      <c r="F3038" s="1" t="s">
        <v>1322</v>
      </c>
      <c r="G3038" s="1" t="s">
        <v>28</v>
      </c>
      <c r="H3038" s="1">
        <v>1347</v>
      </c>
      <c r="I3038" s="1">
        <v>1997</v>
      </c>
      <c r="J3038" s="7">
        <v>0.67500000000000004</v>
      </c>
      <c r="K3038" s="1" t="s">
        <v>29</v>
      </c>
      <c r="L3038" s="1" t="s">
        <v>29</v>
      </c>
      <c r="M3038" s="1" t="s">
        <v>29</v>
      </c>
      <c r="N3038" s="1" t="s">
        <v>22</v>
      </c>
    </row>
    <row r="3039" spans="1:14" x14ac:dyDescent="0.25">
      <c r="A3039" s="1">
        <v>3038</v>
      </c>
      <c r="B3039" s="2" t="str">
        <f>HYPERLINK("https://leetcode.com/problems/maximum-number-of-operations-with-the-same-score-i/", "Maximum Number of Operations With the Same Score I")</f>
        <v>Maximum Number of Operations With the Same Score I</v>
      </c>
      <c r="C3039" s="1">
        <v>95</v>
      </c>
      <c r="D3039" s="1">
        <v>28</v>
      </c>
      <c r="E3039" s="3">
        <f>IF(INDEX(C:C, ROW())+INDEX(D:D, ROW())=0, 0, INDEX(C:C, ROW())/(INDEX(C:C, ROW())+INDEX(D:D, ROW())))</f>
        <v>0.77235772357723576</v>
      </c>
      <c r="F3039" s="1" t="s">
        <v>306</v>
      </c>
      <c r="G3039" s="1" t="s">
        <v>20</v>
      </c>
      <c r="H3039" s="1">
        <v>41123</v>
      </c>
      <c r="I3039" s="1">
        <v>78021</v>
      </c>
      <c r="J3039" s="7">
        <v>0.52700000000000002</v>
      </c>
      <c r="K3039" s="1" t="s">
        <v>21</v>
      </c>
      <c r="L3039" s="1" t="s">
        <v>29</v>
      </c>
      <c r="M3039" s="1" t="s">
        <v>29</v>
      </c>
      <c r="N3039" s="1" t="s">
        <v>22</v>
      </c>
    </row>
    <row r="3040" spans="1:14" x14ac:dyDescent="0.25">
      <c r="A3040" s="1">
        <v>3039</v>
      </c>
      <c r="B3040" s="2" t="str">
        <f>HYPERLINK("https://leetcode.com/problems/apply-operations-to-make-string-empty/", "Apply Operations to Make String Empty")</f>
        <v>Apply Operations to Make String Empty</v>
      </c>
      <c r="C3040" s="1">
        <v>167</v>
      </c>
      <c r="D3040" s="1">
        <v>8</v>
      </c>
      <c r="E3040" s="3">
        <f>IF(INDEX(C:C, ROW())+INDEX(D:D, ROW())=0, 0, INDEX(C:C, ROW())/(INDEX(C:C, ROW())+INDEX(D:D, ROW())))</f>
        <v>0.95428571428571429</v>
      </c>
      <c r="F3040" s="1" t="s">
        <v>125</v>
      </c>
      <c r="G3040" s="1" t="s">
        <v>24</v>
      </c>
      <c r="H3040" s="1">
        <v>32164</v>
      </c>
      <c r="I3040" s="1">
        <v>56075</v>
      </c>
      <c r="J3040" s="7">
        <v>0.57399999999999995</v>
      </c>
      <c r="K3040" s="1" t="s">
        <v>21</v>
      </c>
      <c r="L3040" s="1" t="s">
        <v>29</v>
      </c>
      <c r="M3040" s="1" t="s">
        <v>29</v>
      </c>
      <c r="N3040" s="1" t="s">
        <v>22</v>
      </c>
    </row>
    <row r="3041" spans="1:14" x14ac:dyDescent="0.25">
      <c r="A3041" s="1">
        <v>3040</v>
      </c>
      <c r="B3041" s="2" t="str">
        <f>HYPERLINK("https://leetcode.com/problems/maximum-number-of-operations-with-the-same-score-ii/", "Maximum Number of Operations With the Same Score II")</f>
        <v>Maximum Number of Operations With the Same Score II</v>
      </c>
      <c r="C3041" s="1">
        <v>187</v>
      </c>
      <c r="D3041" s="1">
        <v>16</v>
      </c>
      <c r="E3041" s="3">
        <f>IF(INDEX(C:C, ROW())+INDEX(D:D, ROW())=0, 0, INDEX(C:C, ROW())/(INDEX(C:C, ROW())+INDEX(D:D, ROW())))</f>
        <v>0.9211822660098522</v>
      </c>
      <c r="F3041" s="1" t="s">
        <v>434</v>
      </c>
      <c r="G3041" s="1" t="s">
        <v>24</v>
      </c>
      <c r="H3041" s="1">
        <v>25124</v>
      </c>
      <c r="I3041" s="1">
        <v>73754</v>
      </c>
      <c r="J3041" s="7">
        <v>0.34100000000000003</v>
      </c>
      <c r="K3041" s="1" t="s">
        <v>21</v>
      </c>
      <c r="L3041" s="1" t="s">
        <v>29</v>
      </c>
      <c r="M3041" s="1" t="s">
        <v>29</v>
      </c>
      <c r="N3041" s="1" t="s">
        <v>22</v>
      </c>
    </row>
    <row r="3042" spans="1:14" x14ac:dyDescent="0.25">
      <c r="A3042" s="1">
        <v>3041</v>
      </c>
      <c r="B3042" s="2" t="str">
        <f>HYPERLINK("https://leetcode.com/problems/maximize-consecutive-elements-in-an-array-after-modification/", "Maximize Consecutive Elements in an Array After Modification")</f>
        <v>Maximize Consecutive Elements in an Array After Modification</v>
      </c>
      <c r="C3042" s="1">
        <v>177</v>
      </c>
      <c r="D3042" s="1">
        <v>9</v>
      </c>
      <c r="E3042" s="3">
        <f>IF(INDEX(C:C, ROW())+INDEX(D:D, ROW())=0, 0, INDEX(C:C, ROW())/(INDEX(C:C, ROW())+INDEX(D:D, ROW())))</f>
        <v>0.95161290322580649</v>
      </c>
      <c r="F3042" s="1" t="s">
        <v>270</v>
      </c>
      <c r="G3042" s="1" t="s">
        <v>28</v>
      </c>
      <c r="H3042" s="1">
        <v>11126</v>
      </c>
      <c r="I3042" s="1">
        <v>33155</v>
      </c>
      <c r="J3042" s="7">
        <v>0.33600000000000002</v>
      </c>
      <c r="K3042" s="1" t="s">
        <v>21</v>
      </c>
      <c r="L3042" s="1" t="s">
        <v>29</v>
      </c>
      <c r="M3042" s="1" t="s">
        <v>29</v>
      </c>
      <c r="N3042" s="1" t="s">
        <v>22</v>
      </c>
    </row>
    <row r="3043" spans="1:14" x14ac:dyDescent="0.25">
      <c r="A3043" s="1">
        <v>3042</v>
      </c>
      <c r="B3043" s="2" t="str">
        <f>HYPERLINK("https://leetcode.com/problems/count-prefix-and-suffix-pairs-i/", "Count Prefix and Suffix Pairs I")</f>
        <v>Count Prefix and Suffix Pairs I</v>
      </c>
      <c r="C3043" s="1">
        <v>602</v>
      </c>
      <c r="D3043" s="1">
        <v>45</v>
      </c>
      <c r="E3043" s="3">
        <f>IF(INDEX(C:C, ROW())+INDEX(D:D, ROW())=0, 0, INDEX(C:C, ROW())/(INDEX(C:C, ROW())+INDEX(D:D, ROW())))</f>
        <v>0.93044822256568782</v>
      </c>
      <c r="F3043" s="1" t="s">
        <v>853</v>
      </c>
      <c r="G3043" s="1" t="s">
        <v>20</v>
      </c>
      <c r="H3043" s="1">
        <v>211561</v>
      </c>
      <c r="I3043" s="1">
        <v>272081</v>
      </c>
      <c r="J3043" s="7">
        <v>0.77800000000000002</v>
      </c>
      <c r="K3043" s="1" t="s">
        <v>21</v>
      </c>
      <c r="L3043" s="1" t="s">
        <v>21</v>
      </c>
      <c r="M3043" s="1" t="s">
        <v>29</v>
      </c>
      <c r="N3043" s="1" t="s">
        <v>22</v>
      </c>
    </row>
    <row r="3044" spans="1:14" x14ac:dyDescent="0.25">
      <c r="A3044" s="1">
        <v>3043</v>
      </c>
      <c r="B3044" s="2" t="str">
        <f>HYPERLINK("https://leetcode.com/problems/find-the-length-of-the-longest-common-prefix/", "Find the Length of the Longest Common Prefix")</f>
        <v>Find the Length of the Longest Common Prefix</v>
      </c>
      <c r="C3044" s="1">
        <v>828</v>
      </c>
      <c r="D3044" s="1">
        <v>50</v>
      </c>
      <c r="E3044" s="3">
        <f>IF(INDEX(C:C, ROW())+INDEX(D:D, ROW())=0, 0, INDEX(C:C, ROW())/(INDEX(C:C, ROW())+INDEX(D:D, ROW())))</f>
        <v>0.94305239179954437</v>
      </c>
      <c r="F3044" s="1" t="s">
        <v>279</v>
      </c>
      <c r="G3044" s="1" t="s">
        <v>24</v>
      </c>
      <c r="H3044" s="1">
        <v>174338</v>
      </c>
      <c r="I3044" s="1">
        <v>305873</v>
      </c>
      <c r="J3044" s="7">
        <v>0.56999999999999995</v>
      </c>
      <c r="K3044" s="1" t="s">
        <v>21</v>
      </c>
      <c r="L3044" s="1" t="s">
        <v>21</v>
      </c>
      <c r="M3044" s="1" t="s">
        <v>29</v>
      </c>
      <c r="N3044" s="1" t="s">
        <v>22</v>
      </c>
    </row>
    <row r="3045" spans="1:14" x14ac:dyDescent="0.25">
      <c r="A3045" s="1">
        <v>3044</v>
      </c>
      <c r="B3045" s="2" t="str">
        <f>HYPERLINK("https://leetcode.com/problems/most-frequent-prime/", "Most Frequent Prime")</f>
        <v>Most Frequent Prime</v>
      </c>
      <c r="C3045" s="1">
        <v>101</v>
      </c>
      <c r="D3045" s="1">
        <v>70</v>
      </c>
      <c r="E3045" s="3">
        <f>IF(INDEX(C:C, ROW())+INDEX(D:D, ROW())=0, 0, INDEX(C:C, ROW())/(INDEX(C:C, ROW())+INDEX(D:D, ROW())))</f>
        <v>0.59064327485380119</v>
      </c>
      <c r="F3045" s="1" t="s">
        <v>1184</v>
      </c>
      <c r="G3045" s="1" t="s">
        <v>24</v>
      </c>
      <c r="H3045" s="1">
        <v>18660</v>
      </c>
      <c r="I3045" s="1">
        <v>40716</v>
      </c>
      <c r="J3045" s="7">
        <v>0.45800000000000002</v>
      </c>
      <c r="K3045" s="1" t="s">
        <v>21</v>
      </c>
      <c r="L3045" s="1" t="s">
        <v>29</v>
      </c>
      <c r="M3045" s="1" t="s">
        <v>29</v>
      </c>
      <c r="N3045" s="1" t="s">
        <v>22</v>
      </c>
    </row>
    <row r="3046" spans="1:14" x14ac:dyDescent="0.25">
      <c r="A3046" s="1">
        <v>3045</v>
      </c>
      <c r="B3046" s="2" t="str">
        <f>HYPERLINK("https://leetcode.com/problems/count-prefix-and-suffix-pairs-ii/", "Count Prefix and Suffix Pairs II")</f>
        <v>Count Prefix and Suffix Pairs II</v>
      </c>
      <c r="C3046" s="1">
        <v>252</v>
      </c>
      <c r="D3046" s="1">
        <v>12</v>
      </c>
      <c r="E3046" s="3">
        <f>IF(INDEX(C:C, ROW())+INDEX(D:D, ROW())=0, 0, INDEX(C:C, ROW())/(INDEX(C:C, ROW())+INDEX(D:D, ROW())))</f>
        <v>0.95454545454545459</v>
      </c>
      <c r="F3046" s="1" t="s">
        <v>853</v>
      </c>
      <c r="G3046" s="1" t="s">
        <v>28</v>
      </c>
      <c r="H3046" s="1">
        <v>16485</v>
      </c>
      <c r="I3046" s="1">
        <v>58704</v>
      </c>
      <c r="J3046" s="7">
        <v>0.28100000000000003</v>
      </c>
      <c r="K3046" s="1" t="s">
        <v>21</v>
      </c>
      <c r="L3046" s="1" t="s">
        <v>29</v>
      </c>
      <c r="M3046" s="1" t="s">
        <v>29</v>
      </c>
      <c r="N3046" s="1" t="s">
        <v>22</v>
      </c>
    </row>
    <row r="3047" spans="1:14" x14ac:dyDescent="0.25">
      <c r="A3047" s="1">
        <v>3046</v>
      </c>
      <c r="B3047" s="2" t="str">
        <f>HYPERLINK("https://leetcode.com/problems/split-the-array/", "Split the Array")</f>
        <v>Split the Array</v>
      </c>
      <c r="C3047" s="1">
        <v>168</v>
      </c>
      <c r="D3047" s="1">
        <v>16</v>
      </c>
      <c r="E3047" s="3">
        <f>IF(INDEX(C:C, ROW())+INDEX(D:D, ROW())=0, 0, INDEX(C:C, ROW())/(INDEX(C:C, ROW())+INDEX(D:D, ROW())))</f>
        <v>0.91304347826086951</v>
      </c>
      <c r="F3047" s="1" t="s">
        <v>294</v>
      </c>
      <c r="G3047" s="1" t="s">
        <v>20</v>
      </c>
      <c r="H3047" s="1">
        <v>80829</v>
      </c>
      <c r="I3047" s="1">
        <v>132716</v>
      </c>
      <c r="J3047" s="7">
        <v>0.60899999999999999</v>
      </c>
      <c r="K3047" s="1" t="s">
        <v>21</v>
      </c>
      <c r="L3047" s="1" t="s">
        <v>29</v>
      </c>
      <c r="M3047" s="1" t="s">
        <v>29</v>
      </c>
      <c r="N3047" s="1" t="s">
        <v>22</v>
      </c>
    </row>
    <row r="3048" spans="1:14" x14ac:dyDescent="0.25">
      <c r="A3048" s="1">
        <v>3047</v>
      </c>
      <c r="B3048" s="2" t="str">
        <f>HYPERLINK("https://leetcode.com/problems/find-the-largest-area-of-square-inside-two-rectangles/", "Find the Largest Area of Square Inside Two Rectangles")</f>
        <v>Find the Largest Area of Square Inside Two Rectangles</v>
      </c>
      <c r="C3048" s="1">
        <v>437</v>
      </c>
      <c r="D3048" s="1">
        <v>85</v>
      </c>
      <c r="E3048" s="3">
        <f>IF(INDEX(C:C, ROW())+INDEX(D:D, ROW())=0, 0, INDEX(C:C, ROW())/(INDEX(C:C, ROW())+INDEX(D:D, ROW())))</f>
        <v>0.83716475095785436</v>
      </c>
      <c r="F3048" s="1" t="s">
        <v>397</v>
      </c>
      <c r="G3048" s="1" t="s">
        <v>24</v>
      </c>
      <c r="H3048" s="1">
        <v>99612</v>
      </c>
      <c r="I3048" s="1">
        <v>148996</v>
      </c>
      <c r="J3048" s="7">
        <v>0.66900000000000004</v>
      </c>
      <c r="K3048" s="1" t="s">
        <v>21</v>
      </c>
      <c r="L3048" s="1" t="s">
        <v>21</v>
      </c>
      <c r="M3048" s="1" t="s">
        <v>29</v>
      </c>
      <c r="N3048" s="1" t="s">
        <v>22</v>
      </c>
    </row>
    <row r="3049" spans="1:14" x14ac:dyDescent="0.25">
      <c r="A3049" s="1">
        <v>3048</v>
      </c>
      <c r="B3049" s="2" t="str">
        <f>HYPERLINK("https://leetcode.com/problems/earliest-second-to-mark-indices-i/", "Earliest Second to Mark Indices I")</f>
        <v>Earliest Second to Mark Indices I</v>
      </c>
      <c r="C3049" s="1">
        <v>202</v>
      </c>
      <c r="D3049" s="1">
        <v>99</v>
      </c>
      <c r="E3049" s="3">
        <f>IF(INDEX(C:C, ROW())+INDEX(D:D, ROW())=0, 0, INDEX(C:C, ROW())/(INDEX(C:C, ROW())+INDEX(D:D, ROW())))</f>
        <v>0.67109634551495012</v>
      </c>
      <c r="F3049" s="1" t="s">
        <v>35</v>
      </c>
      <c r="G3049" s="1" t="s">
        <v>24</v>
      </c>
      <c r="H3049" s="1">
        <v>11030</v>
      </c>
      <c r="I3049" s="1">
        <v>30240</v>
      </c>
      <c r="J3049" s="7">
        <v>0.36499999999999999</v>
      </c>
      <c r="K3049" s="1" t="s">
        <v>21</v>
      </c>
      <c r="L3049" s="1" t="s">
        <v>29</v>
      </c>
      <c r="M3049" s="1" t="s">
        <v>29</v>
      </c>
      <c r="N3049" s="1" t="s">
        <v>22</v>
      </c>
    </row>
    <row r="3050" spans="1:14" x14ac:dyDescent="0.25">
      <c r="A3050" s="1">
        <v>3049</v>
      </c>
      <c r="B3050" s="2" t="str">
        <f>HYPERLINK("https://leetcode.com/problems/earliest-second-to-mark-indices-ii/", "Earliest Second to Mark Indices II")</f>
        <v>Earliest Second to Mark Indices II</v>
      </c>
      <c r="C3050" s="1">
        <v>83</v>
      </c>
      <c r="D3050" s="1">
        <v>20</v>
      </c>
      <c r="E3050" s="3">
        <f>IF(INDEX(C:C, ROW())+INDEX(D:D, ROW())=0, 0, INDEX(C:C, ROW())/(INDEX(C:C, ROW())+INDEX(D:D, ROW())))</f>
        <v>0.80582524271844658</v>
      </c>
      <c r="F3050" s="1" t="s">
        <v>1201</v>
      </c>
      <c r="G3050" s="1" t="s">
        <v>28</v>
      </c>
      <c r="H3050" s="1">
        <v>3817</v>
      </c>
      <c r="I3050" s="1">
        <v>17337</v>
      </c>
      <c r="J3050" s="7">
        <v>0.22</v>
      </c>
      <c r="K3050" s="1" t="s">
        <v>21</v>
      </c>
      <c r="L3050" s="1" t="s">
        <v>29</v>
      </c>
      <c r="M3050" s="1" t="s">
        <v>29</v>
      </c>
      <c r="N3050" s="1" t="s">
        <v>22</v>
      </c>
    </row>
    <row r="3051" spans="1:14" x14ac:dyDescent="0.25">
      <c r="A3051" s="1">
        <v>3050</v>
      </c>
      <c r="B3051" s="2" t="str">
        <f>HYPERLINK("https://leetcode.com/problems/pizza-toppings-cost-analysis/", "Pizza Toppings Cost Analysis")</f>
        <v>Pizza Toppings Cost Analysis</v>
      </c>
      <c r="C3051" s="1">
        <v>16</v>
      </c>
      <c r="D3051" s="1">
        <v>1</v>
      </c>
      <c r="E3051" s="3">
        <f>IF(INDEX(C:C, ROW())+INDEX(D:D, ROW())=0, 0, INDEX(C:C, ROW())/(INDEX(C:C, ROW())+INDEX(D:D, ROW())))</f>
        <v>0.94117647058823528</v>
      </c>
      <c r="F3051" s="1" t="s">
        <v>297</v>
      </c>
      <c r="G3051" s="1" t="s">
        <v>24</v>
      </c>
      <c r="H3051" s="1">
        <v>3439</v>
      </c>
      <c r="I3051" s="1">
        <v>5101</v>
      </c>
      <c r="J3051" s="7">
        <v>0.67400000000000004</v>
      </c>
      <c r="K3051" s="1" t="s">
        <v>29</v>
      </c>
      <c r="L3051" s="1" t="s">
        <v>29</v>
      </c>
      <c r="M3051" s="1" t="s">
        <v>29</v>
      </c>
      <c r="N3051" s="1" t="s">
        <v>297</v>
      </c>
    </row>
    <row r="3052" spans="1:14" x14ac:dyDescent="0.25">
      <c r="A3052" s="1">
        <v>3051</v>
      </c>
      <c r="B3052" s="2" t="str">
        <f>HYPERLINK("https://leetcode.com/problems/find-candidates-for-data-scientist-position/", "Find Candidates for Data Scientist Position")</f>
        <v>Find Candidates for Data Scientist Position</v>
      </c>
      <c r="C3052" s="1">
        <v>15</v>
      </c>
      <c r="D3052" s="1">
        <v>0</v>
      </c>
      <c r="E3052" s="3">
        <f>IF(INDEX(C:C, ROW())+INDEX(D:D, ROW())=0, 0, INDEX(C:C, ROW())/(INDEX(C:C, ROW())+INDEX(D:D, ROW())))</f>
        <v>1</v>
      </c>
      <c r="F3052" s="1" t="s">
        <v>297</v>
      </c>
      <c r="G3052" s="1" t="s">
        <v>20</v>
      </c>
      <c r="H3052" s="1">
        <v>5349</v>
      </c>
      <c r="I3052" s="1">
        <v>7145</v>
      </c>
      <c r="J3052" s="7">
        <v>0.749</v>
      </c>
      <c r="K3052" s="1" t="s">
        <v>29</v>
      </c>
      <c r="L3052" s="1" t="s">
        <v>29</v>
      </c>
      <c r="M3052" s="1" t="s">
        <v>29</v>
      </c>
      <c r="N3052" s="1" t="s">
        <v>297</v>
      </c>
    </row>
    <row r="3053" spans="1:14" x14ac:dyDescent="0.25">
      <c r="A3053" s="1">
        <v>3052</v>
      </c>
      <c r="B3053" s="2" t="str">
        <f>HYPERLINK("https://leetcode.com/problems/maximize-items/", "Maximize Items")</f>
        <v>Maximize Items</v>
      </c>
      <c r="C3053" s="1">
        <v>7</v>
      </c>
      <c r="D3053" s="1">
        <v>12</v>
      </c>
      <c r="E3053" s="3">
        <f>IF(INDEX(C:C, ROW())+INDEX(D:D, ROW())=0, 0, INDEX(C:C, ROW())/(INDEX(C:C, ROW())+INDEX(D:D, ROW())))</f>
        <v>0.36842105263157893</v>
      </c>
      <c r="F3053" s="1" t="s">
        <v>297</v>
      </c>
      <c r="G3053" s="1" t="s">
        <v>28</v>
      </c>
      <c r="H3053" s="1">
        <v>1979</v>
      </c>
      <c r="I3053" s="1">
        <v>2675</v>
      </c>
      <c r="J3053" s="7">
        <v>0.74</v>
      </c>
      <c r="K3053" s="1" t="s">
        <v>29</v>
      </c>
      <c r="L3053" s="1" t="s">
        <v>29</v>
      </c>
      <c r="M3053" s="1" t="s">
        <v>29</v>
      </c>
      <c r="N3053" s="1" t="s">
        <v>297</v>
      </c>
    </row>
    <row r="3054" spans="1:14" x14ac:dyDescent="0.25">
      <c r="A3054" s="1">
        <v>3053</v>
      </c>
      <c r="B3054" s="2" t="str">
        <f>HYPERLINK("https://leetcode.com/problems/classifying-triangles-by-lengths/", "Classifying Triangles by Lengths")</f>
        <v>Classifying Triangles by Lengths</v>
      </c>
      <c r="C3054" s="1">
        <v>9</v>
      </c>
      <c r="D3054" s="1">
        <v>1</v>
      </c>
      <c r="E3054" s="3">
        <f>IF(INDEX(C:C, ROW())+INDEX(D:D, ROW())=0, 0, INDEX(C:C, ROW())/(INDEX(C:C, ROW())+INDEX(D:D, ROW())))</f>
        <v>0.9</v>
      </c>
      <c r="F3054" s="1" t="s">
        <v>297</v>
      </c>
      <c r="G3054" s="1" t="s">
        <v>20</v>
      </c>
      <c r="H3054" s="1">
        <v>3738</v>
      </c>
      <c r="I3054" s="1">
        <v>7412</v>
      </c>
      <c r="J3054" s="7">
        <v>0.504</v>
      </c>
      <c r="K3054" s="1" t="s">
        <v>29</v>
      </c>
      <c r="L3054" s="1" t="s">
        <v>21</v>
      </c>
      <c r="M3054" s="1" t="s">
        <v>29</v>
      </c>
      <c r="N3054" s="1" t="s">
        <v>297</v>
      </c>
    </row>
    <row r="3055" spans="1:14" x14ac:dyDescent="0.25">
      <c r="A3055" s="1">
        <v>3054</v>
      </c>
      <c r="B3055" s="2" t="str">
        <f>HYPERLINK("https://leetcode.com/problems/binary-tree-nodes/", "Binary Tree Nodes")</f>
        <v>Binary Tree Nodes</v>
      </c>
      <c r="C3055" s="1">
        <v>19</v>
      </c>
      <c r="D3055" s="1">
        <v>2</v>
      </c>
      <c r="E3055" s="3">
        <f>IF(INDEX(C:C, ROW())+INDEX(D:D, ROW())=0, 0, INDEX(C:C, ROW())/(INDEX(C:C, ROW())+INDEX(D:D, ROW())))</f>
        <v>0.90476190476190477</v>
      </c>
      <c r="F3055" s="1" t="s">
        <v>297</v>
      </c>
      <c r="G3055" s="1" t="s">
        <v>24</v>
      </c>
      <c r="H3055" s="1">
        <v>3737</v>
      </c>
      <c r="I3055" s="1">
        <v>4757</v>
      </c>
      <c r="J3055" s="7">
        <v>0.78600000000000003</v>
      </c>
      <c r="K3055" s="1" t="s">
        <v>29</v>
      </c>
      <c r="L3055" s="1" t="s">
        <v>21</v>
      </c>
      <c r="M3055" s="1" t="s">
        <v>29</v>
      </c>
      <c r="N3055" s="1" t="s">
        <v>297</v>
      </c>
    </row>
    <row r="3056" spans="1:14" x14ac:dyDescent="0.25">
      <c r="A3056" s="1">
        <v>3055</v>
      </c>
      <c r="B3056" s="2" t="str">
        <f>HYPERLINK("https://leetcode.com/problems/top-percentile-fraud/", "Top Percentile Fraud")</f>
        <v>Top Percentile Fraud</v>
      </c>
      <c r="C3056" s="1">
        <v>10</v>
      </c>
      <c r="D3056" s="1">
        <v>6</v>
      </c>
      <c r="E3056" s="3">
        <f>IF(INDEX(C:C, ROW())+INDEX(D:D, ROW())=0, 0, INDEX(C:C, ROW())/(INDEX(C:C, ROW())+INDEX(D:D, ROW())))</f>
        <v>0.625</v>
      </c>
      <c r="F3056" s="1" t="s">
        <v>297</v>
      </c>
      <c r="G3056" s="1" t="s">
        <v>24</v>
      </c>
      <c r="H3056" s="1">
        <v>3171</v>
      </c>
      <c r="I3056" s="1">
        <v>5495</v>
      </c>
      <c r="J3056" s="7">
        <v>0.57699999999999996</v>
      </c>
      <c r="K3056" s="1" t="s">
        <v>29</v>
      </c>
      <c r="L3056" s="1" t="s">
        <v>29</v>
      </c>
      <c r="M3056" s="1" t="s">
        <v>29</v>
      </c>
      <c r="N3056" s="1" t="s">
        <v>297</v>
      </c>
    </row>
    <row r="3057" spans="1:14" x14ac:dyDescent="0.25">
      <c r="A3057" s="1">
        <v>3056</v>
      </c>
      <c r="B3057" s="2" t="str">
        <f>HYPERLINK("https://leetcode.com/problems/snaps-analysis/", "Snaps Analysis")</f>
        <v>Snaps Analysis</v>
      </c>
      <c r="C3057" s="1">
        <v>4</v>
      </c>
      <c r="D3057" s="1">
        <v>2</v>
      </c>
      <c r="E3057" s="3">
        <f>IF(INDEX(C:C, ROW())+INDEX(D:D, ROW())=0, 0, INDEX(C:C, ROW())/(INDEX(C:C, ROW())+INDEX(D:D, ROW())))</f>
        <v>0.66666666666666663</v>
      </c>
      <c r="F3057" s="1" t="s">
        <v>297</v>
      </c>
      <c r="G3057" s="1" t="s">
        <v>24</v>
      </c>
      <c r="H3057" s="1">
        <v>3374</v>
      </c>
      <c r="I3057" s="1">
        <v>5756</v>
      </c>
      <c r="J3057" s="7">
        <v>0.58599999999999997</v>
      </c>
      <c r="K3057" s="1" t="s">
        <v>29</v>
      </c>
      <c r="L3057" s="1" t="s">
        <v>29</v>
      </c>
      <c r="M3057" s="1" t="s">
        <v>29</v>
      </c>
      <c r="N3057" s="1" t="s">
        <v>297</v>
      </c>
    </row>
    <row r="3058" spans="1:14" x14ac:dyDescent="0.25">
      <c r="A3058" s="1">
        <v>3057</v>
      </c>
      <c r="B3058" s="2" t="str">
        <f>HYPERLINK("https://leetcode.com/problems/employees-project-allocation/", "Employees Project Allocation")</f>
        <v>Employees Project Allocation</v>
      </c>
      <c r="C3058" s="1">
        <v>5</v>
      </c>
      <c r="D3058" s="1">
        <v>4</v>
      </c>
      <c r="E3058" s="3">
        <f>IF(INDEX(C:C, ROW())+INDEX(D:D, ROW())=0, 0, INDEX(C:C, ROW())/(INDEX(C:C, ROW())+INDEX(D:D, ROW())))</f>
        <v>0.55555555555555558</v>
      </c>
      <c r="F3058" s="1" t="s">
        <v>297</v>
      </c>
      <c r="G3058" s="1" t="s">
        <v>28</v>
      </c>
      <c r="H3058" s="1">
        <v>2398</v>
      </c>
      <c r="I3058" s="1">
        <v>3563</v>
      </c>
      <c r="J3058" s="7">
        <v>0.67300000000000004</v>
      </c>
      <c r="K3058" s="1" t="s">
        <v>29</v>
      </c>
      <c r="L3058" s="1" t="s">
        <v>29</v>
      </c>
      <c r="M3058" s="1" t="s">
        <v>29</v>
      </c>
      <c r="N3058" s="1" t="s">
        <v>297</v>
      </c>
    </row>
    <row r="3059" spans="1:14" x14ac:dyDescent="0.25">
      <c r="A3059" s="1">
        <v>3058</v>
      </c>
      <c r="B3059" s="2" t="str">
        <f>HYPERLINK("https://leetcode.com/problems/friends-with-no-mutual-friends/", "Friends With No Mutual Friends")</f>
        <v>Friends With No Mutual Friends</v>
      </c>
      <c r="C3059" s="1">
        <v>20</v>
      </c>
      <c r="D3059" s="1">
        <v>3</v>
      </c>
      <c r="E3059" s="3">
        <f>IF(INDEX(C:C, ROW())+INDEX(D:D, ROW())=0, 0, INDEX(C:C, ROW())/(INDEX(C:C, ROW())+INDEX(D:D, ROW())))</f>
        <v>0.86956521739130432</v>
      </c>
      <c r="F3059" s="1" t="s">
        <v>297</v>
      </c>
      <c r="G3059" s="1" t="s">
        <v>24</v>
      </c>
      <c r="H3059" s="1">
        <v>2954</v>
      </c>
      <c r="I3059" s="1">
        <v>6066</v>
      </c>
      <c r="J3059" s="7">
        <v>0.48699999999999999</v>
      </c>
      <c r="K3059" s="1" t="s">
        <v>29</v>
      </c>
      <c r="L3059" s="1" t="s">
        <v>29</v>
      </c>
      <c r="M3059" s="1" t="s">
        <v>29</v>
      </c>
      <c r="N3059" s="1" t="s">
        <v>297</v>
      </c>
    </row>
    <row r="3060" spans="1:14" x14ac:dyDescent="0.25">
      <c r="A3060" s="1">
        <v>3059</v>
      </c>
      <c r="B3060" s="2" t="str">
        <f>HYPERLINK("https://leetcode.com/problems/find-all-unique-email-domains/", "Find All Unique Email Domains")</f>
        <v>Find All Unique Email Domains</v>
      </c>
      <c r="C3060" s="1">
        <v>13</v>
      </c>
      <c r="D3060" s="1">
        <v>8</v>
      </c>
      <c r="E3060" s="3">
        <f>IF(INDEX(C:C, ROW())+INDEX(D:D, ROW())=0, 0, INDEX(C:C, ROW())/(INDEX(C:C, ROW())+INDEX(D:D, ROW())))</f>
        <v>0.61904761904761907</v>
      </c>
      <c r="F3060" s="1" t="s">
        <v>297</v>
      </c>
      <c r="G3060" s="1" t="s">
        <v>20</v>
      </c>
      <c r="H3060" s="1">
        <v>4113</v>
      </c>
      <c r="I3060" s="1">
        <v>5906</v>
      </c>
      <c r="J3060" s="7">
        <v>0.69599999999999995</v>
      </c>
      <c r="K3060" s="1" t="s">
        <v>29</v>
      </c>
      <c r="L3060" s="1" t="s">
        <v>21</v>
      </c>
      <c r="M3060" s="1" t="s">
        <v>29</v>
      </c>
      <c r="N3060" s="1" t="s">
        <v>297</v>
      </c>
    </row>
    <row r="3061" spans="1:14" x14ac:dyDescent="0.25">
      <c r="A3061" s="1">
        <v>3060</v>
      </c>
      <c r="B3061" s="2" t="str">
        <f>HYPERLINK("https://leetcode.com/problems/user-activities-within-time-bounds/", "User Activities within Time Bounds")</f>
        <v>User Activities within Time Bounds</v>
      </c>
      <c r="C3061" s="1">
        <v>5</v>
      </c>
      <c r="D3061" s="1">
        <v>20</v>
      </c>
      <c r="E3061" s="3">
        <f>IF(INDEX(C:C, ROW())+INDEX(D:D, ROW())=0, 0, INDEX(C:C, ROW())/(INDEX(C:C, ROW())+INDEX(D:D, ROW())))</f>
        <v>0.2</v>
      </c>
      <c r="F3061" s="1" t="s">
        <v>297</v>
      </c>
      <c r="G3061" s="1" t="s">
        <v>28</v>
      </c>
      <c r="H3061" s="1">
        <v>2297</v>
      </c>
      <c r="I3061" s="1">
        <v>5629</v>
      </c>
      <c r="J3061" s="7">
        <v>0.40799999999999997</v>
      </c>
      <c r="K3061" s="1" t="s">
        <v>29</v>
      </c>
      <c r="L3061" s="1" t="s">
        <v>21</v>
      </c>
      <c r="M3061" s="1" t="s">
        <v>29</v>
      </c>
      <c r="N3061" s="1" t="s">
        <v>297</v>
      </c>
    </row>
    <row r="3062" spans="1:14" x14ac:dyDescent="0.25">
      <c r="A3062" s="1">
        <v>3061</v>
      </c>
      <c r="B3062" s="2" t="str">
        <f>HYPERLINK("https://leetcode.com/problems/calculate-trapping-rain-water/", "Calculate Trapping Rain Water")</f>
        <v>Calculate Trapping Rain Water</v>
      </c>
      <c r="C3062" s="1">
        <v>14</v>
      </c>
      <c r="D3062" s="1">
        <v>6</v>
      </c>
      <c r="E3062" s="3">
        <f>IF(INDEX(C:C, ROW())+INDEX(D:D, ROW())=0, 0, INDEX(C:C, ROW())/(INDEX(C:C, ROW())+INDEX(D:D, ROW())))</f>
        <v>0.7</v>
      </c>
      <c r="F3062" s="1" t="s">
        <v>297</v>
      </c>
      <c r="G3062" s="1" t="s">
        <v>28</v>
      </c>
      <c r="H3062" s="1">
        <v>1655</v>
      </c>
      <c r="I3062" s="1">
        <v>2025</v>
      </c>
      <c r="J3062" s="7">
        <v>0.81699999999999995</v>
      </c>
      <c r="K3062" s="1" t="s">
        <v>29</v>
      </c>
      <c r="L3062" s="1" t="s">
        <v>29</v>
      </c>
      <c r="M3062" s="1" t="s">
        <v>29</v>
      </c>
      <c r="N3062" s="1" t="s">
        <v>297</v>
      </c>
    </row>
    <row r="3063" spans="1:14" x14ac:dyDescent="0.25">
      <c r="A3063" s="1">
        <v>3062</v>
      </c>
      <c r="B3063" s="2" t="str">
        <f>HYPERLINK("https://leetcode.com/problems/winner-of-the-linked-list-game/", "Winner of the Linked List Game")</f>
        <v>Winner of the Linked List Game</v>
      </c>
      <c r="C3063" s="1">
        <v>32</v>
      </c>
      <c r="D3063" s="1">
        <v>5</v>
      </c>
      <c r="E3063" s="3">
        <f>IF(INDEX(C:C, ROW())+INDEX(D:D, ROW())=0, 0, INDEX(C:C, ROW())/(INDEX(C:C, ROW())+INDEX(D:D, ROW())))</f>
        <v>0.86486486486486491</v>
      </c>
      <c r="F3063" s="1" t="s">
        <v>104</v>
      </c>
      <c r="G3063" s="1" t="s">
        <v>20</v>
      </c>
      <c r="H3063" s="1">
        <v>11873</v>
      </c>
      <c r="I3063" s="1">
        <v>15301</v>
      </c>
      <c r="J3063" s="7">
        <v>0.77600000000000002</v>
      </c>
      <c r="K3063" s="1" t="s">
        <v>29</v>
      </c>
      <c r="L3063" s="1" t="s">
        <v>21</v>
      </c>
      <c r="M3063" s="1" t="s">
        <v>29</v>
      </c>
      <c r="N3063" s="1" t="s">
        <v>22</v>
      </c>
    </row>
    <row r="3064" spans="1:14" x14ac:dyDescent="0.25">
      <c r="A3064" s="1">
        <v>3063</v>
      </c>
      <c r="B3064" s="2" t="str">
        <f>HYPERLINK("https://leetcode.com/problems/linked-list-frequency/", "Linked List Frequency")</f>
        <v>Linked List Frequency</v>
      </c>
      <c r="C3064" s="1">
        <v>49</v>
      </c>
      <c r="D3064" s="1">
        <v>21</v>
      </c>
      <c r="E3064" s="3">
        <f>IF(INDEX(C:C, ROW())+INDEX(D:D, ROW())=0, 0, INDEX(C:C, ROW())/(INDEX(C:C, ROW())+INDEX(D:D, ROW())))</f>
        <v>0.7</v>
      </c>
      <c r="F3064" s="1" t="s">
        <v>1268</v>
      </c>
      <c r="G3064" s="1" t="s">
        <v>20</v>
      </c>
      <c r="H3064" s="1">
        <v>14815</v>
      </c>
      <c r="I3064" s="1">
        <v>17346</v>
      </c>
      <c r="J3064" s="7">
        <v>0.85399999999999998</v>
      </c>
      <c r="K3064" s="1" t="s">
        <v>29</v>
      </c>
      <c r="L3064" s="1" t="s">
        <v>21</v>
      </c>
      <c r="M3064" s="1" t="s">
        <v>29</v>
      </c>
      <c r="N3064" s="1" t="s">
        <v>22</v>
      </c>
    </row>
    <row r="3065" spans="1:14" x14ac:dyDescent="0.25">
      <c r="A3065" s="1">
        <v>3064</v>
      </c>
      <c r="B3065" s="2" t="str">
        <f>HYPERLINK("https://leetcode.com/problems/guess-the-number-using-bitwise-questions-i/", "Guess the Number Using Bitwise Questions I")</f>
        <v>Guess the Number Using Bitwise Questions I</v>
      </c>
      <c r="C3065" s="1">
        <v>12</v>
      </c>
      <c r="D3065" s="1">
        <v>11</v>
      </c>
      <c r="E3065" s="3">
        <f>IF(INDEX(C:C, ROW())+INDEX(D:D, ROW())=0, 0, INDEX(C:C, ROW())/(INDEX(C:C, ROW())+INDEX(D:D, ROW())))</f>
        <v>0.52173913043478259</v>
      </c>
      <c r="F3065" s="1" t="s">
        <v>1323</v>
      </c>
      <c r="G3065" s="1" t="s">
        <v>24</v>
      </c>
      <c r="H3065" s="1">
        <v>2294</v>
      </c>
      <c r="I3065" s="1">
        <v>2579</v>
      </c>
      <c r="J3065" s="7">
        <v>0.88900000000000001</v>
      </c>
      <c r="K3065" s="1" t="s">
        <v>29</v>
      </c>
      <c r="L3065" s="1" t="s">
        <v>29</v>
      </c>
      <c r="M3065" s="1" t="s">
        <v>29</v>
      </c>
      <c r="N3065" s="1" t="s">
        <v>22</v>
      </c>
    </row>
    <row r="3066" spans="1:14" x14ac:dyDescent="0.25">
      <c r="A3066" s="1">
        <v>3065</v>
      </c>
      <c r="B3066" s="2" t="str">
        <f>HYPERLINK("https://leetcode.com/problems/minimum-operations-to-exceed-threshold-value-i/", "Minimum Operations to Exceed Threshold Value I")</f>
        <v>Minimum Operations to Exceed Threshold Value I</v>
      </c>
      <c r="C3066" s="1">
        <v>172</v>
      </c>
      <c r="D3066" s="1">
        <v>17</v>
      </c>
      <c r="E3066" s="3">
        <f>IF(INDEX(C:C, ROW())+INDEX(D:D, ROW())=0, 0, INDEX(C:C, ROW())/(INDEX(C:C, ROW())+INDEX(D:D, ROW())))</f>
        <v>0.91005291005291</v>
      </c>
      <c r="F3066" s="1" t="s">
        <v>113</v>
      </c>
      <c r="G3066" s="1" t="s">
        <v>20</v>
      </c>
      <c r="H3066" s="1">
        <v>101682</v>
      </c>
      <c r="I3066" s="1">
        <v>117391</v>
      </c>
      <c r="J3066" s="7">
        <v>0.86599999999999999</v>
      </c>
      <c r="K3066" s="1" t="s">
        <v>21</v>
      </c>
      <c r="L3066" s="1" t="s">
        <v>29</v>
      </c>
      <c r="M3066" s="1" t="s">
        <v>29</v>
      </c>
      <c r="N3066" s="1" t="s">
        <v>22</v>
      </c>
    </row>
    <row r="3067" spans="1:14" x14ac:dyDescent="0.25">
      <c r="A3067" s="1">
        <v>3066</v>
      </c>
      <c r="B3067" s="2" t="str">
        <f>HYPERLINK("https://leetcode.com/problems/minimum-operations-to-exceed-threshold-value-ii/", "Minimum Operations to Exceed Threshold Value II")</f>
        <v>Minimum Operations to Exceed Threshold Value II</v>
      </c>
      <c r="C3067" s="1">
        <v>631</v>
      </c>
      <c r="D3067" s="1">
        <v>70</v>
      </c>
      <c r="E3067" s="3">
        <f>IF(INDEX(C:C, ROW())+INDEX(D:D, ROW())=0, 0, INDEX(C:C, ROW())/(INDEX(C:C, ROW())+INDEX(D:D, ROW())))</f>
        <v>0.90014265335235377</v>
      </c>
      <c r="F3067" s="1" t="s">
        <v>751</v>
      </c>
      <c r="G3067" s="1" t="s">
        <v>24</v>
      </c>
      <c r="H3067" s="1">
        <v>189280</v>
      </c>
      <c r="I3067" s="1">
        <v>413164</v>
      </c>
      <c r="J3067" s="7">
        <v>0.45800000000000002</v>
      </c>
      <c r="K3067" s="1" t="s">
        <v>21</v>
      </c>
      <c r="L3067" s="1" t="s">
        <v>21</v>
      </c>
      <c r="M3067" s="1" t="s">
        <v>29</v>
      </c>
      <c r="N3067" s="1" t="s">
        <v>22</v>
      </c>
    </row>
    <row r="3068" spans="1:14" x14ac:dyDescent="0.25">
      <c r="A3068" s="1">
        <v>3067</v>
      </c>
      <c r="B3068" s="2" t="str">
        <f>HYPERLINK("https://leetcode.com/problems/count-pairs-of-connectable-servers-in-a-weighted-tree-network/", "Count Pairs of Connectable Servers in a Weighted Tree Network")</f>
        <v>Count Pairs of Connectable Servers in a Weighted Tree Network</v>
      </c>
      <c r="C3068" s="1">
        <v>237</v>
      </c>
      <c r="D3068" s="1">
        <v>29</v>
      </c>
      <c r="E3068" s="3">
        <f>IF(INDEX(C:C, ROW())+INDEX(D:D, ROW())=0, 0, INDEX(C:C, ROW())/(INDEX(C:C, ROW())+INDEX(D:D, ROW())))</f>
        <v>0.89097744360902253</v>
      </c>
      <c r="F3068" s="1" t="s">
        <v>1073</v>
      </c>
      <c r="G3068" s="1" t="s">
        <v>24</v>
      </c>
      <c r="H3068" s="1">
        <v>16154</v>
      </c>
      <c r="I3068" s="1">
        <v>29073</v>
      </c>
      <c r="J3068" s="7">
        <v>0.55600000000000005</v>
      </c>
      <c r="K3068" s="1" t="s">
        <v>21</v>
      </c>
      <c r="L3068" s="1" t="s">
        <v>29</v>
      </c>
      <c r="M3068" s="1" t="s">
        <v>29</v>
      </c>
      <c r="N3068" s="1" t="s">
        <v>22</v>
      </c>
    </row>
    <row r="3069" spans="1:14" x14ac:dyDescent="0.25">
      <c r="A3069" s="1">
        <v>3068</v>
      </c>
      <c r="B3069" s="2" t="str">
        <f>HYPERLINK("https://leetcode.com/problems/find-the-maximum-sum-of-node-values/", "Find the Maximum Sum of Node Values")</f>
        <v>Find the Maximum Sum of Node Values</v>
      </c>
      <c r="C3069" s="1">
        <v>919</v>
      </c>
      <c r="D3069" s="1">
        <v>133</v>
      </c>
      <c r="E3069" s="3">
        <f>IF(INDEX(C:C, ROW())+INDEX(D:D, ROW())=0, 0, INDEX(C:C, ROW())/(INDEX(C:C, ROW())+INDEX(D:D, ROW())))</f>
        <v>0.87357414448669202</v>
      </c>
      <c r="F3069" s="1" t="s">
        <v>733</v>
      </c>
      <c r="G3069" s="1" t="s">
        <v>28</v>
      </c>
      <c r="H3069" s="1">
        <v>138307</v>
      </c>
      <c r="I3069" s="1">
        <v>198977</v>
      </c>
      <c r="J3069" s="7">
        <v>0.69499999999999995</v>
      </c>
      <c r="K3069" s="1" t="s">
        <v>21</v>
      </c>
      <c r="L3069" s="1" t="s">
        <v>21</v>
      </c>
      <c r="M3069" s="1" t="s">
        <v>29</v>
      </c>
      <c r="N3069" s="1" t="s">
        <v>22</v>
      </c>
    </row>
    <row r="3070" spans="1:14" x14ac:dyDescent="0.25">
      <c r="A3070" s="1">
        <v>3069</v>
      </c>
      <c r="B3070" s="2" t="str">
        <f>HYPERLINK("https://leetcode.com/problems/distribute-elements-into-two-arrays-i/", "Distribute Elements Into Two Arrays I")</f>
        <v>Distribute Elements Into Two Arrays I</v>
      </c>
      <c r="C3070" s="1">
        <v>121</v>
      </c>
      <c r="D3070" s="1">
        <v>29</v>
      </c>
      <c r="E3070" s="3">
        <f>IF(INDEX(C:C, ROW())+INDEX(D:D, ROW())=0, 0, INDEX(C:C, ROW())/(INDEX(C:C, ROW())+INDEX(D:D, ROW())))</f>
        <v>0.80666666666666664</v>
      </c>
      <c r="F3070" s="1" t="s">
        <v>306</v>
      </c>
      <c r="G3070" s="1" t="s">
        <v>20</v>
      </c>
      <c r="H3070" s="1">
        <v>58072</v>
      </c>
      <c r="I3070" s="1">
        <v>78677</v>
      </c>
      <c r="J3070" s="7">
        <v>0.73799999999999999</v>
      </c>
      <c r="K3070" s="1" t="s">
        <v>21</v>
      </c>
      <c r="L3070" s="1" t="s">
        <v>29</v>
      </c>
      <c r="M3070" s="1" t="s">
        <v>29</v>
      </c>
      <c r="N3070" s="1" t="s">
        <v>22</v>
      </c>
    </row>
    <row r="3071" spans="1:14" x14ac:dyDescent="0.25">
      <c r="A3071" s="1">
        <v>3070</v>
      </c>
      <c r="B3071" s="2" t="str">
        <f>HYPERLINK("https://leetcode.com/problems/count-submatrices-with-top-left-element-and-sum-less-than-k/", "Count Submatrices with Top-Left Element and Sum Less Than k")</f>
        <v>Count Submatrices with Top-Left Element and Sum Less Than k</v>
      </c>
      <c r="C3071" s="1">
        <v>164</v>
      </c>
      <c r="D3071" s="1">
        <v>6</v>
      </c>
      <c r="E3071" s="3">
        <f>IF(INDEX(C:C, ROW())+INDEX(D:D, ROW())=0, 0, INDEX(C:C, ROW())/(INDEX(C:C, ROW())+INDEX(D:D, ROW())))</f>
        <v>0.96470588235294119</v>
      </c>
      <c r="F3071" s="1" t="s">
        <v>425</v>
      </c>
      <c r="G3071" s="1" t="s">
        <v>24</v>
      </c>
      <c r="H3071" s="1">
        <v>31017</v>
      </c>
      <c r="I3071" s="1">
        <v>53239</v>
      </c>
      <c r="J3071" s="7">
        <v>0.58299999999999996</v>
      </c>
      <c r="K3071" s="1" t="s">
        <v>21</v>
      </c>
      <c r="L3071" s="1" t="s">
        <v>29</v>
      </c>
      <c r="M3071" s="1" t="s">
        <v>29</v>
      </c>
      <c r="N3071" s="1" t="s">
        <v>22</v>
      </c>
    </row>
    <row r="3072" spans="1:14" x14ac:dyDescent="0.25">
      <c r="A3072" s="1">
        <v>3071</v>
      </c>
      <c r="B3072" s="2" t="str">
        <f>HYPERLINK("https://leetcode.com/problems/minimum-operations-to-write-the-letter-y-on-a-grid/", "Minimum Operations to Write the Letter Y on a Grid")</f>
        <v>Minimum Operations to Write the Letter Y on a Grid</v>
      </c>
      <c r="C3072" s="1">
        <v>147</v>
      </c>
      <c r="D3072" s="1">
        <v>34</v>
      </c>
      <c r="E3072" s="3">
        <f>IF(INDEX(C:C, ROW())+INDEX(D:D, ROW())=0, 0, INDEX(C:C, ROW())/(INDEX(C:C, ROW())+INDEX(D:D, ROW())))</f>
        <v>0.81215469613259672</v>
      </c>
      <c r="F3072" s="1" t="s">
        <v>1139</v>
      </c>
      <c r="G3072" s="1" t="s">
        <v>24</v>
      </c>
      <c r="H3072" s="1">
        <v>35418</v>
      </c>
      <c r="I3072" s="1">
        <v>55106</v>
      </c>
      <c r="J3072" s="7">
        <v>0.64300000000000002</v>
      </c>
      <c r="K3072" s="1" t="s">
        <v>21</v>
      </c>
      <c r="L3072" s="1" t="s">
        <v>29</v>
      </c>
      <c r="M3072" s="1" t="s">
        <v>29</v>
      </c>
      <c r="N3072" s="1" t="s">
        <v>22</v>
      </c>
    </row>
    <row r="3073" spans="1:14" x14ac:dyDescent="0.25">
      <c r="A3073" s="1">
        <v>3072</v>
      </c>
      <c r="B3073" s="2" t="str">
        <f>HYPERLINK("https://leetcode.com/problems/distribute-elements-into-two-arrays-ii/", "Distribute Elements Into Two Arrays II")</f>
        <v>Distribute Elements Into Two Arrays II</v>
      </c>
      <c r="C3073" s="1">
        <v>157</v>
      </c>
      <c r="D3073" s="1">
        <v>14</v>
      </c>
      <c r="E3073" s="3">
        <f>IF(INDEX(C:C, ROW())+INDEX(D:D, ROW())=0, 0, INDEX(C:C, ROW())/(INDEX(C:C, ROW())+INDEX(D:D, ROW())))</f>
        <v>0.91812865497076024</v>
      </c>
      <c r="F3073" s="1" t="s">
        <v>1130</v>
      </c>
      <c r="G3073" s="1" t="s">
        <v>28</v>
      </c>
      <c r="H3073" s="1">
        <v>13753</v>
      </c>
      <c r="I3073" s="1">
        <v>45360</v>
      </c>
      <c r="J3073" s="7">
        <v>0.30299999999999999</v>
      </c>
      <c r="K3073" s="1" t="s">
        <v>21</v>
      </c>
      <c r="L3073" s="1" t="s">
        <v>29</v>
      </c>
      <c r="M3073" s="1" t="s">
        <v>29</v>
      </c>
      <c r="N3073" s="1" t="s">
        <v>22</v>
      </c>
    </row>
    <row r="3074" spans="1:14" x14ac:dyDescent="0.25">
      <c r="A3074" s="1">
        <v>3073</v>
      </c>
      <c r="B3074" s="2" t="str">
        <f>HYPERLINK("https://leetcode.com/problems/maximum-increasing-triplet-value/", "Maximum Increasing Triplet Value")</f>
        <v>Maximum Increasing Triplet Value</v>
      </c>
      <c r="C3074" s="1">
        <v>22</v>
      </c>
      <c r="D3074" s="1">
        <v>7</v>
      </c>
      <c r="E3074" s="3">
        <f>IF(INDEX(C:C, ROW())+INDEX(D:D, ROW())=0, 0, INDEX(C:C, ROW())/(INDEX(C:C, ROW())+INDEX(D:D, ROW())))</f>
        <v>0.75862068965517238</v>
      </c>
      <c r="F3074" s="1" t="s">
        <v>1315</v>
      </c>
      <c r="G3074" s="1" t="s">
        <v>24</v>
      </c>
      <c r="H3074" s="1">
        <v>1336</v>
      </c>
      <c r="I3074" s="1">
        <v>3747</v>
      </c>
      <c r="J3074" s="7">
        <v>0.35699999999999998</v>
      </c>
      <c r="K3074" s="1" t="s">
        <v>29</v>
      </c>
      <c r="L3074" s="1" t="s">
        <v>29</v>
      </c>
      <c r="M3074" s="1" t="s">
        <v>29</v>
      </c>
      <c r="N3074" s="1" t="s">
        <v>22</v>
      </c>
    </row>
    <row r="3075" spans="1:14" x14ac:dyDescent="0.25">
      <c r="A3075" s="1">
        <v>3074</v>
      </c>
      <c r="B3075" s="2" t="str">
        <f>HYPERLINK("https://leetcode.com/problems/apple-redistribution-into-boxes/", "Apple Redistribution into Boxes")</f>
        <v>Apple Redistribution into Boxes</v>
      </c>
      <c r="C3075" s="1">
        <v>408</v>
      </c>
      <c r="D3075" s="1">
        <v>24</v>
      </c>
      <c r="E3075" s="3">
        <f>IF(INDEX(C:C, ROW())+INDEX(D:D, ROW())=0, 0, INDEX(C:C, ROW())/(INDEX(C:C, ROW())+INDEX(D:D, ROW())))</f>
        <v>0.94444444444444442</v>
      </c>
      <c r="F3075" s="1" t="s">
        <v>169</v>
      </c>
      <c r="G3075" s="1" t="s">
        <v>20</v>
      </c>
      <c r="H3075" s="1">
        <v>165123</v>
      </c>
      <c r="I3075" s="1">
        <v>210501</v>
      </c>
      <c r="J3075" s="7">
        <v>0.78400000000000003</v>
      </c>
      <c r="K3075" s="1" t="s">
        <v>21</v>
      </c>
      <c r="L3075" s="1" t="s">
        <v>21</v>
      </c>
      <c r="M3075" s="1" t="s">
        <v>29</v>
      </c>
      <c r="N3075" s="1" t="s">
        <v>22</v>
      </c>
    </row>
    <row r="3076" spans="1:14" x14ac:dyDescent="0.25">
      <c r="A3076" s="1">
        <v>3075</v>
      </c>
      <c r="B3076" s="2" t="str">
        <f>HYPERLINK("https://leetcode.com/problems/maximize-happiness-of-selected-children/", "Maximize Happiness of Selected Children")</f>
        <v>Maximize Happiness of Selected Children</v>
      </c>
      <c r="C3076" s="1">
        <v>936</v>
      </c>
      <c r="D3076" s="1">
        <v>99</v>
      </c>
      <c r="E3076" s="3">
        <f>IF(INDEX(C:C, ROW())+INDEX(D:D, ROW())=0, 0, INDEX(C:C, ROW())/(INDEX(C:C, ROW())+INDEX(D:D, ROW())))</f>
        <v>0.90434782608695652</v>
      </c>
      <c r="F3076" s="1" t="s">
        <v>169</v>
      </c>
      <c r="G3076" s="1" t="s">
        <v>24</v>
      </c>
      <c r="H3076" s="1">
        <v>286070</v>
      </c>
      <c r="I3076" s="1">
        <v>487443</v>
      </c>
      <c r="J3076" s="7">
        <v>0.58699999999999997</v>
      </c>
      <c r="K3076" s="1" t="s">
        <v>21</v>
      </c>
      <c r="L3076" s="1" t="s">
        <v>21</v>
      </c>
      <c r="M3076" s="1" t="s">
        <v>29</v>
      </c>
      <c r="N3076" s="1" t="s">
        <v>22</v>
      </c>
    </row>
    <row r="3077" spans="1:14" x14ac:dyDescent="0.25">
      <c r="A3077" s="1">
        <v>3076</v>
      </c>
      <c r="B3077" s="2" t="str">
        <f>HYPERLINK("https://leetcode.com/problems/shortest-uncommon-substring-in-an-array/", "Shortest Uncommon Substring in an Array")</f>
        <v>Shortest Uncommon Substring in an Array</v>
      </c>
      <c r="C3077" s="1">
        <v>169</v>
      </c>
      <c r="D3077" s="1">
        <v>28</v>
      </c>
      <c r="E3077" s="3">
        <f>IF(INDEX(C:C, ROW())+INDEX(D:D, ROW())=0, 0, INDEX(C:C, ROW())/(INDEX(C:C, ROW())+INDEX(D:D, ROW())))</f>
        <v>0.85786802030456855</v>
      </c>
      <c r="F3077" s="1" t="s">
        <v>279</v>
      </c>
      <c r="G3077" s="1" t="s">
        <v>24</v>
      </c>
      <c r="H3077" s="1">
        <v>35114</v>
      </c>
      <c r="I3077" s="1">
        <v>70240</v>
      </c>
      <c r="J3077" s="7">
        <v>0.5</v>
      </c>
      <c r="K3077" s="1" t="s">
        <v>21</v>
      </c>
      <c r="L3077" s="1" t="s">
        <v>29</v>
      </c>
      <c r="M3077" s="1" t="s">
        <v>29</v>
      </c>
      <c r="N3077" s="1" t="s">
        <v>22</v>
      </c>
    </row>
    <row r="3078" spans="1:14" x14ac:dyDescent="0.25">
      <c r="A3078" s="1">
        <v>3077</v>
      </c>
      <c r="B3078" s="2" t="str">
        <f>HYPERLINK("https://leetcode.com/problems/maximum-strength-of-k-disjoint-subarrays/", "Maximum Strength of K Disjoint Subarrays")</f>
        <v>Maximum Strength of K Disjoint Subarrays</v>
      </c>
      <c r="C3078" s="1">
        <v>174</v>
      </c>
      <c r="D3078" s="1">
        <v>75</v>
      </c>
      <c r="E3078" s="3">
        <f>IF(INDEX(C:C, ROW())+INDEX(D:D, ROW())=0, 0, INDEX(C:C, ROW())/(INDEX(C:C, ROW())+INDEX(D:D, ROW())))</f>
        <v>0.6987951807228916</v>
      </c>
      <c r="F3078" s="1" t="s">
        <v>407</v>
      </c>
      <c r="G3078" s="1" t="s">
        <v>28</v>
      </c>
      <c r="H3078" s="1">
        <v>8413</v>
      </c>
      <c r="I3078" s="1">
        <v>30598</v>
      </c>
      <c r="J3078" s="7">
        <v>0.27500000000000002</v>
      </c>
      <c r="K3078" s="1" t="s">
        <v>21</v>
      </c>
      <c r="L3078" s="1" t="s">
        <v>29</v>
      </c>
      <c r="M3078" s="1" t="s">
        <v>29</v>
      </c>
      <c r="N3078" s="1" t="s">
        <v>22</v>
      </c>
    </row>
    <row r="3079" spans="1:14" x14ac:dyDescent="0.25">
      <c r="A3079" s="1">
        <v>3078</v>
      </c>
      <c r="B3079" s="2" t="str">
        <f>HYPERLINK("https://leetcode.com/problems/match-alphanumerical-pattern-in-matrix-i/", "Match Alphanumerical Pattern in Matrix I")</f>
        <v>Match Alphanumerical Pattern in Matrix I</v>
      </c>
      <c r="C3079" s="1">
        <v>11</v>
      </c>
      <c r="D3079" s="1">
        <v>5</v>
      </c>
      <c r="E3079" s="3">
        <f>IF(INDEX(C:C, ROW())+INDEX(D:D, ROW())=0, 0, INDEX(C:C, ROW())/(INDEX(C:C, ROW())+INDEX(D:D, ROW())))</f>
        <v>0.6875</v>
      </c>
      <c r="F3079" s="1" t="s">
        <v>1328</v>
      </c>
      <c r="G3079" s="1" t="s">
        <v>24</v>
      </c>
      <c r="H3079" s="1">
        <v>1266</v>
      </c>
      <c r="I3079" s="1">
        <v>1969</v>
      </c>
      <c r="J3079" s="7">
        <v>0.64300000000000002</v>
      </c>
      <c r="K3079" s="1" t="s">
        <v>29</v>
      </c>
      <c r="L3079" s="1" t="s">
        <v>29</v>
      </c>
      <c r="M3079" s="1" t="s">
        <v>29</v>
      </c>
      <c r="N3079" s="1" t="s">
        <v>22</v>
      </c>
    </row>
    <row r="3080" spans="1:14" x14ac:dyDescent="0.25">
      <c r="A3080" s="1">
        <v>3079</v>
      </c>
      <c r="B3080" s="2" t="str">
        <f>HYPERLINK("https://leetcode.com/problems/find-the-sum-of-encrypted-integers/", "Find the Sum of Encrypted Integers")</f>
        <v>Find the Sum of Encrypted Integers</v>
      </c>
      <c r="C3080" s="1">
        <v>135</v>
      </c>
      <c r="D3080" s="1">
        <v>20</v>
      </c>
      <c r="E3080" s="3">
        <f>IF(INDEX(C:C, ROW())+INDEX(D:D, ROW())=0, 0, INDEX(C:C, ROW())/(INDEX(C:C, ROW())+INDEX(D:D, ROW())))</f>
        <v>0.87096774193548387</v>
      </c>
      <c r="F3080" s="1" t="s">
        <v>115</v>
      </c>
      <c r="G3080" s="1" t="s">
        <v>20</v>
      </c>
      <c r="H3080" s="1">
        <v>61641</v>
      </c>
      <c r="I3080" s="1">
        <v>82478</v>
      </c>
      <c r="J3080" s="7">
        <v>0.747</v>
      </c>
      <c r="K3080" s="1" t="s">
        <v>21</v>
      </c>
      <c r="L3080" s="1" t="s">
        <v>29</v>
      </c>
      <c r="M3080" s="1" t="s">
        <v>29</v>
      </c>
      <c r="N3080" s="1" t="s">
        <v>22</v>
      </c>
    </row>
    <row r="3081" spans="1:14" x14ac:dyDescent="0.25">
      <c r="A3081" s="1">
        <v>3080</v>
      </c>
      <c r="B3081" s="2" t="str">
        <f>HYPERLINK("https://leetcode.com/problems/mark-elements-on-array-by-performing-queries/", "Mark Elements on Array by Performing Queries")</f>
        <v>Mark Elements on Array by Performing Queries</v>
      </c>
      <c r="C3081" s="1">
        <v>129</v>
      </c>
      <c r="D3081" s="1">
        <v>28</v>
      </c>
      <c r="E3081" s="3">
        <f>IF(INDEX(C:C, ROW())+INDEX(D:D, ROW())=0, 0, INDEX(C:C, ROW())/(INDEX(C:C, ROW())+INDEX(D:D, ROW())))</f>
        <v>0.82165605095541405</v>
      </c>
      <c r="F3081" s="1" t="s">
        <v>432</v>
      </c>
      <c r="G3081" s="1" t="s">
        <v>24</v>
      </c>
      <c r="H3081" s="1">
        <v>22247</v>
      </c>
      <c r="I3081" s="1">
        <v>45333</v>
      </c>
      <c r="J3081" s="7">
        <v>0.49099999999999999</v>
      </c>
      <c r="K3081" s="1" t="s">
        <v>21</v>
      </c>
      <c r="L3081" s="1" t="s">
        <v>29</v>
      </c>
      <c r="M3081" s="1" t="s">
        <v>29</v>
      </c>
      <c r="N3081" s="1" t="s">
        <v>22</v>
      </c>
    </row>
    <row r="3082" spans="1:14" x14ac:dyDescent="0.25">
      <c r="A3082" s="1">
        <v>3081</v>
      </c>
      <c r="B3082" s="2" t="str">
        <f>HYPERLINK("https://leetcode.com/problems/replace-question-marks-in-string-to-minimize-its-value/", "Replace Question Marks in String to Minimize Its Value")</f>
        <v>Replace Question Marks in String to Minimize Its Value</v>
      </c>
      <c r="C3082" s="1">
        <v>204</v>
      </c>
      <c r="D3082" s="1">
        <v>32</v>
      </c>
      <c r="E3082" s="3">
        <f>IF(INDEX(C:C, ROW())+INDEX(D:D, ROW())=0, 0, INDEX(C:C, ROW())/(INDEX(C:C, ROW())+INDEX(D:D, ROW())))</f>
        <v>0.86440677966101698</v>
      </c>
      <c r="F3082" s="1" t="s">
        <v>148</v>
      </c>
      <c r="G3082" s="1" t="s">
        <v>24</v>
      </c>
      <c r="H3082" s="1">
        <v>17582</v>
      </c>
      <c r="I3082" s="1">
        <v>60713</v>
      </c>
      <c r="J3082" s="7">
        <v>0.28999999999999998</v>
      </c>
      <c r="K3082" s="1" t="s">
        <v>21</v>
      </c>
      <c r="L3082" s="1" t="s">
        <v>29</v>
      </c>
      <c r="M3082" s="1" t="s">
        <v>29</v>
      </c>
      <c r="N3082" s="1" t="s">
        <v>22</v>
      </c>
    </row>
    <row r="3083" spans="1:14" x14ac:dyDescent="0.25">
      <c r="A3083" s="1">
        <v>3082</v>
      </c>
      <c r="B3083" s="2" t="str">
        <f>HYPERLINK("https://leetcode.com/problems/find-the-sum-of-the-power-of-all-subsequences/", "Find the Sum of the Power of All Subsequences")</f>
        <v>Find the Sum of the Power of All Subsequences</v>
      </c>
      <c r="C3083" s="1">
        <v>168</v>
      </c>
      <c r="D3083" s="1">
        <v>4</v>
      </c>
      <c r="E3083" s="3">
        <f>IF(INDEX(C:C, ROW())+INDEX(D:D, ROW())=0, 0, INDEX(C:C, ROW())/(INDEX(C:C, ROW())+INDEX(D:D, ROW())))</f>
        <v>0.97674418604651159</v>
      </c>
      <c r="F3083" s="1" t="s">
        <v>30</v>
      </c>
      <c r="G3083" s="1" t="s">
        <v>28</v>
      </c>
      <c r="H3083" s="1">
        <v>9818</v>
      </c>
      <c r="I3083" s="1">
        <v>25811</v>
      </c>
      <c r="J3083" s="7">
        <v>0.38</v>
      </c>
      <c r="K3083" s="1" t="s">
        <v>21</v>
      </c>
      <c r="L3083" s="1" t="s">
        <v>29</v>
      </c>
      <c r="M3083" s="1" t="s">
        <v>29</v>
      </c>
      <c r="N3083" s="1" t="s">
        <v>22</v>
      </c>
    </row>
    <row r="3084" spans="1:14" x14ac:dyDescent="0.25">
      <c r="A3084" s="1">
        <v>3083</v>
      </c>
      <c r="B3084" s="2" t="str">
        <f>HYPERLINK("https://leetcode.com/problems/existence-of-a-substring-in-a-string-and-its-reverse/", "Existence of a Substring in a String and Its Reverse")</f>
        <v>Existence of a Substring in a String and Its Reverse</v>
      </c>
      <c r="C3084" s="1">
        <v>111</v>
      </c>
      <c r="D3084" s="1">
        <v>1</v>
      </c>
      <c r="E3084" s="3">
        <f>IF(INDEX(C:C, ROW())+INDEX(D:D, ROW())=0, 0, INDEX(C:C, ROW())/(INDEX(C:C, ROW())+INDEX(D:D, ROW())))</f>
        <v>0.9910714285714286</v>
      </c>
      <c r="F3084" s="1" t="s">
        <v>131</v>
      </c>
      <c r="G3084" s="1" t="s">
        <v>20</v>
      </c>
      <c r="H3084" s="1">
        <v>55761</v>
      </c>
      <c r="I3084" s="1">
        <v>83958</v>
      </c>
      <c r="J3084" s="7">
        <v>0.66400000000000003</v>
      </c>
      <c r="K3084" s="1" t="s">
        <v>21</v>
      </c>
      <c r="L3084" s="1" t="s">
        <v>29</v>
      </c>
      <c r="M3084" s="1" t="s">
        <v>29</v>
      </c>
      <c r="N3084" s="1" t="s">
        <v>22</v>
      </c>
    </row>
    <row r="3085" spans="1:14" x14ac:dyDescent="0.25">
      <c r="A3085" s="1">
        <v>3084</v>
      </c>
      <c r="B3085" s="2" t="str">
        <f>HYPERLINK("https://leetcode.com/problems/count-substrings-starting-and-ending-with-given-character/", "Count Substrings Starting and Ending with Given Character")</f>
        <v>Count Substrings Starting and Ending with Given Character</v>
      </c>
      <c r="C3085" s="1">
        <v>148</v>
      </c>
      <c r="D3085" s="1">
        <v>9</v>
      </c>
      <c r="E3085" s="3">
        <f>IF(INDEX(C:C, ROW())+INDEX(D:D, ROW())=0, 0, INDEX(C:C, ROW())/(INDEX(C:C, ROW())+INDEX(D:D, ROW())))</f>
        <v>0.9426751592356688</v>
      </c>
      <c r="F3085" s="1" t="s">
        <v>1135</v>
      </c>
      <c r="G3085" s="1" t="s">
        <v>24</v>
      </c>
      <c r="H3085" s="1">
        <v>45560</v>
      </c>
      <c r="I3085" s="1">
        <v>91374</v>
      </c>
      <c r="J3085" s="7">
        <v>0.499</v>
      </c>
      <c r="K3085" s="1" t="s">
        <v>21</v>
      </c>
      <c r="L3085" s="1" t="s">
        <v>29</v>
      </c>
      <c r="M3085" s="1" t="s">
        <v>29</v>
      </c>
      <c r="N3085" s="1" t="s">
        <v>22</v>
      </c>
    </row>
    <row r="3086" spans="1:14" x14ac:dyDescent="0.25">
      <c r="A3086" s="1">
        <v>3085</v>
      </c>
      <c r="B3086" s="2" t="str">
        <f>HYPERLINK("https://leetcode.com/problems/minimum-deletions-to-make-string-k-special/", "Minimum Deletions to Make String K-Special")</f>
        <v>Minimum Deletions to Make String K-Special</v>
      </c>
      <c r="C3086" s="1">
        <v>679</v>
      </c>
      <c r="D3086" s="1">
        <v>53</v>
      </c>
      <c r="E3086" s="3">
        <f>IF(INDEX(C:C, ROW())+INDEX(D:D, ROW())=0, 0, INDEX(C:C, ROW())/(INDEX(C:C, ROW())+INDEX(D:D, ROW())))</f>
        <v>0.92759562841530052</v>
      </c>
      <c r="F3086" s="1" t="s">
        <v>772</v>
      </c>
      <c r="G3086" s="1" t="s">
        <v>24</v>
      </c>
      <c r="H3086" s="1">
        <v>110217</v>
      </c>
      <c r="I3086" s="1">
        <v>164054</v>
      </c>
      <c r="J3086" s="7">
        <v>0.67200000000000004</v>
      </c>
      <c r="K3086" s="1" t="s">
        <v>21</v>
      </c>
      <c r="L3086" s="1" t="s">
        <v>21</v>
      </c>
      <c r="M3086" s="1" t="s">
        <v>29</v>
      </c>
      <c r="N3086" s="1" t="s">
        <v>22</v>
      </c>
    </row>
    <row r="3087" spans="1:14" x14ac:dyDescent="0.25">
      <c r="A3087" s="1">
        <v>3086</v>
      </c>
      <c r="B3087" s="2" t="str">
        <f>HYPERLINK("https://leetcode.com/problems/minimum-moves-to-pick-k-ones/", "Minimum Moves to Pick K Ones")</f>
        <v>Minimum Moves to Pick K Ones</v>
      </c>
      <c r="C3087" s="1">
        <v>61</v>
      </c>
      <c r="D3087" s="1">
        <v>53</v>
      </c>
      <c r="E3087" s="3">
        <f>IF(INDEX(C:C, ROW())+INDEX(D:D, ROW())=0, 0, INDEX(C:C, ROW())/(INDEX(C:C, ROW())+INDEX(D:D, ROW())))</f>
        <v>0.53508771929824561</v>
      </c>
      <c r="F3087" s="1" t="s">
        <v>784</v>
      </c>
      <c r="G3087" s="1" t="s">
        <v>28</v>
      </c>
      <c r="H3087" s="1">
        <v>4218</v>
      </c>
      <c r="I3087" s="1">
        <v>19602</v>
      </c>
      <c r="J3087" s="7">
        <v>0.215</v>
      </c>
      <c r="K3087" s="1" t="s">
        <v>21</v>
      </c>
      <c r="L3087" s="1" t="s">
        <v>29</v>
      </c>
      <c r="M3087" s="1" t="s">
        <v>29</v>
      </c>
      <c r="N3087" s="1" t="s">
        <v>22</v>
      </c>
    </row>
    <row r="3088" spans="1:14" x14ac:dyDescent="0.25">
      <c r="A3088" s="1">
        <v>3087</v>
      </c>
      <c r="B3088" s="2" t="str">
        <f>HYPERLINK("https://leetcode.com/problems/find-trending-hashtags/", "Find Trending Hashtags")</f>
        <v>Find Trending Hashtags</v>
      </c>
      <c r="C3088" s="1">
        <v>7</v>
      </c>
      <c r="D3088" s="1">
        <v>6</v>
      </c>
      <c r="E3088" s="3">
        <f>IF(INDEX(C:C, ROW())+INDEX(D:D, ROW())=0, 0, INDEX(C:C, ROW())/(INDEX(C:C, ROW())+INDEX(D:D, ROW())))</f>
        <v>0.53846153846153844</v>
      </c>
      <c r="F3088" s="1" t="s">
        <v>297</v>
      </c>
      <c r="G3088" s="1" t="s">
        <v>24</v>
      </c>
      <c r="H3088" s="1">
        <v>2675</v>
      </c>
      <c r="I3088" s="1">
        <v>4388</v>
      </c>
      <c r="J3088" s="7">
        <v>0.61</v>
      </c>
      <c r="K3088" s="1" t="s">
        <v>29</v>
      </c>
      <c r="L3088" s="1" t="s">
        <v>29</v>
      </c>
      <c r="M3088" s="1" t="s">
        <v>29</v>
      </c>
      <c r="N3088" s="1" t="s">
        <v>297</v>
      </c>
    </row>
    <row r="3089" spans="1:14" x14ac:dyDescent="0.25">
      <c r="A3089" s="1">
        <v>3088</v>
      </c>
      <c r="B3089" s="2" t="str">
        <f>HYPERLINK("https://leetcode.com/problems/make-string-anti-palindrome/", "Make String Anti-palindrome")</f>
        <v>Make String Anti-palindrome</v>
      </c>
      <c r="C3089" s="1">
        <v>8</v>
      </c>
      <c r="D3089" s="1">
        <v>2</v>
      </c>
      <c r="E3089" s="3">
        <f>IF(INDEX(C:C, ROW())+INDEX(D:D, ROW())=0, 0, INDEX(C:C, ROW())/(INDEX(C:C, ROW())+INDEX(D:D, ROW())))</f>
        <v>0.8</v>
      </c>
      <c r="F3089" s="1" t="s">
        <v>1333</v>
      </c>
      <c r="G3089" s="1" t="s">
        <v>28</v>
      </c>
      <c r="H3089" s="1">
        <v>935</v>
      </c>
      <c r="I3089" s="1">
        <v>2030</v>
      </c>
      <c r="J3089" s="7">
        <v>0.46100000000000002</v>
      </c>
      <c r="K3089" s="1" t="s">
        <v>29</v>
      </c>
      <c r="L3089" s="1" t="s">
        <v>29</v>
      </c>
      <c r="M3089" s="1" t="s">
        <v>29</v>
      </c>
      <c r="N3089" s="1" t="s">
        <v>22</v>
      </c>
    </row>
    <row r="3090" spans="1:14" x14ac:dyDescent="0.25">
      <c r="A3090" s="1">
        <v>3089</v>
      </c>
      <c r="B3090" s="2" t="str">
        <f>HYPERLINK("https://leetcode.com/problems/find-bursty-behavior/", "Find Bursty Behavior")</f>
        <v>Find Bursty Behavior</v>
      </c>
      <c r="C3090" s="1">
        <v>11</v>
      </c>
      <c r="D3090" s="1">
        <v>21</v>
      </c>
      <c r="E3090" s="3">
        <f>IF(INDEX(C:C, ROW())+INDEX(D:D, ROW())=0, 0, INDEX(C:C, ROW())/(INDEX(C:C, ROW())+INDEX(D:D, ROW())))</f>
        <v>0.34375</v>
      </c>
      <c r="F3090" s="1" t="s">
        <v>297</v>
      </c>
      <c r="G3090" s="1" t="s">
        <v>24</v>
      </c>
      <c r="H3090" s="1">
        <v>2369</v>
      </c>
      <c r="I3090" s="1">
        <v>6302</v>
      </c>
      <c r="J3090" s="7">
        <v>0.376</v>
      </c>
      <c r="K3090" s="1" t="s">
        <v>29</v>
      </c>
      <c r="L3090" s="1" t="s">
        <v>29</v>
      </c>
      <c r="M3090" s="1" t="s">
        <v>29</v>
      </c>
      <c r="N3090" s="1" t="s">
        <v>297</v>
      </c>
    </row>
    <row r="3091" spans="1:14" x14ac:dyDescent="0.25">
      <c r="A3091" s="1">
        <v>3090</v>
      </c>
      <c r="B3091" s="2" t="str">
        <f>HYPERLINK("https://leetcode.com/problems/maximum-length-substring-with-two-occurrences/", "Maximum Length Substring With Two Occurrences")</f>
        <v>Maximum Length Substring With Two Occurrences</v>
      </c>
      <c r="C3091" s="1">
        <v>253</v>
      </c>
      <c r="D3091" s="1">
        <v>21</v>
      </c>
      <c r="E3091" s="3">
        <f>IF(INDEX(C:C, ROW())+INDEX(D:D, ROW())=0, 0, INDEX(C:C, ROW())/(INDEX(C:C, ROW())+INDEX(D:D, ROW())))</f>
        <v>0.92335766423357668</v>
      </c>
      <c r="F3091" s="1" t="s">
        <v>23</v>
      </c>
      <c r="G3091" s="1" t="s">
        <v>20</v>
      </c>
      <c r="H3091" s="1">
        <v>62203</v>
      </c>
      <c r="I3091" s="1">
        <v>95480</v>
      </c>
      <c r="J3091" s="7">
        <v>0.65100000000000002</v>
      </c>
      <c r="K3091" s="1" t="s">
        <v>21</v>
      </c>
      <c r="L3091" s="1" t="s">
        <v>29</v>
      </c>
      <c r="M3091" s="1" t="s">
        <v>29</v>
      </c>
      <c r="N3091" s="1" t="s">
        <v>22</v>
      </c>
    </row>
    <row r="3092" spans="1:14" x14ac:dyDescent="0.25">
      <c r="A3092" s="1">
        <v>3091</v>
      </c>
      <c r="B3092" s="2" t="str">
        <f>HYPERLINK("https://leetcode.com/problems/apply-operations-to-make-sum-of-array-greater-than-or-equal-to-k/", "Apply Operations to Make Sum of Array Greater Than or Equal to k")</f>
        <v>Apply Operations to Make Sum of Array Greater Than or Equal to k</v>
      </c>
      <c r="C3092" s="1">
        <v>171</v>
      </c>
      <c r="D3092" s="1">
        <v>18</v>
      </c>
      <c r="E3092" s="3">
        <f>IF(INDEX(C:C, ROW())+INDEX(D:D, ROW())=0, 0, INDEX(C:C, ROW())/(INDEX(C:C, ROW())+INDEX(D:D, ROW())))</f>
        <v>0.90476190476190477</v>
      </c>
      <c r="F3092" s="1" t="s">
        <v>1123</v>
      </c>
      <c r="G3092" s="1" t="s">
        <v>24</v>
      </c>
      <c r="H3092" s="1">
        <v>32278</v>
      </c>
      <c r="I3092" s="1">
        <v>73001</v>
      </c>
      <c r="J3092" s="7">
        <v>0.442</v>
      </c>
      <c r="K3092" s="1" t="s">
        <v>21</v>
      </c>
      <c r="L3092" s="1" t="s">
        <v>29</v>
      </c>
      <c r="M3092" s="1" t="s">
        <v>29</v>
      </c>
      <c r="N3092" s="1" t="s">
        <v>22</v>
      </c>
    </row>
    <row r="3093" spans="1:14" x14ac:dyDescent="0.25">
      <c r="A3093" s="1">
        <v>3092</v>
      </c>
      <c r="B3093" s="2" t="str">
        <f>HYPERLINK("https://leetcode.com/problems/most-frequent-ids/", "Most Frequent IDs")</f>
        <v>Most Frequent IDs</v>
      </c>
      <c r="C3093" s="1">
        <v>268</v>
      </c>
      <c r="D3093" s="1">
        <v>38</v>
      </c>
      <c r="E3093" s="3">
        <f>IF(INDEX(C:C, ROW())+INDEX(D:D, ROW())=0, 0, INDEX(C:C, ROW())/(INDEX(C:C, ROW())+INDEX(D:D, ROW())))</f>
        <v>0.87581699346405228</v>
      </c>
      <c r="F3093" s="1" t="s">
        <v>1056</v>
      </c>
      <c r="G3093" s="1" t="s">
        <v>24</v>
      </c>
      <c r="H3093" s="1">
        <v>24621</v>
      </c>
      <c r="I3093" s="1">
        <v>57940</v>
      </c>
      <c r="J3093" s="7">
        <v>0.42499999999999999</v>
      </c>
      <c r="K3093" s="1" t="s">
        <v>21</v>
      </c>
      <c r="L3093" s="1" t="s">
        <v>29</v>
      </c>
      <c r="M3093" s="1" t="s">
        <v>29</v>
      </c>
      <c r="N3093" s="1" t="s">
        <v>22</v>
      </c>
    </row>
    <row r="3094" spans="1:14" x14ac:dyDescent="0.25">
      <c r="A3094" s="1">
        <v>3093</v>
      </c>
      <c r="B3094" s="2" t="str">
        <f>HYPERLINK("https://leetcode.com/problems/longest-common-suffix-queries/", "Longest Common Suffix Queries")</f>
        <v>Longest Common Suffix Queries</v>
      </c>
      <c r="C3094" s="1">
        <v>189</v>
      </c>
      <c r="D3094" s="1">
        <v>21</v>
      </c>
      <c r="E3094" s="3">
        <f>IF(INDEX(C:C, ROW())+INDEX(D:D, ROW())=0, 0, INDEX(C:C, ROW())/(INDEX(C:C, ROW())+INDEX(D:D, ROW())))</f>
        <v>0.9</v>
      </c>
      <c r="F3094" s="1" t="s">
        <v>54</v>
      </c>
      <c r="G3094" s="1" t="s">
        <v>28</v>
      </c>
      <c r="H3094" s="1">
        <v>13996</v>
      </c>
      <c r="I3094" s="1">
        <v>39045</v>
      </c>
      <c r="J3094" s="7">
        <v>0.35799999999999998</v>
      </c>
      <c r="K3094" s="1" t="s">
        <v>21</v>
      </c>
      <c r="L3094" s="1" t="s">
        <v>29</v>
      </c>
      <c r="M3094" s="1" t="s">
        <v>29</v>
      </c>
      <c r="N3094" s="1" t="s">
        <v>22</v>
      </c>
    </row>
    <row r="3095" spans="1:14" x14ac:dyDescent="0.25">
      <c r="A3095" s="1">
        <v>3094</v>
      </c>
      <c r="B3095" s="2" t="str">
        <f>HYPERLINK("https://leetcode.com/problems/guess-the-number-using-bitwise-questions-ii/", "Guess the Number Using Bitwise Questions II")</f>
        <v>Guess the Number Using Bitwise Questions II</v>
      </c>
      <c r="C3095" s="1">
        <v>15</v>
      </c>
      <c r="D3095" s="1">
        <v>4</v>
      </c>
      <c r="E3095" s="3">
        <f>IF(INDEX(C:C, ROW())+INDEX(D:D, ROW())=0, 0, INDEX(C:C, ROW())/(INDEX(C:C, ROW())+INDEX(D:D, ROW())))</f>
        <v>0.78947368421052633</v>
      </c>
      <c r="F3095" s="1" t="s">
        <v>1323</v>
      </c>
      <c r="G3095" s="1" t="s">
        <v>24</v>
      </c>
      <c r="H3095" s="1">
        <v>1044</v>
      </c>
      <c r="I3095" s="1">
        <v>1261</v>
      </c>
      <c r="J3095" s="7">
        <v>0.82799999999999996</v>
      </c>
      <c r="K3095" s="1" t="s">
        <v>29</v>
      </c>
      <c r="L3095" s="1" t="s">
        <v>29</v>
      </c>
      <c r="M3095" s="1" t="s">
        <v>29</v>
      </c>
      <c r="N3095" s="1" t="s">
        <v>22</v>
      </c>
    </row>
    <row r="3096" spans="1:14" x14ac:dyDescent="0.25">
      <c r="A3096" s="1">
        <v>3095</v>
      </c>
      <c r="B3096" s="2" t="str">
        <f>HYPERLINK("https://leetcode.com/problems/shortest-subarray-with-or-at-least-k-i/", "Shortest Subarray With OR at Least K I")</f>
        <v>Shortest Subarray With OR at Least K I</v>
      </c>
      <c r="C3096" s="1">
        <v>137</v>
      </c>
      <c r="D3096" s="1">
        <v>21</v>
      </c>
      <c r="E3096" s="3">
        <f>IF(INDEX(C:C, ROW())+INDEX(D:D, ROW())=0, 0, INDEX(C:C, ROW())/(INDEX(C:C, ROW())+INDEX(D:D, ROW())))</f>
        <v>0.86708860759493667</v>
      </c>
      <c r="F3096" s="1" t="s">
        <v>491</v>
      </c>
      <c r="G3096" s="1" t="s">
        <v>20</v>
      </c>
      <c r="H3096" s="1">
        <v>38582</v>
      </c>
      <c r="I3096" s="1">
        <v>87364</v>
      </c>
      <c r="J3096" s="7">
        <v>0.442</v>
      </c>
      <c r="K3096" s="1" t="s">
        <v>21</v>
      </c>
      <c r="L3096" s="1" t="s">
        <v>29</v>
      </c>
      <c r="M3096" s="1" t="s">
        <v>29</v>
      </c>
      <c r="N3096" s="1" t="s">
        <v>22</v>
      </c>
    </row>
    <row r="3097" spans="1:14" x14ac:dyDescent="0.25">
      <c r="A3097" s="1">
        <v>3096</v>
      </c>
      <c r="B3097" s="2" t="str">
        <f>HYPERLINK("https://leetcode.com/problems/minimum-levels-to-gain-more-points/", "Minimum Levels to Gain More Points")</f>
        <v>Minimum Levels to Gain More Points</v>
      </c>
      <c r="C3097" s="1">
        <v>88</v>
      </c>
      <c r="D3097" s="1">
        <v>30</v>
      </c>
      <c r="E3097" s="3">
        <f>IF(INDEX(C:C, ROW())+INDEX(D:D, ROW())=0, 0, INDEX(C:C, ROW())/(INDEX(C:C, ROW())+INDEX(D:D, ROW())))</f>
        <v>0.74576271186440679</v>
      </c>
      <c r="F3097" s="1" t="s">
        <v>37</v>
      </c>
      <c r="G3097" s="1" t="s">
        <v>24</v>
      </c>
      <c r="H3097" s="1">
        <v>27118</v>
      </c>
      <c r="I3097" s="1">
        <v>67605</v>
      </c>
      <c r="J3097" s="7">
        <v>0.40100000000000002</v>
      </c>
      <c r="K3097" s="1" t="s">
        <v>21</v>
      </c>
      <c r="L3097" s="1" t="s">
        <v>29</v>
      </c>
      <c r="M3097" s="1" t="s">
        <v>29</v>
      </c>
      <c r="N3097" s="1" t="s">
        <v>22</v>
      </c>
    </row>
    <row r="3098" spans="1:14" x14ac:dyDescent="0.25">
      <c r="A3098" s="1">
        <v>3097</v>
      </c>
      <c r="B3098" s="2" t="str">
        <f>HYPERLINK("https://leetcode.com/problems/shortest-subarray-with-or-at-least-k-ii/", "Shortest Subarray With OR at Least K II")</f>
        <v>Shortest Subarray With OR at Least K II</v>
      </c>
      <c r="C3098" s="1">
        <v>758</v>
      </c>
      <c r="D3098" s="1">
        <v>72</v>
      </c>
      <c r="E3098" s="3">
        <f>IF(INDEX(C:C, ROW())+INDEX(D:D, ROW())=0, 0, INDEX(C:C, ROW())/(INDEX(C:C, ROW())+INDEX(D:D, ROW())))</f>
        <v>0.91325301204819276</v>
      </c>
      <c r="F3098" s="1" t="s">
        <v>491</v>
      </c>
      <c r="G3098" s="1" t="s">
        <v>24</v>
      </c>
      <c r="H3098" s="1">
        <v>98961</v>
      </c>
      <c r="I3098" s="1">
        <v>197006</v>
      </c>
      <c r="J3098" s="7">
        <v>0.502</v>
      </c>
      <c r="K3098" s="1" t="s">
        <v>21</v>
      </c>
      <c r="L3098" s="1" t="s">
        <v>21</v>
      </c>
      <c r="M3098" s="1" t="s">
        <v>29</v>
      </c>
      <c r="N3098" s="1" t="s">
        <v>22</v>
      </c>
    </row>
    <row r="3099" spans="1:14" x14ac:dyDescent="0.25">
      <c r="A3099" s="1">
        <v>3098</v>
      </c>
      <c r="B3099" s="2" t="str">
        <f>HYPERLINK("https://leetcode.com/problems/find-the-sum-of-subsequence-powers/", "Find the Sum of Subsequence Powers")</f>
        <v>Find the Sum of Subsequence Powers</v>
      </c>
      <c r="C3099" s="1">
        <v>146</v>
      </c>
      <c r="D3099" s="1">
        <v>6</v>
      </c>
      <c r="E3099" s="3">
        <f>IF(INDEX(C:C, ROW())+INDEX(D:D, ROW())=0, 0, INDEX(C:C, ROW())/(INDEX(C:C, ROW())+INDEX(D:D, ROW())))</f>
        <v>0.96052631578947367</v>
      </c>
      <c r="F3099" s="1" t="s">
        <v>270</v>
      </c>
      <c r="G3099" s="1" t="s">
        <v>28</v>
      </c>
      <c r="H3099" s="1">
        <v>6958</v>
      </c>
      <c r="I3099" s="1">
        <v>27806</v>
      </c>
      <c r="J3099" s="7">
        <v>0.25</v>
      </c>
      <c r="K3099" s="1" t="s">
        <v>21</v>
      </c>
      <c r="L3099" s="1" t="s">
        <v>29</v>
      </c>
      <c r="M3099" s="1" t="s">
        <v>29</v>
      </c>
      <c r="N3099" s="1" t="s">
        <v>22</v>
      </c>
    </row>
    <row r="3100" spans="1:14" x14ac:dyDescent="0.25">
      <c r="A3100" s="1">
        <v>3099</v>
      </c>
      <c r="B3100" s="2" t="str">
        <f>HYPERLINK("https://leetcode.com/problems/harshad-number/", "Harshad Number")</f>
        <v>Harshad Number</v>
      </c>
      <c r="C3100" s="1">
        <v>209</v>
      </c>
      <c r="D3100" s="1">
        <v>12</v>
      </c>
      <c r="E3100" s="3">
        <f>IF(INDEX(C:C, ROW())+INDEX(D:D, ROW())=0, 0, INDEX(C:C, ROW())/(INDEX(C:C, ROW())+INDEX(D:D, ROW())))</f>
        <v>0.94570135746606332</v>
      </c>
      <c r="F3100" s="1" t="s">
        <v>84</v>
      </c>
      <c r="G3100" s="1" t="s">
        <v>20</v>
      </c>
      <c r="H3100" s="1">
        <v>105637</v>
      </c>
      <c r="I3100" s="1">
        <v>126632</v>
      </c>
      <c r="J3100" s="7">
        <v>0.83399999999999996</v>
      </c>
      <c r="K3100" s="1" t="s">
        <v>21</v>
      </c>
      <c r="L3100" s="1" t="s">
        <v>29</v>
      </c>
      <c r="M3100" s="1" t="s">
        <v>29</v>
      </c>
      <c r="N3100" s="1" t="s">
        <v>22</v>
      </c>
    </row>
    <row r="3101" spans="1:14" x14ac:dyDescent="0.25">
      <c r="A3101" s="1">
        <v>3100</v>
      </c>
      <c r="B3101" s="2" t="str">
        <f>HYPERLINK("https://leetcode.com/problems/water-bottles-ii/", "Water Bottles II")</f>
        <v>Water Bottles II</v>
      </c>
      <c r="C3101" s="1">
        <v>530</v>
      </c>
      <c r="D3101" s="1">
        <v>102</v>
      </c>
      <c r="E3101" s="3">
        <f>IF(INDEX(C:C, ROW())+INDEX(D:D, ROW())=0, 0, INDEX(C:C, ROW())/(INDEX(C:C, ROW())+INDEX(D:D, ROW())))</f>
        <v>0.83860759493670889</v>
      </c>
      <c r="F3101" s="1" t="s">
        <v>465</v>
      </c>
      <c r="G3101" s="1" t="s">
        <v>24</v>
      </c>
      <c r="H3101" s="1">
        <v>166758</v>
      </c>
      <c r="I3101" s="1">
        <v>213417</v>
      </c>
      <c r="J3101" s="7">
        <v>0.78100000000000003</v>
      </c>
      <c r="K3101" s="1" t="s">
        <v>21</v>
      </c>
      <c r="L3101" s="1" t="s">
        <v>21</v>
      </c>
      <c r="M3101" s="1" t="s">
        <v>29</v>
      </c>
      <c r="N3101" s="1" t="s">
        <v>22</v>
      </c>
    </row>
    <row r="3102" spans="1:14" x14ac:dyDescent="0.25">
      <c r="A3102" s="1">
        <v>3101</v>
      </c>
      <c r="B3102" s="2" t="str">
        <f>HYPERLINK("https://leetcode.com/problems/count-alternating-subarrays/", "Count Alternating Subarrays")</f>
        <v>Count Alternating Subarrays</v>
      </c>
      <c r="C3102" s="1">
        <v>242</v>
      </c>
      <c r="D3102" s="1">
        <v>10</v>
      </c>
      <c r="E3102" s="3">
        <f>IF(INDEX(C:C, ROW())+INDEX(D:D, ROW())=0, 0, INDEX(C:C, ROW())/(INDEX(C:C, ROW())+INDEX(D:D, ROW())))</f>
        <v>0.96031746031746035</v>
      </c>
      <c r="F3102" s="1" t="s">
        <v>115</v>
      </c>
      <c r="G3102" s="1" t="s">
        <v>24</v>
      </c>
      <c r="H3102" s="1">
        <v>44606</v>
      </c>
      <c r="I3102" s="1">
        <v>77845</v>
      </c>
      <c r="J3102" s="7">
        <v>0.57299999999999995</v>
      </c>
      <c r="K3102" s="1" t="s">
        <v>21</v>
      </c>
      <c r="L3102" s="1" t="s">
        <v>29</v>
      </c>
      <c r="M3102" s="1" t="s">
        <v>29</v>
      </c>
      <c r="N3102" s="1" t="s">
        <v>22</v>
      </c>
    </row>
    <row r="3103" spans="1:14" x14ac:dyDescent="0.25">
      <c r="A3103" s="1">
        <v>3102</v>
      </c>
      <c r="B3103" s="2" t="str">
        <f>HYPERLINK("https://leetcode.com/problems/minimize-manhattan-distances/", "Minimize Manhattan Distances")</f>
        <v>Minimize Manhattan Distances</v>
      </c>
      <c r="C3103" s="1">
        <v>186</v>
      </c>
      <c r="D3103" s="1">
        <v>15</v>
      </c>
      <c r="E3103" s="3">
        <f>IF(INDEX(C:C, ROW())+INDEX(D:D, ROW())=0, 0, INDEX(C:C, ROW())/(INDEX(C:C, ROW())+INDEX(D:D, ROW())))</f>
        <v>0.92537313432835822</v>
      </c>
      <c r="F3103" s="1" t="s">
        <v>1107</v>
      </c>
      <c r="G3103" s="1" t="s">
        <v>28</v>
      </c>
      <c r="H3103" s="1">
        <v>10533</v>
      </c>
      <c r="I3103" s="1">
        <v>32146</v>
      </c>
      <c r="J3103" s="7">
        <v>0.32800000000000001</v>
      </c>
      <c r="K3103" s="1" t="s">
        <v>21</v>
      </c>
      <c r="L3103" s="1" t="s">
        <v>29</v>
      </c>
      <c r="M3103" s="1" t="s">
        <v>29</v>
      </c>
      <c r="N3103" s="1" t="s">
        <v>22</v>
      </c>
    </row>
    <row r="3104" spans="1:14" x14ac:dyDescent="0.25">
      <c r="A3104" s="1">
        <v>3103</v>
      </c>
      <c r="B3104" s="2" t="str">
        <f>HYPERLINK("https://leetcode.com/problems/find-trending-hashtags-ii/", "Find Trending Hashtags II ")</f>
        <v xml:space="preserve">Find Trending Hashtags II </v>
      </c>
      <c r="C3104" s="1">
        <v>11</v>
      </c>
      <c r="D3104" s="1">
        <v>2</v>
      </c>
      <c r="E3104" s="3">
        <f>IF(INDEX(C:C, ROW())+INDEX(D:D, ROW())=0, 0, INDEX(C:C, ROW())/(INDEX(C:C, ROW())+INDEX(D:D, ROW())))</f>
        <v>0.84615384615384615</v>
      </c>
      <c r="F3104" s="1" t="s">
        <v>297</v>
      </c>
      <c r="G3104" s="1" t="s">
        <v>28</v>
      </c>
      <c r="H3104" s="1">
        <v>1546</v>
      </c>
      <c r="I3104" s="1">
        <v>2343</v>
      </c>
      <c r="J3104" s="7">
        <v>0.66</v>
      </c>
      <c r="K3104" s="1" t="s">
        <v>29</v>
      </c>
      <c r="L3104" s="1" t="s">
        <v>29</v>
      </c>
      <c r="M3104" s="1" t="s">
        <v>29</v>
      </c>
      <c r="N3104" s="1" t="s">
        <v>297</v>
      </c>
    </row>
    <row r="3105" spans="1:14" x14ac:dyDescent="0.25">
      <c r="A3105" s="1">
        <v>3104</v>
      </c>
      <c r="B3105" s="2" t="str">
        <f>HYPERLINK("https://leetcode.com/problems/find-longest-self-contained-substring/", "Find Longest Self-Contained Substring")</f>
        <v>Find Longest Self-Contained Substring</v>
      </c>
      <c r="C3105" s="1">
        <v>19</v>
      </c>
      <c r="D3105" s="1">
        <v>6</v>
      </c>
      <c r="E3105" s="3">
        <f>IF(INDEX(C:C, ROW())+INDEX(D:D, ROW())=0, 0, INDEX(C:C, ROW())/(INDEX(C:C, ROW())+INDEX(D:D, ROW())))</f>
        <v>0.76</v>
      </c>
      <c r="F3105" s="1" t="s">
        <v>90</v>
      </c>
      <c r="G3105" s="1" t="s">
        <v>28</v>
      </c>
      <c r="H3105" s="1">
        <v>2949</v>
      </c>
      <c r="I3105" s="1">
        <v>5013</v>
      </c>
      <c r="J3105" s="7">
        <v>0.58799999999999997</v>
      </c>
      <c r="K3105" s="1" t="s">
        <v>29</v>
      </c>
      <c r="L3105" s="1" t="s">
        <v>29</v>
      </c>
      <c r="M3105" s="1" t="s">
        <v>29</v>
      </c>
      <c r="N3105" s="1" t="s">
        <v>22</v>
      </c>
    </row>
    <row r="3106" spans="1:14" x14ac:dyDescent="0.25">
      <c r="A3106" s="1">
        <v>3105</v>
      </c>
      <c r="B3106" s="2" t="str">
        <f>HYPERLINK("https://leetcode.com/problems/longest-strictly-increasing-or-strictly-decreasing-subarray/", "Longest Strictly Increasing or Strictly Decreasing Subarray")</f>
        <v>Longest Strictly Increasing or Strictly Decreasing Subarray</v>
      </c>
      <c r="C3106" s="1">
        <v>658</v>
      </c>
      <c r="D3106" s="1">
        <v>33</v>
      </c>
      <c r="E3106" s="3">
        <f>IF(INDEX(C:C, ROW())+INDEX(D:D, ROW())=0, 0, INDEX(C:C, ROW())/(INDEX(C:C, ROW())+INDEX(D:D, ROW())))</f>
        <v>0.95224312590448623</v>
      </c>
      <c r="F3106" s="1" t="s">
        <v>113</v>
      </c>
      <c r="G3106" s="1" t="s">
        <v>20</v>
      </c>
      <c r="H3106" s="1">
        <v>216965</v>
      </c>
      <c r="I3106" s="1">
        <v>334137</v>
      </c>
      <c r="J3106" s="7">
        <v>0.64900000000000002</v>
      </c>
      <c r="K3106" s="1" t="s">
        <v>21</v>
      </c>
      <c r="L3106" s="1" t="s">
        <v>21</v>
      </c>
      <c r="M3106" s="1" t="s">
        <v>29</v>
      </c>
      <c r="N3106" s="1" t="s">
        <v>22</v>
      </c>
    </row>
    <row r="3107" spans="1:14" x14ac:dyDescent="0.25">
      <c r="A3107" s="1">
        <v>3106</v>
      </c>
      <c r="B3107" s="2" t="str">
        <f>HYPERLINK("https://leetcode.com/problems/lexicographically-smallest-string-after-operations-with-constraint/", "Lexicographically Smallest String After Operations With Constraint")</f>
        <v>Lexicographically Smallest String After Operations With Constraint</v>
      </c>
      <c r="C3107" s="1">
        <v>165</v>
      </c>
      <c r="D3107" s="1">
        <v>28</v>
      </c>
      <c r="E3107" s="3">
        <f>IF(INDEX(C:C, ROW())+INDEX(D:D, ROW())=0, 0, INDEX(C:C, ROW())/(INDEX(C:C, ROW())+INDEX(D:D, ROW())))</f>
        <v>0.85492227979274615</v>
      </c>
      <c r="F3107" s="1" t="s">
        <v>424</v>
      </c>
      <c r="G3107" s="1" t="s">
        <v>24</v>
      </c>
      <c r="H3107" s="1">
        <v>29105</v>
      </c>
      <c r="I3107" s="1">
        <v>46247</v>
      </c>
      <c r="J3107" s="7">
        <v>0.629</v>
      </c>
      <c r="K3107" s="1" t="s">
        <v>21</v>
      </c>
      <c r="L3107" s="1" t="s">
        <v>29</v>
      </c>
      <c r="M3107" s="1" t="s">
        <v>29</v>
      </c>
      <c r="N3107" s="1" t="s">
        <v>22</v>
      </c>
    </row>
    <row r="3108" spans="1:14" x14ac:dyDescent="0.25">
      <c r="A3108" s="1">
        <v>3107</v>
      </c>
      <c r="B3108" s="2" t="str">
        <f>HYPERLINK("https://leetcode.com/problems/minimum-operations-to-make-median-of-array-equal-to-k/", "Minimum Operations to Make Median of Array Equal to K")</f>
        <v>Minimum Operations to Make Median of Array Equal to K</v>
      </c>
      <c r="C3108" s="1">
        <v>164</v>
      </c>
      <c r="D3108" s="1">
        <v>186</v>
      </c>
      <c r="E3108" s="3">
        <f>IF(INDEX(C:C, ROW())+INDEX(D:D, ROW())=0, 0, INDEX(C:C, ROW())/(INDEX(C:C, ROW())+INDEX(D:D, ROW())))</f>
        <v>0.46857142857142858</v>
      </c>
      <c r="F3108" s="1" t="s">
        <v>169</v>
      </c>
      <c r="G3108" s="1" t="s">
        <v>24</v>
      </c>
      <c r="H3108" s="1">
        <v>30516</v>
      </c>
      <c r="I3108" s="1">
        <v>63984</v>
      </c>
      <c r="J3108" s="7">
        <v>0.47699999999999998</v>
      </c>
      <c r="K3108" s="1" t="s">
        <v>21</v>
      </c>
      <c r="L3108" s="1" t="s">
        <v>29</v>
      </c>
      <c r="M3108" s="1" t="s">
        <v>29</v>
      </c>
      <c r="N3108" s="1" t="s">
        <v>22</v>
      </c>
    </row>
    <row r="3109" spans="1:14" x14ac:dyDescent="0.25">
      <c r="A3109" s="1">
        <v>3108</v>
      </c>
      <c r="B3109" s="2" t="str">
        <f>HYPERLINK("https://leetcode.com/problems/minimum-cost-walk-in-weighted-graph/", "Minimum Cost Walk in Weighted Graph")</f>
        <v>Minimum Cost Walk in Weighted Graph</v>
      </c>
      <c r="C3109" s="1">
        <v>783</v>
      </c>
      <c r="D3109" s="1">
        <v>43</v>
      </c>
      <c r="E3109" s="3">
        <f>IF(INDEX(C:C, ROW())+INDEX(D:D, ROW())=0, 0, INDEX(C:C, ROW())/(INDEX(C:C, ROW())+INDEX(D:D, ROW())))</f>
        <v>0.94794188861985473</v>
      </c>
      <c r="F3109" s="1" t="s">
        <v>770</v>
      </c>
      <c r="G3109" s="1" t="s">
        <v>28</v>
      </c>
      <c r="H3109" s="1">
        <v>105890</v>
      </c>
      <c r="I3109" s="1">
        <v>155116</v>
      </c>
      <c r="J3109" s="7">
        <v>0.68300000000000005</v>
      </c>
      <c r="K3109" s="1" t="s">
        <v>21</v>
      </c>
      <c r="L3109" s="1" t="s">
        <v>21</v>
      </c>
      <c r="M3109" s="1" t="s">
        <v>29</v>
      </c>
      <c r="N3109" s="1" t="s">
        <v>22</v>
      </c>
    </row>
    <row r="3110" spans="1:14" x14ac:dyDescent="0.25">
      <c r="A3110" s="1">
        <v>3109</v>
      </c>
      <c r="B3110" s="2" t="str">
        <f>HYPERLINK("https://leetcode.com/problems/find-the-index-of-permutation/", "Find the Index of Permutation")</f>
        <v>Find the Index of Permutation</v>
      </c>
      <c r="C3110" s="1">
        <v>16</v>
      </c>
      <c r="D3110" s="1">
        <v>5</v>
      </c>
      <c r="E3110" s="3">
        <f>IF(INDEX(C:C, ROW())+INDEX(D:D, ROW())=0, 0, INDEX(C:C, ROW())/(INDEX(C:C, ROW())+INDEX(D:D, ROW())))</f>
        <v>0.76190476190476186</v>
      </c>
      <c r="F3110" s="1" t="s">
        <v>147</v>
      </c>
      <c r="G3110" s="1" t="s">
        <v>24</v>
      </c>
      <c r="H3110" s="1">
        <v>833</v>
      </c>
      <c r="I3110" s="1">
        <v>2314</v>
      </c>
      <c r="J3110" s="7">
        <v>0.36</v>
      </c>
      <c r="K3110" s="1" t="s">
        <v>29</v>
      </c>
      <c r="L3110" s="1" t="s">
        <v>29</v>
      </c>
      <c r="M3110" s="1" t="s">
        <v>29</v>
      </c>
      <c r="N3110" s="1" t="s">
        <v>22</v>
      </c>
    </row>
    <row r="3111" spans="1:14" x14ac:dyDescent="0.25">
      <c r="A3111" s="1">
        <v>3110</v>
      </c>
      <c r="B3111" s="2" t="str">
        <f>HYPERLINK("https://leetcode.com/problems/score-of-a-string/", "Score of a String")</f>
        <v>Score of a String</v>
      </c>
      <c r="C3111" s="1">
        <v>835</v>
      </c>
      <c r="D3111" s="1">
        <v>52</v>
      </c>
      <c r="E3111" s="3">
        <f>IF(INDEX(C:C, ROW())+INDEX(D:D, ROW())=0, 0, INDEX(C:C, ROW())/(INDEX(C:C, ROW())+INDEX(D:D, ROW())))</f>
        <v>0.94137542277339348</v>
      </c>
      <c r="F3111" s="1" t="s">
        <v>146</v>
      </c>
      <c r="G3111" s="1" t="s">
        <v>20</v>
      </c>
      <c r="H3111" s="1">
        <v>433304</v>
      </c>
      <c r="I3111" s="1">
        <v>474244</v>
      </c>
      <c r="J3111" s="7">
        <v>0.91400000000000003</v>
      </c>
      <c r="K3111" s="1" t="s">
        <v>21</v>
      </c>
      <c r="L3111" s="1" t="s">
        <v>21</v>
      </c>
      <c r="M3111" s="1" t="s">
        <v>29</v>
      </c>
      <c r="N3111" s="1" t="s">
        <v>22</v>
      </c>
    </row>
    <row r="3112" spans="1:14" x14ac:dyDescent="0.25">
      <c r="A3112" s="1">
        <v>3111</v>
      </c>
      <c r="B3112" s="2" t="str">
        <f>HYPERLINK("https://leetcode.com/problems/minimum-rectangles-to-cover-points/", "Minimum Rectangles to Cover Points")</f>
        <v>Minimum Rectangles to Cover Points</v>
      </c>
      <c r="C3112" s="1">
        <v>109</v>
      </c>
      <c r="D3112" s="1">
        <v>8</v>
      </c>
      <c r="E3112" s="3">
        <f>IF(INDEX(C:C, ROW())+INDEX(D:D, ROW())=0, 0, INDEX(C:C, ROW())/(INDEX(C:C, ROW())+INDEX(D:D, ROW())))</f>
        <v>0.93162393162393164</v>
      </c>
      <c r="F3112" s="1" t="s">
        <v>169</v>
      </c>
      <c r="G3112" s="1" t="s">
        <v>24</v>
      </c>
      <c r="H3112" s="1">
        <v>32447</v>
      </c>
      <c r="I3112" s="1">
        <v>51033</v>
      </c>
      <c r="J3112" s="7">
        <v>0.63600000000000001</v>
      </c>
      <c r="K3112" s="1" t="s">
        <v>21</v>
      </c>
      <c r="L3112" s="1" t="s">
        <v>29</v>
      </c>
      <c r="M3112" s="1" t="s">
        <v>29</v>
      </c>
      <c r="N3112" s="1" t="s">
        <v>22</v>
      </c>
    </row>
    <row r="3113" spans="1:14" x14ac:dyDescent="0.25">
      <c r="A3113" s="1">
        <v>3112</v>
      </c>
      <c r="B3113" s="2" t="str">
        <f>HYPERLINK("https://leetcode.com/problems/minimum-time-to-visit-disappearing-nodes/", "Minimum Time to Visit Disappearing Nodes")</f>
        <v>Minimum Time to Visit Disappearing Nodes</v>
      </c>
      <c r="C3113" s="1">
        <v>215</v>
      </c>
      <c r="D3113" s="1">
        <v>24</v>
      </c>
      <c r="E3113" s="3">
        <f>IF(INDEX(C:C, ROW())+INDEX(D:D, ROW())=0, 0, INDEX(C:C, ROW())/(INDEX(C:C, ROW())+INDEX(D:D, ROW())))</f>
        <v>0.89958158995815896</v>
      </c>
      <c r="F3113" s="1" t="s">
        <v>318</v>
      </c>
      <c r="G3113" s="1" t="s">
        <v>24</v>
      </c>
      <c r="H3113" s="1">
        <v>27237</v>
      </c>
      <c r="I3113" s="1">
        <v>72793</v>
      </c>
      <c r="J3113" s="7">
        <v>0.374</v>
      </c>
      <c r="K3113" s="1" t="s">
        <v>21</v>
      </c>
      <c r="L3113" s="1" t="s">
        <v>29</v>
      </c>
      <c r="M3113" s="1" t="s">
        <v>29</v>
      </c>
      <c r="N3113" s="1" t="s">
        <v>22</v>
      </c>
    </row>
    <row r="3114" spans="1:14" x14ac:dyDescent="0.25">
      <c r="A3114" s="1">
        <v>3113</v>
      </c>
      <c r="B3114" s="2" t="str">
        <f>HYPERLINK("https://leetcode.com/problems/find-the-number-of-subarrays-where-boundary-elements-are-maximum/", "Find the Number of Subarrays Where Boundary Elements Are Maximum")</f>
        <v>Find the Number of Subarrays Where Boundary Elements Are Maximum</v>
      </c>
      <c r="C3114" s="1">
        <v>262</v>
      </c>
      <c r="D3114" s="1">
        <v>6</v>
      </c>
      <c r="E3114" s="3">
        <f>IF(INDEX(C:C, ROW())+INDEX(D:D, ROW())=0, 0, INDEX(C:C, ROW())/(INDEX(C:C, ROW())+INDEX(D:D, ROW())))</f>
        <v>0.97761194029850751</v>
      </c>
      <c r="F3114" s="1" t="s">
        <v>1060</v>
      </c>
      <c r="G3114" s="1" t="s">
        <v>28</v>
      </c>
      <c r="H3114" s="1">
        <v>14410</v>
      </c>
      <c r="I3114" s="1">
        <v>43919</v>
      </c>
      <c r="J3114" s="7">
        <v>0.32800000000000001</v>
      </c>
      <c r="K3114" s="1" t="s">
        <v>21</v>
      </c>
      <c r="L3114" s="1" t="s">
        <v>29</v>
      </c>
      <c r="M3114" s="1" t="s">
        <v>29</v>
      </c>
      <c r="N3114" s="1" t="s">
        <v>22</v>
      </c>
    </row>
    <row r="3115" spans="1:14" x14ac:dyDescent="0.25">
      <c r="A3115" s="1">
        <v>3114</v>
      </c>
      <c r="B3115" s="2" t="str">
        <f>HYPERLINK("https://leetcode.com/problems/latest-time-you-can-obtain-after-replacing-characters/", "Latest Time You Can Obtain After Replacing Characters")</f>
        <v>Latest Time You Can Obtain After Replacing Characters</v>
      </c>
      <c r="C3115" s="1">
        <v>118</v>
      </c>
      <c r="D3115" s="1">
        <v>50</v>
      </c>
      <c r="E3115" s="3">
        <f>IF(INDEX(C:C, ROW())+INDEX(D:D, ROW())=0, 0, INDEX(C:C, ROW())/(INDEX(C:C, ROW())+INDEX(D:D, ROW())))</f>
        <v>0.70238095238095233</v>
      </c>
      <c r="F3115" s="1" t="s">
        <v>831</v>
      </c>
      <c r="G3115" s="1" t="s">
        <v>20</v>
      </c>
      <c r="H3115" s="1">
        <v>40834</v>
      </c>
      <c r="I3115" s="1">
        <v>116326</v>
      </c>
      <c r="J3115" s="7">
        <v>0.35099999999999998</v>
      </c>
      <c r="K3115" s="1" t="s">
        <v>21</v>
      </c>
      <c r="L3115" s="1" t="s">
        <v>29</v>
      </c>
      <c r="M3115" s="1" t="s">
        <v>29</v>
      </c>
      <c r="N3115" s="1" t="s">
        <v>22</v>
      </c>
    </row>
    <row r="3116" spans="1:14" x14ac:dyDescent="0.25">
      <c r="A3116" s="1">
        <v>3115</v>
      </c>
      <c r="B3116" s="2" t="str">
        <f>HYPERLINK("https://leetcode.com/problems/maximum-prime-difference/", "Maximum Prime Difference")</f>
        <v>Maximum Prime Difference</v>
      </c>
      <c r="C3116" s="1">
        <v>125</v>
      </c>
      <c r="D3116" s="1">
        <v>16</v>
      </c>
      <c r="E3116" s="3">
        <f>IF(INDEX(C:C, ROW())+INDEX(D:D, ROW())=0, 0, INDEX(C:C, ROW())/(INDEX(C:C, ROW())+INDEX(D:D, ROW())))</f>
        <v>0.88652482269503541</v>
      </c>
      <c r="F3116" s="1" t="s">
        <v>640</v>
      </c>
      <c r="G3116" s="1" t="s">
        <v>24</v>
      </c>
      <c r="H3116" s="1">
        <v>49730</v>
      </c>
      <c r="I3116" s="1">
        <v>84914</v>
      </c>
      <c r="J3116" s="7">
        <v>0.58599999999999997</v>
      </c>
      <c r="K3116" s="1" t="s">
        <v>21</v>
      </c>
      <c r="L3116" s="1" t="s">
        <v>29</v>
      </c>
      <c r="M3116" s="1" t="s">
        <v>29</v>
      </c>
      <c r="N3116" s="1" t="s">
        <v>22</v>
      </c>
    </row>
    <row r="3117" spans="1:14" x14ac:dyDescent="0.25">
      <c r="A3117" s="1">
        <v>3116</v>
      </c>
      <c r="B3117" s="2" t="str">
        <f>HYPERLINK("https://leetcode.com/problems/kth-smallest-amount-with-single-denomination-combination/", "Kth Smallest Amount With Single Denomination Combination")</f>
        <v>Kth Smallest Amount With Single Denomination Combination</v>
      </c>
      <c r="C3117" s="1">
        <v>252</v>
      </c>
      <c r="D3117" s="1">
        <v>19</v>
      </c>
      <c r="E3117" s="3">
        <f>IF(INDEX(C:C, ROW())+INDEX(D:D, ROW())=0, 0, INDEX(C:C, ROW())/(INDEX(C:C, ROW())+INDEX(D:D, ROW())))</f>
        <v>0.92988929889298888</v>
      </c>
      <c r="F3117" s="1" t="s">
        <v>1066</v>
      </c>
      <c r="G3117" s="1" t="s">
        <v>28</v>
      </c>
      <c r="H3117" s="1">
        <v>11593</v>
      </c>
      <c r="I3117" s="1">
        <v>58217</v>
      </c>
      <c r="J3117" s="7">
        <v>0.19900000000000001</v>
      </c>
      <c r="K3117" s="1" t="s">
        <v>21</v>
      </c>
      <c r="L3117" s="1" t="s">
        <v>29</v>
      </c>
      <c r="M3117" s="1" t="s">
        <v>29</v>
      </c>
      <c r="N3117" s="1" t="s">
        <v>22</v>
      </c>
    </row>
    <row r="3118" spans="1:14" x14ac:dyDescent="0.25">
      <c r="A3118" s="1">
        <v>3117</v>
      </c>
      <c r="B3118" s="2" t="str">
        <f>HYPERLINK("https://leetcode.com/problems/minimum-sum-of-values-by-dividing-array/", "Minimum Sum of Values by Dividing Array")</f>
        <v>Minimum Sum of Values by Dividing Array</v>
      </c>
      <c r="C3118" s="1">
        <v>142</v>
      </c>
      <c r="D3118" s="1">
        <v>4</v>
      </c>
      <c r="E3118" s="3">
        <f>IF(INDEX(C:C, ROW())+INDEX(D:D, ROW())=0, 0, INDEX(C:C, ROW())/(INDEX(C:C, ROW())+INDEX(D:D, ROW())))</f>
        <v>0.9726027397260274</v>
      </c>
      <c r="F3118" s="1" t="s">
        <v>1144</v>
      </c>
      <c r="G3118" s="1" t="s">
        <v>28</v>
      </c>
      <c r="H3118" s="1">
        <v>6916</v>
      </c>
      <c r="I3118" s="1">
        <v>24830</v>
      </c>
      <c r="J3118" s="7">
        <v>0.27900000000000003</v>
      </c>
      <c r="K3118" s="1" t="s">
        <v>21</v>
      </c>
      <c r="L3118" s="1" t="s">
        <v>29</v>
      </c>
      <c r="M3118" s="1" t="s">
        <v>29</v>
      </c>
      <c r="N3118" s="1" t="s">
        <v>22</v>
      </c>
    </row>
    <row r="3119" spans="1:14" x14ac:dyDescent="0.25">
      <c r="A3119" s="1">
        <v>3118</v>
      </c>
      <c r="B3119" s="2" t="str">
        <f>HYPERLINK("https://leetcode.com/problems/friday-purchase-iii/", "Friday Purchase III ")</f>
        <v xml:space="preserve">Friday Purchase III </v>
      </c>
      <c r="C3119" s="1">
        <v>5</v>
      </c>
      <c r="D3119" s="1">
        <v>7</v>
      </c>
      <c r="E3119" s="3">
        <f>IF(INDEX(C:C, ROW())+INDEX(D:D, ROW())=0, 0, INDEX(C:C, ROW())/(INDEX(C:C, ROW())+INDEX(D:D, ROW())))</f>
        <v>0.41666666666666669</v>
      </c>
      <c r="F3119" s="1" t="s">
        <v>297</v>
      </c>
      <c r="G3119" s="1" t="s">
        <v>24</v>
      </c>
      <c r="H3119" s="1">
        <v>2322</v>
      </c>
      <c r="I3119" s="1">
        <v>4220</v>
      </c>
      <c r="J3119" s="7">
        <v>0.55000000000000004</v>
      </c>
      <c r="K3119" s="1" t="s">
        <v>29</v>
      </c>
      <c r="L3119" s="1" t="s">
        <v>29</v>
      </c>
      <c r="M3119" s="1" t="s">
        <v>29</v>
      </c>
      <c r="N3119" s="1" t="s">
        <v>297</v>
      </c>
    </row>
    <row r="3120" spans="1:14" x14ac:dyDescent="0.25">
      <c r="A3120" s="1">
        <v>3119</v>
      </c>
      <c r="B3120" s="2" t="str">
        <f>HYPERLINK("https://leetcode.com/problems/maximum-number-of-potholes-that-can-be-fixed/", "Maximum Number of Potholes That Can Be Fixed")</f>
        <v>Maximum Number of Potholes That Can Be Fixed</v>
      </c>
      <c r="C3120" s="1">
        <v>20</v>
      </c>
      <c r="D3120" s="1">
        <v>3</v>
      </c>
      <c r="E3120" s="3">
        <f>IF(INDEX(C:C, ROW())+INDEX(D:D, ROW())=0, 0, INDEX(C:C, ROW())/(INDEX(C:C, ROW())+INDEX(D:D, ROW())))</f>
        <v>0.86956521739130432</v>
      </c>
      <c r="F3120" s="1" t="s">
        <v>771</v>
      </c>
      <c r="G3120" s="1" t="s">
        <v>24</v>
      </c>
      <c r="H3120" s="1">
        <v>3924</v>
      </c>
      <c r="I3120" s="1">
        <v>7368</v>
      </c>
      <c r="J3120" s="7">
        <v>0.53300000000000003</v>
      </c>
      <c r="K3120" s="1" t="s">
        <v>29</v>
      </c>
      <c r="L3120" s="1" t="s">
        <v>29</v>
      </c>
      <c r="M3120" s="1" t="s">
        <v>29</v>
      </c>
      <c r="N3120" s="1" t="s">
        <v>22</v>
      </c>
    </row>
    <row r="3121" spans="1:14" x14ac:dyDescent="0.25">
      <c r="A3121" s="1">
        <v>3120</v>
      </c>
      <c r="B3121" s="2" t="str">
        <f>HYPERLINK("https://leetcode.com/problems/count-the-number-of-special-characters-i/", "Count the Number of Special Characters I")</f>
        <v>Count the Number of Special Characters I</v>
      </c>
      <c r="C3121" s="1">
        <v>171</v>
      </c>
      <c r="D3121" s="1">
        <v>5</v>
      </c>
      <c r="E3121" s="3">
        <f>IF(INDEX(C:C, ROW())+INDEX(D:D, ROW())=0, 0, INDEX(C:C, ROW())/(INDEX(C:C, ROW())+INDEX(D:D, ROW())))</f>
        <v>0.97159090909090906</v>
      </c>
      <c r="F3121" s="1" t="s">
        <v>131</v>
      </c>
      <c r="G3121" s="1" t="s">
        <v>20</v>
      </c>
      <c r="H3121" s="1">
        <v>63549</v>
      </c>
      <c r="I3121" s="1">
        <v>95262</v>
      </c>
      <c r="J3121" s="7">
        <v>0.66700000000000004</v>
      </c>
      <c r="K3121" s="1" t="s">
        <v>21</v>
      </c>
      <c r="L3121" s="1" t="s">
        <v>29</v>
      </c>
      <c r="M3121" s="1" t="s">
        <v>29</v>
      </c>
      <c r="N3121" s="1" t="s">
        <v>22</v>
      </c>
    </row>
    <row r="3122" spans="1:14" x14ac:dyDescent="0.25">
      <c r="A3122" s="1">
        <v>3121</v>
      </c>
      <c r="B3122" s="2" t="str">
        <f>HYPERLINK("https://leetcode.com/problems/count-the-number-of-special-characters-ii/", "Count the Number of Special Characters II")</f>
        <v>Count the Number of Special Characters II</v>
      </c>
      <c r="C3122" s="1">
        <v>179</v>
      </c>
      <c r="D3122" s="1">
        <v>16</v>
      </c>
      <c r="E3122" s="3">
        <f>IF(INDEX(C:C, ROW())+INDEX(D:D, ROW())=0, 0, INDEX(C:C, ROW())/(INDEX(C:C, ROW())+INDEX(D:D, ROW())))</f>
        <v>0.91794871794871791</v>
      </c>
      <c r="F3122" s="1" t="s">
        <v>131</v>
      </c>
      <c r="G3122" s="1" t="s">
        <v>24</v>
      </c>
      <c r="H3122" s="1">
        <v>40699</v>
      </c>
      <c r="I3122" s="1">
        <v>94129</v>
      </c>
      <c r="J3122" s="7">
        <v>0.432</v>
      </c>
      <c r="K3122" s="1" t="s">
        <v>21</v>
      </c>
      <c r="L3122" s="1" t="s">
        <v>29</v>
      </c>
      <c r="M3122" s="1" t="s">
        <v>29</v>
      </c>
      <c r="N3122" s="1" t="s">
        <v>22</v>
      </c>
    </row>
    <row r="3123" spans="1:14" x14ac:dyDescent="0.25">
      <c r="A3123" s="1">
        <v>3122</v>
      </c>
      <c r="B3123" s="2" t="str">
        <f>HYPERLINK("https://leetcode.com/problems/minimum-number-of-operations-to-satisfy-conditions/", "Minimum Number of Operations to Satisfy Conditions")</f>
        <v>Minimum Number of Operations to Satisfy Conditions</v>
      </c>
      <c r="C3123" s="1">
        <v>284</v>
      </c>
      <c r="D3123" s="1">
        <v>13</v>
      </c>
      <c r="E3123" s="3">
        <f>IF(INDEX(C:C, ROW())+INDEX(D:D, ROW())=0, 0, INDEX(C:C, ROW())/(INDEX(C:C, ROW())+INDEX(D:D, ROW())))</f>
        <v>0.95622895622895621</v>
      </c>
      <c r="F3123" s="1" t="s">
        <v>94</v>
      </c>
      <c r="G3123" s="1" t="s">
        <v>24</v>
      </c>
      <c r="H3123" s="1">
        <v>18872</v>
      </c>
      <c r="I3123" s="1">
        <v>45271</v>
      </c>
      <c r="J3123" s="7">
        <v>0.41699999999999998</v>
      </c>
      <c r="K3123" s="1" t="s">
        <v>21</v>
      </c>
      <c r="L3123" s="1" t="s">
        <v>29</v>
      </c>
      <c r="M3123" s="1" t="s">
        <v>29</v>
      </c>
      <c r="N3123" s="1" t="s">
        <v>22</v>
      </c>
    </row>
    <row r="3124" spans="1:14" x14ac:dyDescent="0.25">
      <c r="A3124" s="1">
        <v>3123</v>
      </c>
      <c r="B3124" s="2" t="str">
        <f>HYPERLINK("https://leetcode.com/problems/find-edges-in-shortest-paths/", "Find Edges in Shortest Paths")</f>
        <v>Find Edges in Shortest Paths</v>
      </c>
      <c r="C3124" s="1">
        <v>309</v>
      </c>
      <c r="D3124" s="1">
        <v>5</v>
      </c>
      <c r="E3124" s="3">
        <f>IF(INDEX(C:C, ROW())+INDEX(D:D, ROW())=0, 0, INDEX(C:C, ROW())/(INDEX(C:C, ROW())+INDEX(D:D, ROW())))</f>
        <v>0.98407643312101911</v>
      </c>
      <c r="F3124" s="1" t="s">
        <v>166</v>
      </c>
      <c r="G3124" s="1" t="s">
        <v>28</v>
      </c>
      <c r="H3124" s="1">
        <v>18838</v>
      </c>
      <c r="I3124" s="1">
        <v>40589</v>
      </c>
      <c r="J3124" s="7">
        <v>0.46400000000000002</v>
      </c>
      <c r="K3124" s="1" t="s">
        <v>21</v>
      </c>
      <c r="L3124" s="1" t="s">
        <v>29</v>
      </c>
      <c r="M3124" s="1" t="s">
        <v>29</v>
      </c>
      <c r="N3124" s="1" t="s">
        <v>22</v>
      </c>
    </row>
    <row r="3125" spans="1:14" x14ac:dyDescent="0.25">
      <c r="A3125" s="1">
        <v>3124</v>
      </c>
      <c r="B3125" s="2" t="str">
        <f>HYPERLINK("https://leetcode.com/problems/find-longest-calls/", "Find Longest Calls")</f>
        <v>Find Longest Calls</v>
      </c>
      <c r="C3125" s="1">
        <v>7</v>
      </c>
      <c r="D3125" s="1">
        <v>5</v>
      </c>
      <c r="E3125" s="3">
        <f>IF(INDEX(C:C, ROW())+INDEX(D:D, ROW())=0, 0, INDEX(C:C, ROW())/(INDEX(C:C, ROW())+INDEX(D:D, ROW())))</f>
        <v>0.58333333333333337</v>
      </c>
      <c r="F3125" s="1" t="s">
        <v>297</v>
      </c>
      <c r="G3125" s="1" t="s">
        <v>24</v>
      </c>
      <c r="H3125" s="1">
        <v>2864</v>
      </c>
      <c r="I3125" s="1">
        <v>4549</v>
      </c>
      <c r="J3125" s="7">
        <v>0.63</v>
      </c>
      <c r="K3125" s="1" t="s">
        <v>29</v>
      </c>
      <c r="L3125" s="1" t="s">
        <v>29</v>
      </c>
      <c r="M3125" s="1" t="s">
        <v>29</v>
      </c>
      <c r="N3125" s="1" t="s">
        <v>297</v>
      </c>
    </row>
    <row r="3126" spans="1:14" x14ac:dyDescent="0.25">
      <c r="A3126" s="1">
        <v>3125</v>
      </c>
      <c r="B3126" s="2" t="str">
        <f>HYPERLINK("https://leetcode.com/problems/maximum-number-that-makes-result-of-bitwise-and-zero/", "Maximum Number That Makes Result of Bitwise AND Zero")</f>
        <v>Maximum Number That Makes Result of Bitwise AND Zero</v>
      </c>
      <c r="C3126" s="1">
        <v>12</v>
      </c>
      <c r="D3126" s="1">
        <v>2</v>
      </c>
      <c r="E3126" s="3">
        <f>IF(INDEX(C:C, ROW())+INDEX(D:D, ROW())=0, 0, INDEX(C:C, ROW())/(INDEX(C:C, ROW())+INDEX(D:D, ROW())))</f>
        <v>0.8571428571428571</v>
      </c>
      <c r="F3126" s="1" t="s">
        <v>771</v>
      </c>
      <c r="G3126" s="1" t="s">
        <v>24</v>
      </c>
      <c r="H3126" s="1">
        <v>1308</v>
      </c>
      <c r="I3126" s="1">
        <v>1866</v>
      </c>
      <c r="J3126" s="7">
        <v>0.70099999999999996</v>
      </c>
      <c r="K3126" s="1" t="s">
        <v>29</v>
      </c>
      <c r="L3126" s="1" t="s">
        <v>29</v>
      </c>
      <c r="M3126" s="1" t="s">
        <v>29</v>
      </c>
      <c r="N3126" s="1" t="s">
        <v>22</v>
      </c>
    </row>
    <row r="3127" spans="1:14" x14ac:dyDescent="0.25">
      <c r="A3127" s="1">
        <v>3126</v>
      </c>
      <c r="B3127" s="2" t="str">
        <f>HYPERLINK("https://leetcode.com/problems/server-utilization-time/", "Server Utilization Time")</f>
        <v>Server Utilization Time</v>
      </c>
      <c r="C3127" s="1">
        <v>9</v>
      </c>
      <c r="D3127" s="1">
        <v>14</v>
      </c>
      <c r="E3127" s="3">
        <f>IF(INDEX(C:C, ROW())+INDEX(D:D, ROW())=0, 0, INDEX(C:C, ROW())/(INDEX(C:C, ROW())+INDEX(D:D, ROW())))</f>
        <v>0.39130434782608697</v>
      </c>
      <c r="F3127" s="1" t="s">
        <v>297</v>
      </c>
      <c r="G3127" s="1" t="s">
        <v>24</v>
      </c>
      <c r="H3127" s="1">
        <v>2731</v>
      </c>
      <c r="I3127" s="1">
        <v>4518</v>
      </c>
      <c r="J3127" s="7">
        <v>0.60399999999999998</v>
      </c>
      <c r="K3127" s="1" t="s">
        <v>29</v>
      </c>
      <c r="L3127" s="1" t="s">
        <v>29</v>
      </c>
      <c r="M3127" s="1" t="s">
        <v>29</v>
      </c>
      <c r="N3127" s="1" t="s">
        <v>297</v>
      </c>
    </row>
    <row r="3128" spans="1:14" x14ac:dyDescent="0.25">
      <c r="A3128" s="1">
        <v>3127</v>
      </c>
      <c r="B3128" s="2" t="str">
        <f>HYPERLINK("https://leetcode.com/problems/make-a-square-with-the-same-color/", "Make a Square with the Same Color")</f>
        <v>Make a Square with the Same Color</v>
      </c>
      <c r="C3128" s="1">
        <v>94</v>
      </c>
      <c r="D3128" s="1">
        <v>11</v>
      </c>
      <c r="E3128" s="3">
        <f>IF(INDEX(C:C, ROW())+INDEX(D:D, ROW())=0, 0, INDEX(C:C, ROW())/(INDEX(C:C, ROW())+INDEX(D:D, ROW())))</f>
        <v>0.89523809523809528</v>
      </c>
      <c r="F3128" s="1" t="s">
        <v>982</v>
      </c>
      <c r="G3128" s="1" t="s">
        <v>20</v>
      </c>
      <c r="H3128" s="1">
        <v>33493</v>
      </c>
      <c r="I3128" s="1">
        <v>63355</v>
      </c>
      <c r="J3128" s="7">
        <v>0.52900000000000003</v>
      </c>
      <c r="K3128" s="1" t="s">
        <v>21</v>
      </c>
      <c r="L3128" s="1" t="s">
        <v>29</v>
      </c>
      <c r="M3128" s="1" t="s">
        <v>29</v>
      </c>
      <c r="N3128" s="1" t="s">
        <v>22</v>
      </c>
    </row>
    <row r="3129" spans="1:14" x14ac:dyDescent="0.25">
      <c r="A3129" s="1">
        <v>3128</v>
      </c>
      <c r="B3129" s="2" t="str">
        <f>HYPERLINK("https://leetcode.com/problems/right-triangles/", "Right Triangles")</f>
        <v>Right Triangles</v>
      </c>
      <c r="C3129" s="1">
        <v>133</v>
      </c>
      <c r="D3129" s="1">
        <v>24</v>
      </c>
      <c r="E3129" s="3">
        <f>IF(INDEX(C:C, ROW())+INDEX(D:D, ROW())=0, 0, INDEX(C:C, ROW())/(INDEX(C:C, ROW())+INDEX(D:D, ROW())))</f>
        <v>0.84713375796178347</v>
      </c>
      <c r="F3129" s="1" t="s">
        <v>1152</v>
      </c>
      <c r="G3129" s="1" t="s">
        <v>24</v>
      </c>
      <c r="H3129" s="1">
        <v>23379</v>
      </c>
      <c r="I3129" s="1">
        <v>48373</v>
      </c>
      <c r="J3129" s="7">
        <v>0.48299999999999998</v>
      </c>
      <c r="K3129" s="1" t="s">
        <v>21</v>
      </c>
      <c r="L3129" s="1" t="s">
        <v>29</v>
      </c>
      <c r="M3129" s="1" t="s">
        <v>29</v>
      </c>
      <c r="N3129" s="1" t="s">
        <v>22</v>
      </c>
    </row>
    <row r="3130" spans="1:14" x14ac:dyDescent="0.25">
      <c r="A3130" s="1">
        <v>3129</v>
      </c>
      <c r="B3130" s="2" t="str">
        <f>HYPERLINK("https://leetcode.com/problems/find-all-possible-stable-binary-arrays-i/", "Find All Possible Stable Binary Arrays I")</f>
        <v>Find All Possible Stable Binary Arrays I</v>
      </c>
      <c r="C3130" s="1">
        <v>135</v>
      </c>
      <c r="D3130" s="1">
        <v>44</v>
      </c>
      <c r="E3130" s="3">
        <f>IF(INDEX(C:C, ROW())+INDEX(D:D, ROW())=0, 0, INDEX(C:C, ROW())/(INDEX(C:C, ROW())+INDEX(D:D, ROW())))</f>
        <v>0.75418994413407825</v>
      </c>
      <c r="F3130" s="1" t="s">
        <v>599</v>
      </c>
      <c r="G3130" s="1" t="s">
        <v>24</v>
      </c>
      <c r="H3130" s="1">
        <v>9980</v>
      </c>
      <c r="I3130" s="1">
        <v>36890</v>
      </c>
      <c r="J3130" s="7">
        <v>0.27100000000000002</v>
      </c>
      <c r="K3130" s="1" t="s">
        <v>21</v>
      </c>
      <c r="L3130" s="1" t="s">
        <v>29</v>
      </c>
      <c r="M3130" s="1" t="s">
        <v>29</v>
      </c>
      <c r="N3130" s="1" t="s">
        <v>22</v>
      </c>
    </row>
    <row r="3131" spans="1:14" x14ac:dyDescent="0.25">
      <c r="A3131" s="1">
        <v>3130</v>
      </c>
      <c r="B3131" s="2" t="str">
        <f>HYPERLINK("https://leetcode.com/problems/find-all-possible-stable-binary-arrays-ii/", "Find All Possible Stable Binary Arrays II")</f>
        <v>Find All Possible Stable Binary Arrays II</v>
      </c>
      <c r="C3131" s="1">
        <v>72</v>
      </c>
      <c r="D3131" s="1">
        <v>13</v>
      </c>
      <c r="E3131" s="3">
        <f>IF(INDEX(C:C, ROW())+INDEX(D:D, ROW())=0, 0, INDEX(C:C, ROW())/(INDEX(C:C, ROW())+INDEX(D:D, ROW())))</f>
        <v>0.84705882352941175</v>
      </c>
      <c r="F3131" s="1" t="s">
        <v>599</v>
      </c>
      <c r="G3131" s="1" t="s">
        <v>28</v>
      </c>
      <c r="H3131" s="1">
        <v>4328</v>
      </c>
      <c r="I3131" s="1">
        <v>15844</v>
      </c>
      <c r="J3131" s="7">
        <v>0.27300000000000002</v>
      </c>
      <c r="K3131" s="1" t="s">
        <v>21</v>
      </c>
      <c r="L3131" s="1" t="s">
        <v>29</v>
      </c>
      <c r="M3131" s="1" t="s">
        <v>29</v>
      </c>
      <c r="N3131" s="1" t="s">
        <v>22</v>
      </c>
    </row>
    <row r="3132" spans="1:14" x14ac:dyDescent="0.25">
      <c r="A3132" s="1">
        <v>3131</v>
      </c>
      <c r="B3132" s="2" t="str">
        <f>HYPERLINK("https://leetcode.com/problems/find-the-integer-added-to-array-i/", "Find the Integer Added to Array I")</f>
        <v>Find the Integer Added to Array I</v>
      </c>
      <c r="C3132" s="1">
        <v>172</v>
      </c>
      <c r="D3132" s="1">
        <v>11</v>
      </c>
      <c r="E3132" s="3">
        <f>IF(INDEX(C:C, ROW())+INDEX(D:D, ROW())=0, 0, INDEX(C:C, ROW())/(INDEX(C:C, ROW())+INDEX(D:D, ROW())))</f>
        <v>0.93989071038251371</v>
      </c>
      <c r="F3132" s="1" t="s">
        <v>113</v>
      </c>
      <c r="G3132" s="1" t="s">
        <v>20</v>
      </c>
      <c r="H3132" s="1">
        <v>81200</v>
      </c>
      <c r="I3132" s="1">
        <v>98017</v>
      </c>
      <c r="J3132" s="7">
        <v>0.82799999999999996</v>
      </c>
      <c r="K3132" s="1" t="s">
        <v>21</v>
      </c>
      <c r="L3132" s="1" t="s">
        <v>29</v>
      </c>
      <c r="M3132" s="1" t="s">
        <v>29</v>
      </c>
      <c r="N3132" s="1" t="s">
        <v>22</v>
      </c>
    </row>
    <row r="3133" spans="1:14" x14ac:dyDescent="0.25">
      <c r="A3133" s="1">
        <v>3132</v>
      </c>
      <c r="B3133" s="2" t="str">
        <f>HYPERLINK("https://leetcode.com/problems/find-the-integer-added-to-array-ii/", "Find the Integer Added to Array II")</f>
        <v>Find the Integer Added to Array II</v>
      </c>
      <c r="C3133" s="1">
        <v>178</v>
      </c>
      <c r="D3133" s="1">
        <v>43</v>
      </c>
      <c r="E3133" s="3">
        <f>IF(INDEX(C:C, ROW())+INDEX(D:D, ROW())=0, 0, INDEX(C:C, ROW())/(INDEX(C:C, ROW())+INDEX(D:D, ROW())))</f>
        <v>0.80542986425339369</v>
      </c>
      <c r="F3133" s="1" t="s">
        <v>1111</v>
      </c>
      <c r="G3133" s="1" t="s">
        <v>24</v>
      </c>
      <c r="H3133" s="1">
        <v>25868</v>
      </c>
      <c r="I3133" s="1">
        <v>78806</v>
      </c>
      <c r="J3133" s="7">
        <v>0.32800000000000001</v>
      </c>
      <c r="K3133" s="1" t="s">
        <v>21</v>
      </c>
      <c r="L3133" s="1" t="s">
        <v>29</v>
      </c>
      <c r="M3133" s="1" t="s">
        <v>29</v>
      </c>
      <c r="N3133" s="1" t="s">
        <v>22</v>
      </c>
    </row>
    <row r="3134" spans="1:14" x14ac:dyDescent="0.25">
      <c r="A3134" s="1">
        <v>3133</v>
      </c>
      <c r="B3134" s="2" t="str">
        <f>HYPERLINK("https://leetcode.com/problems/minimum-array-end/", "Minimum Array End")</f>
        <v>Minimum Array End</v>
      </c>
      <c r="C3134" s="1">
        <v>812</v>
      </c>
      <c r="D3134" s="1">
        <v>99</v>
      </c>
      <c r="E3134" s="3">
        <f>IF(INDEX(C:C, ROW())+INDEX(D:D, ROW())=0, 0, INDEX(C:C, ROW())/(INDEX(C:C, ROW())+INDEX(D:D, ROW())))</f>
        <v>0.89132821075740942</v>
      </c>
      <c r="F3134" s="1" t="s">
        <v>298</v>
      </c>
      <c r="G3134" s="1" t="s">
        <v>24</v>
      </c>
      <c r="H3134" s="1">
        <v>109605</v>
      </c>
      <c r="I3134" s="1">
        <v>197657</v>
      </c>
      <c r="J3134" s="7">
        <v>0.55500000000000005</v>
      </c>
      <c r="K3134" s="1" t="s">
        <v>21</v>
      </c>
      <c r="L3134" s="1" t="s">
        <v>21</v>
      </c>
      <c r="M3134" s="1" t="s">
        <v>29</v>
      </c>
      <c r="N3134" s="1" t="s">
        <v>22</v>
      </c>
    </row>
    <row r="3135" spans="1:14" x14ac:dyDescent="0.25">
      <c r="A3135" s="1">
        <v>3134</v>
      </c>
      <c r="B3135" s="2" t="str">
        <f>HYPERLINK("https://leetcode.com/problems/find-the-median-of-the-uniqueness-array/", "Find the Median of the Uniqueness Array")</f>
        <v>Find the Median of the Uniqueness Array</v>
      </c>
      <c r="C3135" s="1">
        <v>176</v>
      </c>
      <c r="D3135" s="1">
        <v>13</v>
      </c>
      <c r="E3135" s="3">
        <f>IF(INDEX(C:C, ROW())+INDEX(D:D, ROW())=0, 0, INDEX(C:C, ROW())/(INDEX(C:C, ROW())+INDEX(D:D, ROW())))</f>
        <v>0.93121693121693117</v>
      </c>
      <c r="F3135" s="1" t="s">
        <v>503</v>
      </c>
      <c r="G3135" s="1" t="s">
        <v>28</v>
      </c>
      <c r="H3135" s="1">
        <v>8731</v>
      </c>
      <c r="I3135" s="1">
        <v>29210</v>
      </c>
      <c r="J3135" s="7">
        <v>0.29899999999999999</v>
      </c>
      <c r="K3135" s="1" t="s">
        <v>21</v>
      </c>
      <c r="L3135" s="1" t="s">
        <v>29</v>
      </c>
      <c r="M3135" s="1" t="s">
        <v>29</v>
      </c>
      <c r="N3135" s="1" t="s">
        <v>22</v>
      </c>
    </row>
    <row r="3136" spans="1:14" x14ac:dyDescent="0.25">
      <c r="A3136" s="1">
        <v>3135</v>
      </c>
      <c r="B3136" s="2" t="str">
        <f>HYPERLINK("https://leetcode.com/problems/equalize-strings-by-adding-or-removing-characters-at-ends/", "Equalize Strings by Adding or Removing Characters at Ends")</f>
        <v>Equalize Strings by Adding or Removing Characters at Ends</v>
      </c>
      <c r="C3136" s="1">
        <v>15</v>
      </c>
      <c r="D3136" s="1">
        <v>2</v>
      </c>
      <c r="E3136" s="3">
        <f>IF(INDEX(C:C, ROW())+INDEX(D:D, ROW())=0, 0, INDEX(C:C, ROW())/(INDEX(C:C, ROW())+INDEX(D:D, ROW())))</f>
        <v>0.88235294117647056</v>
      </c>
      <c r="F3136" s="1" t="s">
        <v>1324</v>
      </c>
      <c r="G3136" s="1" t="s">
        <v>24</v>
      </c>
      <c r="H3136" s="1">
        <v>1410</v>
      </c>
      <c r="I3136" s="1">
        <v>2496</v>
      </c>
      <c r="J3136" s="7">
        <v>0.56499999999999995</v>
      </c>
      <c r="K3136" s="1" t="s">
        <v>29</v>
      </c>
      <c r="L3136" s="1" t="s">
        <v>29</v>
      </c>
      <c r="M3136" s="1" t="s">
        <v>29</v>
      </c>
      <c r="N3136" s="1" t="s">
        <v>22</v>
      </c>
    </row>
    <row r="3137" spans="1:14" x14ac:dyDescent="0.25">
      <c r="A3137" s="1">
        <v>3136</v>
      </c>
      <c r="B3137" s="2" t="str">
        <f>HYPERLINK("https://leetcode.com/problems/valid-word/", "Valid Word")</f>
        <v>Valid Word</v>
      </c>
      <c r="C3137" s="1">
        <v>480</v>
      </c>
      <c r="D3137" s="1">
        <v>169</v>
      </c>
      <c r="E3137" s="3">
        <f>IF(INDEX(C:C, ROW())+INDEX(D:D, ROW())=0, 0, INDEX(C:C, ROW())/(INDEX(C:C, ROW())+INDEX(D:D, ROW())))</f>
        <v>0.73959938366718025</v>
      </c>
      <c r="F3137" s="1" t="s">
        <v>146</v>
      </c>
      <c r="G3137" s="1" t="s">
        <v>20</v>
      </c>
      <c r="H3137" s="1">
        <v>206479</v>
      </c>
      <c r="I3137" s="1">
        <v>405937</v>
      </c>
      <c r="J3137" s="7">
        <v>0.50900000000000001</v>
      </c>
      <c r="K3137" s="1" t="s">
        <v>21</v>
      </c>
      <c r="L3137" s="1" t="s">
        <v>21</v>
      </c>
      <c r="M3137" s="1" t="s">
        <v>29</v>
      </c>
      <c r="N3137" s="1" t="s">
        <v>22</v>
      </c>
    </row>
    <row r="3138" spans="1:14" x14ac:dyDescent="0.25">
      <c r="A3138" s="1">
        <v>3137</v>
      </c>
      <c r="B3138" s="2" t="str">
        <f>HYPERLINK("https://leetcode.com/problems/minimum-number-of-operations-to-make-word-k-periodic/", "Minimum Number of Operations to Make Word K-Periodic")</f>
        <v>Minimum Number of Operations to Make Word K-Periodic</v>
      </c>
      <c r="C3138" s="1">
        <v>123</v>
      </c>
      <c r="D3138" s="1">
        <v>13</v>
      </c>
      <c r="E3138" s="3">
        <f>IF(INDEX(C:C, ROW())+INDEX(D:D, ROW())=0, 0, INDEX(C:C, ROW())/(INDEX(C:C, ROW())+INDEX(D:D, ROW())))</f>
        <v>0.90441176470588236</v>
      </c>
      <c r="F3138" s="1" t="s">
        <v>237</v>
      </c>
      <c r="G3138" s="1" t="s">
        <v>24</v>
      </c>
      <c r="H3138" s="1">
        <v>28010</v>
      </c>
      <c r="I3138" s="1">
        <v>46182</v>
      </c>
      <c r="J3138" s="7">
        <v>0.60699999999999998</v>
      </c>
      <c r="K3138" s="1" t="s">
        <v>21</v>
      </c>
      <c r="L3138" s="1" t="s">
        <v>29</v>
      </c>
      <c r="M3138" s="1" t="s">
        <v>29</v>
      </c>
      <c r="N3138" s="1" t="s">
        <v>22</v>
      </c>
    </row>
    <row r="3139" spans="1:14" x14ac:dyDescent="0.25">
      <c r="A3139" s="1">
        <v>3138</v>
      </c>
      <c r="B3139" s="2" t="str">
        <f>HYPERLINK("https://leetcode.com/problems/minimum-length-of-anagram-concatenation/", "Minimum Length of Anagram Concatenation")</f>
        <v>Minimum Length of Anagram Concatenation</v>
      </c>
      <c r="C3139" s="1">
        <v>201</v>
      </c>
      <c r="D3139" s="1">
        <v>103</v>
      </c>
      <c r="E3139" s="3">
        <f>IF(INDEX(C:C, ROW())+INDEX(D:D, ROW())=0, 0, INDEX(C:C, ROW())/(INDEX(C:C, ROW())+INDEX(D:D, ROW())))</f>
        <v>0.66118421052631582</v>
      </c>
      <c r="F3139" s="1" t="s">
        <v>237</v>
      </c>
      <c r="G3139" s="1" t="s">
        <v>24</v>
      </c>
      <c r="H3139" s="1">
        <v>33343</v>
      </c>
      <c r="I3139" s="1">
        <v>83688</v>
      </c>
      <c r="J3139" s="7">
        <v>0.39800000000000002</v>
      </c>
      <c r="K3139" s="1" t="s">
        <v>21</v>
      </c>
      <c r="L3139" s="1" t="s">
        <v>29</v>
      </c>
      <c r="M3139" s="1" t="s">
        <v>29</v>
      </c>
      <c r="N3139" s="1" t="s">
        <v>22</v>
      </c>
    </row>
    <row r="3140" spans="1:14" x14ac:dyDescent="0.25">
      <c r="A3140" s="1">
        <v>3139</v>
      </c>
      <c r="B3140" s="2" t="str">
        <f>HYPERLINK("https://leetcode.com/problems/minimum-cost-to-equalize-array/", "Minimum Cost to Equalize Array")</f>
        <v>Minimum Cost to Equalize Array</v>
      </c>
      <c r="C3140" s="1">
        <v>148</v>
      </c>
      <c r="D3140" s="1">
        <v>24</v>
      </c>
      <c r="E3140" s="3">
        <f>IF(INDEX(C:C, ROW())+INDEX(D:D, ROW())=0, 0, INDEX(C:C, ROW())/(INDEX(C:C, ROW())+INDEX(D:D, ROW())))</f>
        <v>0.86046511627906974</v>
      </c>
      <c r="F3140" s="1" t="s">
        <v>946</v>
      </c>
      <c r="G3140" s="1" t="s">
        <v>28</v>
      </c>
      <c r="H3140" s="1">
        <v>6319</v>
      </c>
      <c r="I3140" s="1">
        <v>33825</v>
      </c>
      <c r="J3140" s="7">
        <v>0.187</v>
      </c>
      <c r="K3140" s="1" t="s">
        <v>21</v>
      </c>
      <c r="L3140" s="1" t="s">
        <v>29</v>
      </c>
      <c r="M3140" s="1" t="s">
        <v>29</v>
      </c>
      <c r="N3140" s="1" t="s">
        <v>22</v>
      </c>
    </row>
    <row r="3141" spans="1:14" x14ac:dyDescent="0.25">
      <c r="A3141" s="1">
        <v>3140</v>
      </c>
      <c r="B3141" s="2" t="str">
        <f>HYPERLINK("https://leetcode.com/problems/consecutive-available-seats-ii/", "Consecutive Available Seats II")</f>
        <v>Consecutive Available Seats II</v>
      </c>
      <c r="C3141" s="1">
        <v>12</v>
      </c>
      <c r="D3141" s="1">
        <v>2</v>
      </c>
      <c r="E3141" s="3">
        <f>IF(INDEX(C:C, ROW())+INDEX(D:D, ROW())=0, 0, INDEX(C:C, ROW())/(INDEX(C:C, ROW())+INDEX(D:D, ROW())))</f>
        <v>0.8571428571428571</v>
      </c>
      <c r="F3141" s="1" t="s">
        <v>297</v>
      </c>
      <c r="G3141" s="1" t="s">
        <v>24</v>
      </c>
      <c r="H3141" s="1">
        <v>2748</v>
      </c>
      <c r="I3141" s="1">
        <v>4964</v>
      </c>
      <c r="J3141" s="7">
        <v>0.55400000000000005</v>
      </c>
      <c r="K3141" s="1" t="s">
        <v>29</v>
      </c>
      <c r="L3141" s="1" t="s">
        <v>29</v>
      </c>
      <c r="M3141" s="1" t="s">
        <v>29</v>
      </c>
      <c r="N3141" s="1" t="s">
        <v>297</v>
      </c>
    </row>
    <row r="3142" spans="1:14" x14ac:dyDescent="0.25">
      <c r="A3142" s="1">
        <v>3141</v>
      </c>
      <c r="B3142" s="2" t="str">
        <f>HYPERLINK("https://leetcode.com/problems/maximum-hamming-distances/", "Maximum Hamming Distances")</f>
        <v>Maximum Hamming Distances</v>
      </c>
      <c r="C3142" s="1">
        <v>15</v>
      </c>
      <c r="D3142" s="1">
        <v>2</v>
      </c>
      <c r="E3142" s="3">
        <f>IF(INDEX(C:C, ROW())+INDEX(D:D, ROW())=0, 0, INDEX(C:C, ROW())/(INDEX(C:C, ROW())+INDEX(D:D, ROW())))</f>
        <v>0.88235294117647056</v>
      </c>
      <c r="F3142" s="1" t="s">
        <v>1325</v>
      </c>
      <c r="G3142" s="1" t="s">
        <v>28</v>
      </c>
      <c r="H3142" s="1">
        <v>628</v>
      </c>
      <c r="I3142" s="1">
        <v>1277</v>
      </c>
      <c r="J3142" s="7">
        <v>0.49199999999999999</v>
      </c>
      <c r="K3142" s="1" t="s">
        <v>29</v>
      </c>
      <c r="L3142" s="1" t="s">
        <v>29</v>
      </c>
      <c r="M3142" s="1" t="s">
        <v>29</v>
      </c>
      <c r="N3142" s="1" t="s">
        <v>22</v>
      </c>
    </row>
    <row r="3143" spans="1:14" x14ac:dyDescent="0.25">
      <c r="A3143" s="1">
        <v>3142</v>
      </c>
      <c r="B3143" s="2" t="str">
        <f>HYPERLINK("https://leetcode.com/problems/check-if-grid-satisfies-conditions/", "Check if Grid Satisfies Conditions")</f>
        <v>Check if Grid Satisfies Conditions</v>
      </c>
      <c r="C3143" s="1">
        <v>113</v>
      </c>
      <c r="D3143" s="1">
        <v>6</v>
      </c>
      <c r="E3143" s="3">
        <f>IF(INDEX(C:C, ROW())+INDEX(D:D, ROW())=0, 0, INDEX(C:C, ROW())/(INDEX(C:C, ROW())+INDEX(D:D, ROW())))</f>
        <v>0.94957983193277307</v>
      </c>
      <c r="F3143" s="1" t="s">
        <v>266</v>
      </c>
      <c r="G3143" s="1" t="s">
        <v>20</v>
      </c>
      <c r="H3143" s="1">
        <v>44662</v>
      </c>
      <c r="I3143" s="1">
        <v>99289</v>
      </c>
      <c r="J3143" s="7">
        <v>0.45</v>
      </c>
      <c r="K3143" s="1" t="s">
        <v>21</v>
      </c>
      <c r="L3143" s="1" t="s">
        <v>29</v>
      </c>
      <c r="M3143" s="1" t="s">
        <v>29</v>
      </c>
      <c r="N3143" s="1" t="s">
        <v>22</v>
      </c>
    </row>
    <row r="3144" spans="1:14" x14ac:dyDescent="0.25">
      <c r="A3144" s="1">
        <v>3143</v>
      </c>
      <c r="B3144" s="2" t="str">
        <f>HYPERLINK("https://leetcode.com/problems/maximum-points-inside-the-square/", "Maximum Points Inside the Square")</f>
        <v>Maximum Points Inside the Square</v>
      </c>
      <c r="C3144" s="1">
        <v>170</v>
      </c>
      <c r="D3144" s="1">
        <v>24</v>
      </c>
      <c r="E3144" s="3">
        <f>IF(INDEX(C:C, ROW())+INDEX(D:D, ROW())=0, 0, INDEX(C:C, ROW())/(INDEX(C:C, ROW())+INDEX(D:D, ROW())))</f>
        <v>0.87628865979381443</v>
      </c>
      <c r="F3144" s="1" t="s">
        <v>780</v>
      </c>
      <c r="G3144" s="1" t="s">
        <v>24</v>
      </c>
      <c r="H3144" s="1">
        <v>21056</v>
      </c>
      <c r="I3144" s="1">
        <v>53775</v>
      </c>
      <c r="J3144" s="7">
        <v>0.39200000000000002</v>
      </c>
      <c r="K3144" s="1" t="s">
        <v>21</v>
      </c>
      <c r="L3144" s="1" t="s">
        <v>29</v>
      </c>
      <c r="M3144" s="1" t="s">
        <v>29</v>
      </c>
      <c r="N3144" s="1" t="s">
        <v>22</v>
      </c>
    </row>
    <row r="3145" spans="1:14" x14ac:dyDescent="0.25">
      <c r="A3145" s="1">
        <v>3144</v>
      </c>
      <c r="B3145" s="2" t="str">
        <f>HYPERLINK("https://leetcode.com/problems/minimum-substring-partition-of-equal-character-frequency/", "Minimum Substring Partition of Equal Character Frequency")</f>
        <v>Minimum Substring Partition of Equal Character Frequency</v>
      </c>
      <c r="C3145" s="1">
        <v>176</v>
      </c>
      <c r="D3145" s="1">
        <v>36</v>
      </c>
      <c r="E3145" s="3">
        <f>IF(INDEX(C:C, ROW())+INDEX(D:D, ROW())=0, 0, INDEX(C:C, ROW())/(INDEX(C:C, ROW())+INDEX(D:D, ROW())))</f>
        <v>0.83018867924528306</v>
      </c>
      <c r="F3145" s="1" t="s">
        <v>1114</v>
      </c>
      <c r="G3145" s="1" t="s">
        <v>24</v>
      </c>
      <c r="H3145" s="1">
        <v>17816</v>
      </c>
      <c r="I3145" s="1">
        <v>44568</v>
      </c>
      <c r="J3145" s="7">
        <v>0.4</v>
      </c>
      <c r="K3145" s="1" t="s">
        <v>21</v>
      </c>
      <c r="L3145" s="1" t="s">
        <v>29</v>
      </c>
      <c r="M3145" s="1" t="s">
        <v>29</v>
      </c>
      <c r="N3145" s="1" t="s">
        <v>22</v>
      </c>
    </row>
    <row r="3146" spans="1:14" x14ac:dyDescent="0.25">
      <c r="A3146" s="1">
        <v>3145</v>
      </c>
      <c r="B3146" s="2" t="str">
        <f>HYPERLINK("https://leetcode.com/problems/find-products-of-elements-of-big-array/", "Find Products of Elements of Big Array")</f>
        <v>Find Products of Elements of Big Array</v>
      </c>
      <c r="C3146" s="1">
        <v>62</v>
      </c>
      <c r="D3146" s="1">
        <v>18</v>
      </c>
      <c r="E3146" s="3">
        <f>IF(INDEX(C:C, ROW())+INDEX(D:D, ROW())=0, 0, INDEX(C:C, ROW())/(INDEX(C:C, ROW())+INDEX(D:D, ROW())))</f>
        <v>0.77500000000000002</v>
      </c>
      <c r="F3146" s="1" t="s">
        <v>1236</v>
      </c>
      <c r="G3146" s="1" t="s">
        <v>28</v>
      </c>
      <c r="H3146" s="1">
        <v>2988</v>
      </c>
      <c r="I3146" s="1">
        <v>12301</v>
      </c>
      <c r="J3146" s="7">
        <v>0.24299999999999999</v>
      </c>
      <c r="K3146" s="1" t="s">
        <v>21</v>
      </c>
      <c r="L3146" s="1" t="s">
        <v>29</v>
      </c>
      <c r="M3146" s="1" t="s">
        <v>29</v>
      </c>
      <c r="N3146" s="1" t="s">
        <v>22</v>
      </c>
    </row>
    <row r="3147" spans="1:14" x14ac:dyDescent="0.25">
      <c r="A3147" s="1">
        <v>3146</v>
      </c>
      <c r="B3147" s="2" t="str">
        <f>HYPERLINK("https://leetcode.com/problems/permutation-difference-between-two-strings/", "Permutation Difference between Two Strings")</f>
        <v>Permutation Difference between Two Strings</v>
      </c>
      <c r="C3147" s="1">
        <v>190</v>
      </c>
      <c r="D3147" s="1">
        <v>17</v>
      </c>
      <c r="E3147" s="3">
        <f>IF(INDEX(C:C, ROW())+INDEX(D:D, ROW())=0, 0, INDEX(C:C, ROW())/(INDEX(C:C, ROW())+INDEX(D:D, ROW())))</f>
        <v>0.91787439613526567</v>
      </c>
      <c r="F3147" s="1" t="s">
        <v>131</v>
      </c>
      <c r="G3147" s="1" t="s">
        <v>20</v>
      </c>
      <c r="H3147" s="1">
        <v>108094</v>
      </c>
      <c r="I3147" s="1">
        <v>123183</v>
      </c>
      <c r="J3147" s="7">
        <v>0.878</v>
      </c>
      <c r="K3147" s="1" t="s">
        <v>21</v>
      </c>
      <c r="L3147" s="1" t="s">
        <v>29</v>
      </c>
      <c r="M3147" s="1" t="s">
        <v>29</v>
      </c>
      <c r="N3147" s="1" t="s">
        <v>22</v>
      </c>
    </row>
    <row r="3148" spans="1:14" x14ac:dyDescent="0.25">
      <c r="A3148" s="1">
        <v>3147</v>
      </c>
      <c r="B3148" s="2" t="str">
        <f>HYPERLINK("https://leetcode.com/problems/taking-maximum-energy-from-the-mystic-dungeon/", "Taking Maximum Energy From the Mystic Dungeon")</f>
        <v>Taking Maximum Energy From the Mystic Dungeon</v>
      </c>
      <c r="C3148" s="1">
        <v>585</v>
      </c>
      <c r="D3148" s="1">
        <v>40</v>
      </c>
      <c r="E3148" s="3">
        <f>IF(INDEX(C:C, ROW())+INDEX(D:D, ROW())=0, 0, INDEX(C:C, ROW())/(INDEX(C:C, ROW())+INDEX(D:D, ROW())))</f>
        <v>0.93600000000000005</v>
      </c>
      <c r="F3148" s="1" t="s">
        <v>37</v>
      </c>
      <c r="G3148" s="1" t="s">
        <v>24</v>
      </c>
      <c r="H3148" s="1">
        <v>140927</v>
      </c>
      <c r="I3148" s="1">
        <v>231100</v>
      </c>
      <c r="J3148" s="7">
        <v>0.61</v>
      </c>
      <c r="K3148" s="1" t="s">
        <v>21</v>
      </c>
      <c r="L3148" s="1" t="s">
        <v>21</v>
      </c>
      <c r="M3148" s="1" t="s">
        <v>29</v>
      </c>
      <c r="N3148" s="1" t="s">
        <v>22</v>
      </c>
    </row>
    <row r="3149" spans="1:14" x14ac:dyDescent="0.25">
      <c r="A3149" s="1">
        <v>3148</v>
      </c>
      <c r="B3149" s="2" t="str">
        <f>HYPERLINK("https://leetcode.com/problems/maximum-difference-score-in-a-grid/", "Maximum Difference Score in a Grid")</f>
        <v>Maximum Difference Score in a Grid</v>
      </c>
      <c r="C3149" s="1">
        <v>284</v>
      </c>
      <c r="D3149" s="1">
        <v>23</v>
      </c>
      <c r="E3149" s="3">
        <f>IF(INDEX(C:C, ROW())+INDEX(D:D, ROW())=0, 0, INDEX(C:C, ROW())/(INDEX(C:C, ROW())+INDEX(D:D, ROW())))</f>
        <v>0.92508143322475567</v>
      </c>
      <c r="F3149" s="1" t="s">
        <v>94</v>
      </c>
      <c r="G3149" s="1" t="s">
        <v>24</v>
      </c>
      <c r="H3149" s="1">
        <v>23194</v>
      </c>
      <c r="I3149" s="1">
        <v>48627</v>
      </c>
      <c r="J3149" s="7">
        <v>0.47699999999999998</v>
      </c>
      <c r="K3149" s="1" t="s">
        <v>21</v>
      </c>
      <c r="L3149" s="1" t="s">
        <v>29</v>
      </c>
      <c r="M3149" s="1" t="s">
        <v>29</v>
      </c>
      <c r="N3149" s="1" t="s">
        <v>22</v>
      </c>
    </row>
    <row r="3150" spans="1:14" x14ac:dyDescent="0.25">
      <c r="A3150" s="1">
        <v>3149</v>
      </c>
      <c r="B3150" s="2" t="str">
        <f>HYPERLINK("https://leetcode.com/problems/find-the-minimum-cost-array-permutation/", "Find the Minimum Cost Array Permutation")</f>
        <v>Find the Minimum Cost Array Permutation</v>
      </c>
      <c r="C3150" s="1">
        <v>146</v>
      </c>
      <c r="D3150" s="1">
        <v>8</v>
      </c>
      <c r="E3150" s="3">
        <f>IF(INDEX(C:C, ROW())+INDEX(D:D, ROW())=0, 0, INDEX(C:C, ROW())/(INDEX(C:C, ROW())+INDEX(D:D, ROW())))</f>
        <v>0.94805194805194803</v>
      </c>
      <c r="F3150" s="1" t="s">
        <v>462</v>
      </c>
      <c r="G3150" s="1" t="s">
        <v>28</v>
      </c>
      <c r="H3150" s="1">
        <v>6996</v>
      </c>
      <c r="I3150" s="1">
        <v>27636</v>
      </c>
      <c r="J3150" s="7">
        <v>0.253</v>
      </c>
      <c r="K3150" s="1" t="s">
        <v>21</v>
      </c>
      <c r="L3150" s="1" t="s">
        <v>29</v>
      </c>
      <c r="M3150" s="1" t="s">
        <v>29</v>
      </c>
      <c r="N3150" s="1" t="s">
        <v>22</v>
      </c>
    </row>
    <row r="3151" spans="1:14" x14ac:dyDescent="0.25">
      <c r="A3151" s="1">
        <v>3150</v>
      </c>
      <c r="B3151" s="2" t="str">
        <f>HYPERLINK("https://leetcode.com/problems/invalid-tweets-ii/", "Invalid Tweets II")</f>
        <v>Invalid Tweets II</v>
      </c>
      <c r="C3151" s="1">
        <v>18</v>
      </c>
      <c r="D3151" s="1">
        <v>3</v>
      </c>
      <c r="E3151" s="3">
        <f>IF(INDEX(C:C, ROW())+INDEX(D:D, ROW())=0, 0, INDEX(C:C, ROW())/(INDEX(C:C, ROW())+INDEX(D:D, ROW())))</f>
        <v>0.8571428571428571</v>
      </c>
      <c r="F3151" s="1" t="s">
        <v>297</v>
      </c>
      <c r="G3151" s="1" t="s">
        <v>20</v>
      </c>
      <c r="H3151" s="1">
        <v>3842</v>
      </c>
      <c r="I3151" s="1">
        <v>4530</v>
      </c>
      <c r="J3151" s="7">
        <v>0.84799999999999998</v>
      </c>
      <c r="K3151" s="1" t="s">
        <v>29</v>
      </c>
      <c r="L3151" s="1" t="s">
        <v>29</v>
      </c>
      <c r="M3151" s="1" t="s">
        <v>29</v>
      </c>
      <c r="N3151" s="1" t="s">
        <v>297</v>
      </c>
    </row>
    <row r="3152" spans="1:14" x14ac:dyDescent="0.25">
      <c r="A3152" s="1">
        <v>3151</v>
      </c>
      <c r="B3152" s="2" t="str">
        <f>HYPERLINK("https://leetcode.com/problems/special-array-i/", "Special Array I")</f>
        <v>Special Array I</v>
      </c>
      <c r="C3152" s="1">
        <v>580</v>
      </c>
      <c r="D3152" s="1">
        <v>33</v>
      </c>
      <c r="E3152" s="3">
        <f>IF(INDEX(C:C, ROW())+INDEX(D:D, ROW())=0, 0, INDEX(C:C, ROW())/(INDEX(C:C, ROW())+INDEX(D:D, ROW())))</f>
        <v>0.9461663947797716</v>
      </c>
      <c r="F3152" s="1" t="s">
        <v>113</v>
      </c>
      <c r="G3152" s="1" t="s">
        <v>20</v>
      </c>
      <c r="H3152" s="1">
        <v>259460</v>
      </c>
      <c r="I3152" s="1">
        <v>317826</v>
      </c>
      <c r="J3152" s="7">
        <v>0.81599999999999995</v>
      </c>
      <c r="K3152" s="1" t="s">
        <v>21</v>
      </c>
      <c r="L3152" s="1" t="s">
        <v>21</v>
      </c>
      <c r="M3152" s="1" t="s">
        <v>29</v>
      </c>
      <c r="N3152" s="1" t="s">
        <v>22</v>
      </c>
    </row>
    <row r="3153" spans="1:14" x14ac:dyDescent="0.25">
      <c r="A3153" s="1">
        <v>3152</v>
      </c>
      <c r="B3153" s="2" t="str">
        <f>HYPERLINK("https://leetcode.com/problems/special-array-ii/", "Special Array II")</f>
        <v>Special Array II</v>
      </c>
      <c r="C3153" s="1">
        <v>914</v>
      </c>
      <c r="D3153" s="1">
        <v>67</v>
      </c>
      <c r="E3153" s="3">
        <f>IF(INDEX(C:C, ROW())+INDEX(D:D, ROW())=0, 0, INDEX(C:C, ROW())/(INDEX(C:C, ROW())+INDEX(D:D, ROW())))</f>
        <v>0.93170234454638123</v>
      </c>
      <c r="F3153" s="1" t="s">
        <v>710</v>
      </c>
      <c r="G3153" s="1" t="s">
        <v>24</v>
      </c>
      <c r="H3153" s="1">
        <v>137595</v>
      </c>
      <c r="I3153" s="1">
        <v>300701</v>
      </c>
      <c r="J3153" s="7">
        <v>0.45800000000000002</v>
      </c>
      <c r="K3153" s="1" t="s">
        <v>21</v>
      </c>
      <c r="L3153" s="1" t="s">
        <v>21</v>
      </c>
      <c r="M3153" s="1" t="s">
        <v>29</v>
      </c>
      <c r="N3153" s="1" t="s">
        <v>22</v>
      </c>
    </row>
    <row r="3154" spans="1:14" x14ac:dyDescent="0.25">
      <c r="A3154" s="1">
        <v>3153</v>
      </c>
      <c r="B3154" s="2" t="str">
        <f>HYPERLINK("https://leetcode.com/problems/sum-of-digit-differences-of-all-pairs/", "Sum of Digit Differences of All Pairs")</f>
        <v>Sum of Digit Differences of All Pairs</v>
      </c>
      <c r="C3154" s="1">
        <v>225</v>
      </c>
      <c r="D3154" s="1">
        <v>20</v>
      </c>
      <c r="E3154" s="3">
        <f>IF(INDEX(C:C, ROW())+INDEX(D:D, ROW())=0, 0, INDEX(C:C, ROW())/(INDEX(C:C, ROW())+INDEX(D:D, ROW())))</f>
        <v>0.91836734693877553</v>
      </c>
      <c r="F3154" s="1" t="s">
        <v>233</v>
      </c>
      <c r="G3154" s="1" t="s">
        <v>24</v>
      </c>
      <c r="H3154" s="1">
        <v>29011</v>
      </c>
      <c r="I3154" s="1">
        <v>67460</v>
      </c>
      <c r="J3154" s="7">
        <v>0.43</v>
      </c>
      <c r="K3154" s="1" t="s">
        <v>21</v>
      </c>
      <c r="L3154" s="1" t="s">
        <v>29</v>
      </c>
      <c r="M3154" s="1" t="s">
        <v>29</v>
      </c>
      <c r="N3154" s="1" t="s">
        <v>22</v>
      </c>
    </row>
    <row r="3155" spans="1:14" x14ac:dyDescent="0.25">
      <c r="A3155" s="1">
        <v>3154</v>
      </c>
      <c r="B3155" s="2" t="str">
        <f>HYPERLINK("https://leetcode.com/problems/find-number-of-ways-to-reach-the-k-th-stair/", "Find Number of Ways to Reach the K-th Stair")</f>
        <v>Find Number of Ways to Reach the K-th Stair</v>
      </c>
      <c r="C3155" s="1">
        <v>193</v>
      </c>
      <c r="D3155" s="1">
        <v>12</v>
      </c>
      <c r="E3155" s="3">
        <f>IF(INDEX(C:C, ROW())+INDEX(D:D, ROW())=0, 0, INDEX(C:C, ROW())/(INDEX(C:C, ROW())+INDEX(D:D, ROW())))</f>
        <v>0.94146341463414629</v>
      </c>
      <c r="F3155" s="1" t="s">
        <v>1104</v>
      </c>
      <c r="G3155" s="1" t="s">
        <v>28</v>
      </c>
      <c r="H3155" s="1">
        <v>15466</v>
      </c>
      <c r="I3155" s="1">
        <v>41300</v>
      </c>
      <c r="J3155" s="7">
        <v>0.374</v>
      </c>
      <c r="K3155" s="1" t="s">
        <v>21</v>
      </c>
      <c r="L3155" s="1" t="s">
        <v>29</v>
      </c>
      <c r="M3155" s="1" t="s">
        <v>29</v>
      </c>
      <c r="N3155" s="1" t="s">
        <v>22</v>
      </c>
    </row>
    <row r="3156" spans="1:14" x14ac:dyDescent="0.25">
      <c r="A3156" s="1">
        <v>3155</v>
      </c>
      <c r="B3156" s="2" t="str">
        <f>HYPERLINK("https://leetcode.com/problems/maximum-number-of-upgradable-servers/", "Maximum Number of Upgradable Servers")</f>
        <v>Maximum Number of Upgradable Servers</v>
      </c>
      <c r="C3156" s="1">
        <v>20</v>
      </c>
      <c r="D3156" s="1">
        <v>2</v>
      </c>
      <c r="E3156" s="3">
        <f>IF(INDEX(C:C, ROW())+INDEX(D:D, ROW())=0, 0, INDEX(C:C, ROW())/(INDEX(C:C, ROW())+INDEX(D:D, ROW())))</f>
        <v>0.90909090909090906</v>
      </c>
      <c r="F3156" s="1" t="s">
        <v>1318</v>
      </c>
      <c r="G3156" s="1" t="s">
        <v>24</v>
      </c>
      <c r="H3156" s="1">
        <v>3219</v>
      </c>
      <c r="I3156" s="1">
        <v>7465</v>
      </c>
      <c r="J3156" s="7">
        <v>0.43099999999999999</v>
      </c>
      <c r="K3156" s="1" t="s">
        <v>29</v>
      </c>
      <c r="L3156" s="1" t="s">
        <v>29</v>
      </c>
      <c r="M3156" s="1" t="s">
        <v>29</v>
      </c>
      <c r="N3156" s="1" t="s">
        <v>22</v>
      </c>
    </row>
    <row r="3157" spans="1:14" x14ac:dyDescent="0.25">
      <c r="A3157" s="1">
        <v>3156</v>
      </c>
      <c r="B3157" s="2" t="str">
        <f>HYPERLINK("https://leetcode.com/problems/employee-task-duration-and-concurrent-tasks/", "Employee Task Duration and Concurrent Tasks")</f>
        <v>Employee Task Duration and Concurrent Tasks</v>
      </c>
      <c r="C3157" s="1">
        <v>12</v>
      </c>
      <c r="D3157" s="1">
        <v>2</v>
      </c>
      <c r="E3157" s="3">
        <f>IF(INDEX(C:C, ROW())+INDEX(D:D, ROW())=0, 0, INDEX(C:C, ROW())/(INDEX(C:C, ROW())+INDEX(D:D, ROW())))</f>
        <v>0.8571428571428571</v>
      </c>
      <c r="F3157" s="1" t="s">
        <v>297</v>
      </c>
      <c r="G3157" s="1" t="s">
        <v>28</v>
      </c>
      <c r="H3157" s="1">
        <v>1484</v>
      </c>
      <c r="I3157" s="1">
        <v>3874</v>
      </c>
      <c r="J3157" s="7">
        <v>0.38300000000000001</v>
      </c>
      <c r="K3157" s="1" t="s">
        <v>29</v>
      </c>
      <c r="L3157" s="1" t="s">
        <v>29</v>
      </c>
      <c r="M3157" s="1" t="s">
        <v>29</v>
      </c>
      <c r="N3157" s="1" t="s">
        <v>297</v>
      </c>
    </row>
    <row r="3158" spans="1:14" x14ac:dyDescent="0.25">
      <c r="A3158" s="1">
        <v>3157</v>
      </c>
      <c r="B3158" s="2" t="str">
        <f>HYPERLINK("https://leetcode.com/problems/find-the-level-of-tree-with-minimum-sum/", "Find the Level of Tree with Minimum Sum")</f>
        <v>Find the Level of Tree with Minimum Sum</v>
      </c>
      <c r="C3158" s="1">
        <v>19</v>
      </c>
      <c r="D3158" s="1">
        <v>3</v>
      </c>
      <c r="E3158" s="3">
        <f>IF(INDEX(C:C, ROW())+INDEX(D:D, ROW())=0, 0, INDEX(C:C, ROW())/(INDEX(C:C, ROW())+INDEX(D:D, ROW())))</f>
        <v>0.86363636363636365</v>
      </c>
      <c r="F3158" s="1" t="s">
        <v>80</v>
      </c>
      <c r="G3158" s="1" t="s">
        <v>24</v>
      </c>
      <c r="H3158" s="1">
        <v>3154</v>
      </c>
      <c r="I3158" s="1">
        <v>4538</v>
      </c>
      <c r="J3158" s="7">
        <v>0.69499999999999995</v>
      </c>
      <c r="K3158" s="1" t="s">
        <v>29</v>
      </c>
      <c r="L3158" s="1" t="s">
        <v>29</v>
      </c>
      <c r="M3158" s="1" t="s">
        <v>29</v>
      </c>
      <c r="N3158" s="1" t="s">
        <v>22</v>
      </c>
    </row>
    <row r="3159" spans="1:14" x14ac:dyDescent="0.25">
      <c r="A3159" s="1">
        <v>3158</v>
      </c>
      <c r="B3159" s="2" t="str">
        <f>HYPERLINK("https://leetcode.com/problems/find-the-xor-of-numbers-which-appear-twice/", "Find the XOR of Numbers Which Appear Twice")</f>
        <v>Find the XOR of Numbers Which Appear Twice</v>
      </c>
      <c r="C3159" s="1">
        <v>165</v>
      </c>
      <c r="D3159" s="1">
        <v>14</v>
      </c>
      <c r="E3159" s="3">
        <f>IF(INDEX(C:C, ROW())+INDEX(D:D, ROW())=0, 0, INDEX(C:C, ROW())/(INDEX(C:C, ROW())+INDEX(D:D, ROW())))</f>
        <v>0.92178770949720668</v>
      </c>
      <c r="F3159" s="1" t="s">
        <v>667</v>
      </c>
      <c r="G3159" s="1" t="s">
        <v>20</v>
      </c>
      <c r="H3159" s="1">
        <v>74759</v>
      </c>
      <c r="I3159" s="1">
        <v>94944</v>
      </c>
      <c r="J3159" s="7">
        <v>0.78700000000000003</v>
      </c>
      <c r="K3159" s="1" t="s">
        <v>21</v>
      </c>
      <c r="L3159" s="1" t="s">
        <v>29</v>
      </c>
      <c r="M3159" s="1" t="s">
        <v>29</v>
      </c>
      <c r="N3159" s="1" t="s">
        <v>22</v>
      </c>
    </row>
    <row r="3160" spans="1:14" x14ac:dyDescent="0.25">
      <c r="A3160" s="1">
        <v>3159</v>
      </c>
      <c r="B3160" s="2" t="str">
        <f>HYPERLINK("https://leetcode.com/problems/find-occurrences-of-an-element-in-an-array/", "Find Occurrences of an Element in an Array")</f>
        <v>Find Occurrences of an Element in an Array</v>
      </c>
      <c r="C3160" s="1">
        <v>178</v>
      </c>
      <c r="D3160" s="1">
        <v>25</v>
      </c>
      <c r="E3160" s="3">
        <f>IF(INDEX(C:C, ROW())+INDEX(D:D, ROW())=0, 0, INDEX(C:C, ROW())/(INDEX(C:C, ROW())+INDEX(D:D, ROW())))</f>
        <v>0.87684729064039413</v>
      </c>
      <c r="F3160" s="1" t="s">
        <v>19</v>
      </c>
      <c r="G3160" s="1" t="s">
        <v>24</v>
      </c>
      <c r="H3160" s="1">
        <v>57143</v>
      </c>
      <c r="I3160" s="1">
        <v>78015</v>
      </c>
      <c r="J3160" s="7">
        <v>0.73199999999999998</v>
      </c>
      <c r="K3160" s="1" t="s">
        <v>21</v>
      </c>
      <c r="L3160" s="1" t="s">
        <v>29</v>
      </c>
      <c r="M3160" s="1" t="s">
        <v>29</v>
      </c>
      <c r="N3160" s="1" t="s">
        <v>22</v>
      </c>
    </row>
    <row r="3161" spans="1:14" x14ac:dyDescent="0.25">
      <c r="A3161" s="1">
        <v>3160</v>
      </c>
      <c r="B3161" s="2" t="str">
        <f>HYPERLINK("https://leetcode.com/problems/find-the-number-of-distinct-colors-among-the-balls/", "Find the Number of Distinct Colors Among the Balls")</f>
        <v>Find the Number of Distinct Colors Among the Balls</v>
      </c>
      <c r="C3161" s="1">
        <v>764</v>
      </c>
      <c r="D3161" s="1">
        <v>94</v>
      </c>
      <c r="E3161" s="3">
        <f>IF(INDEX(C:C, ROW())+INDEX(D:D, ROW())=0, 0, INDEX(C:C, ROW())/(INDEX(C:C, ROW())+INDEX(D:D, ROW())))</f>
        <v>0.89044289044289049</v>
      </c>
      <c r="F3161" s="1" t="s">
        <v>736</v>
      </c>
      <c r="G3161" s="1" t="s">
        <v>24</v>
      </c>
      <c r="H3161" s="1">
        <v>170375</v>
      </c>
      <c r="I3161" s="1">
        <v>314557</v>
      </c>
      <c r="J3161" s="7">
        <v>0.54200000000000004</v>
      </c>
      <c r="K3161" s="1" t="s">
        <v>21</v>
      </c>
      <c r="L3161" s="1" t="s">
        <v>21</v>
      </c>
      <c r="M3161" s="1" t="s">
        <v>29</v>
      </c>
      <c r="N3161" s="1" t="s">
        <v>22</v>
      </c>
    </row>
    <row r="3162" spans="1:14" x14ac:dyDescent="0.25">
      <c r="A3162" s="1">
        <v>3161</v>
      </c>
      <c r="B3162" s="2" t="str">
        <f>HYPERLINK("https://leetcode.com/problems/block-placement-queries/", "Block Placement Queries")</f>
        <v>Block Placement Queries</v>
      </c>
      <c r="C3162" s="1">
        <v>147</v>
      </c>
      <c r="D3162" s="1">
        <v>32</v>
      </c>
      <c r="E3162" s="3">
        <f>IF(INDEX(C:C, ROW())+INDEX(D:D, ROW())=0, 0, INDEX(C:C, ROW())/(INDEX(C:C, ROW())+INDEX(D:D, ROW())))</f>
        <v>0.82122905027932958</v>
      </c>
      <c r="F3162" s="1" t="s">
        <v>1140</v>
      </c>
      <c r="G3162" s="1" t="s">
        <v>28</v>
      </c>
      <c r="H3162" s="1">
        <v>12460</v>
      </c>
      <c r="I3162" s="1">
        <v>67862</v>
      </c>
      <c r="J3162" s="7">
        <v>0.184</v>
      </c>
      <c r="K3162" s="1" t="s">
        <v>21</v>
      </c>
      <c r="L3162" s="1" t="s">
        <v>29</v>
      </c>
      <c r="M3162" s="1" t="s">
        <v>29</v>
      </c>
      <c r="N3162" s="1" t="s">
        <v>22</v>
      </c>
    </row>
    <row r="3163" spans="1:14" x14ac:dyDescent="0.25">
      <c r="A3163" s="1">
        <v>3162</v>
      </c>
      <c r="B3163" s="2" t="str">
        <f>HYPERLINK("https://leetcode.com/problems/find-the-number-of-good-pairs-i/", "Find the Number of Good Pairs I")</f>
        <v>Find the Number of Good Pairs I</v>
      </c>
      <c r="C3163" s="1">
        <v>164</v>
      </c>
      <c r="D3163" s="1">
        <v>16</v>
      </c>
      <c r="E3163" s="3">
        <f>IF(INDEX(C:C, ROW())+INDEX(D:D, ROW())=0, 0, INDEX(C:C, ROW())/(INDEX(C:C, ROW())+INDEX(D:D, ROW())))</f>
        <v>0.91111111111111109</v>
      </c>
      <c r="F3163" s="1" t="s">
        <v>19</v>
      </c>
      <c r="G3163" s="1" t="s">
        <v>20</v>
      </c>
      <c r="H3163" s="1">
        <v>94273</v>
      </c>
      <c r="I3163" s="1">
        <v>109197</v>
      </c>
      <c r="J3163" s="7">
        <v>0.86299999999999999</v>
      </c>
      <c r="K3163" s="1" t="s">
        <v>21</v>
      </c>
      <c r="L3163" s="1" t="s">
        <v>29</v>
      </c>
      <c r="M3163" s="1" t="s">
        <v>29</v>
      </c>
      <c r="N3163" s="1" t="s">
        <v>22</v>
      </c>
    </row>
    <row r="3164" spans="1:14" x14ac:dyDescent="0.25">
      <c r="A3164" s="1">
        <v>3163</v>
      </c>
      <c r="B3164" s="2" t="str">
        <f>HYPERLINK("https://leetcode.com/problems/string-compression-iii/", "String Compression III")</f>
        <v>String Compression III</v>
      </c>
      <c r="C3164" s="1">
        <v>632</v>
      </c>
      <c r="D3164" s="1">
        <v>54</v>
      </c>
      <c r="E3164" s="3">
        <f>IF(INDEX(C:C, ROW())+INDEX(D:D, ROW())=0, 0, INDEX(C:C, ROW())/(INDEX(C:C, ROW())+INDEX(D:D, ROW())))</f>
        <v>0.92128279883381925</v>
      </c>
      <c r="F3164" s="1" t="s">
        <v>146</v>
      </c>
      <c r="G3164" s="1" t="s">
        <v>24</v>
      </c>
      <c r="H3164" s="1">
        <v>200956</v>
      </c>
      <c r="I3164" s="1">
        <v>299888</v>
      </c>
      <c r="J3164" s="7">
        <v>0.67</v>
      </c>
      <c r="K3164" s="1" t="s">
        <v>21</v>
      </c>
      <c r="L3164" s="1" t="s">
        <v>21</v>
      </c>
      <c r="M3164" s="1" t="s">
        <v>29</v>
      </c>
      <c r="N3164" s="1" t="s">
        <v>22</v>
      </c>
    </row>
    <row r="3165" spans="1:14" x14ac:dyDescent="0.25">
      <c r="A3165" s="1">
        <v>3164</v>
      </c>
      <c r="B3165" s="2" t="str">
        <f>HYPERLINK("https://leetcode.com/problems/find-the-number-of-good-pairs-ii/", "Find the Number of Good Pairs II")</f>
        <v>Find the Number of Good Pairs II</v>
      </c>
      <c r="C3165" s="1">
        <v>253</v>
      </c>
      <c r="D3165" s="1">
        <v>40</v>
      </c>
      <c r="E3165" s="3">
        <f>IF(INDEX(C:C, ROW())+INDEX(D:D, ROW())=0, 0, INDEX(C:C, ROW())/(INDEX(C:C, ROW())+INDEX(D:D, ROW())))</f>
        <v>0.86348122866894195</v>
      </c>
      <c r="F3165" s="1" t="s">
        <v>19</v>
      </c>
      <c r="G3165" s="1" t="s">
        <v>24</v>
      </c>
      <c r="H3165" s="1">
        <v>29365</v>
      </c>
      <c r="I3165" s="1">
        <v>110378</v>
      </c>
      <c r="J3165" s="7">
        <v>0.26600000000000001</v>
      </c>
      <c r="K3165" s="1" t="s">
        <v>21</v>
      </c>
      <c r="L3165" s="1" t="s">
        <v>29</v>
      </c>
      <c r="M3165" s="1" t="s">
        <v>29</v>
      </c>
      <c r="N3165" s="1" t="s">
        <v>22</v>
      </c>
    </row>
    <row r="3166" spans="1:14" x14ac:dyDescent="0.25">
      <c r="A3166" s="1">
        <v>3165</v>
      </c>
      <c r="B3166" s="2" t="str">
        <f>HYPERLINK("https://leetcode.com/problems/maximum-sum-of-subsequence-with-non-adjacent-elements/", "Maximum Sum of Subsequence With Non-adjacent Elements")</f>
        <v>Maximum Sum of Subsequence With Non-adjacent Elements</v>
      </c>
      <c r="C3166" s="1">
        <v>153</v>
      </c>
      <c r="D3166" s="1">
        <v>32</v>
      </c>
      <c r="E3166" s="3">
        <f>IF(INDEX(C:C, ROW())+INDEX(D:D, ROW())=0, 0, INDEX(C:C, ROW())/(INDEX(C:C, ROW())+INDEX(D:D, ROW())))</f>
        <v>0.82702702702702702</v>
      </c>
      <c r="F3166" s="1" t="s">
        <v>1132</v>
      </c>
      <c r="G3166" s="1" t="s">
        <v>28</v>
      </c>
      <c r="H3166" s="1">
        <v>8283</v>
      </c>
      <c r="I3166" s="1">
        <v>53837</v>
      </c>
      <c r="J3166" s="7">
        <v>0.154</v>
      </c>
      <c r="K3166" s="1" t="s">
        <v>21</v>
      </c>
      <c r="L3166" s="1" t="s">
        <v>29</v>
      </c>
      <c r="M3166" s="1" t="s">
        <v>29</v>
      </c>
      <c r="N3166" s="1" t="s">
        <v>22</v>
      </c>
    </row>
    <row r="3167" spans="1:14" x14ac:dyDescent="0.25">
      <c r="A3167" s="1">
        <v>3166</v>
      </c>
      <c r="B3167" s="2" t="str">
        <f>HYPERLINK("https://leetcode.com/problems/calculate-parking-fees-and-duration/", "Calculate Parking Fees and Duration")</f>
        <v>Calculate Parking Fees and Duration</v>
      </c>
      <c r="C3167" s="1">
        <v>14</v>
      </c>
      <c r="D3167" s="1">
        <v>4</v>
      </c>
      <c r="E3167" s="3">
        <f>IF(INDEX(C:C, ROW())+INDEX(D:D, ROW())=0, 0, INDEX(C:C, ROW())/(INDEX(C:C, ROW())+INDEX(D:D, ROW())))</f>
        <v>0.77777777777777779</v>
      </c>
      <c r="F3167" s="1" t="s">
        <v>297</v>
      </c>
      <c r="G3167" s="1" t="s">
        <v>24</v>
      </c>
      <c r="H3167" s="1">
        <v>2573</v>
      </c>
      <c r="I3167" s="1">
        <v>4867</v>
      </c>
      <c r="J3167" s="7">
        <v>0.52900000000000003</v>
      </c>
      <c r="K3167" s="1" t="s">
        <v>29</v>
      </c>
      <c r="L3167" s="1" t="s">
        <v>29</v>
      </c>
      <c r="M3167" s="1" t="s">
        <v>29</v>
      </c>
      <c r="N3167" s="1" t="s">
        <v>297</v>
      </c>
    </row>
    <row r="3168" spans="1:14" x14ac:dyDescent="0.25">
      <c r="A3168" s="1">
        <v>3167</v>
      </c>
      <c r="B3168" s="2" t="str">
        <f>HYPERLINK("https://leetcode.com/problems/better-compression-of-string/", "Better Compression of String")</f>
        <v>Better Compression of String</v>
      </c>
      <c r="C3168" s="1">
        <v>19</v>
      </c>
      <c r="D3168" s="1">
        <v>4</v>
      </c>
      <c r="E3168" s="3">
        <f>IF(INDEX(C:C, ROW())+INDEX(D:D, ROW())=0, 0, INDEX(C:C, ROW())/(INDEX(C:C, ROW())+INDEX(D:D, ROW())))</f>
        <v>0.82608695652173914</v>
      </c>
      <c r="F3168" s="1" t="s">
        <v>305</v>
      </c>
      <c r="G3168" s="1" t="s">
        <v>24</v>
      </c>
      <c r="H3168" s="1">
        <v>5747</v>
      </c>
      <c r="I3168" s="1">
        <v>7637</v>
      </c>
      <c r="J3168" s="7">
        <v>0.753</v>
      </c>
      <c r="K3168" s="1" t="s">
        <v>29</v>
      </c>
      <c r="L3168" s="1" t="s">
        <v>29</v>
      </c>
      <c r="M3168" s="1" t="s">
        <v>29</v>
      </c>
      <c r="N3168" s="1" t="s">
        <v>22</v>
      </c>
    </row>
    <row r="3169" spans="1:14" x14ac:dyDescent="0.25">
      <c r="A3169" s="1">
        <v>3168</v>
      </c>
      <c r="B3169" s="2" t="str">
        <f>HYPERLINK("https://leetcode.com/problems/minimum-number-of-chairs-in-a-waiting-room/", "Minimum Number of Chairs in a Waiting Room")</f>
        <v>Minimum Number of Chairs in a Waiting Room</v>
      </c>
      <c r="C3169" s="1">
        <v>155</v>
      </c>
      <c r="D3169" s="1">
        <v>14</v>
      </c>
      <c r="E3169" s="3">
        <f>IF(INDEX(C:C, ROW())+INDEX(D:D, ROW())=0, 0, INDEX(C:C, ROW())/(INDEX(C:C, ROW())+INDEX(D:D, ROW())))</f>
        <v>0.91715976331360949</v>
      </c>
      <c r="F3169" s="1" t="s">
        <v>414</v>
      </c>
      <c r="G3169" s="1" t="s">
        <v>20</v>
      </c>
      <c r="H3169" s="1">
        <v>69525</v>
      </c>
      <c r="I3169" s="1">
        <v>87814</v>
      </c>
      <c r="J3169" s="7">
        <v>0.79200000000000004</v>
      </c>
      <c r="K3169" s="1" t="s">
        <v>21</v>
      </c>
      <c r="L3169" s="1" t="s">
        <v>29</v>
      </c>
      <c r="M3169" s="1" t="s">
        <v>29</v>
      </c>
      <c r="N3169" s="1" t="s">
        <v>22</v>
      </c>
    </row>
    <row r="3170" spans="1:14" x14ac:dyDescent="0.25">
      <c r="A3170" s="1">
        <v>3169</v>
      </c>
      <c r="B3170" s="2" t="str">
        <f>HYPERLINK("https://leetcode.com/problems/count-days-without-meetings/", "Count Days Without Meetings")</f>
        <v>Count Days Without Meetings</v>
      </c>
      <c r="C3170" s="1">
        <v>779</v>
      </c>
      <c r="D3170" s="1">
        <v>19</v>
      </c>
      <c r="E3170" s="3">
        <f>IF(INDEX(C:C, ROW())+INDEX(D:D, ROW())=0, 0, INDEX(C:C, ROW())/(INDEX(C:C, ROW())+INDEX(D:D, ROW())))</f>
        <v>0.97619047619047616</v>
      </c>
      <c r="F3170" s="1" t="s">
        <v>42</v>
      </c>
      <c r="G3170" s="1" t="s">
        <v>24</v>
      </c>
      <c r="H3170" s="1">
        <v>181646</v>
      </c>
      <c r="I3170" s="1">
        <v>377792</v>
      </c>
      <c r="J3170" s="7">
        <v>0.48099999999999998</v>
      </c>
      <c r="K3170" s="1" t="s">
        <v>21</v>
      </c>
      <c r="L3170" s="1" t="s">
        <v>21</v>
      </c>
      <c r="M3170" s="1" t="s">
        <v>29</v>
      </c>
      <c r="N3170" s="1" t="s">
        <v>22</v>
      </c>
    </row>
    <row r="3171" spans="1:14" x14ac:dyDescent="0.25">
      <c r="A3171" s="1">
        <v>3170</v>
      </c>
      <c r="B3171" s="2" t="str">
        <f>HYPERLINK("https://leetcode.com/problems/lexicographically-minimum-string-after-removing-stars/", "Lexicographically Minimum String After Removing Stars")</f>
        <v>Lexicographically Minimum String After Removing Stars</v>
      </c>
      <c r="C3171" s="1">
        <v>588</v>
      </c>
      <c r="D3171" s="1">
        <v>87</v>
      </c>
      <c r="E3171" s="3">
        <f>IF(INDEX(C:C, ROW())+INDEX(D:D, ROW())=0, 0, INDEX(C:C, ROW())/(INDEX(C:C, ROW())+INDEX(D:D, ROW())))</f>
        <v>0.87111111111111106</v>
      </c>
      <c r="F3171" s="1" t="s">
        <v>857</v>
      </c>
      <c r="G3171" s="1" t="s">
        <v>24</v>
      </c>
      <c r="H3171" s="1">
        <v>118957</v>
      </c>
      <c r="I3171" s="1">
        <v>233267</v>
      </c>
      <c r="J3171" s="7">
        <v>0.51</v>
      </c>
      <c r="K3171" s="1" t="s">
        <v>21</v>
      </c>
      <c r="L3171" s="1" t="s">
        <v>21</v>
      </c>
      <c r="M3171" s="1" t="s">
        <v>29</v>
      </c>
      <c r="N3171" s="1" t="s">
        <v>22</v>
      </c>
    </row>
    <row r="3172" spans="1:14" x14ac:dyDescent="0.25">
      <c r="A3172" s="1">
        <v>3171</v>
      </c>
      <c r="B3172" s="2" t="str">
        <f>HYPERLINK("https://leetcode.com/problems/find-subarray-with-bitwise-or-closest-to-k/", "Find Subarray With Bitwise OR Closest to K")</f>
        <v>Find Subarray With Bitwise OR Closest to K</v>
      </c>
      <c r="C3172" s="1">
        <v>205</v>
      </c>
      <c r="D3172" s="1">
        <v>7</v>
      </c>
      <c r="E3172" s="3">
        <f>IF(INDEX(C:C, ROW())+INDEX(D:D, ROW())=0, 0, INDEX(C:C, ROW())/(INDEX(C:C, ROW())+INDEX(D:D, ROW())))</f>
        <v>0.96698113207547165</v>
      </c>
      <c r="F3172" s="1" t="s">
        <v>979</v>
      </c>
      <c r="G3172" s="1" t="s">
        <v>28</v>
      </c>
      <c r="H3172" s="1">
        <v>15313</v>
      </c>
      <c r="I3172" s="1">
        <v>49752</v>
      </c>
      <c r="J3172" s="7">
        <v>0.308</v>
      </c>
      <c r="K3172" s="1" t="s">
        <v>21</v>
      </c>
      <c r="L3172" s="1" t="s">
        <v>29</v>
      </c>
      <c r="M3172" s="1" t="s">
        <v>29</v>
      </c>
      <c r="N3172" s="1" t="s">
        <v>22</v>
      </c>
    </row>
    <row r="3173" spans="1:14" x14ac:dyDescent="0.25">
      <c r="A3173" s="1">
        <v>3172</v>
      </c>
      <c r="B3173" s="2" t="str">
        <f>HYPERLINK("https://leetcode.com/problems/second-day-verification/", "Second Day Verification")</f>
        <v>Second Day Verification</v>
      </c>
      <c r="C3173" s="1">
        <v>11</v>
      </c>
      <c r="D3173" s="1">
        <v>1</v>
      </c>
      <c r="E3173" s="3">
        <f>IF(INDEX(C:C, ROW())+INDEX(D:D, ROW())=0, 0, INDEX(C:C, ROW())/(INDEX(C:C, ROW())+INDEX(D:D, ROW())))</f>
        <v>0.91666666666666663</v>
      </c>
      <c r="F3173" s="1" t="s">
        <v>297</v>
      </c>
      <c r="G3173" s="1" t="s">
        <v>20</v>
      </c>
      <c r="H3173" s="1">
        <v>3607</v>
      </c>
      <c r="I3173" s="1">
        <v>5437</v>
      </c>
      <c r="J3173" s="7">
        <v>0.66300000000000003</v>
      </c>
      <c r="K3173" s="1" t="s">
        <v>29</v>
      </c>
      <c r="L3173" s="1" t="s">
        <v>29</v>
      </c>
      <c r="M3173" s="1" t="s">
        <v>29</v>
      </c>
      <c r="N3173" s="1" t="s">
        <v>297</v>
      </c>
    </row>
    <row r="3174" spans="1:14" x14ac:dyDescent="0.25">
      <c r="A3174" s="1">
        <v>3173</v>
      </c>
      <c r="B3174" s="2" t="str">
        <f>HYPERLINK("https://leetcode.com/problems/bitwise-or-of-adjacent-elements/", "Bitwise OR of Adjacent Elements")</f>
        <v>Bitwise OR of Adjacent Elements</v>
      </c>
      <c r="C3174" s="1">
        <v>24</v>
      </c>
      <c r="D3174" s="1">
        <v>2</v>
      </c>
      <c r="E3174" s="3">
        <f>IF(INDEX(C:C, ROW())+INDEX(D:D, ROW())=0, 0, INDEX(C:C, ROW())/(INDEX(C:C, ROW())+INDEX(D:D, ROW())))</f>
        <v>0.92307692307692313</v>
      </c>
      <c r="F3174" s="1" t="s">
        <v>65</v>
      </c>
      <c r="G3174" s="1" t="s">
        <v>20</v>
      </c>
      <c r="H3174" s="1">
        <v>6417</v>
      </c>
      <c r="I3174" s="1">
        <v>6774</v>
      </c>
      <c r="J3174" s="7">
        <v>0.94699999999999995</v>
      </c>
      <c r="K3174" s="1" t="s">
        <v>29</v>
      </c>
      <c r="L3174" s="1" t="s">
        <v>29</v>
      </c>
      <c r="M3174" s="1" t="s">
        <v>29</v>
      </c>
      <c r="N3174" s="1" t="s">
        <v>22</v>
      </c>
    </row>
    <row r="3175" spans="1:14" x14ac:dyDescent="0.25">
      <c r="A3175" s="1">
        <v>3174</v>
      </c>
      <c r="B3175" s="2" t="str">
        <f>HYPERLINK("https://leetcode.com/problems/clear-digits/", "Clear Digits")</f>
        <v>Clear Digits</v>
      </c>
      <c r="C3175" s="1">
        <v>691</v>
      </c>
      <c r="D3175" s="1">
        <v>26</v>
      </c>
      <c r="E3175" s="3">
        <f>IF(INDEX(C:C, ROW())+INDEX(D:D, ROW())=0, 0, INDEX(C:C, ROW())/(INDEX(C:C, ROW())+INDEX(D:D, ROW())))</f>
        <v>0.96373779637377965</v>
      </c>
      <c r="F3175" s="1" t="s">
        <v>365</v>
      </c>
      <c r="G3175" s="1" t="s">
        <v>20</v>
      </c>
      <c r="H3175" s="1">
        <v>274596</v>
      </c>
      <c r="I3175" s="1">
        <v>332175</v>
      </c>
      <c r="J3175" s="7">
        <v>0.82699999999999996</v>
      </c>
      <c r="K3175" s="1" t="s">
        <v>21</v>
      </c>
      <c r="L3175" s="1" t="s">
        <v>21</v>
      </c>
      <c r="M3175" s="1" t="s">
        <v>29</v>
      </c>
      <c r="N3175" s="1" t="s">
        <v>22</v>
      </c>
    </row>
    <row r="3176" spans="1:14" x14ac:dyDescent="0.25">
      <c r="A3176" s="1">
        <v>3175</v>
      </c>
      <c r="B3176" s="2" t="str">
        <f>HYPERLINK("https://leetcode.com/problems/find-the-first-player-to-win-k-games-in-a-row/", "Find The First Player to win K Games in a Row")</f>
        <v>Find The First Player to win K Games in a Row</v>
      </c>
      <c r="C3176" s="1">
        <v>139</v>
      </c>
      <c r="D3176" s="1">
        <v>16</v>
      </c>
      <c r="E3176" s="3">
        <f>IF(INDEX(C:C, ROW())+INDEX(D:D, ROW())=0, 0, INDEX(C:C, ROW())/(INDEX(C:C, ROW())+INDEX(D:D, ROW())))</f>
        <v>0.89677419354838706</v>
      </c>
      <c r="F3176" s="1" t="s">
        <v>306</v>
      </c>
      <c r="G3176" s="1" t="s">
        <v>24</v>
      </c>
      <c r="H3176" s="1">
        <v>36006</v>
      </c>
      <c r="I3176" s="1">
        <v>89914</v>
      </c>
      <c r="J3176" s="7">
        <v>0.4</v>
      </c>
      <c r="K3176" s="1" t="s">
        <v>21</v>
      </c>
      <c r="L3176" s="1" t="s">
        <v>29</v>
      </c>
      <c r="M3176" s="1" t="s">
        <v>29</v>
      </c>
      <c r="N3176" s="1" t="s">
        <v>22</v>
      </c>
    </row>
    <row r="3177" spans="1:14" x14ac:dyDescent="0.25">
      <c r="A3177" s="1">
        <v>3176</v>
      </c>
      <c r="B3177" s="2" t="str">
        <f>HYPERLINK("https://leetcode.com/problems/find-the-maximum-length-of-a-good-subsequence-i/", "Find the Maximum Length of a Good Subsequence I")</f>
        <v>Find the Maximum Length of a Good Subsequence I</v>
      </c>
      <c r="C3177" s="1">
        <v>166</v>
      </c>
      <c r="D3177" s="1">
        <v>97</v>
      </c>
      <c r="E3177" s="3">
        <f>IF(INDEX(C:C, ROW())+INDEX(D:D, ROW())=0, 0, INDEX(C:C, ROW())/(INDEX(C:C, ROW())+INDEX(D:D, ROW())))</f>
        <v>0.63117870722433456</v>
      </c>
      <c r="F3177" s="1" t="s">
        <v>174</v>
      </c>
      <c r="G3177" s="1" t="s">
        <v>24</v>
      </c>
      <c r="H3177" s="1">
        <v>23040</v>
      </c>
      <c r="I3177" s="1">
        <v>70876</v>
      </c>
      <c r="J3177" s="7">
        <v>0.32500000000000001</v>
      </c>
      <c r="K3177" s="1" t="s">
        <v>21</v>
      </c>
      <c r="L3177" s="1" t="s">
        <v>29</v>
      </c>
      <c r="M3177" s="1" t="s">
        <v>29</v>
      </c>
      <c r="N3177" s="1" t="s">
        <v>22</v>
      </c>
    </row>
    <row r="3178" spans="1:14" x14ac:dyDescent="0.25">
      <c r="A3178" s="1">
        <v>3177</v>
      </c>
      <c r="B3178" s="2" t="str">
        <f>HYPERLINK("https://leetcode.com/problems/find-the-maximum-length-of-a-good-subsequence-ii/", "Find the Maximum Length of a Good Subsequence II")</f>
        <v>Find the Maximum Length of a Good Subsequence II</v>
      </c>
      <c r="C3178" s="1">
        <v>141</v>
      </c>
      <c r="D3178" s="1">
        <v>10</v>
      </c>
      <c r="E3178" s="3">
        <f>IF(INDEX(C:C, ROW())+INDEX(D:D, ROW())=0, 0, INDEX(C:C, ROW())/(INDEX(C:C, ROW())+INDEX(D:D, ROW())))</f>
        <v>0.93377483443708609</v>
      </c>
      <c r="F3178" s="1" t="s">
        <v>174</v>
      </c>
      <c r="G3178" s="1" t="s">
        <v>28</v>
      </c>
      <c r="H3178" s="1">
        <v>9481</v>
      </c>
      <c r="I3178" s="1">
        <v>37714</v>
      </c>
      <c r="J3178" s="7">
        <v>0.251</v>
      </c>
      <c r="K3178" s="1" t="s">
        <v>21</v>
      </c>
      <c r="L3178" s="1" t="s">
        <v>29</v>
      </c>
      <c r="M3178" s="1" t="s">
        <v>29</v>
      </c>
      <c r="N3178" s="1" t="s">
        <v>22</v>
      </c>
    </row>
    <row r="3179" spans="1:14" x14ac:dyDescent="0.25">
      <c r="A3179" s="1">
        <v>3178</v>
      </c>
      <c r="B3179" s="2" t="str">
        <f>HYPERLINK("https://leetcode.com/problems/find-the-child-who-has-the-ball-after-k-seconds/", "Find the Child Who Has the Ball After K Seconds")</f>
        <v>Find the Child Who Has the Ball After K Seconds</v>
      </c>
      <c r="C3179" s="1">
        <v>178</v>
      </c>
      <c r="D3179" s="1">
        <v>11</v>
      </c>
      <c r="E3179" s="3">
        <f>IF(INDEX(C:C, ROW())+INDEX(D:D, ROW())=0, 0, INDEX(C:C, ROW())/(INDEX(C:C, ROW())+INDEX(D:D, ROW())))</f>
        <v>0.94179894179894175</v>
      </c>
      <c r="F3179" s="1" t="s">
        <v>465</v>
      </c>
      <c r="G3179" s="1" t="s">
        <v>20</v>
      </c>
      <c r="H3179" s="1">
        <v>58636</v>
      </c>
      <c r="I3179" s="1">
        <v>94530</v>
      </c>
      <c r="J3179" s="7">
        <v>0.62</v>
      </c>
      <c r="K3179" s="1" t="s">
        <v>21</v>
      </c>
      <c r="L3179" s="1" t="s">
        <v>29</v>
      </c>
      <c r="M3179" s="1" t="s">
        <v>29</v>
      </c>
      <c r="N3179" s="1" t="s">
        <v>22</v>
      </c>
    </row>
    <row r="3180" spans="1:14" x14ac:dyDescent="0.25">
      <c r="A3180" s="1">
        <v>3179</v>
      </c>
      <c r="B3180" s="2" t="str">
        <f>HYPERLINK("https://leetcode.com/problems/find-the-n-th-value-after-k-seconds/", "Find the N-th Value After K Seconds")</f>
        <v>Find the N-th Value After K Seconds</v>
      </c>
      <c r="C3180" s="1">
        <v>122</v>
      </c>
      <c r="D3180" s="1">
        <v>21</v>
      </c>
      <c r="E3180" s="3">
        <f>IF(INDEX(C:C, ROW())+INDEX(D:D, ROW())=0, 0, INDEX(C:C, ROW())/(INDEX(C:C, ROW())+INDEX(D:D, ROW())))</f>
        <v>0.85314685314685312</v>
      </c>
      <c r="F3180" s="1" t="s">
        <v>1162</v>
      </c>
      <c r="G3180" s="1" t="s">
        <v>24</v>
      </c>
      <c r="H3180" s="1">
        <v>44715</v>
      </c>
      <c r="I3180" s="1">
        <v>83107</v>
      </c>
      <c r="J3180" s="7">
        <v>0.53800000000000003</v>
      </c>
      <c r="K3180" s="1" t="s">
        <v>21</v>
      </c>
      <c r="L3180" s="1" t="s">
        <v>29</v>
      </c>
      <c r="M3180" s="1" t="s">
        <v>29</v>
      </c>
      <c r="N3180" s="1" t="s">
        <v>22</v>
      </c>
    </row>
    <row r="3181" spans="1:14" x14ac:dyDescent="0.25">
      <c r="A3181" s="1">
        <v>3180</v>
      </c>
      <c r="B3181" s="2" t="str">
        <f>HYPERLINK("https://leetcode.com/problems/maximum-total-reward-using-operations-i/", "Maximum Total Reward Using Operations I")</f>
        <v>Maximum Total Reward Using Operations I</v>
      </c>
      <c r="C3181" s="1">
        <v>212</v>
      </c>
      <c r="D3181" s="1">
        <v>17</v>
      </c>
      <c r="E3181" s="3">
        <f>IF(INDEX(C:C, ROW())+INDEX(D:D, ROW())=0, 0, INDEX(C:C, ROW())/(INDEX(C:C, ROW())+INDEX(D:D, ROW())))</f>
        <v>0.92576419213973804</v>
      </c>
      <c r="F3181" s="1" t="s">
        <v>30</v>
      </c>
      <c r="G3181" s="1" t="s">
        <v>24</v>
      </c>
      <c r="H3181" s="1">
        <v>30549</v>
      </c>
      <c r="I3181" s="1">
        <v>99520</v>
      </c>
      <c r="J3181" s="7">
        <v>0.307</v>
      </c>
      <c r="K3181" s="1" t="s">
        <v>21</v>
      </c>
      <c r="L3181" s="1" t="s">
        <v>29</v>
      </c>
      <c r="M3181" s="1" t="s">
        <v>29</v>
      </c>
      <c r="N3181" s="1" t="s">
        <v>22</v>
      </c>
    </row>
    <row r="3182" spans="1:14" x14ac:dyDescent="0.25">
      <c r="A3182" s="1">
        <v>3181</v>
      </c>
      <c r="B3182" s="2" t="str">
        <f>HYPERLINK("https://leetcode.com/problems/maximum-total-reward-using-operations-ii/", "Maximum Total Reward Using Operations II")</f>
        <v>Maximum Total Reward Using Operations II</v>
      </c>
      <c r="C3182" s="1">
        <v>133</v>
      </c>
      <c r="D3182" s="1">
        <v>32</v>
      </c>
      <c r="E3182" s="3">
        <f>IF(INDEX(C:C, ROW())+INDEX(D:D, ROW())=0, 0, INDEX(C:C, ROW())/(INDEX(C:C, ROW())+INDEX(D:D, ROW())))</f>
        <v>0.80606060606060603</v>
      </c>
      <c r="F3182" s="1" t="s">
        <v>508</v>
      </c>
      <c r="G3182" s="1" t="s">
        <v>28</v>
      </c>
      <c r="H3182" s="1">
        <v>8569</v>
      </c>
      <c r="I3182" s="1">
        <v>39309</v>
      </c>
      <c r="J3182" s="7">
        <v>0.218</v>
      </c>
      <c r="K3182" s="1" t="s">
        <v>21</v>
      </c>
      <c r="L3182" s="1" t="s">
        <v>29</v>
      </c>
      <c r="M3182" s="1" t="s">
        <v>29</v>
      </c>
      <c r="N3182" s="1" t="s">
        <v>22</v>
      </c>
    </row>
    <row r="3183" spans="1:14" x14ac:dyDescent="0.25">
      <c r="A3183" s="1">
        <v>3182</v>
      </c>
      <c r="B3183" s="2" t="str">
        <f>HYPERLINK("https://leetcode.com/problems/find-top-scoring-students/", "Find Top Scoring Students")</f>
        <v>Find Top Scoring Students</v>
      </c>
      <c r="C3183" s="1">
        <v>14</v>
      </c>
      <c r="D3183" s="1">
        <v>3</v>
      </c>
      <c r="E3183" s="3">
        <f>IF(INDEX(C:C, ROW())+INDEX(D:D, ROW())=0, 0, INDEX(C:C, ROW())/(INDEX(C:C, ROW())+INDEX(D:D, ROW())))</f>
        <v>0.82352941176470584</v>
      </c>
      <c r="F3183" s="1" t="s">
        <v>297</v>
      </c>
      <c r="G3183" s="1" t="s">
        <v>24</v>
      </c>
      <c r="H3183" s="1">
        <v>2866</v>
      </c>
      <c r="I3183" s="1">
        <v>5804</v>
      </c>
      <c r="J3183" s="7">
        <v>0.49399999999999999</v>
      </c>
      <c r="K3183" s="1" t="s">
        <v>29</v>
      </c>
      <c r="L3183" s="1" t="s">
        <v>29</v>
      </c>
      <c r="M3183" s="1" t="s">
        <v>29</v>
      </c>
      <c r="N3183" s="1" t="s">
        <v>297</v>
      </c>
    </row>
    <row r="3184" spans="1:14" x14ac:dyDescent="0.25">
      <c r="A3184" s="1">
        <v>3183</v>
      </c>
      <c r="B3184" s="2" t="str">
        <f>HYPERLINK("https://leetcode.com/problems/the-number-of-ways-to-make-the-sum/", "The Number of Ways to Make the Sum")</f>
        <v>The Number of Ways to Make the Sum</v>
      </c>
      <c r="C3184" s="1">
        <v>18</v>
      </c>
      <c r="D3184" s="1">
        <v>1</v>
      </c>
      <c r="E3184" s="3">
        <f>IF(INDEX(C:C, ROW())+INDEX(D:D, ROW())=0, 0, INDEX(C:C, ROW())/(INDEX(C:C, ROW())+INDEX(D:D, ROW())))</f>
        <v>0.94736842105263153</v>
      </c>
      <c r="F3184" s="1" t="s">
        <v>30</v>
      </c>
      <c r="G3184" s="1" t="s">
        <v>24</v>
      </c>
      <c r="H3184" s="1">
        <v>1911</v>
      </c>
      <c r="I3184" s="1">
        <v>3730</v>
      </c>
      <c r="J3184" s="7">
        <v>0.51200000000000001</v>
      </c>
      <c r="K3184" s="1" t="s">
        <v>29</v>
      </c>
      <c r="L3184" s="1" t="s">
        <v>29</v>
      </c>
      <c r="M3184" s="1" t="s">
        <v>29</v>
      </c>
      <c r="N3184" s="1" t="s">
        <v>22</v>
      </c>
    </row>
    <row r="3185" spans="1:14" x14ac:dyDescent="0.25">
      <c r="A3185" s="1">
        <v>3184</v>
      </c>
      <c r="B3185" s="2" t="str">
        <f>HYPERLINK("https://leetcode.com/problems/count-pairs-that-form-a-complete-day-i/", "Count Pairs That Form a Complete Day I")</f>
        <v>Count Pairs That Form a Complete Day I</v>
      </c>
      <c r="C3185" s="1">
        <v>161</v>
      </c>
      <c r="D3185" s="1">
        <v>12</v>
      </c>
      <c r="E3185" s="3">
        <f>IF(INDEX(C:C, ROW())+INDEX(D:D, ROW())=0, 0, INDEX(C:C, ROW())/(INDEX(C:C, ROW())+INDEX(D:D, ROW())))</f>
        <v>0.93063583815028905</v>
      </c>
      <c r="F3185" s="1" t="s">
        <v>294</v>
      </c>
      <c r="G3185" s="1" t="s">
        <v>20</v>
      </c>
      <c r="H3185" s="1">
        <v>74723</v>
      </c>
      <c r="I3185" s="1">
        <v>95781</v>
      </c>
      <c r="J3185" s="7">
        <v>0.78</v>
      </c>
      <c r="K3185" s="1" t="s">
        <v>21</v>
      </c>
      <c r="L3185" s="1" t="s">
        <v>29</v>
      </c>
      <c r="M3185" s="1" t="s">
        <v>29</v>
      </c>
      <c r="N3185" s="1" t="s">
        <v>22</v>
      </c>
    </row>
    <row r="3186" spans="1:14" x14ac:dyDescent="0.25">
      <c r="A3186" s="1">
        <v>3185</v>
      </c>
      <c r="B3186" s="2" t="str">
        <f>HYPERLINK("https://leetcode.com/problems/count-pairs-that-form-a-complete-day-ii/", "Count Pairs That Form a Complete Day II")</f>
        <v>Count Pairs That Form a Complete Day II</v>
      </c>
      <c r="C3186" s="1">
        <v>192</v>
      </c>
      <c r="D3186" s="1">
        <v>12</v>
      </c>
      <c r="E3186" s="3">
        <f>IF(INDEX(C:C, ROW())+INDEX(D:D, ROW())=0, 0, INDEX(C:C, ROW())/(INDEX(C:C, ROW())+INDEX(D:D, ROW())))</f>
        <v>0.94117647058823528</v>
      </c>
      <c r="F3186" s="1" t="s">
        <v>294</v>
      </c>
      <c r="G3186" s="1" t="s">
        <v>24</v>
      </c>
      <c r="H3186" s="1">
        <v>47884</v>
      </c>
      <c r="I3186" s="1">
        <v>109820</v>
      </c>
      <c r="J3186" s="7">
        <v>0.436</v>
      </c>
      <c r="K3186" s="1" t="s">
        <v>21</v>
      </c>
      <c r="L3186" s="1" t="s">
        <v>29</v>
      </c>
      <c r="M3186" s="1" t="s">
        <v>29</v>
      </c>
      <c r="N3186" s="1" t="s">
        <v>22</v>
      </c>
    </row>
    <row r="3187" spans="1:14" x14ac:dyDescent="0.25">
      <c r="A3187" s="1">
        <v>3186</v>
      </c>
      <c r="B3187" s="2" t="str">
        <f>HYPERLINK("https://leetcode.com/problems/maximum-total-damage-with-spell-casting/", "Maximum Total Damage With Spell Casting")</f>
        <v>Maximum Total Damage With Spell Casting</v>
      </c>
      <c r="C3187" s="1">
        <v>747</v>
      </c>
      <c r="D3187" s="1">
        <v>64</v>
      </c>
      <c r="E3187" s="3">
        <f>IF(INDEX(C:C, ROW())+INDEX(D:D, ROW())=0, 0, INDEX(C:C, ROW())/(INDEX(C:C, ROW())+INDEX(D:D, ROW())))</f>
        <v>0.92108508014796553</v>
      </c>
      <c r="F3187" s="1" t="s">
        <v>782</v>
      </c>
      <c r="G3187" s="1" t="s">
        <v>24</v>
      </c>
      <c r="H3187" s="1">
        <v>112887</v>
      </c>
      <c r="I3187" s="1">
        <v>250697</v>
      </c>
      <c r="J3187" s="7">
        <v>0.45</v>
      </c>
      <c r="K3187" s="1" t="s">
        <v>21</v>
      </c>
      <c r="L3187" s="1" t="s">
        <v>21</v>
      </c>
      <c r="M3187" s="1" t="s">
        <v>29</v>
      </c>
      <c r="N3187" s="1" t="s">
        <v>22</v>
      </c>
    </row>
    <row r="3188" spans="1:14" x14ac:dyDescent="0.25">
      <c r="A3188" s="1">
        <v>3187</v>
      </c>
      <c r="B3188" s="2" t="str">
        <f>HYPERLINK("https://leetcode.com/problems/peaks-in-array/", "Peaks in Array")</f>
        <v>Peaks in Array</v>
      </c>
      <c r="C3188" s="1">
        <v>142</v>
      </c>
      <c r="D3188" s="1">
        <v>10</v>
      </c>
      <c r="E3188" s="3">
        <f>IF(INDEX(C:C, ROW())+INDEX(D:D, ROW())=0, 0, INDEX(C:C, ROW())/(INDEX(C:C, ROW())+INDEX(D:D, ROW())))</f>
        <v>0.93421052631578949</v>
      </c>
      <c r="F3188" s="1" t="s">
        <v>1145</v>
      </c>
      <c r="G3188" s="1" t="s">
        <v>28</v>
      </c>
      <c r="H3188" s="1">
        <v>11583</v>
      </c>
      <c r="I3188" s="1">
        <v>42709</v>
      </c>
      <c r="J3188" s="7">
        <v>0.27100000000000002</v>
      </c>
      <c r="K3188" s="1" t="s">
        <v>21</v>
      </c>
      <c r="L3188" s="1" t="s">
        <v>29</v>
      </c>
      <c r="M3188" s="1" t="s">
        <v>29</v>
      </c>
      <c r="N3188" s="1" t="s">
        <v>22</v>
      </c>
    </row>
    <row r="3189" spans="1:14" x14ac:dyDescent="0.25">
      <c r="A3189" s="1">
        <v>3188</v>
      </c>
      <c r="B3189" s="2" t="str">
        <f>HYPERLINK("https://leetcode.com/problems/find-top-scoring-students-ii/", "Find Top Scoring Students II")</f>
        <v>Find Top Scoring Students II</v>
      </c>
      <c r="C3189" s="1">
        <v>8</v>
      </c>
      <c r="D3189" s="1">
        <v>8</v>
      </c>
      <c r="E3189" s="3">
        <f>IF(INDEX(C:C, ROW())+INDEX(D:D, ROW())=0, 0, INDEX(C:C, ROW())/(INDEX(C:C, ROW())+INDEX(D:D, ROW())))</f>
        <v>0.5</v>
      </c>
      <c r="F3189" s="1" t="s">
        <v>297</v>
      </c>
      <c r="G3189" s="1" t="s">
        <v>28</v>
      </c>
      <c r="H3189" s="1">
        <v>2197</v>
      </c>
      <c r="I3189" s="1">
        <v>5572</v>
      </c>
      <c r="J3189" s="7">
        <v>0.39400000000000002</v>
      </c>
      <c r="K3189" s="1" t="s">
        <v>29</v>
      </c>
      <c r="L3189" s="1" t="s">
        <v>29</v>
      </c>
      <c r="M3189" s="1" t="s">
        <v>29</v>
      </c>
      <c r="N3189" s="1" t="s">
        <v>297</v>
      </c>
    </row>
    <row r="3190" spans="1:14" x14ac:dyDescent="0.25">
      <c r="A3190" s="1">
        <v>3189</v>
      </c>
      <c r="B3190" s="2" t="str">
        <f>HYPERLINK("https://leetcode.com/problems/minimum-moves-to-get-a-peaceful-board/", "Minimum Moves to Get a Peaceful Board")</f>
        <v>Minimum Moves to Get a Peaceful Board</v>
      </c>
      <c r="C3190" s="1">
        <v>61</v>
      </c>
      <c r="D3190" s="1">
        <v>13</v>
      </c>
      <c r="E3190" s="3">
        <f>IF(INDEX(C:C, ROW())+INDEX(D:D, ROW())=0, 0, INDEX(C:C, ROW())/(INDEX(C:C, ROW())+INDEX(D:D, ROW())))</f>
        <v>0.82432432432432434</v>
      </c>
      <c r="F3190" s="1" t="s">
        <v>443</v>
      </c>
      <c r="G3190" s="1" t="s">
        <v>24</v>
      </c>
      <c r="H3190" s="1">
        <v>4756</v>
      </c>
      <c r="I3190" s="1">
        <v>6269</v>
      </c>
      <c r="J3190" s="7">
        <v>0.75900000000000001</v>
      </c>
      <c r="K3190" s="1" t="s">
        <v>29</v>
      </c>
      <c r="L3190" s="1" t="s">
        <v>21</v>
      </c>
      <c r="M3190" s="1" t="s">
        <v>29</v>
      </c>
      <c r="N3190" s="1" t="s">
        <v>22</v>
      </c>
    </row>
    <row r="3191" spans="1:14" x14ac:dyDescent="0.25">
      <c r="A3191" s="1">
        <v>3190</v>
      </c>
      <c r="B3191" s="2" t="str">
        <f>HYPERLINK("https://leetcode.com/problems/find-minimum-operations-to-make-all-elements-divisible-by-three/", "Find Minimum Operations to Make All Elements Divisible by Three")</f>
        <v>Find Minimum Operations to Make All Elements Divisible by Three</v>
      </c>
      <c r="C3191" s="1">
        <v>507</v>
      </c>
      <c r="D3191" s="1">
        <v>34</v>
      </c>
      <c r="E3191" s="3">
        <f>IF(INDEX(C:C, ROW())+INDEX(D:D, ROW())=0, 0, INDEX(C:C, ROW())/(INDEX(C:C, ROW())+INDEX(D:D, ROW())))</f>
        <v>0.93715341959334564</v>
      </c>
      <c r="F3191" s="1" t="s">
        <v>115</v>
      </c>
      <c r="G3191" s="1" t="s">
        <v>20</v>
      </c>
      <c r="H3191" s="1">
        <v>263772</v>
      </c>
      <c r="I3191" s="1">
        <v>290149</v>
      </c>
      <c r="J3191" s="7">
        <v>0.90900000000000003</v>
      </c>
      <c r="K3191" s="1" t="s">
        <v>21</v>
      </c>
      <c r="L3191" s="1" t="s">
        <v>21</v>
      </c>
      <c r="M3191" s="1" t="s">
        <v>29</v>
      </c>
      <c r="N3191" s="1" t="s">
        <v>22</v>
      </c>
    </row>
    <row r="3192" spans="1:14" x14ac:dyDescent="0.25">
      <c r="A3192" s="1">
        <v>3191</v>
      </c>
      <c r="B3192" s="2" t="str">
        <f>HYPERLINK("https://leetcode.com/problems/minimum-operations-to-make-binary-array-elements-equal-to-one-i/", "Minimum Operations to Make Binary Array Elements Equal to One I")</f>
        <v>Minimum Operations to Make Binary Array Elements Equal to One I</v>
      </c>
      <c r="C3192" s="1">
        <v>672</v>
      </c>
      <c r="D3192" s="1">
        <v>36</v>
      </c>
      <c r="E3192" s="3">
        <f>IF(INDEX(C:C, ROW())+INDEX(D:D, ROW())=0, 0, INDEX(C:C, ROW())/(INDEX(C:C, ROW())+INDEX(D:D, ROW())))</f>
        <v>0.94915254237288138</v>
      </c>
      <c r="F3192" s="1" t="s">
        <v>497</v>
      </c>
      <c r="G3192" s="1" t="s">
        <v>24</v>
      </c>
      <c r="H3192" s="1">
        <v>208770</v>
      </c>
      <c r="I3192" s="1">
        <v>259589</v>
      </c>
      <c r="J3192" s="7">
        <v>0.80400000000000005</v>
      </c>
      <c r="K3192" s="1" t="s">
        <v>21</v>
      </c>
      <c r="L3192" s="1" t="s">
        <v>21</v>
      </c>
      <c r="M3192" s="1" t="s">
        <v>29</v>
      </c>
      <c r="N3192" s="1" t="s">
        <v>22</v>
      </c>
    </row>
    <row r="3193" spans="1:14" x14ac:dyDescent="0.25">
      <c r="A3193" s="1">
        <v>3192</v>
      </c>
      <c r="B3193" s="2" t="str">
        <f>HYPERLINK("https://leetcode.com/problems/minimum-operations-to-make-binary-array-elements-equal-to-one-ii/", "Minimum Operations to Make Binary Array Elements Equal to One II")</f>
        <v>Minimum Operations to Make Binary Array Elements Equal to One II</v>
      </c>
      <c r="C3193" s="1">
        <v>152</v>
      </c>
      <c r="D3193" s="1">
        <v>9</v>
      </c>
      <c r="E3193" s="3">
        <f>IF(INDEX(C:C, ROW())+INDEX(D:D, ROW())=0, 0, INDEX(C:C, ROW())/(INDEX(C:C, ROW())+INDEX(D:D, ROW())))</f>
        <v>0.94409937888198758</v>
      </c>
      <c r="F3193" s="1" t="s">
        <v>50</v>
      </c>
      <c r="G3193" s="1" t="s">
        <v>24</v>
      </c>
      <c r="H3193" s="1">
        <v>43071</v>
      </c>
      <c r="I3193" s="1">
        <v>66242</v>
      </c>
      <c r="J3193" s="7">
        <v>0.65</v>
      </c>
      <c r="K3193" s="1" t="s">
        <v>21</v>
      </c>
      <c r="L3193" s="1" t="s">
        <v>29</v>
      </c>
      <c r="M3193" s="1" t="s">
        <v>29</v>
      </c>
      <c r="N3193" s="1" t="s">
        <v>22</v>
      </c>
    </row>
    <row r="3194" spans="1:14" x14ac:dyDescent="0.25">
      <c r="A3194" s="1">
        <v>3193</v>
      </c>
      <c r="B3194" s="2" t="str">
        <f>HYPERLINK("https://leetcode.com/problems/count-the-number-of-inversions/", "Count the Number of Inversions")</f>
        <v>Count the Number of Inversions</v>
      </c>
      <c r="C3194" s="1">
        <v>183</v>
      </c>
      <c r="D3194" s="1">
        <v>35</v>
      </c>
      <c r="E3194" s="3">
        <f>IF(INDEX(C:C, ROW())+INDEX(D:D, ROW())=0, 0, INDEX(C:C, ROW())/(INDEX(C:C, ROW())+INDEX(D:D, ROW())))</f>
        <v>0.83944954128440363</v>
      </c>
      <c r="F3194" s="1" t="s">
        <v>30</v>
      </c>
      <c r="G3194" s="1" t="s">
        <v>28</v>
      </c>
      <c r="H3194" s="1">
        <v>9837</v>
      </c>
      <c r="I3194" s="1">
        <v>33156</v>
      </c>
      <c r="J3194" s="7">
        <v>0.29699999999999999</v>
      </c>
      <c r="K3194" s="1" t="s">
        <v>21</v>
      </c>
      <c r="L3194" s="1" t="s">
        <v>29</v>
      </c>
      <c r="M3194" s="1" t="s">
        <v>29</v>
      </c>
      <c r="N3194" s="1" t="s">
        <v>22</v>
      </c>
    </row>
    <row r="3195" spans="1:14" x14ac:dyDescent="0.25">
      <c r="A3195" s="1">
        <v>3194</v>
      </c>
      <c r="B3195" s="2" t="str">
        <f>HYPERLINK("https://leetcode.com/problems/minimum-average-of-smallest-and-largest-elements/", "Minimum Average of Smallest and Largest Elements")</f>
        <v>Minimum Average of Smallest and Largest Elements</v>
      </c>
      <c r="C3195" s="1">
        <v>203</v>
      </c>
      <c r="D3195" s="1">
        <v>16</v>
      </c>
      <c r="E3195" s="3">
        <f>IF(INDEX(C:C, ROW())+INDEX(D:D, ROW())=0, 0, INDEX(C:C, ROW())/(INDEX(C:C, ROW())+INDEX(D:D, ROW())))</f>
        <v>0.9269406392694064</v>
      </c>
      <c r="F3195" s="1" t="s">
        <v>31</v>
      </c>
      <c r="G3195" s="1" t="s">
        <v>20</v>
      </c>
      <c r="H3195" s="1">
        <v>106628</v>
      </c>
      <c r="I3195" s="1">
        <v>125052</v>
      </c>
      <c r="J3195" s="7">
        <v>0.85299999999999998</v>
      </c>
      <c r="K3195" s="1" t="s">
        <v>21</v>
      </c>
      <c r="L3195" s="1" t="s">
        <v>29</v>
      </c>
      <c r="M3195" s="1" t="s">
        <v>29</v>
      </c>
      <c r="N3195" s="1" t="s">
        <v>22</v>
      </c>
    </row>
    <row r="3196" spans="1:14" x14ac:dyDescent="0.25">
      <c r="A3196" s="1">
        <v>3195</v>
      </c>
      <c r="B3196" s="2" t="str">
        <f>HYPERLINK("https://leetcode.com/problems/find-the-minimum-area-to-cover-all-ones-i/", "Find the Minimum Area to Cover All Ones I")</f>
        <v>Find the Minimum Area to Cover All Ones I</v>
      </c>
      <c r="C3196" s="1">
        <v>490</v>
      </c>
      <c r="D3196" s="1">
        <v>32</v>
      </c>
      <c r="E3196" s="3">
        <f>IF(INDEX(C:C, ROW())+INDEX(D:D, ROW())=0, 0, INDEX(C:C, ROW())/(INDEX(C:C, ROW())+INDEX(D:D, ROW())))</f>
        <v>0.93869731800766287</v>
      </c>
      <c r="F3196" s="1" t="s">
        <v>266</v>
      </c>
      <c r="G3196" s="1" t="s">
        <v>24</v>
      </c>
      <c r="H3196" s="1">
        <v>166456</v>
      </c>
      <c r="I3196" s="1">
        <v>212987</v>
      </c>
      <c r="J3196" s="7">
        <v>0.78200000000000003</v>
      </c>
      <c r="K3196" s="1" t="s">
        <v>21</v>
      </c>
      <c r="L3196" s="1" t="s">
        <v>21</v>
      </c>
      <c r="M3196" s="1" t="s">
        <v>29</v>
      </c>
      <c r="N3196" s="1" t="s">
        <v>22</v>
      </c>
    </row>
    <row r="3197" spans="1:14" x14ac:dyDescent="0.25">
      <c r="A3197" s="1">
        <v>3196</v>
      </c>
      <c r="B3197" s="2" t="str">
        <f>HYPERLINK("https://leetcode.com/problems/maximize-total-cost-of-alternating-subarrays/", "Maximize Total Cost of Alternating Subarrays")</f>
        <v>Maximize Total Cost of Alternating Subarrays</v>
      </c>
      <c r="C3197" s="1">
        <v>193</v>
      </c>
      <c r="D3197" s="1">
        <v>29</v>
      </c>
      <c r="E3197" s="3">
        <f>IF(INDEX(C:C, ROW())+INDEX(D:D, ROW())=0, 0, INDEX(C:C, ROW())/(INDEX(C:C, ROW())+INDEX(D:D, ROW())))</f>
        <v>0.86936936936936937</v>
      </c>
      <c r="F3197" s="1" t="s">
        <v>30</v>
      </c>
      <c r="G3197" s="1" t="s">
        <v>24</v>
      </c>
      <c r="H3197" s="1">
        <v>25375</v>
      </c>
      <c r="I3197" s="1">
        <v>85952</v>
      </c>
      <c r="J3197" s="7">
        <v>0.29499999999999998</v>
      </c>
      <c r="K3197" s="1" t="s">
        <v>21</v>
      </c>
      <c r="L3197" s="1" t="s">
        <v>29</v>
      </c>
      <c r="M3197" s="1" t="s">
        <v>29</v>
      </c>
      <c r="N3197" s="1" t="s">
        <v>22</v>
      </c>
    </row>
    <row r="3198" spans="1:14" x14ac:dyDescent="0.25">
      <c r="A3198" s="1">
        <v>3197</v>
      </c>
      <c r="B3198" s="2" t="str">
        <f>HYPERLINK("https://leetcode.com/problems/find-the-minimum-area-to-cover-all-ones-ii/", "Find the Minimum Area to Cover All Ones II")</f>
        <v>Find the Minimum Area to Cover All Ones II</v>
      </c>
      <c r="C3198" s="1">
        <v>402</v>
      </c>
      <c r="D3198" s="1">
        <v>68</v>
      </c>
      <c r="E3198" s="3">
        <f>IF(INDEX(C:C, ROW())+INDEX(D:D, ROW())=0, 0, INDEX(C:C, ROW())/(INDEX(C:C, ROW())+INDEX(D:D, ROW())))</f>
        <v>0.85531914893617023</v>
      </c>
      <c r="F3198" s="1" t="s">
        <v>982</v>
      </c>
      <c r="G3198" s="1" t="s">
        <v>28</v>
      </c>
      <c r="H3198" s="1">
        <v>64904</v>
      </c>
      <c r="I3198" s="1">
        <v>102138</v>
      </c>
      <c r="J3198" s="7">
        <v>0.63500000000000001</v>
      </c>
      <c r="K3198" s="1" t="s">
        <v>21</v>
      </c>
      <c r="L3198" s="1" t="s">
        <v>21</v>
      </c>
      <c r="M3198" s="1" t="s">
        <v>29</v>
      </c>
      <c r="N3198" s="1" t="s">
        <v>22</v>
      </c>
    </row>
    <row r="3199" spans="1:14" x14ac:dyDescent="0.25">
      <c r="A3199" s="1">
        <v>3198</v>
      </c>
      <c r="B3199" s="2" t="str">
        <f>HYPERLINK("https://leetcode.com/problems/find-cities-in-each-state/", "Find Cities in Each State")</f>
        <v>Find Cities in Each State</v>
      </c>
      <c r="C3199" s="1">
        <v>9</v>
      </c>
      <c r="D3199" s="1">
        <v>2</v>
      </c>
      <c r="E3199" s="3">
        <f>IF(INDEX(C:C, ROW())+INDEX(D:D, ROW())=0, 0, INDEX(C:C, ROW())/(INDEX(C:C, ROW())+INDEX(D:D, ROW())))</f>
        <v>0.81818181818181823</v>
      </c>
      <c r="F3199" s="1" t="s">
        <v>297</v>
      </c>
      <c r="G3199" s="1" t="s">
        <v>20</v>
      </c>
      <c r="H3199" s="1">
        <v>3695</v>
      </c>
      <c r="I3199" s="1">
        <v>4647</v>
      </c>
      <c r="J3199" s="7">
        <v>0.79500000000000004</v>
      </c>
      <c r="K3199" s="1" t="s">
        <v>29</v>
      </c>
      <c r="L3199" s="1" t="s">
        <v>29</v>
      </c>
      <c r="M3199" s="1" t="s">
        <v>29</v>
      </c>
      <c r="N3199" s="1" t="s">
        <v>297</v>
      </c>
    </row>
    <row r="3200" spans="1:14" x14ac:dyDescent="0.25">
      <c r="A3200" s="1">
        <v>3199</v>
      </c>
      <c r="B3200" s="2" t="str">
        <f>HYPERLINK("https://leetcode.com/problems/count-triplets-with-even-xor-set-bits-i/", "Count Triplets with Even XOR Set Bits I")</f>
        <v>Count Triplets with Even XOR Set Bits I</v>
      </c>
      <c r="C3200" s="1">
        <v>9</v>
      </c>
      <c r="D3200" s="1">
        <v>4</v>
      </c>
      <c r="E3200" s="3">
        <f>IF(INDEX(C:C, ROW())+INDEX(D:D, ROW())=0, 0, INDEX(C:C, ROW())/(INDEX(C:C, ROW())+INDEX(D:D, ROW())))</f>
        <v>0.69230769230769229</v>
      </c>
      <c r="F3200" s="1" t="s">
        <v>65</v>
      </c>
      <c r="G3200" s="1" t="s">
        <v>20</v>
      </c>
      <c r="H3200" s="1">
        <v>1793</v>
      </c>
      <c r="I3200" s="1">
        <v>2162</v>
      </c>
      <c r="J3200" s="7">
        <v>0.82899999999999996</v>
      </c>
      <c r="K3200" s="1" t="s">
        <v>29</v>
      </c>
      <c r="L3200" s="1" t="s">
        <v>29</v>
      </c>
      <c r="M3200" s="1" t="s">
        <v>29</v>
      </c>
      <c r="N3200" s="1" t="s">
        <v>22</v>
      </c>
    </row>
    <row r="3201" spans="1:14" x14ac:dyDescent="0.25">
      <c r="A3201" s="1">
        <v>3200</v>
      </c>
      <c r="B3201" s="2" t="str">
        <f>HYPERLINK("https://leetcode.com/problems/maximum-height-of-a-triangle/", "Maximum Height of a Triangle")</f>
        <v>Maximum Height of a Triangle</v>
      </c>
      <c r="C3201" s="1">
        <v>165</v>
      </c>
      <c r="D3201" s="1">
        <v>30</v>
      </c>
      <c r="E3201" s="3">
        <f>IF(INDEX(C:C, ROW())+INDEX(D:D, ROW())=0, 0, INDEX(C:C, ROW())/(INDEX(C:C, ROW())+INDEX(D:D, ROW())))</f>
        <v>0.84615384615384615</v>
      </c>
      <c r="F3201" s="1" t="s">
        <v>654</v>
      </c>
      <c r="G3201" s="1" t="s">
        <v>20</v>
      </c>
      <c r="H3201" s="1">
        <v>43841</v>
      </c>
      <c r="I3201" s="1">
        <v>99277</v>
      </c>
      <c r="J3201" s="7">
        <v>0.442</v>
      </c>
      <c r="K3201" s="1" t="s">
        <v>21</v>
      </c>
      <c r="L3201" s="1" t="s">
        <v>29</v>
      </c>
      <c r="M3201" s="1" t="s">
        <v>29</v>
      </c>
      <c r="N3201" s="1" t="s">
        <v>22</v>
      </c>
    </row>
    <row r="3202" spans="1:14" x14ac:dyDescent="0.25">
      <c r="A3202" s="1">
        <v>3201</v>
      </c>
      <c r="B3202" s="2" t="str">
        <f>HYPERLINK("https://leetcode.com/problems/find-the-maximum-length-of-valid-subsequence-i/", "Find the Maximum Length of Valid Subsequence I")</f>
        <v>Find the Maximum Length of Valid Subsequence I</v>
      </c>
      <c r="C3202" s="1">
        <v>638</v>
      </c>
      <c r="D3202" s="1">
        <v>56</v>
      </c>
      <c r="E3202" s="3">
        <f>IF(INDEX(C:C, ROW())+INDEX(D:D, ROW())=0, 0, INDEX(C:C, ROW())/(INDEX(C:C, ROW())+INDEX(D:D, ROW())))</f>
        <v>0.9193083573487032</v>
      </c>
      <c r="F3202" s="1" t="s">
        <v>30</v>
      </c>
      <c r="G3202" s="1" t="s">
        <v>24</v>
      </c>
      <c r="H3202" s="1">
        <v>141796</v>
      </c>
      <c r="I3202" s="1">
        <v>258321</v>
      </c>
      <c r="J3202" s="7">
        <v>0.54900000000000004</v>
      </c>
      <c r="K3202" s="1" t="s">
        <v>21</v>
      </c>
      <c r="L3202" s="1" t="s">
        <v>21</v>
      </c>
      <c r="M3202" s="1" t="s">
        <v>29</v>
      </c>
      <c r="N3202" s="1" t="s">
        <v>22</v>
      </c>
    </row>
    <row r="3203" spans="1:14" x14ac:dyDescent="0.25">
      <c r="A3203" s="1">
        <v>3202</v>
      </c>
      <c r="B3203" s="2" t="str">
        <f>HYPERLINK("https://leetcode.com/problems/find-the-maximum-length-of-valid-subsequence-ii/", "Find the Maximum Length of Valid Subsequence II")</f>
        <v>Find the Maximum Length of Valid Subsequence II</v>
      </c>
      <c r="C3203" s="1">
        <v>649</v>
      </c>
      <c r="D3203" s="1">
        <v>54</v>
      </c>
      <c r="E3203" s="3">
        <f>IF(INDEX(C:C, ROW())+INDEX(D:D, ROW())=0, 0, INDEX(C:C, ROW())/(INDEX(C:C, ROW())+INDEX(D:D, ROW())))</f>
        <v>0.92318634423897583</v>
      </c>
      <c r="F3203" s="1" t="s">
        <v>30</v>
      </c>
      <c r="G3203" s="1" t="s">
        <v>24</v>
      </c>
      <c r="H3203" s="1">
        <v>101592</v>
      </c>
      <c r="I3203" s="1">
        <v>177478</v>
      </c>
      <c r="J3203" s="7">
        <v>0.57199999999999995</v>
      </c>
      <c r="K3203" s="1" t="s">
        <v>21</v>
      </c>
      <c r="L3203" s="1" t="s">
        <v>21</v>
      </c>
      <c r="M3203" s="1" t="s">
        <v>29</v>
      </c>
      <c r="N3203" s="1" t="s">
        <v>22</v>
      </c>
    </row>
    <row r="3204" spans="1:14" x14ac:dyDescent="0.25">
      <c r="A3204" s="1">
        <v>3203</v>
      </c>
      <c r="B3204" s="2" t="str">
        <f>HYPERLINK("https://leetcode.com/problems/find-minimum-diameter-after-merging-two-trees/", "Find Minimum Diameter After Merging Two Trees")</f>
        <v>Find Minimum Diameter After Merging Two Trees</v>
      </c>
      <c r="C3204" s="1">
        <v>695</v>
      </c>
      <c r="D3204" s="1">
        <v>39</v>
      </c>
      <c r="E3204" s="3">
        <f>IF(INDEX(C:C, ROW())+INDEX(D:D, ROW())=0, 0, INDEX(C:C, ROW())/(INDEX(C:C, ROW())+INDEX(D:D, ROW())))</f>
        <v>0.94686648501362403</v>
      </c>
      <c r="F3204" s="1" t="s">
        <v>455</v>
      </c>
      <c r="G3204" s="1" t="s">
        <v>28</v>
      </c>
      <c r="H3204" s="1">
        <v>78013</v>
      </c>
      <c r="I3204" s="1">
        <v>136584</v>
      </c>
      <c r="J3204" s="7">
        <v>0.57099999999999995</v>
      </c>
      <c r="K3204" s="1" t="s">
        <v>21</v>
      </c>
      <c r="L3204" s="1" t="s">
        <v>21</v>
      </c>
      <c r="M3204" s="1" t="s">
        <v>29</v>
      </c>
      <c r="N3204" s="1" t="s">
        <v>22</v>
      </c>
    </row>
    <row r="3205" spans="1:14" x14ac:dyDescent="0.25">
      <c r="A3205" s="1">
        <v>3204</v>
      </c>
      <c r="B3205" s="2" t="str">
        <f>HYPERLINK("https://leetcode.com/problems/bitwise-user-permissions-analysis/", "Bitwise User Permissions Analysis")</f>
        <v>Bitwise User Permissions Analysis</v>
      </c>
      <c r="C3205" s="1">
        <v>9</v>
      </c>
      <c r="D3205" s="1">
        <v>3</v>
      </c>
      <c r="E3205" s="3">
        <f>IF(INDEX(C:C, ROW())+INDEX(D:D, ROW())=0, 0, INDEX(C:C, ROW())/(INDEX(C:C, ROW())+INDEX(D:D, ROW())))</f>
        <v>0.75</v>
      </c>
      <c r="F3205" s="1" t="s">
        <v>297</v>
      </c>
      <c r="G3205" s="1" t="s">
        <v>24</v>
      </c>
      <c r="H3205" s="1">
        <v>2000</v>
      </c>
      <c r="I3205" s="1">
        <v>2141</v>
      </c>
      <c r="J3205" s="7">
        <v>0.93400000000000005</v>
      </c>
      <c r="K3205" s="1" t="s">
        <v>29</v>
      </c>
      <c r="L3205" s="1" t="s">
        <v>29</v>
      </c>
      <c r="M3205" s="1" t="s">
        <v>29</v>
      </c>
      <c r="N3205" s="1" t="s">
        <v>297</v>
      </c>
    </row>
    <row r="3206" spans="1:14" x14ac:dyDescent="0.25">
      <c r="A3206" s="1">
        <v>3205</v>
      </c>
      <c r="B3206" s="2" t="str">
        <f>HYPERLINK("https://leetcode.com/problems/maximum-array-hopping-score-i/", "Maximum Array Hopping Score I")</f>
        <v>Maximum Array Hopping Score I</v>
      </c>
      <c r="C3206" s="1">
        <v>28</v>
      </c>
      <c r="D3206" s="1">
        <v>1</v>
      </c>
      <c r="E3206" s="3">
        <f>IF(INDEX(C:C, ROW())+INDEX(D:D, ROW())=0, 0, INDEX(C:C, ROW())/(INDEX(C:C, ROW())+INDEX(D:D, ROW())))</f>
        <v>0.96551724137931039</v>
      </c>
      <c r="F3206" s="1" t="s">
        <v>289</v>
      </c>
      <c r="G3206" s="1" t="s">
        <v>24</v>
      </c>
      <c r="H3206" s="1">
        <v>2579</v>
      </c>
      <c r="I3206" s="1">
        <v>3350</v>
      </c>
      <c r="J3206" s="7">
        <v>0.77</v>
      </c>
      <c r="K3206" s="1" t="s">
        <v>29</v>
      </c>
      <c r="L3206" s="1" t="s">
        <v>29</v>
      </c>
      <c r="M3206" s="1" t="s">
        <v>29</v>
      </c>
      <c r="N3206" s="1" t="s">
        <v>22</v>
      </c>
    </row>
    <row r="3207" spans="1:14" x14ac:dyDescent="0.25">
      <c r="A3207" s="1">
        <v>3206</v>
      </c>
      <c r="B3207" s="2" t="str">
        <f>HYPERLINK("https://leetcode.com/problems/alternating-groups-i/", "Alternating Groups I")</f>
        <v>Alternating Groups I</v>
      </c>
      <c r="C3207" s="1">
        <v>166</v>
      </c>
      <c r="D3207" s="1">
        <v>10</v>
      </c>
      <c r="E3207" s="3">
        <f>IF(INDEX(C:C, ROW())+INDEX(D:D, ROW())=0, 0, INDEX(C:C, ROW())/(INDEX(C:C, ROW())+INDEX(D:D, ROW())))</f>
        <v>0.94318181818181823</v>
      </c>
      <c r="F3207" s="1" t="s">
        <v>295</v>
      </c>
      <c r="G3207" s="1" t="s">
        <v>20</v>
      </c>
      <c r="H3207" s="1">
        <v>72775</v>
      </c>
      <c r="I3207" s="1">
        <v>105790</v>
      </c>
      <c r="J3207" s="7">
        <v>0.68799999999999994</v>
      </c>
      <c r="K3207" s="1" t="s">
        <v>21</v>
      </c>
      <c r="L3207" s="1" t="s">
        <v>29</v>
      </c>
      <c r="M3207" s="1" t="s">
        <v>29</v>
      </c>
      <c r="N3207" s="1" t="s">
        <v>22</v>
      </c>
    </row>
    <row r="3208" spans="1:14" x14ac:dyDescent="0.25">
      <c r="A3208" s="1">
        <v>3207</v>
      </c>
      <c r="B3208" s="2" t="str">
        <f>HYPERLINK("https://leetcode.com/problems/maximum-points-after-enemy-battles/", "Maximum Points After Enemy Battles")</f>
        <v>Maximum Points After Enemy Battles</v>
      </c>
      <c r="C3208" s="1">
        <v>128</v>
      </c>
      <c r="D3208" s="1">
        <v>43</v>
      </c>
      <c r="E3208" s="3">
        <f>IF(INDEX(C:C, ROW())+INDEX(D:D, ROW())=0, 0, INDEX(C:C, ROW())/(INDEX(C:C, ROW())+INDEX(D:D, ROW())))</f>
        <v>0.74853801169590639</v>
      </c>
      <c r="F3208" s="1" t="s">
        <v>96</v>
      </c>
      <c r="G3208" s="1" t="s">
        <v>24</v>
      </c>
      <c r="H3208" s="1">
        <v>30284</v>
      </c>
      <c r="I3208" s="1">
        <v>91298</v>
      </c>
      <c r="J3208" s="7">
        <v>0.33200000000000002</v>
      </c>
      <c r="K3208" s="1" t="s">
        <v>21</v>
      </c>
      <c r="L3208" s="1" t="s">
        <v>29</v>
      </c>
      <c r="M3208" s="1" t="s">
        <v>29</v>
      </c>
      <c r="N3208" s="1" t="s">
        <v>22</v>
      </c>
    </row>
    <row r="3209" spans="1:14" x14ac:dyDescent="0.25">
      <c r="A3209" s="1">
        <v>3208</v>
      </c>
      <c r="B3209" s="2" t="str">
        <f>HYPERLINK("https://leetcode.com/problems/alternating-groups-ii/", "Alternating Groups II")</f>
        <v>Alternating Groups II</v>
      </c>
      <c r="C3209" s="1">
        <v>762</v>
      </c>
      <c r="D3209" s="1">
        <v>73</v>
      </c>
      <c r="E3209" s="3">
        <f>IF(INDEX(C:C, ROW())+INDEX(D:D, ROW())=0, 0, INDEX(C:C, ROW())/(INDEX(C:C, ROW())+INDEX(D:D, ROW())))</f>
        <v>0.91257485029940122</v>
      </c>
      <c r="F3209" s="1" t="s">
        <v>295</v>
      </c>
      <c r="G3209" s="1" t="s">
        <v>24</v>
      </c>
      <c r="H3209" s="1">
        <v>158788</v>
      </c>
      <c r="I3209" s="1">
        <v>265090</v>
      </c>
      <c r="J3209" s="7">
        <v>0.59899999999999998</v>
      </c>
      <c r="K3209" s="1" t="s">
        <v>21</v>
      </c>
      <c r="L3209" s="1" t="s">
        <v>21</v>
      </c>
      <c r="M3209" s="1" t="s">
        <v>29</v>
      </c>
      <c r="N3209" s="1" t="s">
        <v>22</v>
      </c>
    </row>
    <row r="3210" spans="1:14" x14ac:dyDescent="0.25">
      <c r="A3210" s="1">
        <v>3209</v>
      </c>
      <c r="B3210" s="2" t="str">
        <f>HYPERLINK("https://leetcode.com/problems/number-of-subarrays-with-and-value-of-k/", "Number of Subarrays With AND Value of K")</f>
        <v>Number of Subarrays With AND Value of K</v>
      </c>
      <c r="C3210" s="1">
        <v>169</v>
      </c>
      <c r="D3210" s="1">
        <v>8</v>
      </c>
      <c r="E3210" s="3">
        <f>IF(INDEX(C:C, ROW())+INDEX(D:D, ROW())=0, 0, INDEX(C:C, ROW())/(INDEX(C:C, ROW())+INDEX(D:D, ROW())))</f>
        <v>0.95480225988700562</v>
      </c>
      <c r="F3210" s="1" t="s">
        <v>979</v>
      </c>
      <c r="G3210" s="1" t="s">
        <v>28</v>
      </c>
      <c r="H3210" s="1">
        <v>13715</v>
      </c>
      <c r="I3210" s="1">
        <v>39175</v>
      </c>
      <c r="J3210" s="7">
        <v>0.35</v>
      </c>
      <c r="K3210" s="1" t="s">
        <v>21</v>
      </c>
      <c r="L3210" s="1" t="s">
        <v>29</v>
      </c>
      <c r="M3210" s="1" t="s">
        <v>29</v>
      </c>
      <c r="N3210" s="1" t="s">
        <v>22</v>
      </c>
    </row>
    <row r="3211" spans="1:14" x14ac:dyDescent="0.25">
      <c r="A3211" s="1">
        <v>3210</v>
      </c>
      <c r="B3211" s="2" t="str">
        <f>HYPERLINK("https://leetcode.com/problems/find-the-encrypted-string/", "Find the Encrypted String")</f>
        <v>Find the Encrypted String</v>
      </c>
      <c r="C3211" s="1">
        <v>110</v>
      </c>
      <c r="D3211" s="1">
        <v>10</v>
      </c>
      <c r="E3211" s="3">
        <f>IF(INDEX(C:C, ROW())+INDEX(D:D, ROW())=0, 0, INDEX(C:C, ROW())/(INDEX(C:C, ROW())+INDEX(D:D, ROW())))</f>
        <v>0.91666666666666663</v>
      </c>
      <c r="F3211" s="1" t="s">
        <v>146</v>
      </c>
      <c r="G3211" s="1" t="s">
        <v>20</v>
      </c>
      <c r="H3211" s="1">
        <v>67167</v>
      </c>
      <c r="I3211" s="1">
        <v>98599</v>
      </c>
      <c r="J3211" s="7">
        <v>0.68100000000000005</v>
      </c>
      <c r="K3211" s="1" t="s">
        <v>21</v>
      </c>
      <c r="L3211" s="1" t="s">
        <v>29</v>
      </c>
      <c r="M3211" s="1" t="s">
        <v>29</v>
      </c>
      <c r="N3211" s="1" t="s">
        <v>22</v>
      </c>
    </row>
    <row r="3212" spans="1:14" x14ac:dyDescent="0.25">
      <c r="A3212" s="1">
        <v>3211</v>
      </c>
      <c r="B3212" s="2" t="str">
        <f>HYPERLINK("https://leetcode.com/problems/generate-binary-strings-without-adjacent-zeros/", "Generate Binary Strings Without Adjacent Zeros")</f>
        <v>Generate Binary Strings Without Adjacent Zeros</v>
      </c>
      <c r="C3212" s="1">
        <v>280</v>
      </c>
      <c r="D3212" s="1">
        <v>49</v>
      </c>
      <c r="E3212" s="3">
        <f>IF(INDEX(C:C, ROW())+INDEX(D:D, ROW())=0, 0, INDEX(C:C, ROW())/(INDEX(C:C, ROW())+INDEX(D:D, ROW())))</f>
        <v>0.85106382978723405</v>
      </c>
      <c r="F3212" s="1" t="s">
        <v>267</v>
      </c>
      <c r="G3212" s="1" t="s">
        <v>24</v>
      </c>
      <c r="H3212" s="1">
        <v>78243</v>
      </c>
      <c r="I3212" s="1">
        <v>88681</v>
      </c>
      <c r="J3212" s="7">
        <v>0.88200000000000001</v>
      </c>
      <c r="K3212" s="1" t="s">
        <v>21</v>
      </c>
      <c r="L3212" s="1" t="s">
        <v>29</v>
      </c>
      <c r="M3212" s="1" t="s">
        <v>29</v>
      </c>
      <c r="N3212" s="1" t="s">
        <v>22</v>
      </c>
    </row>
    <row r="3213" spans="1:14" x14ac:dyDescent="0.25">
      <c r="A3213" s="1">
        <v>3212</v>
      </c>
      <c r="B3213" s="2" t="str">
        <f>HYPERLINK("https://leetcode.com/problems/count-submatrices-with-equal-frequency-of-x-and-y/", "Count Submatrices With Equal Frequency of X and Y")</f>
        <v>Count Submatrices With Equal Frequency of X and Y</v>
      </c>
      <c r="C3213" s="1">
        <v>161</v>
      </c>
      <c r="D3213" s="1">
        <v>27</v>
      </c>
      <c r="E3213" s="3">
        <f>IF(INDEX(C:C, ROW())+INDEX(D:D, ROW())=0, 0, INDEX(C:C, ROW())/(INDEX(C:C, ROW())+INDEX(D:D, ROW())))</f>
        <v>0.8563829787234043</v>
      </c>
      <c r="F3213" s="1" t="s">
        <v>425</v>
      </c>
      <c r="G3213" s="1" t="s">
        <v>24</v>
      </c>
      <c r="H3213" s="1">
        <v>26743</v>
      </c>
      <c r="I3213" s="1">
        <v>51958</v>
      </c>
      <c r="J3213" s="7">
        <v>0.51500000000000001</v>
      </c>
      <c r="K3213" s="1" t="s">
        <v>21</v>
      </c>
      <c r="L3213" s="1" t="s">
        <v>29</v>
      </c>
      <c r="M3213" s="1" t="s">
        <v>29</v>
      </c>
      <c r="N3213" s="1" t="s">
        <v>22</v>
      </c>
    </row>
    <row r="3214" spans="1:14" x14ac:dyDescent="0.25">
      <c r="A3214" s="1">
        <v>3213</v>
      </c>
      <c r="B3214" s="2" t="str">
        <f>HYPERLINK("https://leetcode.com/problems/construct-string-with-minimum-cost/", "Construct String with Minimum Cost")</f>
        <v>Construct String with Minimum Cost</v>
      </c>
      <c r="C3214" s="1">
        <v>172</v>
      </c>
      <c r="D3214" s="1">
        <v>29</v>
      </c>
      <c r="E3214" s="3">
        <f>IF(INDEX(C:C, ROW())+INDEX(D:D, ROW())=0, 0, INDEX(C:C, ROW())/(INDEX(C:C, ROW())+INDEX(D:D, ROW())))</f>
        <v>0.85572139303482586</v>
      </c>
      <c r="F3214" s="1" t="s">
        <v>1122</v>
      </c>
      <c r="G3214" s="1" t="s">
        <v>28</v>
      </c>
      <c r="H3214" s="1">
        <v>12982</v>
      </c>
      <c r="I3214" s="1">
        <v>68397</v>
      </c>
      <c r="J3214" s="7">
        <v>0.19</v>
      </c>
      <c r="K3214" s="1" t="s">
        <v>21</v>
      </c>
      <c r="L3214" s="1" t="s">
        <v>29</v>
      </c>
      <c r="M3214" s="1" t="s">
        <v>29</v>
      </c>
      <c r="N3214" s="1" t="s">
        <v>22</v>
      </c>
    </row>
    <row r="3215" spans="1:14" x14ac:dyDescent="0.25">
      <c r="A3215" s="1">
        <v>3214</v>
      </c>
      <c r="B3215" s="2" t="str">
        <f>HYPERLINK("https://leetcode.com/problems/year-on-year-growth-rate/", "Year on Year Growth Rate")</f>
        <v>Year on Year Growth Rate</v>
      </c>
      <c r="C3215" s="1">
        <v>5</v>
      </c>
      <c r="D3215" s="1">
        <v>1</v>
      </c>
      <c r="E3215" s="3">
        <f>IF(INDEX(C:C, ROW())+INDEX(D:D, ROW())=0, 0, INDEX(C:C, ROW())/(INDEX(C:C, ROW())+INDEX(D:D, ROW())))</f>
        <v>0.83333333333333337</v>
      </c>
      <c r="F3215" s="1" t="s">
        <v>297</v>
      </c>
      <c r="G3215" s="1" t="s">
        <v>28</v>
      </c>
      <c r="H3215" s="1">
        <v>3467</v>
      </c>
      <c r="I3215" s="1">
        <v>6811</v>
      </c>
      <c r="J3215" s="7">
        <v>0.50900000000000001</v>
      </c>
      <c r="K3215" s="1" t="s">
        <v>29</v>
      </c>
      <c r="L3215" s="1" t="s">
        <v>29</v>
      </c>
      <c r="M3215" s="1" t="s">
        <v>29</v>
      </c>
      <c r="N3215" s="1" t="s">
        <v>297</v>
      </c>
    </row>
    <row r="3216" spans="1:14" x14ac:dyDescent="0.25">
      <c r="A3216" s="1">
        <v>3215</v>
      </c>
      <c r="B3216" s="2" t="str">
        <f>HYPERLINK("https://leetcode.com/problems/count-triplets-with-even-xor-set-bits-ii/", "Count Triplets with Even XOR Set Bits II")</f>
        <v>Count Triplets with Even XOR Set Bits II</v>
      </c>
      <c r="C3216" s="1">
        <v>17</v>
      </c>
      <c r="D3216" s="1">
        <v>3</v>
      </c>
      <c r="E3216" s="3">
        <f>IF(INDEX(C:C, ROW())+INDEX(D:D, ROW())=0, 0, INDEX(C:C, ROW())/(INDEX(C:C, ROW())+INDEX(D:D, ROW())))</f>
        <v>0.85</v>
      </c>
      <c r="F3216" s="1" t="s">
        <v>65</v>
      </c>
      <c r="G3216" s="1" t="s">
        <v>24</v>
      </c>
      <c r="H3216" s="1">
        <v>788</v>
      </c>
      <c r="I3216" s="1">
        <v>1288</v>
      </c>
      <c r="J3216" s="7">
        <v>0.61199999999999999</v>
      </c>
      <c r="K3216" s="1" t="s">
        <v>29</v>
      </c>
      <c r="L3216" s="1" t="s">
        <v>29</v>
      </c>
      <c r="M3216" s="1" t="s">
        <v>29</v>
      </c>
      <c r="N3216" s="1" t="s">
        <v>22</v>
      </c>
    </row>
    <row r="3217" spans="1:14" x14ac:dyDescent="0.25">
      <c r="A3217" s="1">
        <v>3216</v>
      </c>
      <c r="B3217" s="2" t="str">
        <f>HYPERLINK("https://leetcode.com/problems/lexicographically-smallest-string-after-a-swap/", "Lexicographically Smallest String After a Swap")</f>
        <v>Lexicographically Smallest String After a Swap</v>
      </c>
      <c r="C3217" s="1">
        <v>100</v>
      </c>
      <c r="D3217" s="1">
        <v>30</v>
      </c>
      <c r="E3217" s="3">
        <f>IF(INDEX(C:C, ROW())+INDEX(D:D, ROW())=0, 0, INDEX(C:C, ROW())/(INDEX(C:C, ROW())+INDEX(D:D, ROW())))</f>
        <v>0.76923076923076927</v>
      </c>
      <c r="F3217" s="1" t="s">
        <v>424</v>
      </c>
      <c r="G3217" s="1" t="s">
        <v>20</v>
      </c>
      <c r="H3217" s="1">
        <v>54732</v>
      </c>
      <c r="I3217" s="1">
        <v>100447</v>
      </c>
      <c r="J3217" s="7">
        <v>0.54500000000000004</v>
      </c>
      <c r="K3217" s="1" t="s">
        <v>21</v>
      </c>
      <c r="L3217" s="1" t="s">
        <v>29</v>
      </c>
      <c r="M3217" s="1" t="s">
        <v>29</v>
      </c>
      <c r="N3217" s="1" t="s">
        <v>22</v>
      </c>
    </row>
    <row r="3218" spans="1:14" x14ac:dyDescent="0.25">
      <c r="A3218" s="1">
        <v>3217</v>
      </c>
      <c r="B3218" s="2" t="str">
        <f>HYPERLINK("https://leetcode.com/problems/delete-nodes-from-linked-list-present-in-array/", "Delete Nodes From Linked List Present in Array")</f>
        <v>Delete Nodes From Linked List Present in Array</v>
      </c>
      <c r="C3218" s="1">
        <v>1081</v>
      </c>
      <c r="D3218" s="1">
        <v>50</v>
      </c>
      <c r="E3218" s="3">
        <f>IF(INDEX(C:C, ROW())+INDEX(D:D, ROW())=0, 0, INDEX(C:C, ROW())/(INDEX(C:C, ROW())+INDEX(D:D, ROW())))</f>
        <v>0.95579133510167991</v>
      </c>
      <c r="F3218" s="1" t="s">
        <v>656</v>
      </c>
      <c r="G3218" s="1" t="s">
        <v>24</v>
      </c>
      <c r="H3218" s="1">
        <v>333476</v>
      </c>
      <c r="I3218" s="1">
        <v>479718</v>
      </c>
      <c r="J3218" s="7">
        <v>0.69499999999999995</v>
      </c>
      <c r="K3218" s="1" t="s">
        <v>21</v>
      </c>
      <c r="L3218" s="1" t="s">
        <v>21</v>
      </c>
      <c r="M3218" s="1" t="s">
        <v>29</v>
      </c>
      <c r="N3218" s="1" t="s">
        <v>22</v>
      </c>
    </row>
    <row r="3219" spans="1:14" x14ac:dyDescent="0.25">
      <c r="A3219" s="1">
        <v>3218</v>
      </c>
      <c r="B3219" s="2" t="str">
        <f>HYPERLINK("https://leetcode.com/problems/minimum-cost-for-cutting-cake-i/", "Minimum Cost for Cutting Cake I")</f>
        <v>Minimum Cost for Cutting Cake I</v>
      </c>
      <c r="C3219" s="1">
        <v>203</v>
      </c>
      <c r="D3219" s="1">
        <v>8</v>
      </c>
      <c r="E3219" s="3">
        <f>IF(INDEX(C:C, ROW())+INDEX(D:D, ROW())=0, 0, INDEX(C:C, ROW())/(INDEX(C:C, ROW())+INDEX(D:D, ROW())))</f>
        <v>0.96208530805687209</v>
      </c>
      <c r="F3219" s="1" t="s">
        <v>1095</v>
      </c>
      <c r="G3219" s="1" t="s">
        <v>24</v>
      </c>
      <c r="H3219" s="1">
        <v>30631</v>
      </c>
      <c r="I3219" s="1">
        <v>52414</v>
      </c>
      <c r="J3219" s="7">
        <v>0.58399999999999996</v>
      </c>
      <c r="K3219" s="1" t="s">
        <v>21</v>
      </c>
      <c r="L3219" s="1" t="s">
        <v>29</v>
      </c>
      <c r="M3219" s="1" t="s">
        <v>29</v>
      </c>
      <c r="N3219" s="1" t="s">
        <v>22</v>
      </c>
    </row>
    <row r="3220" spans="1:14" x14ac:dyDescent="0.25">
      <c r="A3220" s="1">
        <v>3219</v>
      </c>
      <c r="B3220" s="2" t="str">
        <f>HYPERLINK("https://leetcode.com/problems/minimum-cost-for-cutting-cake-ii/", "Minimum Cost for Cutting Cake II")</f>
        <v>Minimum Cost for Cutting Cake II</v>
      </c>
      <c r="C3220" s="1">
        <v>126</v>
      </c>
      <c r="D3220" s="1">
        <v>18</v>
      </c>
      <c r="E3220" s="3">
        <f>IF(INDEX(C:C, ROW())+INDEX(D:D, ROW())=0, 0, INDEX(C:C, ROW())/(INDEX(C:C, ROW())+INDEX(D:D, ROW())))</f>
        <v>0.875</v>
      </c>
      <c r="F3220" s="1" t="s">
        <v>169</v>
      </c>
      <c r="G3220" s="1" t="s">
        <v>28</v>
      </c>
      <c r="H3220" s="1">
        <v>23981</v>
      </c>
      <c r="I3220" s="1">
        <v>43440</v>
      </c>
      <c r="J3220" s="7">
        <v>0.55200000000000005</v>
      </c>
      <c r="K3220" s="1" t="s">
        <v>21</v>
      </c>
      <c r="L3220" s="1" t="s">
        <v>29</v>
      </c>
      <c r="M3220" s="1" t="s">
        <v>29</v>
      </c>
      <c r="N3220" s="1" t="s">
        <v>22</v>
      </c>
    </row>
    <row r="3221" spans="1:14" x14ac:dyDescent="0.25">
      <c r="A3221" s="1">
        <v>3220</v>
      </c>
      <c r="B3221" s="2" t="str">
        <f>HYPERLINK("https://leetcode.com/problems/odd-and-even-transactions/", "Odd and Even Transactions")</f>
        <v>Odd and Even Transactions</v>
      </c>
      <c r="C3221" s="1">
        <v>69</v>
      </c>
      <c r="D3221" s="1">
        <v>36</v>
      </c>
      <c r="E3221" s="3">
        <f>IF(INDEX(C:C, ROW())+INDEX(D:D, ROW())=0, 0, INDEX(C:C, ROW())/(INDEX(C:C, ROW())+INDEX(D:D, ROW())))</f>
        <v>0.65714285714285714</v>
      </c>
      <c r="F3221" s="1" t="s">
        <v>297</v>
      </c>
      <c r="G3221" s="1" t="s">
        <v>24</v>
      </c>
      <c r="H3221" s="1">
        <v>32641</v>
      </c>
      <c r="I3221" s="1">
        <v>47829</v>
      </c>
      <c r="J3221" s="7">
        <v>0.68200000000000005</v>
      </c>
      <c r="K3221" s="1" t="s">
        <v>21</v>
      </c>
      <c r="L3221" s="1" t="s">
        <v>29</v>
      </c>
      <c r="M3221" s="1" t="s">
        <v>29</v>
      </c>
      <c r="N3221" s="1" t="s">
        <v>297</v>
      </c>
    </row>
    <row r="3222" spans="1:14" x14ac:dyDescent="0.25">
      <c r="A3222" s="1">
        <v>3221</v>
      </c>
      <c r="B3222" s="2" t="str">
        <f>HYPERLINK("https://leetcode.com/problems/maximum-array-hopping-score-ii/", "Maximum Array Hopping Score II")</f>
        <v>Maximum Array Hopping Score II</v>
      </c>
      <c r="C3222" s="1">
        <v>17</v>
      </c>
      <c r="D3222" s="1">
        <v>2</v>
      </c>
      <c r="E3222" s="3">
        <f>IF(INDEX(C:C, ROW())+INDEX(D:D, ROW())=0, 0, INDEX(C:C, ROW())/(INDEX(C:C, ROW())+INDEX(D:D, ROW())))</f>
        <v>0.89473684210526316</v>
      </c>
      <c r="F3222" s="1" t="s">
        <v>473</v>
      </c>
      <c r="G3222" s="1" t="s">
        <v>24</v>
      </c>
      <c r="H3222" s="1">
        <v>1114</v>
      </c>
      <c r="I3222" s="1">
        <v>1872</v>
      </c>
      <c r="J3222" s="7">
        <v>0.59499999999999997</v>
      </c>
      <c r="K3222" s="1" t="s">
        <v>29</v>
      </c>
      <c r="L3222" s="1" t="s">
        <v>29</v>
      </c>
      <c r="M3222" s="1" t="s">
        <v>29</v>
      </c>
      <c r="N3222" s="1" t="s">
        <v>22</v>
      </c>
    </row>
    <row r="3223" spans="1:14" x14ac:dyDescent="0.25">
      <c r="A3223" s="1">
        <v>3222</v>
      </c>
      <c r="B3223" s="2" t="str">
        <f>HYPERLINK("https://leetcode.com/problems/find-the-winning-player-in-coin-game/", "Find the Winning Player in Coin Game")</f>
        <v>Find the Winning Player in Coin Game</v>
      </c>
      <c r="C3223" s="1">
        <v>128</v>
      </c>
      <c r="D3223" s="1">
        <v>15</v>
      </c>
      <c r="E3223" s="3">
        <f>IF(INDEX(C:C, ROW())+INDEX(D:D, ROW())=0, 0, INDEX(C:C, ROW())/(INDEX(C:C, ROW())+INDEX(D:D, ROW())))</f>
        <v>0.8951048951048951</v>
      </c>
      <c r="F3223" s="1" t="s">
        <v>1154</v>
      </c>
      <c r="G3223" s="1" t="s">
        <v>20</v>
      </c>
      <c r="H3223" s="1">
        <v>56416</v>
      </c>
      <c r="I3223" s="1">
        <v>106294</v>
      </c>
      <c r="J3223" s="7">
        <v>0.53100000000000003</v>
      </c>
      <c r="K3223" s="1" t="s">
        <v>21</v>
      </c>
      <c r="L3223" s="1" t="s">
        <v>29</v>
      </c>
      <c r="M3223" s="1" t="s">
        <v>29</v>
      </c>
      <c r="N3223" s="1" t="s">
        <v>22</v>
      </c>
    </row>
    <row r="3224" spans="1:14" x14ac:dyDescent="0.25">
      <c r="A3224" s="1">
        <v>3223</v>
      </c>
      <c r="B3224" s="2" t="str">
        <f>HYPERLINK("https://leetcode.com/problems/minimum-length-of-string-after-operations/", "Minimum Length of String After Operations")</f>
        <v>Minimum Length of String After Operations</v>
      </c>
      <c r="C3224" s="1">
        <v>727</v>
      </c>
      <c r="D3224" s="1">
        <v>53</v>
      </c>
      <c r="E3224" s="3">
        <f>IF(INDEX(C:C, ROW())+INDEX(D:D, ROW())=0, 0, INDEX(C:C, ROW())/(INDEX(C:C, ROW())+INDEX(D:D, ROW())))</f>
        <v>0.93205128205128207</v>
      </c>
      <c r="F3224" s="1" t="s">
        <v>237</v>
      </c>
      <c r="G3224" s="1" t="s">
        <v>24</v>
      </c>
      <c r="H3224" s="1">
        <v>194124</v>
      </c>
      <c r="I3224" s="1">
        <v>258736</v>
      </c>
      <c r="J3224" s="7">
        <v>0.75</v>
      </c>
      <c r="K3224" s="1" t="s">
        <v>21</v>
      </c>
      <c r="L3224" s="1" t="s">
        <v>21</v>
      </c>
      <c r="M3224" s="1" t="s">
        <v>29</v>
      </c>
      <c r="N3224" s="1" t="s">
        <v>22</v>
      </c>
    </row>
    <row r="3225" spans="1:14" x14ac:dyDescent="0.25">
      <c r="A3225" s="1">
        <v>3224</v>
      </c>
      <c r="B3225" s="2" t="str">
        <f>HYPERLINK("https://leetcode.com/problems/minimum-array-changes-to-make-differences-equal/", "Minimum Array Changes to Make Differences Equal")</f>
        <v>Minimum Array Changes to Make Differences Equal</v>
      </c>
      <c r="C3225" s="1">
        <v>253</v>
      </c>
      <c r="D3225" s="1">
        <v>28</v>
      </c>
      <c r="E3225" s="3">
        <f>IF(INDEX(C:C, ROW())+INDEX(D:D, ROW())=0, 0, INDEX(C:C, ROW())/(INDEX(C:C, ROW())+INDEX(D:D, ROW())))</f>
        <v>0.90035587188612098</v>
      </c>
      <c r="F3225" s="1" t="s">
        <v>39</v>
      </c>
      <c r="G3225" s="1" t="s">
        <v>24</v>
      </c>
      <c r="H3225" s="1">
        <v>15220</v>
      </c>
      <c r="I3225" s="1">
        <v>62667</v>
      </c>
      <c r="J3225" s="7">
        <v>0.24299999999999999</v>
      </c>
      <c r="K3225" s="1" t="s">
        <v>21</v>
      </c>
      <c r="L3225" s="1" t="s">
        <v>29</v>
      </c>
      <c r="M3225" s="1" t="s">
        <v>29</v>
      </c>
      <c r="N3225" s="1" t="s">
        <v>22</v>
      </c>
    </row>
    <row r="3226" spans="1:14" x14ac:dyDescent="0.25">
      <c r="A3226" s="1">
        <v>3225</v>
      </c>
      <c r="B3226" s="2" t="str">
        <f>HYPERLINK("https://leetcode.com/problems/maximum-score-from-grid-operations/", "Maximum Score From Grid Operations")</f>
        <v>Maximum Score From Grid Operations</v>
      </c>
      <c r="C3226" s="1">
        <v>82</v>
      </c>
      <c r="D3226" s="1">
        <v>11</v>
      </c>
      <c r="E3226" s="3">
        <f>IF(INDEX(C:C, ROW())+INDEX(D:D, ROW())=0, 0, INDEX(C:C, ROW())/(INDEX(C:C, ROW())+INDEX(D:D, ROW())))</f>
        <v>0.88172043010752688</v>
      </c>
      <c r="F3226" s="1" t="s">
        <v>1203</v>
      </c>
      <c r="G3226" s="1" t="s">
        <v>28</v>
      </c>
      <c r="H3226" s="1">
        <v>3268</v>
      </c>
      <c r="I3226" s="1">
        <v>12031</v>
      </c>
      <c r="J3226" s="7">
        <v>0.27200000000000002</v>
      </c>
      <c r="K3226" s="1" t="s">
        <v>21</v>
      </c>
      <c r="L3226" s="1" t="s">
        <v>29</v>
      </c>
      <c r="M3226" s="1" t="s">
        <v>29</v>
      </c>
      <c r="N3226" s="1" t="s">
        <v>22</v>
      </c>
    </row>
    <row r="3227" spans="1:14" x14ac:dyDescent="0.25">
      <c r="A3227" s="1">
        <v>3226</v>
      </c>
      <c r="B3227" s="2" t="str">
        <f>HYPERLINK("https://leetcode.com/problems/number-of-bit-changes-to-make-two-integers-equal/", "Number of Bit Changes to Make Two Integers Equal")</f>
        <v>Number of Bit Changes to Make Two Integers Equal</v>
      </c>
      <c r="C3227" s="1">
        <v>103</v>
      </c>
      <c r="D3227" s="1">
        <v>7</v>
      </c>
      <c r="E3227" s="3">
        <f>IF(INDEX(C:C, ROW())+INDEX(D:D, ROW())=0, 0, INDEX(C:C, ROW())/(INDEX(C:C, ROW())+INDEX(D:D, ROW())))</f>
        <v>0.9363636363636364</v>
      </c>
      <c r="F3227" s="1" t="s">
        <v>298</v>
      </c>
      <c r="G3227" s="1" t="s">
        <v>20</v>
      </c>
      <c r="H3227" s="1">
        <v>50826</v>
      </c>
      <c r="I3227" s="1">
        <v>80217</v>
      </c>
      <c r="J3227" s="7">
        <v>0.63400000000000001</v>
      </c>
      <c r="K3227" s="1" t="s">
        <v>21</v>
      </c>
      <c r="L3227" s="1" t="s">
        <v>29</v>
      </c>
      <c r="M3227" s="1" t="s">
        <v>29</v>
      </c>
      <c r="N3227" s="1" t="s">
        <v>22</v>
      </c>
    </row>
    <row r="3228" spans="1:14" x14ac:dyDescent="0.25">
      <c r="A3228" s="1">
        <v>3227</v>
      </c>
      <c r="B3228" s="2" t="str">
        <f>HYPERLINK("https://leetcode.com/problems/vowels-game-in-a-string/", "Vowels Game in a String")</f>
        <v>Vowels Game in a String</v>
      </c>
      <c r="C3228" s="1">
        <v>550</v>
      </c>
      <c r="D3228" s="1">
        <v>116</v>
      </c>
      <c r="E3228" s="3">
        <f>IF(INDEX(C:C, ROW())+INDEX(D:D, ROW())=0, 0, INDEX(C:C, ROW())/(INDEX(C:C, ROW())+INDEX(D:D, ROW())))</f>
        <v>0.82582582582582587</v>
      </c>
      <c r="F3228" s="1" t="s">
        <v>880</v>
      </c>
      <c r="G3228" s="1" t="s">
        <v>24</v>
      </c>
      <c r="H3228" s="1">
        <v>192356</v>
      </c>
      <c r="I3228" s="1">
        <v>249497</v>
      </c>
      <c r="J3228" s="7">
        <v>0.77100000000000002</v>
      </c>
      <c r="K3228" s="1" t="s">
        <v>21</v>
      </c>
      <c r="L3228" s="1" t="s">
        <v>21</v>
      </c>
      <c r="M3228" s="1" t="s">
        <v>29</v>
      </c>
      <c r="N3228" s="1" t="s">
        <v>22</v>
      </c>
    </row>
    <row r="3229" spans="1:14" x14ac:dyDescent="0.25">
      <c r="A3229" s="1">
        <v>3228</v>
      </c>
      <c r="B3229" s="2" t="str">
        <f>HYPERLINK("https://leetcode.com/problems/maximum-number-of-operations-to-move-ones-to-the-end/", "Maximum Number of Operations to Move Ones to the End")</f>
        <v>Maximum Number of Operations to Move Ones to the End</v>
      </c>
      <c r="C3229" s="1">
        <v>530</v>
      </c>
      <c r="D3229" s="1">
        <v>38</v>
      </c>
      <c r="E3229" s="3">
        <f>IF(INDEX(C:C, ROW())+INDEX(D:D, ROW())=0, 0, INDEX(C:C, ROW())/(INDEX(C:C, ROW())+INDEX(D:D, ROW())))</f>
        <v>0.93309859154929575</v>
      </c>
      <c r="F3229" s="1" t="s">
        <v>384</v>
      </c>
      <c r="G3229" s="1" t="s">
        <v>24</v>
      </c>
      <c r="H3229" s="1">
        <v>123158</v>
      </c>
      <c r="I3229" s="1">
        <v>183424</v>
      </c>
      <c r="J3229" s="7">
        <v>0.67100000000000004</v>
      </c>
      <c r="K3229" s="1" t="s">
        <v>21</v>
      </c>
      <c r="L3229" s="1" t="s">
        <v>21</v>
      </c>
      <c r="M3229" s="1" t="s">
        <v>29</v>
      </c>
      <c r="N3229" s="1" t="s">
        <v>22</v>
      </c>
    </row>
    <row r="3230" spans="1:14" x14ac:dyDescent="0.25">
      <c r="A3230" s="1">
        <v>3229</v>
      </c>
      <c r="B3230" s="2" t="str">
        <f>HYPERLINK("https://leetcode.com/problems/minimum-operations-to-make-array-equal-to-target/", "Minimum Operations to Make Array Equal to Target")</f>
        <v>Minimum Operations to Make Array Equal to Target</v>
      </c>
      <c r="C3230" s="1">
        <v>293</v>
      </c>
      <c r="D3230" s="1">
        <v>12</v>
      </c>
      <c r="E3230" s="3">
        <f>IF(INDEX(C:C, ROW())+INDEX(D:D, ROW())=0, 0, INDEX(C:C, ROW())/(INDEX(C:C, ROW())+INDEX(D:D, ROW())))</f>
        <v>0.96065573770491808</v>
      </c>
      <c r="F3230" s="1" t="s">
        <v>289</v>
      </c>
      <c r="G3230" s="1" t="s">
        <v>28</v>
      </c>
      <c r="H3230" s="1">
        <v>23606</v>
      </c>
      <c r="I3230" s="1">
        <v>57153</v>
      </c>
      <c r="J3230" s="7">
        <v>0.41299999999999998</v>
      </c>
      <c r="K3230" s="1" t="s">
        <v>21</v>
      </c>
      <c r="L3230" s="1" t="s">
        <v>29</v>
      </c>
      <c r="M3230" s="1" t="s">
        <v>29</v>
      </c>
      <c r="N3230" s="1" t="s">
        <v>22</v>
      </c>
    </row>
    <row r="3231" spans="1:14" x14ac:dyDescent="0.25">
      <c r="A3231" s="1">
        <v>3230</v>
      </c>
      <c r="B3231" s="2" t="str">
        <f>HYPERLINK("https://leetcode.com/problems/customer-purchasing-behavior-analysis/", "Customer Purchasing Behavior Analysis")</f>
        <v>Customer Purchasing Behavior Analysis</v>
      </c>
      <c r="C3231" s="1">
        <v>9</v>
      </c>
      <c r="D3231" s="1">
        <v>4</v>
      </c>
      <c r="E3231" s="3">
        <f>IF(INDEX(C:C, ROW())+INDEX(D:D, ROW())=0, 0, INDEX(C:C, ROW())/(INDEX(C:C, ROW())+INDEX(D:D, ROW())))</f>
        <v>0.69230769230769229</v>
      </c>
      <c r="F3231" s="1" t="s">
        <v>297</v>
      </c>
      <c r="G3231" s="1" t="s">
        <v>24</v>
      </c>
      <c r="H3231" s="1">
        <v>2802</v>
      </c>
      <c r="I3231" s="1">
        <v>7689</v>
      </c>
      <c r="J3231" s="7">
        <v>0.36399999999999999</v>
      </c>
      <c r="K3231" s="1" t="s">
        <v>29</v>
      </c>
      <c r="L3231" s="1" t="s">
        <v>29</v>
      </c>
      <c r="M3231" s="1" t="s">
        <v>29</v>
      </c>
      <c r="N3231" s="1" t="s">
        <v>297</v>
      </c>
    </row>
    <row r="3232" spans="1:14" x14ac:dyDescent="0.25">
      <c r="A3232" s="1">
        <v>3231</v>
      </c>
      <c r="B3232" s="2" t="str">
        <f>HYPERLINK("https://leetcode.com/problems/minimum-number-of-increasing-subsequence-to-be-removed/", "Minimum Number of Increasing Subsequence to Be Removed")</f>
        <v>Minimum Number of Increasing Subsequence to Be Removed</v>
      </c>
      <c r="C3232" s="1">
        <v>8</v>
      </c>
      <c r="D3232" s="1">
        <v>1</v>
      </c>
      <c r="E3232" s="3">
        <f>IF(INDEX(C:C, ROW())+INDEX(D:D, ROW())=0, 0, INDEX(C:C, ROW())/(INDEX(C:C, ROW())+INDEX(D:D, ROW())))</f>
        <v>0.88888888888888884</v>
      </c>
      <c r="F3232" s="1" t="s">
        <v>35</v>
      </c>
      <c r="G3232" s="1" t="s">
        <v>28</v>
      </c>
      <c r="H3232" s="1">
        <v>597</v>
      </c>
      <c r="I3232" s="1">
        <v>1289</v>
      </c>
      <c r="J3232" s="7">
        <v>0.46300000000000002</v>
      </c>
      <c r="K3232" s="1" t="s">
        <v>29</v>
      </c>
      <c r="L3232" s="1" t="s">
        <v>29</v>
      </c>
      <c r="M3232" s="1" t="s">
        <v>29</v>
      </c>
      <c r="N3232" s="1" t="s">
        <v>22</v>
      </c>
    </row>
    <row r="3233" spans="1:14" x14ac:dyDescent="0.25">
      <c r="A3233" s="1">
        <v>3232</v>
      </c>
      <c r="B3233" s="2" t="str">
        <f>HYPERLINK("https://leetcode.com/problems/find-if-digit-game-can-be-won/", "Find if Digit Game Can Be Won")</f>
        <v>Find if Digit Game Can Be Won</v>
      </c>
      <c r="C3233" s="1">
        <v>196</v>
      </c>
      <c r="D3233" s="1">
        <v>12</v>
      </c>
      <c r="E3233" s="3">
        <f>IF(INDEX(C:C, ROW())+INDEX(D:D, ROW())=0, 0, INDEX(C:C, ROW())/(INDEX(C:C, ROW())+INDEX(D:D, ROW())))</f>
        <v>0.94230769230769229</v>
      </c>
      <c r="F3233" s="1" t="s">
        <v>115</v>
      </c>
      <c r="G3233" s="1" t="s">
        <v>20</v>
      </c>
      <c r="H3233" s="1">
        <v>107605</v>
      </c>
      <c r="I3233" s="1">
        <v>132043</v>
      </c>
      <c r="J3233" s="7">
        <v>0.81499999999999995</v>
      </c>
      <c r="K3233" s="1" t="s">
        <v>21</v>
      </c>
      <c r="L3233" s="1" t="s">
        <v>29</v>
      </c>
      <c r="M3233" s="1" t="s">
        <v>29</v>
      </c>
      <c r="N3233" s="1" t="s">
        <v>22</v>
      </c>
    </row>
    <row r="3234" spans="1:14" x14ac:dyDescent="0.25">
      <c r="A3234" s="1">
        <v>3233</v>
      </c>
      <c r="B3234" s="2" t="str">
        <f>HYPERLINK("https://leetcode.com/problems/find-the-count-of-numbers-which-are-not-special/", "Find the Count of Numbers Which Are Not Special")</f>
        <v>Find the Count of Numbers Which Are Not Special</v>
      </c>
      <c r="C3234" s="1">
        <v>196</v>
      </c>
      <c r="D3234" s="1">
        <v>26</v>
      </c>
      <c r="E3234" s="3">
        <f>IF(INDEX(C:C, ROW())+INDEX(D:D, ROW())=0, 0, INDEX(C:C, ROW())/(INDEX(C:C, ROW())+INDEX(D:D, ROW())))</f>
        <v>0.88288288288288286</v>
      </c>
      <c r="F3234" s="1" t="s">
        <v>640</v>
      </c>
      <c r="G3234" s="1" t="s">
        <v>24</v>
      </c>
      <c r="H3234" s="1">
        <v>37430</v>
      </c>
      <c r="I3234" s="1">
        <v>135954</v>
      </c>
      <c r="J3234" s="7">
        <v>0.27500000000000002</v>
      </c>
      <c r="K3234" s="1" t="s">
        <v>21</v>
      </c>
      <c r="L3234" s="1" t="s">
        <v>29</v>
      </c>
      <c r="M3234" s="1" t="s">
        <v>29</v>
      </c>
      <c r="N3234" s="1" t="s">
        <v>22</v>
      </c>
    </row>
    <row r="3235" spans="1:14" x14ac:dyDescent="0.25">
      <c r="A3235" s="1">
        <v>3234</v>
      </c>
      <c r="B3235" s="2" t="str">
        <f>HYPERLINK("https://leetcode.com/problems/count-the-number-of-substrings-with-dominant-ones/", "Count the Number of Substrings With Dominant Ones")</f>
        <v>Count the Number of Substrings With Dominant Ones</v>
      </c>
      <c r="C3235" s="1">
        <v>632</v>
      </c>
      <c r="D3235" s="1">
        <v>169</v>
      </c>
      <c r="E3235" s="3">
        <f>IF(INDEX(C:C, ROW())+INDEX(D:D, ROW())=0, 0, INDEX(C:C, ROW())/(INDEX(C:C, ROW())+INDEX(D:D, ROW())))</f>
        <v>0.78901373283395759</v>
      </c>
      <c r="F3235" s="1" t="s">
        <v>831</v>
      </c>
      <c r="G3235" s="1" t="s">
        <v>24</v>
      </c>
      <c r="H3235" s="1">
        <v>64454</v>
      </c>
      <c r="I3235" s="1">
        <v>153181</v>
      </c>
      <c r="J3235" s="7">
        <v>0.42099999999999999</v>
      </c>
      <c r="K3235" s="1" t="s">
        <v>21</v>
      </c>
      <c r="L3235" s="1" t="s">
        <v>21</v>
      </c>
      <c r="M3235" s="1" t="s">
        <v>29</v>
      </c>
      <c r="N3235" s="1" t="s">
        <v>22</v>
      </c>
    </row>
    <row r="3236" spans="1:14" x14ac:dyDescent="0.25">
      <c r="A3236" s="1">
        <v>3235</v>
      </c>
      <c r="B3236" s="2" t="str">
        <f>HYPERLINK("https://leetcode.com/problems/check-if-the-rectangle-corner-is-reachable/", "Check if the Rectangle Corner Is Reachable")</f>
        <v>Check if the Rectangle Corner Is Reachable</v>
      </c>
      <c r="C3236" s="1">
        <v>121</v>
      </c>
      <c r="D3236" s="1">
        <v>40</v>
      </c>
      <c r="E3236" s="3">
        <f>IF(INDEX(C:C, ROW())+INDEX(D:D, ROW())=0, 0, INDEX(C:C, ROW())/(INDEX(C:C, ROW())+INDEX(D:D, ROW())))</f>
        <v>0.75155279503105588</v>
      </c>
      <c r="F3236" s="1" t="s">
        <v>1163</v>
      </c>
      <c r="G3236" s="1" t="s">
        <v>28</v>
      </c>
      <c r="H3236" s="1">
        <v>7864</v>
      </c>
      <c r="I3236" s="1">
        <v>31056</v>
      </c>
      <c r="J3236" s="7">
        <v>0.253</v>
      </c>
      <c r="K3236" s="1" t="s">
        <v>21</v>
      </c>
      <c r="L3236" s="1" t="s">
        <v>29</v>
      </c>
      <c r="M3236" s="1" t="s">
        <v>29</v>
      </c>
      <c r="N3236" s="1" t="s">
        <v>22</v>
      </c>
    </row>
    <row r="3237" spans="1:14" x14ac:dyDescent="0.25">
      <c r="A3237" s="1">
        <v>3236</v>
      </c>
      <c r="B3237" s="2" t="str">
        <f>HYPERLINK("https://leetcode.com/problems/ceo-subordinate-hierarchy/", "CEO Subordinate Hierarchy")</f>
        <v>CEO Subordinate Hierarchy</v>
      </c>
      <c r="C3237" s="1">
        <v>6</v>
      </c>
      <c r="D3237" s="1">
        <v>0</v>
      </c>
      <c r="E3237" s="3">
        <f>IF(INDEX(C:C, ROW())+INDEX(D:D, ROW())=0, 0, INDEX(C:C, ROW())/(INDEX(C:C, ROW())+INDEX(D:D, ROW())))</f>
        <v>1</v>
      </c>
      <c r="F3237" s="1" t="s">
        <v>297</v>
      </c>
      <c r="G3237" s="1" t="s">
        <v>28</v>
      </c>
      <c r="H3237" s="1">
        <v>1460</v>
      </c>
      <c r="I3237" s="1">
        <v>2113</v>
      </c>
      <c r="J3237" s="7">
        <v>0.69099999999999995</v>
      </c>
      <c r="K3237" s="1" t="s">
        <v>29</v>
      </c>
      <c r="L3237" s="1" t="s">
        <v>29</v>
      </c>
      <c r="M3237" s="1" t="s">
        <v>29</v>
      </c>
      <c r="N3237" s="1" t="s">
        <v>297</v>
      </c>
    </row>
    <row r="3238" spans="1:14" x14ac:dyDescent="0.25">
      <c r="A3238" s="1">
        <v>3237</v>
      </c>
      <c r="B3238" s="2" t="str">
        <f>HYPERLINK("https://leetcode.com/problems/alt-and-tab-simulation/", "Alt and Tab Simulation")</f>
        <v>Alt and Tab Simulation</v>
      </c>
      <c r="C3238" s="1">
        <v>15</v>
      </c>
      <c r="D3238" s="1">
        <v>6</v>
      </c>
      <c r="E3238" s="3">
        <f>IF(INDEX(C:C, ROW())+INDEX(D:D, ROW())=0, 0, INDEX(C:C, ROW())/(INDEX(C:C, ROW())+INDEX(D:D, ROW())))</f>
        <v>0.7142857142857143</v>
      </c>
      <c r="F3238" s="1" t="s">
        <v>736</v>
      </c>
      <c r="G3238" s="1" t="s">
        <v>24</v>
      </c>
      <c r="H3238" s="1">
        <v>1201</v>
      </c>
      <c r="I3238" s="1">
        <v>2293</v>
      </c>
      <c r="J3238" s="7">
        <v>0.52400000000000002</v>
      </c>
      <c r="K3238" s="1" t="s">
        <v>29</v>
      </c>
      <c r="L3238" s="1" t="s">
        <v>29</v>
      </c>
      <c r="M3238" s="1" t="s">
        <v>29</v>
      </c>
      <c r="N3238" s="1" t="s">
        <v>22</v>
      </c>
    </row>
    <row r="3239" spans="1:14" x14ac:dyDescent="0.25">
      <c r="A3239" s="1">
        <v>3238</v>
      </c>
      <c r="B3239" s="2" t="str">
        <f>HYPERLINK("https://leetcode.com/problems/find-the-number-of-winning-players/", "Find the Number of Winning Players")</f>
        <v>Find the Number of Winning Players</v>
      </c>
      <c r="C3239" s="1">
        <v>99</v>
      </c>
      <c r="D3239" s="1">
        <v>27</v>
      </c>
      <c r="E3239" s="3">
        <f>IF(INDEX(C:C, ROW())+INDEX(D:D, ROW())=0, 0, INDEX(C:C, ROW())/(INDEX(C:C, ROW())+INDEX(D:D, ROW())))</f>
        <v>0.7857142857142857</v>
      </c>
      <c r="F3239" s="1" t="s">
        <v>294</v>
      </c>
      <c r="G3239" s="1" t="s">
        <v>20</v>
      </c>
      <c r="H3239" s="1">
        <v>47059</v>
      </c>
      <c r="I3239" s="1">
        <v>77950</v>
      </c>
      <c r="J3239" s="7">
        <v>0.60399999999999998</v>
      </c>
      <c r="K3239" s="1" t="s">
        <v>21</v>
      </c>
      <c r="L3239" s="1" t="s">
        <v>29</v>
      </c>
      <c r="M3239" s="1" t="s">
        <v>29</v>
      </c>
      <c r="N3239" s="1" t="s">
        <v>22</v>
      </c>
    </row>
    <row r="3240" spans="1:14" x14ac:dyDescent="0.25">
      <c r="A3240" s="1">
        <v>3239</v>
      </c>
      <c r="B3240" s="2" t="str">
        <f>HYPERLINK("https://leetcode.com/problems/minimum-number-of-flips-to-make-binary-grid-palindromic-i/", "Minimum Number of Flips to Make Binary Grid Palindromic I")</f>
        <v>Minimum Number of Flips to Make Binary Grid Palindromic I</v>
      </c>
      <c r="C3240" s="1">
        <v>81</v>
      </c>
      <c r="D3240" s="1">
        <v>10</v>
      </c>
      <c r="E3240" s="3">
        <f>IF(INDEX(C:C, ROW())+INDEX(D:D, ROW())=0, 0, INDEX(C:C, ROW())/(INDEX(C:C, ROW())+INDEX(D:D, ROW())))</f>
        <v>0.89010989010989006</v>
      </c>
      <c r="F3240" s="1" t="s">
        <v>559</v>
      </c>
      <c r="G3240" s="1" t="s">
        <v>24</v>
      </c>
      <c r="H3240" s="1">
        <v>38380</v>
      </c>
      <c r="I3240" s="1">
        <v>51309</v>
      </c>
      <c r="J3240" s="7">
        <v>0.748</v>
      </c>
      <c r="K3240" s="1" t="s">
        <v>21</v>
      </c>
      <c r="L3240" s="1" t="s">
        <v>29</v>
      </c>
      <c r="M3240" s="1" t="s">
        <v>29</v>
      </c>
      <c r="N3240" s="1" t="s">
        <v>22</v>
      </c>
    </row>
    <row r="3241" spans="1:14" x14ac:dyDescent="0.25">
      <c r="A3241" s="1">
        <v>3240</v>
      </c>
      <c r="B3241" s="2" t="str">
        <f>HYPERLINK("https://leetcode.com/problems/minimum-number-of-flips-to-make-binary-grid-palindromic-ii/", "Minimum Number of Flips to Make Binary Grid Palindromic II")</f>
        <v>Minimum Number of Flips to Make Binary Grid Palindromic II</v>
      </c>
      <c r="C3241" s="1">
        <v>142</v>
      </c>
      <c r="D3241" s="1">
        <v>57</v>
      </c>
      <c r="E3241" s="3">
        <f>IF(INDEX(C:C, ROW())+INDEX(D:D, ROW())=0, 0, INDEX(C:C, ROW())/(INDEX(C:C, ROW())+INDEX(D:D, ROW())))</f>
        <v>0.71356783919597988</v>
      </c>
      <c r="F3241" s="1" t="s">
        <v>559</v>
      </c>
      <c r="G3241" s="1" t="s">
        <v>24</v>
      </c>
      <c r="H3241" s="1">
        <v>12396</v>
      </c>
      <c r="I3241" s="1">
        <v>48736</v>
      </c>
      <c r="J3241" s="7">
        <v>0.254</v>
      </c>
      <c r="K3241" s="1" t="s">
        <v>21</v>
      </c>
      <c r="L3241" s="1" t="s">
        <v>29</v>
      </c>
      <c r="M3241" s="1" t="s">
        <v>29</v>
      </c>
      <c r="N3241" s="1" t="s">
        <v>22</v>
      </c>
    </row>
    <row r="3242" spans="1:14" x14ac:dyDescent="0.25">
      <c r="A3242" s="1">
        <v>3241</v>
      </c>
      <c r="B3242" s="2" t="str">
        <f>HYPERLINK("https://leetcode.com/problems/time-taken-to-mark-all-nodes/", "Time Taken to Mark All Nodes")</f>
        <v>Time Taken to Mark All Nodes</v>
      </c>
      <c r="C3242" s="1">
        <v>139</v>
      </c>
      <c r="D3242" s="1">
        <v>6</v>
      </c>
      <c r="E3242" s="3">
        <f>IF(INDEX(C:C, ROW())+INDEX(D:D, ROW())=0, 0, INDEX(C:C, ROW())/(INDEX(C:C, ROW())+INDEX(D:D, ROW())))</f>
        <v>0.95862068965517244</v>
      </c>
      <c r="F3242" s="1" t="s">
        <v>230</v>
      </c>
      <c r="G3242" s="1" t="s">
        <v>28</v>
      </c>
      <c r="H3242" s="1">
        <v>6537</v>
      </c>
      <c r="I3242" s="1">
        <v>23770</v>
      </c>
      <c r="J3242" s="7">
        <v>0.27500000000000002</v>
      </c>
      <c r="K3242" s="1" t="s">
        <v>21</v>
      </c>
      <c r="L3242" s="1" t="s">
        <v>29</v>
      </c>
      <c r="M3242" s="1" t="s">
        <v>29</v>
      </c>
      <c r="N3242" s="1" t="s">
        <v>22</v>
      </c>
    </row>
    <row r="3243" spans="1:14" x14ac:dyDescent="0.25">
      <c r="A3243" s="1">
        <v>3242</v>
      </c>
      <c r="B3243" s="2" t="str">
        <f>HYPERLINK("https://leetcode.com/problems/design-neighbor-sum-service/", "Design Neighbor Sum Service")</f>
        <v>Design Neighbor Sum Service</v>
      </c>
      <c r="C3243" s="1">
        <v>116</v>
      </c>
      <c r="D3243" s="1">
        <v>19</v>
      </c>
      <c r="E3243" s="3">
        <f>IF(INDEX(C:C, ROW())+INDEX(D:D, ROW())=0, 0, INDEX(C:C, ROW())/(INDEX(C:C, ROW())+INDEX(D:D, ROW())))</f>
        <v>0.85925925925925928</v>
      </c>
      <c r="F3243" s="1" t="s">
        <v>475</v>
      </c>
      <c r="G3243" s="1" t="s">
        <v>20</v>
      </c>
      <c r="H3243" s="1">
        <v>45600</v>
      </c>
      <c r="I3243" s="1">
        <v>59688</v>
      </c>
      <c r="J3243" s="7">
        <v>0.76400000000000001</v>
      </c>
      <c r="K3243" s="1" t="s">
        <v>21</v>
      </c>
      <c r="L3243" s="1" t="s">
        <v>29</v>
      </c>
      <c r="M3243" s="1" t="s">
        <v>29</v>
      </c>
      <c r="N3243" s="1" t="s">
        <v>22</v>
      </c>
    </row>
    <row r="3244" spans="1:14" x14ac:dyDescent="0.25">
      <c r="A3244" s="1">
        <v>3243</v>
      </c>
      <c r="B3244" s="2" t="str">
        <f>HYPERLINK("https://leetcode.com/problems/shortest-distance-after-road-addition-queries-i/", "Shortest Distance After Road Addition Queries I")</f>
        <v>Shortest Distance After Road Addition Queries I</v>
      </c>
      <c r="C3244" s="1">
        <v>634</v>
      </c>
      <c r="D3244" s="1">
        <v>29</v>
      </c>
      <c r="E3244" s="3">
        <f>IF(INDEX(C:C, ROW())+INDEX(D:D, ROW())=0, 0, INDEX(C:C, ROW())/(INDEX(C:C, ROW())+INDEX(D:D, ROW())))</f>
        <v>0.95625942684766219</v>
      </c>
      <c r="F3244" s="1" t="s">
        <v>774</v>
      </c>
      <c r="G3244" s="1" t="s">
        <v>24</v>
      </c>
      <c r="H3244" s="1">
        <v>115905</v>
      </c>
      <c r="I3244" s="1">
        <v>187359</v>
      </c>
      <c r="J3244" s="7">
        <v>0.61899999999999999</v>
      </c>
      <c r="K3244" s="1" t="s">
        <v>21</v>
      </c>
      <c r="L3244" s="1" t="s">
        <v>21</v>
      </c>
      <c r="M3244" s="1" t="s">
        <v>29</v>
      </c>
      <c r="N3244" s="1" t="s">
        <v>22</v>
      </c>
    </row>
    <row r="3245" spans="1:14" x14ac:dyDescent="0.25">
      <c r="A3245" s="1">
        <v>3244</v>
      </c>
      <c r="B3245" s="2" t="str">
        <f>HYPERLINK("https://leetcode.com/problems/shortest-distance-after-road-addition-queries-ii/", "Shortest Distance After Road Addition Queries II")</f>
        <v>Shortest Distance After Road Addition Queries II</v>
      </c>
      <c r="C3245" s="1">
        <v>208</v>
      </c>
      <c r="D3245" s="1">
        <v>6</v>
      </c>
      <c r="E3245" s="3">
        <f>IF(INDEX(C:C, ROW())+INDEX(D:D, ROW())=0, 0, INDEX(C:C, ROW())/(INDEX(C:C, ROW())+INDEX(D:D, ROW())))</f>
        <v>0.9719626168224299</v>
      </c>
      <c r="F3245" s="1" t="s">
        <v>1091</v>
      </c>
      <c r="G3245" s="1" t="s">
        <v>28</v>
      </c>
      <c r="H3245" s="1">
        <v>15268</v>
      </c>
      <c r="I3245" s="1">
        <v>57714</v>
      </c>
      <c r="J3245" s="7">
        <v>0.26500000000000001</v>
      </c>
      <c r="K3245" s="1" t="s">
        <v>21</v>
      </c>
      <c r="L3245" s="1" t="s">
        <v>29</v>
      </c>
      <c r="M3245" s="1" t="s">
        <v>29</v>
      </c>
      <c r="N3245" s="1" t="s">
        <v>22</v>
      </c>
    </row>
    <row r="3246" spans="1:14" x14ac:dyDescent="0.25">
      <c r="A3246" s="1">
        <v>3245</v>
      </c>
      <c r="B3246" s="2" t="str">
        <f>HYPERLINK("https://leetcode.com/problems/alternating-groups-iii/", "Alternating Groups III")</f>
        <v>Alternating Groups III</v>
      </c>
      <c r="C3246" s="1">
        <v>60</v>
      </c>
      <c r="D3246" s="1">
        <v>10</v>
      </c>
      <c r="E3246" s="3">
        <f>IF(INDEX(C:C, ROW())+INDEX(D:D, ROW())=0, 0, INDEX(C:C, ROW())/(INDEX(C:C, ROW())+INDEX(D:D, ROW())))</f>
        <v>0.8571428571428571</v>
      </c>
      <c r="F3246" s="1" t="s">
        <v>1238</v>
      </c>
      <c r="G3246" s="1" t="s">
        <v>28</v>
      </c>
      <c r="H3246" s="1">
        <v>2774</v>
      </c>
      <c r="I3246" s="1">
        <v>14853</v>
      </c>
      <c r="J3246" s="7">
        <v>0.187</v>
      </c>
      <c r="K3246" s="1" t="s">
        <v>21</v>
      </c>
      <c r="L3246" s="1" t="s">
        <v>29</v>
      </c>
      <c r="M3246" s="1" t="s">
        <v>29</v>
      </c>
      <c r="N3246" s="1" t="s">
        <v>22</v>
      </c>
    </row>
    <row r="3247" spans="1:14" x14ac:dyDescent="0.25">
      <c r="A3247" s="1">
        <v>3246</v>
      </c>
      <c r="B3247" s="2" t="str">
        <f>HYPERLINK("https://leetcode.com/problems/premier-league-table-ranking/", "Premier League Table Ranking")</f>
        <v>Premier League Table Ranking</v>
      </c>
      <c r="C3247" s="1">
        <v>12</v>
      </c>
      <c r="D3247" s="1">
        <v>0</v>
      </c>
      <c r="E3247" s="3">
        <f>IF(INDEX(C:C, ROW())+INDEX(D:D, ROW())=0, 0, INDEX(C:C, ROW())/(INDEX(C:C, ROW())+INDEX(D:D, ROW())))</f>
        <v>1</v>
      </c>
      <c r="F3247" s="1" t="s">
        <v>297</v>
      </c>
      <c r="G3247" s="1" t="s">
        <v>20</v>
      </c>
      <c r="H3247" s="1">
        <v>3556</v>
      </c>
      <c r="I3247" s="1">
        <v>4514</v>
      </c>
      <c r="J3247" s="7">
        <v>0.78800000000000003</v>
      </c>
      <c r="K3247" s="1" t="s">
        <v>29</v>
      </c>
      <c r="L3247" s="1" t="s">
        <v>29</v>
      </c>
      <c r="M3247" s="1" t="s">
        <v>29</v>
      </c>
      <c r="N3247" s="1" t="s">
        <v>297</v>
      </c>
    </row>
    <row r="3248" spans="1:14" x14ac:dyDescent="0.25">
      <c r="A3248" s="1">
        <v>3247</v>
      </c>
      <c r="B3248" s="2" t="str">
        <f>HYPERLINK("https://leetcode.com/problems/number-of-subsequences-with-odd-sum/", "Number of Subsequences with Odd Sum")</f>
        <v>Number of Subsequences with Odd Sum</v>
      </c>
      <c r="C3248" s="1">
        <v>13</v>
      </c>
      <c r="D3248" s="1">
        <v>2</v>
      </c>
      <c r="E3248" s="3">
        <f>IF(INDEX(C:C, ROW())+INDEX(D:D, ROW())=0, 0, INDEX(C:C, ROW())/(INDEX(C:C, ROW())+INDEX(D:D, ROW())))</f>
        <v>0.8666666666666667</v>
      </c>
      <c r="F3248" s="1" t="s">
        <v>867</v>
      </c>
      <c r="G3248" s="1" t="s">
        <v>24</v>
      </c>
      <c r="H3248" s="1">
        <v>1054</v>
      </c>
      <c r="I3248" s="1">
        <v>2228</v>
      </c>
      <c r="J3248" s="7">
        <v>0.47299999999999998</v>
      </c>
      <c r="K3248" s="1" t="s">
        <v>29</v>
      </c>
      <c r="L3248" s="1" t="s">
        <v>29</v>
      </c>
      <c r="M3248" s="1" t="s">
        <v>29</v>
      </c>
      <c r="N3248" s="1" t="s">
        <v>22</v>
      </c>
    </row>
    <row r="3249" spans="1:14" x14ac:dyDescent="0.25">
      <c r="A3249" s="1">
        <v>3248</v>
      </c>
      <c r="B3249" s="2" t="str">
        <f>HYPERLINK("https://leetcode.com/problems/snake-in-matrix/", "Snake in Matrix")</f>
        <v>Snake in Matrix</v>
      </c>
      <c r="C3249" s="1">
        <v>175</v>
      </c>
      <c r="D3249" s="1">
        <v>4</v>
      </c>
      <c r="E3249" s="3">
        <f>IF(INDEX(C:C, ROW())+INDEX(D:D, ROW())=0, 0, INDEX(C:C, ROW())/(INDEX(C:C, ROW())+INDEX(D:D, ROW())))</f>
        <v>0.97765363128491622</v>
      </c>
      <c r="F3249" s="1" t="s">
        <v>285</v>
      </c>
      <c r="G3249" s="1" t="s">
        <v>20</v>
      </c>
      <c r="H3249" s="1">
        <v>74303</v>
      </c>
      <c r="I3249" s="1">
        <v>90239</v>
      </c>
      <c r="J3249" s="7">
        <v>0.82299999999999995</v>
      </c>
      <c r="K3249" s="1" t="s">
        <v>21</v>
      </c>
      <c r="L3249" s="1" t="s">
        <v>29</v>
      </c>
      <c r="M3249" s="1" t="s">
        <v>29</v>
      </c>
      <c r="N3249" s="1" t="s">
        <v>22</v>
      </c>
    </row>
    <row r="3250" spans="1:14" x14ac:dyDescent="0.25">
      <c r="A3250" s="1">
        <v>3249</v>
      </c>
      <c r="B3250" s="2" t="str">
        <f>HYPERLINK("https://leetcode.com/problems/count-the-number-of-good-nodes/", "Count the Number of Good Nodes")</f>
        <v>Count the Number of Good Nodes</v>
      </c>
      <c r="C3250" s="1">
        <v>178</v>
      </c>
      <c r="D3250" s="1">
        <v>50</v>
      </c>
      <c r="E3250" s="3">
        <f>IF(INDEX(C:C, ROW())+INDEX(D:D, ROW())=0, 0, INDEX(C:C, ROW())/(INDEX(C:C, ROW())+INDEX(D:D, ROW())))</f>
        <v>0.7807017543859649</v>
      </c>
      <c r="F3250" s="1" t="s">
        <v>726</v>
      </c>
      <c r="G3250" s="1" t="s">
        <v>24</v>
      </c>
      <c r="H3250" s="1">
        <v>30838</v>
      </c>
      <c r="I3250" s="1">
        <v>55772</v>
      </c>
      <c r="J3250" s="7">
        <v>0.55300000000000005</v>
      </c>
      <c r="K3250" s="1" t="s">
        <v>21</v>
      </c>
      <c r="L3250" s="1" t="s">
        <v>29</v>
      </c>
      <c r="M3250" s="1" t="s">
        <v>29</v>
      </c>
      <c r="N3250" s="1" t="s">
        <v>22</v>
      </c>
    </row>
    <row r="3251" spans="1:14" x14ac:dyDescent="0.25">
      <c r="A3251" s="1">
        <v>3250</v>
      </c>
      <c r="B3251" s="2" t="str">
        <f>HYPERLINK("https://leetcode.com/problems/find-the-count-of-monotonic-pairs-i/", "Find the Count of Monotonic Pairs I")</f>
        <v>Find the Count of Monotonic Pairs I</v>
      </c>
      <c r="C3251" s="1">
        <v>152</v>
      </c>
      <c r="D3251" s="1">
        <v>13</v>
      </c>
      <c r="E3251" s="3">
        <f>IF(INDEX(C:C, ROW())+INDEX(D:D, ROW())=0, 0, INDEX(C:C, ROW())/(INDEX(C:C, ROW())+INDEX(D:D, ROW())))</f>
        <v>0.92121212121212126</v>
      </c>
      <c r="F3251" s="1" t="s">
        <v>1133</v>
      </c>
      <c r="G3251" s="1" t="s">
        <v>28</v>
      </c>
      <c r="H3251" s="1">
        <v>20392</v>
      </c>
      <c r="I3251" s="1">
        <v>42925</v>
      </c>
      <c r="J3251" s="7">
        <v>0.47499999999999998</v>
      </c>
      <c r="K3251" s="1" t="s">
        <v>21</v>
      </c>
      <c r="L3251" s="1" t="s">
        <v>29</v>
      </c>
      <c r="M3251" s="1" t="s">
        <v>29</v>
      </c>
      <c r="N3251" s="1" t="s">
        <v>22</v>
      </c>
    </row>
    <row r="3252" spans="1:14" x14ac:dyDescent="0.25">
      <c r="A3252" s="1">
        <v>3251</v>
      </c>
      <c r="B3252" s="2" t="str">
        <f>HYPERLINK("https://leetcode.com/problems/find-the-count-of-monotonic-pairs-ii/", "Find the Count of Monotonic Pairs II")</f>
        <v>Find the Count of Monotonic Pairs II</v>
      </c>
      <c r="C3252" s="1">
        <v>102</v>
      </c>
      <c r="D3252" s="1">
        <v>6</v>
      </c>
      <c r="E3252" s="3">
        <f>IF(INDEX(C:C, ROW())+INDEX(D:D, ROW())=0, 0, INDEX(C:C, ROW())/(INDEX(C:C, ROW())+INDEX(D:D, ROW())))</f>
        <v>0.94444444444444442</v>
      </c>
      <c r="F3252" s="1" t="s">
        <v>1133</v>
      </c>
      <c r="G3252" s="1" t="s">
        <v>28</v>
      </c>
      <c r="H3252" s="1">
        <v>8026</v>
      </c>
      <c r="I3252" s="1">
        <v>32717</v>
      </c>
      <c r="J3252" s="7">
        <v>0.245</v>
      </c>
      <c r="K3252" s="1" t="s">
        <v>21</v>
      </c>
      <c r="L3252" s="1" t="s">
        <v>29</v>
      </c>
      <c r="M3252" s="1" t="s">
        <v>29</v>
      </c>
      <c r="N3252" s="1" t="s">
        <v>22</v>
      </c>
    </row>
    <row r="3253" spans="1:14" x14ac:dyDescent="0.25">
      <c r="A3253" s="1">
        <v>3252</v>
      </c>
      <c r="B3253" s="2" t="str">
        <f>HYPERLINK("https://leetcode.com/problems/premier-league-table-ranking-ii/", "Premier League Table Ranking II")</f>
        <v>Premier League Table Ranking II</v>
      </c>
      <c r="C3253" s="1">
        <v>11</v>
      </c>
      <c r="D3253" s="1">
        <v>11</v>
      </c>
      <c r="E3253" s="3">
        <f>IF(INDEX(C:C, ROW())+INDEX(D:D, ROW())=0, 0, INDEX(C:C, ROW())/(INDEX(C:C, ROW())+INDEX(D:D, ROW())))</f>
        <v>0.5</v>
      </c>
      <c r="F3253" s="1" t="s">
        <v>297</v>
      </c>
      <c r="G3253" s="1" t="s">
        <v>24</v>
      </c>
      <c r="H3253" s="1">
        <v>1957</v>
      </c>
      <c r="I3253" s="1">
        <v>3522</v>
      </c>
      <c r="J3253" s="7">
        <v>0.55600000000000005</v>
      </c>
      <c r="K3253" s="1" t="s">
        <v>29</v>
      </c>
      <c r="L3253" s="1" t="s">
        <v>29</v>
      </c>
      <c r="M3253" s="1" t="s">
        <v>29</v>
      </c>
      <c r="N3253" s="1" t="s">
        <v>297</v>
      </c>
    </row>
    <row r="3254" spans="1:14" x14ac:dyDescent="0.25">
      <c r="A3254" s="1">
        <v>3253</v>
      </c>
      <c r="B3254" s="2" t="str">
        <f>HYPERLINK("https://leetcode.com/problems/construct-string-with-minimum-cost-easy/", "Construct String with Minimum Cost (Easy)")</f>
        <v>Construct String with Minimum Cost (Easy)</v>
      </c>
      <c r="C3254" s="1">
        <v>10</v>
      </c>
      <c r="D3254" s="1">
        <v>2</v>
      </c>
      <c r="E3254" s="3">
        <f>IF(INDEX(C:C, ROW())+INDEX(D:D, ROW())=0, 0, INDEX(C:C, ROW())/(INDEX(C:C, ROW())+INDEX(D:D, ROW())))</f>
        <v>0.83333333333333337</v>
      </c>
      <c r="G3254" s="1" t="s">
        <v>24</v>
      </c>
      <c r="H3254" s="1">
        <v>788</v>
      </c>
      <c r="I3254" s="1">
        <v>1342</v>
      </c>
      <c r="J3254" s="7">
        <v>0.58699999999999997</v>
      </c>
      <c r="K3254" s="1" t="s">
        <v>29</v>
      </c>
      <c r="L3254" s="1" t="s">
        <v>29</v>
      </c>
      <c r="M3254" s="1" t="s">
        <v>29</v>
      </c>
      <c r="N3254" s="1" t="s">
        <v>22</v>
      </c>
    </row>
    <row r="3255" spans="1:14" x14ac:dyDescent="0.25">
      <c r="A3255" s="1">
        <v>3254</v>
      </c>
      <c r="B3255" s="2" t="str">
        <f>HYPERLINK("https://leetcode.com/problems/find-the-power-of-k-size-subarrays-i/", "Find the Power of K-Size Subarrays I")</f>
        <v>Find the Power of K-Size Subarrays I</v>
      </c>
      <c r="C3255" s="1">
        <v>671</v>
      </c>
      <c r="D3255" s="1">
        <v>57</v>
      </c>
      <c r="E3255" s="3">
        <f>IF(INDEX(C:C, ROW())+INDEX(D:D, ROW())=0, 0, INDEX(C:C, ROW())/(INDEX(C:C, ROW())+INDEX(D:D, ROW())))</f>
        <v>0.92170329670329665</v>
      </c>
      <c r="F3255" s="1" t="s">
        <v>295</v>
      </c>
      <c r="G3255" s="1" t="s">
        <v>24</v>
      </c>
      <c r="H3255" s="1">
        <v>152492</v>
      </c>
      <c r="I3255" s="1">
        <v>245383</v>
      </c>
      <c r="J3255" s="7">
        <v>0.621</v>
      </c>
      <c r="K3255" s="1" t="s">
        <v>21</v>
      </c>
      <c r="L3255" s="1" t="s">
        <v>21</v>
      </c>
      <c r="M3255" s="1" t="s">
        <v>29</v>
      </c>
      <c r="N3255" s="1" t="s">
        <v>22</v>
      </c>
    </row>
    <row r="3256" spans="1:14" x14ac:dyDescent="0.25">
      <c r="A3256" s="1">
        <v>3255</v>
      </c>
      <c r="B3256" s="2" t="str">
        <f>HYPERLINK("https://leetcode.com/problems/find-the-power-of-k-size-subarrays-ii/", "Find the Power of K-Size Subarrays II")</f>
        <v>Find the Power of K-Size Subarrays II</v>
      </c>
      <c r="C3256" s="1">
        <v>159</v>
      </c>
      <c r="D3256" s="1">
        <v>12</v>
      </c>
      <c r="E3256" s="3">
        <f>IF(INDEX(C:C, ROW())+INDEX(D:D, ROW())=0, 0, INDEX(C:C, ROW())/(INDEX(C:C, ROW())+INDEX(D:D, ROW())))</f>
        <v>0.92982456140350878</v>
      </c>
      <c r="F3256" s="1" t="s">
        <v>295</v>
      </c>
      <c r="G3256" s="1" t="s">
        <v>24</v>
      </c>
      <c r="H3256" s="1">
        <v>34592</v>
      </c>
      <c r="I3256" s="1">
        <v>110133</v>
      </c>
      <c r="J3256" s="7">
        <v>0.314</v>
      </c>
      <c r="K3256" s="1" t="s">
        <v>21</v>
      </c>
      <c r="L3256" s="1" t="s">
        <v>29</v>
      </c>
      <c r="M3256" s="1" t="s">
        <v>29</v>
      </c>
      <c r="N3256" s="1" t="s">
        <v>22</v>
      </c>
    </row>
    <row r="3257" spans="1:14" x14ac:dyDescent="0.25">
      <c r="A3257" s="1">
        <v>3256</v>
      </c>
      <c r="B3257" s="2" t="str">
        <f>HYPERLINK("https://leetcode.com/problems/maximum-value-sum-by-placing-three-rooks-i/", "Maximum Value Sum by Placing Three Rooks I")</f>
        <v>Maximum Value Sum by Placing Three Rooks I</v>
      </c>
      <c r="C3257" s="1">
        <v>108</v>
      </c>
      <c r="D3257" s="1">
        <v>11</v>
      </c>
      <c r="E3257" s="3">
        <f>IF(INDEX(C:C, ROW())+INDEX(D:D, ROW())=0, 0, INDEX(C:C, ROW())/(INDEX(C:C, ROW())+INDEX(D:D, ROW())))</f>
        <v>0.90756302521008403</v>
      </c>
      <c r="F3257" s="1" t="s">
        <v>1173</v>
      </c>
      <c r="G3257" s="1" t="s">
        <v>28</v>
      </c>
      <c r="H3257" s="1">
        <v>9649</v>
      </c>
      <c r="I3257" s="1">
        <v>58896</v>
      </c>
      <c r="J3257" s="7">
        <v>0.16400000000000001</v>
      </c>
      <c r="K3257" s="1" t="s">
        <v>21</v>
      </c>
      <c r="L3257" s="1" t="s">
        <v>29</v>
      </c>
      <c r="M3257" s="1" t="s">
        <v>29</v>
      </c>
      <c r="N3257" s="1" t="s">
        <v>22</v>
      </c>
    </row>
    <row r="3258" spans="1:14" x14ac:dyDescent="0.25">
      <c r="A3258" s="1">
        <v>3257</v>
      </c>
      <c r="B3258" s="2" t="str">
        <f>HYPERLINK("https://leetcode.com/problems/maximum-value-sum-by-placing-three-rooks-ii/", "Maximum Value Sum by Placing Three Rooks II")</f>
        <v>Maximum Value Sum by Placing Three Rooks II</v>
      </c>
      <c r="C3258" s="1">
        <v>60</v>
      </c>
      <c r="D3258" s="1">
        <v>9</v>
      </c>
      <c r="E3258" s="3">
        <f>IF(INDEX(C:C, ROW())+INDEX(D:D, ROW())=0, 0, INDEX(C:C, ROW())/(INDEX(C:C, ROW())+INDEX(D:D, ROW())))</f>
        <v>0.86956521739130432</v>
      </c>
      <c r="F3258" s="1" t="s">
        <v>1173</v>
      </c>
      <c r="G3258" s="1" t="s">
        <v>28</v>
      </c>
      <c r="H3258" s="1">
        <v>5475</v>
      </c>
      <c r="I3258" s="1">
        <v>20377</v>
      </c>
      <c r="J3258" s="7">
        <v>0.26900000000000002</v>
      </c>
      <c r="K3258" s="1" t="s">
        <v>21</v>
      </c>
      <c r="L3258" s="1" t="s">
        <v>29</v>
      </c>
      <c r="M3258" s="1" t="s">
        <v>29</v>
      </c>
      <c r="N3258" s="1" t="s">
        <v>22</v>
      </c>
    </row>
    <row r="3259" spans="1:14" x14ac:dyDescent="0.25">
      <c r="A3259" s="1">
        <v>3258</v>
      </c>
      <c r="B3259" s="2" t="str">
        <f>HYPERLINK("https://leetcode.com/problems/count-substrings-that-satisfy-k-constraint-i/", "Count Substrings That Satisfy K-Constraint I")</f>
        <v>Count Substrings That Satisfy K-Constraint I</v>
      </c>
      <c r="C3259" s="1">
        <v>175</v>
      </c>
      <c r="D3259" s="1">
        <v>36</v>
      </c>
      <c r="E3259" s="3">
        <f>IF(INDEX(C:C, ROW())+INDEX(D:D, ROW())=0, 0, INDEX(C:C, ROW())/(INDEX(C:C, ROW())+INDEX(D:D, ROW())))</f>
        <v>0.82938388625592419</v>
      </c>
      <c r="F3259" s="1" t="s">
        <v>314</v>
      </c>
      <c r="G3259" s="1" t="s">
        <v>20</v>
      </c>
      <c r="H3259" s="1">
        <v>56315</v>
      </c>
      <c r="I3259" s="1">
        <v>71440</v>
      </c>
      <c r="J3259" s="7">
        <v>0.78800000000000003</v>
      </c>
      <c r="K3259" s="1" t="s">
        <v>21</v>
      </c>
      <c r="L3259" s="1" t="s">
        <v>29</v>
      </c>
      <c r="M3259" s="1" t="s">
        <v>29</v>
      </c>
      <c r="N3259" s="1" t="s">
        <v>22</v>
      </c>
    </row>
    <row r="3260" spans="1:14" x14ac:dyDescent="0.25">
      <c r="A3260" s="1">
        <v>3259</v>
      </c>
      <c r="B3260" s="2" t="str">
        <f>HYPERLINK("https://leetcode.com/problems/maximum-energy-boost-from-two-drinks/", "Maximum Energy Boost From Two Drinks")</f>
        <v>Maximum Energy Boost From Two Drinks</v>
      </c>
      <c r="C3260" s="1">
        <v>179</v>
      </c>
      <c r="D3260" s="1">
        <v>13</v>
      </c>
      <c r="E3260" s="3">
        <f>IF(INDEX(C:C, ROW())+INDEX(D:D, ROW())=0, 0, INDEX(C:C, ROW())/(INDEX(C:C, ROW())+INDEX(D:D, ROW())))</f>
        <v>0.93229166666666663</v>
      </c>
      <c r="F3260" s="1" t="s">
        <v>30</v>
      </c>
      <c r="G3260" s="1" t="s">
        <v>24</v>
      </c>
      <c r="H3260" s="1">
        <v>35298</v>
      </c>
      <c r="I3260" s="1">
        <v>70635</v>
      </c>
      <c r="J3260" s="7">
        <v>0.5</v>
      </c>
      <c r="K3260" s="1" t="s">
        <v>21</v>
      </c>
      <c r="L3260" s="1" t="s">
        <v>29</v>
      </c>
      <c r="M3260" s="1" t="s">
        <v>29</v>
      </c>
      <c r="N3260" s="1" t="s">
        <v>22</v>
      </c>
    </row>
    <row r="3261" spans="1:14" x14ac:dyDescent="0.25">
      <c r="A3261" s="1">
        <v>3260</v>
      </c>
      <c r="B3261" s="2" t="str">
        <f>HYPERLINK("https://leetcode.com/problems/find-the-largest-palindrome-divisible-by-k/", "Find the Largest Palindrome Divisible by K")</f>
        <v>Find the Largest Palindrome Divisible by K</v>
      </c>
      <c r="C3261" s="1">
        <v>108</v>
      </c>
      <c r="D3261" s="1">
        <v>70</v>
      </c>
      <c r="E3261" s="3">
        <f>IF(INDEX(C:C, ROW())+INDEX(D:D, ROW())=0, 0, INDEX(C:C, ROW())/(INDEX(C:C, ROW())+INDEX(D:D, ROW())))</f>
        <v>0.6067415730337079</v>
      </c>
      <c r="F3261" s="1" t="s">
        <v>1174</v>
      </c>
      <c r="G3261" s="1" t="s">
        <v>28</v>
      </c>
      <c r="H3261" s="1">
        <v>9164</v>
      </c>
      <c r="I3261" s="1">
        <v>54234</v>
      </c>
      <c r="J3261" s="7">
        <v>0.16900000000000001</v>
      </c>
      <c r="K3261" s="1" t="s">
        <v>21</v>
      </c>
      <c r="L3261" s="1" t="s">
        <v>29</v>
      </c>
      <c r="M3261" s="1" t="s">
        <v>29</v>
      </c>
      <c r="N3261" s="1" t="s">
        <v>22</v>
      </c>
    </row>
    <row r="3262" spans="1:14" x14ac:dyDescent="0.25">
      <c r="A3262" s="1">
        <v>3261</v>
      </c>
      <c r="B3262" s="2" t="str">
        <f>HYPERLINK("https://leetcode.com/problems/count-substrings-that-satisfy-k-constraint-ii/", "Count Substrings That Satisfy K-Constraint II")</f>
        <v>Count Substrings That Satisfy K-Constraint II</v>
      </c>
      <c r="C3262" s="1">
        <v>140</v>
      </c>
      <c r="D3262" s="1">
        <v>12</v>
      </c>
      <c r="E3262" s="3">
        <f>IF(INDEX(C:C, ROW())+INDEX(D:D, ROW())=0, 0, INDEX(C:C, ROW())/(INDEX(C:C, ROW())+INDEX(D:D, ROW())))</f>
        <v>0.92105263157894735</v>
      </c>
      <c r="F3262" s="1" t="s">
        <v>1147</v>
      </c>
      <c r="G3262" s="1" t="s">
        <v>28</v>
      </c>
      <c r="H3262" s="1">
        <v>5823</v>
      </c>
      <c r="I3262" s="1">
        <v>24963</v>
      </c>
      <c r="J3262" s="7">
        <v>0.23300000000000001</v>
      </c>
      <c r="K3262" s="1" t="s">
        <v>21</v>
      </c>
      <c r="L3262" s="1" t="s">
        <v>29</v>
      </c>
      <c r="M3262" s="1" t="s">
        <v>29</v>
      </c>
      <c r="N3262" s="1" t="s">
        <v>22</v>
      </c>
    </row>
    <row r="3263" spans="1:14" x14ac:dyDescent="0.25">
      <c r="A3263" s="1">
        <v>3262</v>
      </c>
      <c r="B3263" s="2" t="str">
        <f>HYPERLINK("https://leetcode.com/problems/find-overlapping-shifts/", "Find Overlapping Shifts")</f>
        <v>Find Overlapping Shifts</v>
      </c>
      <c r="C3263" s="1">
        <v>11</v>
      </c>
      <c r="D3263" s="1">
        <v>5</v>
      </c>
      <c r="E3263" s="3">
        <f>IF(INDEX(C:C, ROW())+INDEX(D:D, ROW())=0, 0, INDEX(C:C, ROW())/(INDEX(C:C, ROW())+INDEX(D:D, ROW())))</f>
        <v>0.6875</v>
      </c>
      <c r="F3263" s="1" t="s">
        <v>297</v>
      </c>
      <c r="G3263" s="1" t="s">
        <v>24</v>
      </c>
      <c r="H3263" s="1">
        <v>2355</v>
      </c>
      <c r="I3263" s="1">
        <v>4030</v>
      </c>
      <c r="J3263" s="7">
        <v>0.58399999999999996</v>
      </c>
      <c r="K3263" s="1" t="s">
        <v>29</v>
      </c>
      <c r="L3263" s="1" t="s">
        <v>29</v>
      </c>
      <c r="M3263" s="1" t="s">
        <v>29</v>
      </c>
      <c r="N3263" s="1" t="s">
        <v>297</v>
      </c>
    </row>
    <row r="3264" spans="1:14" x14ac:dyDescent="0.25">
      <c r="A3264" s="1">
        <v>3263</v>
      </c>
      <c r="B3264" s="2" t="str">
        <f>HYPERLINK("https://leetcode.com/problems/convert-doubly-linked-list-to-array-i/", "Convert Doubly Linked List to Array I")</f>
        <v>Convert Doubly Linked List to Array I</v>
      </c>
      <c r="C3264" s="1">
        <v>21</v>
      </c>
      <c r="D3264" s="1">
        <v>6</v>
      </c>
      <c r="E3264" s="3">
        <f>IF(INDEX(C:C, ROW())+INDEX(D:D, ROW())=0, 0, INDEX(C:C, ROW())/(INDEX(C:C, ROW())+INDEX(D:D, ROW())))</f>
        <v>0.77777777777777779</v>
      </c>
      <c r="F3264" s="1" t="s">
        <v>1317</v>
      </c>
      <c r="G3264" s="1" t="s">
        <v>20</v>
      </c>
      <c r="H3264" s="1">
        <v>8812</v>
      </c>
      <c r="I3264" s="1">
        <v>9286</v>
      </c>
      <c r="J3264" s="7">
        <v>0.94899999999999995</v>
      </c>
      <c r="K3264" s="1" t="s">
        <v>29</v>
      </c>
      <c r="L3264" s="1" t="s">
        <v>29</v>
      </c>
      <c r="M3264" s="1" t="s">
        <v>29</v>
      </c>
      <c r="N3264" s="1" t="s">
        <v>22</v>
      </c>
    </row>
    <row r="3265" spans="1:14" x14ac:dyDescent="0.25">
      <c r="A3265" s="1">
        <v>3264</v>
      </c>
      <c r="B3265" s="2" t="str">
        <f>HYPERLINK("https://leetcode.com/problems/final-array-state-after-k-multiplication-operations-i/", "Final Array State After K Multiplication Operations I")</f>
        <v>Final Array State After K Multiplication Operations I</v>
      </c>
      <c r="C3265" s="1">
        <v>543</v>
      </c>
      <c r="D3265" s="1">
        <v>13</v>
      </c>
      <c r="E3265" s="3">
        <f>IF(INDEX(C:C, ROW())+INDEX(D:D, ROW())=0, 0, INDEX(C:C, ROW())/(INDEX(C:C, ROW())+INDEX(D:D, ROW())))</f>
        <v>0.97661870503597126</v>
      </c>
      <c r="F3265" s="1" t="s">
        <v>885</v>
      </c>
      <c r="G3265" s="1" t="s">
        <v>20</v>
      </c>
      <c r="H3265" s="1">
        <v>202457</v>
      </c>
      <c r="I3265" s="1">
        <v>232844</v>
      </c>
      <c r="J3265" s="7">
        <v>0.86899999999999999</v>
      </c>
      <c r="K3265" s="1" t="s">
        <v>21</v>
      </c>
      <c r="L3265" s="1" t="s">
        <v>21</v>
      </c>
      <c r="M3265" s="1" t="s">
        <v>29</v>
      </c>
      <c r="N3265" s="1" t="s">
        <v>22</v>
      </c>
    </row>
    <row r="3266" spans="1:14" x14ac:dyDescent="0.25">
      <c r="A3266" s="1">
        <v>3265</v>
      </c>
      <c r="B3266" s="2" t="str">
        <f>HYPERLINK("https://leetcode.com/problems/count-almost-equal-pairs-i/", "Count Almost Equal Pairs I")</f>
        <v>Count Almost Equal Pairs I</v>
      </c>
      <c r="C3266" s="1">
        <v>159</v>
      </c>
      <c r="D3266" s="1">
        <v>26</v>
      </c>
      <c r="E3266" s="3">
        <f>IF(INDEX(C:C, ROW())+INDEX(D:D, ROW())=0, 0, INDEX(C:C, ROW())/(INDEX(C:C, ROW())+INDEX(D:D, ROW())))</f>
        <v>0.85945945945945945</v>
      </c>
      <c r="F3266" s="1" t="s">
        <v>1128</v>
      </c>
      <c r="G3266" s="1" t="s">
        <v>24</v>
      </c>
      <c r="H3266" s="1">
        <v>29040</v>
      </c>
      <c r="I3266" s="1">
        <v>76018</v>
      </c>
      <c r="J3266" s="7">
        <v>0.38200000000000001</v>
      </c>
      <c r="K3266" s="1" t="s">
        <v>21</v>
      </c>
      <c r="L3266" s="1" t="s">
        <v>29</v>
      </c>
      <c r="M3266" s="1" t="s">
        <v>29</v>
      </c>
      <c r="N3266" s="1" t="s">
        <v>22</v>
      </c>
    </row>
    <row r="3267" spans="1:14" x14ac:dyDescent="0.25">
      <c r="A3267" s="1">
        <v>3266</v>
      </c>
      <c r="B3267" s="2" t="str">
        <f>HYPERLINK("https://leetcode.com/problems/final-array-state-after-k-multiplication-operations-ii/", "Final Array State After K Multiplication Operations II")</f>
        <v>Final Array State After K Multiplication Operations II</v>
      </c>
      <c r="C3267" s="1">
        <v>179</v>
      </c>
      <c r="D3267" s="1">
        <v>24</v>
      </c>
      <c r="E3267" s="3">
        <f>IF(INDEX(C:C, ROW())+INDEX(D:D, ROW())=0, 0, INDEX(C:C, ROW())/(INDEX(C:C, ROW())+INDEX(D:D, ROW())))</f>
        <v>0.88177339901477836</v>
      </c>
      <c r="F3267" s="1" t="s">
        <v>751</v>
      </c>
      <c r="G3267" s="1" t="s">
        <v>28</v>
      </c>
      <c r="H3267" s="1">
        <v>11134</v>
      </c>
      <c r="I3267" s="1">
        <v>85512</v>
      </c>
      <c r="J3267" s="7">
        <v>0.13</v>
      </c>
      <c r="K3267" s="1" t="s">
        <v>21</v>
      </c>
      <c r="L3267" s="1" t="s">
        <v>29</v>
      </c>
      <c r="M3267" s="1" t="s">
        <v>29</v>
      </c>
      <c r="N3267" s="1" t="s">
        <v>22</v>
      </c>
    </row>
    <row r="3268" spans="1:14" x14ac:dyDescent="0.25">
      <c r="A3268" s="1">
        <v>3267</v>
      </c>
      <c r="B3268" s="2" t="str">
        <f>HYPERLINK("https://leetcode.com/problems/count-almost-equal-pairs-ii/", "Count Almost Equal Pairs II")</f>
        <v>Count Almost Equal Pairs II</v>
      </c>
      <c r="C3268" s="1">
        <v>81</v>
      </c>
      <c r="D3268" s="1">
        <v>23</v>
      </c>
      <c r="E3268" s="3">
        <f>IF(INDEX(C:C, ROW())+INDEX(D:D, ROW())=0, 0, INDEX(C:C, ROW())/(INDEX(C:C, ROW())+INDEX(D:D, ROW())))</f>
        <v>0.77884615384615385</v>
      </c>
      <c r="F3268" s="1" t="s">
        <v>1128</v>
      </c>
      <c r="G3268" s="1" t="s">
        <v>28</v>
      </c>
      <c r="H3268" s="1">
        <v>9061</v>
      </c>
      <c r="I3268" s="1">
        <v>33579</v>
      </c>
      <c r="J3268" s="7">
        <v>0.27</v>
      </c>
      <c r="K3268" s="1" t="s">
        <v>21</v>
      </c>
      <c r="L3268" s="1" t="s">
        <v>29</v>
      </c>
      <c r="M3268" s="1" t="s">
        <v>29</v>
      </c>
      <c r="N3268" s="1" t="s">
        <v>22</v>
      </c>
    </row>
    <row r="3269" spans="1:14" x14ac:dyDescent="0.25">
      <c r="A3269" s="1">
        <v>3268</v>
      </c>
      <c r="B3269" s="2" t="str">
        <f>HYPERLINK("https://leetcode.com/problems/find-overlapping-shifts-ii/", "Find Overlapping Shifts II")</f>
        <v>Find Overlapping Shifts II</v>
      </c>
      <c r="C3269" s="1">
        <v>7</v>
      </c>
      <c r="D3269" s="1">
        <v>7</v>
      </c>
      <c r="E3269" s="3">
        <f>IF(INDEX(C:C, ROW())+INDEX(D:D, ROW())=0, 0, INDEX(C:C, ROW())/(INDEX(C:C, ROW())+INDEX(D:D, ROW())))</f>
        <v>0.5</v>
      </c>
      <c r="F3269" s="1" t="s">
        <v>297</v>
      </c>
      <c r="G3269" s="1" t="s">
        <v>28</v>
      </c>
      <c r="H3269" s="1">
        <v>1206</v>
      </c>
      <c r="I3269" s="1">
        <v>2171</v>
      </c>
      <c r="J3269" s="7">
        <v>0.55600000000000005</v>
      </c>
      <c r="K3269" s="1" t="s">
        <v>29</v>
      </c>
      <c r="L3269" s="1" t="s">
        <v>29</v>
      </c>
      <c r="M3269" s="1" t="s">
        <v>29</v>
      </c>
      <c r="N3269" s="1" t="s">
        <v>297</v>
      </c>
    </row>
    <row r="3270" spans="1:14" x14ac:dyDescent="0.25">
      <c r="A3270" s="1">
        <v>3269</v>
      </c>
      <c r="B3270" s="2" t="str">
        <f>HYPERLINK("https://leetcode.com/problems/constructing-two-increasing-arrays/", "Constructing Two Increasing Arrays")</f>
        <v>Constructing Two Increasing Arrays</v>
      </c>
      <c r="C3270" s="1">
        <v>12</v>
      </c>
      <c r="D3270" s="1">
        <v>1</v>
      </c>
      <c r="E3270" s="3">
        <f>IF(INDEX(C:C, ROW())+INDEX(D:D, ROW())=0, 0, INDEX(C:C, ROW())/(INDEX(C:C, ROW())+INDEX(D:D, ROW())))</f>
        <v>0.92307692307692313</v>
      </c>
      <c r="F3270" s="1" t="s">
        <v>30</v>
      </c>
      <c r="G3270" s="1" t="s">
        <v>28</v>
      </c>
      <c r="H3270" s="1">
        <v>503</v>
      </c>
      <c r="I3270" s="1">
        <v>806</v>
      </c>
      <c r="J3270" s="7">
        <v>0.624</v>
      </c>
      <c r="K3270" s="1" t="s">
        <v>29</v>
      </c>
      <c r="L3270" s="1" t="s">
        <v>29</v>
      </c>
      <c r="M3270" s="1" t="s">
        <v>29</v>
      </c>
      <c r="N3270" s="1" t="s">
        <v>22</v>
      </c>
    </row>
    <row r="3271" spans="1:14" x14ac:dyDescent="0.25">
      <c r="A3271" s="1">
        <v>3270</v>
      </c>
      <c r="B3271" s="2" t="str">
        <f>HYPERLINK("https://leetcode.com/problems/find-the-key-of-the-numbers/", "Find the Key of the Numbers")</f>
        <v>Find the Key of the Numbers</v>
      </c>
      <c r="C3271" s="1">
        <v>103</v>
      </c>
      <c r="D3271" s="1">
        <v>16</v>
      </c>
      <c r="E3271" s="3">
        <f>IF(INDEX(C:C, ROW())+INDEX(D:D, ROW())=0, 0, INDEX(C:C, ROW())/(INDEX(C:C, ROW())+INDEX(D:D, ROW())))</f>
        <v>0.86554621848739499</v>
      </c>
      <c r="F3271" s="1" t="s">
        <v>84</v>
      </c>
      <c r="G3271" s="1" t="s">
        <v>20</v>
      </c>
      <c r="H3271" s="1">
        <v>52107</v>
      </c>
      <c r="I3271" s="1">
        <v>68139</v>
      </c>
      <c r="J3271" s="7">
        <v>0.76500000000000001</v>
      </c>
      <c r="K3271" s="1" t="s">
        <v>21</v>
      </c>
      <c r="L3271" s="1" t="s">
        <v>29</v>
      </c>
      <c r="M3271" s="1" t="s">
        <v>29</v>
      </c>
      <c r="N3271" s="1" t="s">
        <v>22</v>
      </c>
    </row>
    <row r="3272" spans="1:14" x14ac:dyDescent="0.25">
      <c r="A3272" s="1">
        <v>3271</v>
      </c>
      <c r="B3272" s="2" t="str">
        <f>HYPERLINK("https://leetcode.com/problems/hash-divided-string/", "Hash Divided String")</f>
        <v>Hash Divided String</v>
      </c>
      <c r="C3272" s="1">
        <v>108</v>
      </c>
      <c r="D3272" s="1">
        <v>15</v>
      </c>
      <c r="E3272" s="3">
        <f>IF(INDEX(C:C, ROW())+INDEX(D:D, ROW())=0, 0, INDEX(C:C, ROW())/(INDEX(C:C, ROW())+INDEX(D:D, ROW())))</f>
        <v>0.87804878048780488</v>
      </c>
      <c r="F3272" s="1" t="s">
        <v>414</v>
      </c>
      <c r="G3272" s="1" t="s">
        <v>24</v>
      </c>
      <c r="H3272" s="1">
        <v>50171</v>
      </c>
      <c r="I3272" s="1">
        <v>60296</v>
      </c>
      <c r="J3272" s="7">
        <v>0.83199999999999996</v>
      </c>
      <c r="K3272" s="1" t="s">
        <v>21</v>
      </c>
      <c r="L3272" s="1" t="s">
        <v>29</v>
      </c>
      <c r="M3272" s="1" t="s">
        <v>29</v>
      </c>
      <c r="N3272" s="1" t="s">
        <v>22</v>
      </c>
    </row>
    <row r="3273" spans="1:14" x14ac:dyDescent="0.25">
      <c r="A3273" s="1">
        <v>3272</v>
      </c>
      <c r="B3273" s="2" t="str">
        <f>HYPERLINK("https://leetcode.com/problems/find-the-count-of-good-integers/", "Find the Count of Good Integers")</f>
        <v>Find the Count of Good Integers</v>
      </c>
      <c r="C3273" s="1">
        <v>463</v>
      </c>
      <c r="D3273" s="1">
        <v>112</v>
      </c>
      <c r="E3273" s="3">
        <f>IF(INDEX(C:C, ROW())+INDEX(D:D, ROW())=0, 0, INDEX(C:C, ROW())/(INDEX(C:C, ROW())+INDEX(D:D, ROW())))</f>
        <v>0.80521739130434777</v>
      </c>
      <c r="F3273" s="1" t="s">
        <v>947</v>
      </c>
      <c r="G3273" s="1" t="s">
        <v>28</v>
      </c>
      <c r="H3273" s="1">
        <v>72859</v>
      </c>
      <c r="I3273" s="1">
        <v>104886</v>
      </c>
      <c r="J3273" s="7">
        <v>0.69499999999999995</v>
      </c>
      <c r="K3273" s="1" t="s">
        <v>21</v>
      </c>
      <c r="L3273" s="1" t="s">
        <v>21</v>
      </c>
      <c r="M3273" s="1" t="s">
        <v>29</v>
      </c>
      <c r="N3273" s="1" t="s">
        <v>22</v>
      </c>
    </row>
    <row r="3274" spans="1:14" x14ac:dyDescent="0.25">
      <c r="A3274" s="1">
        <v>3273</v>
      </c>
      <c r="B3274" s="2" t="str">
        <f>HYPERLINK("https://leetcode.com/problems/minimum-amount-of-damage-dealt-to-bob/", "Minimum Amount of Damage Dealt to Bob")</f>
        <v>Minimum Amount of Damage Dealt to Bob</v>
      </c>
      <c r="C3274" s="1">
        <v>165</v>
      </c>
      <c r="D3274" s="1">
        <v>25</v>
      </c>
      <c r="E3274" s="3">
        <f>IF(INDEX(C:C, ROW())+INDEX(D:D, ROW())=0, 0, INDEX(C:C, ROW())/(INDEX(C:C, ROW())+INDEX(D:D, ROW())))</f>
        <v>0.86842105263157898</v>
      </c>
      <c r="F3274" s="1" t="s">
        <v>169</v>
      </c>
      <c r="G3274" s="1" t="s">
        <v>28</v>
      </c>
      <c r="H3274" s="1">
        <v>14238</v>
      </c>
      <c r="I3274" s="1">
        <v>35989</v>
      </c>
      <c r="J3274" s="7">
        <v>0.39600000000000002</v>
      </c>
      <c r="K3274" s="1" t="s">
        <v>21</v>
      </c>
      <c r="L3274" s="1" t="s">
        <v>29</v>
      </c>
      <c r="M3274" s="1" t="s">
        <v>29</v>
      </c>
      <c r="N3274" s="1" t="s">
        <v>22</v>
      </c>
    </row>
    <row r="3275" spans="1:14" x14ac:dyDescent="0.25">
      <c r="A3275" s="1">
        <v>3274</v>
      </c>
      <c r="B3275" s="2" t="str">
        <f>HYPERLINK("https://leetcode.com/problems/check-if-two-chessboard-squares-have-the-same-color/", "Check if Two Chessboard Squares Have the Same Color")</f>
        <v>Check if Two Chessboard Squares Have the Same Color</v>
      </c>
      <c r="C3275" s="1">
        <v>142</v>
      </c>
      <c r="D3275" s="1">
        <v>5</v>
      </c>
      <c r="E3275" s="3">
        <f>IF(INDEX(C:C, ROW())+INDEX(D:D, ROW())=0, 0, INDEX(C:C, ROW())/(INDEX(C:C, ROW())+INDEX(D:D, ROW())))</f>
        <v>0.96598639455782309</v>
      </c>
      <c r="F3275" s="1" t="s">
        <v>228</v>
      </c>
      <c r="G3275" s="1" t="s">
        <v>20</v>
      </c>
      <c r="H3275" s="1">
        <v>69474</v>
      </c>
      <c r="I3275" s="1">
        <v>96181</v>
      </c>
      <c r="J3275" s="7">
        <v>0.72199999999999998</v>
      </c>
      <c r="K3275" s="1" t="s">
        <v>21</v>
      </c>
      <c r="L3275" s="1" t="s">
        <v>29</v>
      </c>
      <c r="M3275" s="1" t="s">
        <v>29</v>
      </c>
      <c r="N3275" s="1" t="s">
        <v>22</v>
      </c>
    </row>
    <row r="3276" spans="1:14" x14ac:dyDescent="0.25">
      <c r="A3276" s="1">
        <v>3275</v>
      </c>
      <c r="B3276" s="2" t="str">
        <f>HYPERLINK("https://leetcode.com/problems/k-th-nearest-obstacle-queries/", "K-th Nearest Obstacle Queries")</f>
        <v>K-th Nearest Obstacle Queries</v>
      </c>
      <c r="C3276" s="1">
        <v>116</v>
      </c>
      <c r="D3276" s="1">
        <v>17</v>
      </c>
      <c r="E3276" s="3">
        <f>IF(INDEX(C:C, ROW())+INDEX(D:D, ROW())=0, 0, INDEX(C:C, ROW())/(INDEX(C:C, ROW())+INDEX(D:D, ROW())))</f>
        <v>0.8721804511278195</v>
      </c>
      <c r="F3276" s="1" t="s">
        <v>202</v>
      </c>
      <c r="G3276" s="1" t="s">
        <v>24</v>
      </c>
      <c r="H3276" s="1">
        <v>35815</v>
      </c>
      <c r="I3276" s="1">
        <v>73271</v>
      </c>
      <c r="J3276" s="7">
        <v>0.48899999999999999</v>
      </c>
      <c r="K3276" s="1" t="s">
        <v>21</v>
      </c>
      <c r="L3276" s="1" t="s">
        <v>29</v>
      </c>
      <c r="M3276" s="1" t="s">
        <v>29</v>
      </c>
      <c r="N3276" s="1" t="s">
        <v>22</v>
      </c>
    </row>
    <row r="3277" spans="1:14" x14ac:dyDescent="0.25">
      <c r="A3277" s="1">
        <v>3276</v>
      </c>
      <c r="B3277" s="2" t="str">
        <f>HYPERLINK("https://leetcode.com/problems/select-cells-in-grid-with-maximum-score/", "Select Cells in Grid With Maximum Score")</f>
        <v>Select Cells in Grid With Maximum Score</v>
      </c>
      <c r="C3277" s="1">
        <v>226</v>
      </c>
      <c r="D3277" s="1">
        <v>6</v>
      </c>
      <c r="E3277" s="3">
        <f>IF(INDEX(C:C, ROW())+INDEX(D:D, ROW())=0, 0, INDEX(C:C, ROW())/(INDEX(C:C, ROW())+INDEX(D:D, ROW())))</f>
        <v>0.97413793103448276</v>
      </c>
      <c r="F3277" s="1" t="s">
        <v>740</v>
      </c>
      <c r="G3277" s="1" t="s">
        <v>28</v>
      </c>
      <c r="H3277" s="1">
        <v>12366</v>
      </c>
      <c r="I3277" s="1">
        <v>79237</v>
      </c>
      <c r="J3277" s="7">
        <v>0.156</v>
      </c>
      <c r="K3277" s="1" t="s">
        <v>21</v>
      </c>
      <c r="L3277" s="1" t="s">
        <v>29</v>
      </c>
      <c r="M3277" s="1" t="s">
        <v>29</v>
      </c>
      <c r="N3277" s="1" t="s">
        <v>22</v>
      </c>
    </row>
    <row r="3278" spans="1:14" x14ac:dyDescent="0.25">
      <c r="A3278" s="1">
        <v>3277</v>
      </c>
      <c r="B3278" s="2" t="str">
        <f>HYPERLINK("https://leetcode.com/problems/maximum-xor-score-subarray-queries/", "Maximum XOR Score Subarray Queries")</f>
        <v>Maximum XOR Score Subarray Queries</v>
      </c>
      <c r="C3278" s="1">
        <v>109</v>
      </c>
      <c r="D3278" s="1">
        <v>16</v>
      </c>
      <c r="E3278" s="3">
        <f>IF(INDEX(C:C, ROW())+INDEX(D:D, ROW())=0, 0, INDEX(C:C, ROW())/(INDEX(C:C, ROW())+INDEX(D:D, ROW())))</f>
        <v>0.872</v>
      </c>
      <c r="F3278" s="1" t="s">
        <v>30</v>
      </c>
      <c r="G3278" s="1" t="s">
        <v>28</v>
      </c>
      <c r="H3278" s="1">
        <v>5450</v>
      </c>
      <c r="I3278" s="1">
        <v>12481</v>
      </c>
      <c r="J3278" s="7">
        <v>0.437</v>
      </c>
      <c r="K3278" s="1" t="s">
        <v>21</v>
      </c>
      <c r="L3278" s="1" t="s">
        <v>29</v>
      </c>
      <c r="M3278" s="1" t="s">
        <v>29</v>
      </c>
      <c r="N3278" s="1" t="s">
        <v>22</v>
      </c>
    </row>
    <row r="3279" spans="1:14" x14ac:dyDescent="0.25">
      <c r="A3279" s="1">
        <v>3278</v>
      </c>
      <c r="B3279" s="2" t="str">
        <f>HYPERLINK("https://leetcode.com/problems/find-candidates-for-data-scientist-position-ii/", "Find Candidates for Data Scientist Position II")</f>
        <v>Find Candidates for Data Scientist Position II</v>
      </c>
      <c r="C3279" s="1">
        <v>12</v>
      </c>
      <c r="D3279" s="1">
        <v>5</v>
      </c>
      <c r="E3279" s="3">
        <f>IF(INDEX(C:C, ROW())+INDEX(D:D, ROW())=0, 0, INDEX(C:C, ROW())/(INDEX(C:C, ROW())+INDEX(D:D, ROW())))</f>
        <v>0.70588235294117652</v>
      </c>
      <c r="F3279" s="1" t="s">
        <v>297</v>
      </c>
      <c r="G3279" s="1" t="s">
        <v>24</v>
      </c>
      <c r="H3279" s="1">
        <v>2105</v>
      </c>
      <c r="I3279" s="1">
        <v>4928</v>
      </c>
      <c r="J3279" s="7">
        <v>0.42699999999999999</v>
      </c>
      <c r="K3279" s="1" t="s">
        <v>29</v>
      </c>
      <c r="L3279" s="1" t="s">
        <v>29</v>
      </c>
      <c r="M3279" s="1" t="s">
        <v>29</v>
      </c>
      <c r="N3279" s="1" t="s">
        <v>297</v>
      </c>
    </row>
    <row r="3280" spans="1:14" x14ac:dyDescent="0.25">
      <c r="A3280" s="1">
        <v>3279</v>
      </c>
      <c r="B3280" s="2" t="str">
        <f>HYPERLINK("https://leetcode.com/problems/maximum-total-area-occupied-by-pistons/", "Maximum Total Area Occupied by Pistons")</f>
        <v>Maximum Total Area Occupied by Pistons</v>
      </c>
      <c r="C3280" s="1">
        <v>5</v>
      </c>
      <c r="D3280" s="1">
        <v>3</v>
      </c>
      <c r="E3280" s="3">
        <f>IF(INDEX(C:C, ROW())+INDEX(D:D, ROW())=0, 0, INDEX(C:C, ROW())/(INDEX(C:C, ROW())+INDEX(D:D, ROW())))</f>
        <v>0.625</v>
      </c>
      <c r="F3280" s="1" t="s">
        <v>1339</v>
      </c>
      <c r="G3280" s="1" t="s">
        <v>28</v>
      </c>
      <c r="H3280" s="1">
        <v>497</v>
      </c>
      <c r="I3280" s="1">
        <v>1229</v>
      </c>
      <c r="J3280" s="7">
        <v>0.40400000000000003</v>
      </c>
      <c r="K3280" s="1" t="s">
        <v>29</v>
      </c>
      <c r="L3280" s="1" t="s">
        <v>29</v>
      </c>
      <c r="M3280" s="1" t="s">
        <v>29</v>
      </c>
      <c r="N3280" s="1" t="s">
        <v>22</v>
      </c>
    </row>
    <row r="3281" spans="1:14" x14ac:dyDescent="0.25">
      <c r="A3281" s="1">
        <v>3280</v>
      </c>
      <c r="B3281" s="2" t="str">
        <f>HYPERLINK("https://leetcode.com/problems/convert-date-to-binary/", "Convert Date to Binary")</f>
        <v>Convert Date to Binary</v>
      </c>
      <c r="C3281" s="1">
        <v>156</v>
      </c>
      <c r="D3281" s="1">
        <v>11</v>
      </c>
      <c r="E3281" s="3">
        <f>IF(INDEX(C:C, ROW())+INDEX(D:D, ROW())=0, 0, INDEX(C:C, ROW())/(INDEX(C:C, ROW())+INDEX(D:D, ROW())))</f>
        <v>0.93413173652694614</v>
      </c>
      <c r="F3281" s="1" t="s">
        <v>228</v>
      </c>
      <c r="G3281" s="1" t="s">
        <v>20</v>
      </c>
      <c r="H3281" s="1">
        <v>85701</v>
      </c>
      <c r="I3281" s="1">
        <v>96608</v>
      </c>
      <c r="J3281" s="7">
        <v>0.88700000000000001</v>
      </c>
      <c r="K3281" s="1" t="s">
        <v>21</v>
      </c>
      <c r="L3281" s="1" t="s">
        <v>29</v>
      </c>
      <c r="M3281" s="1" t="s">
        <v>29</v>
      </c>
      <c r="N3281" s="1" t="s">
        <v>22</v>
      </c>
    </row>
    <row r="3282" spans="1:14" x14ac:dyDescent="0.25">
      <c r="A3282" s="1">
        <v>3281</v>
      </c>
      <c r="B3282" s="2" t="str">
        <f>HYPERLINK("https://leetcode.com/problems/maximize-score-of-numbers-in-ranges/", "Maximize Score of Numbers in Ranges")</f>
        <v>Maximize Score of Numbers in Ranges</v>
      </c>
      <c r="C3282" s="1">
        <v>221</v>
      </c>
      <c r="D3282" s="1">
        <v>50</v>
      </c>
      <c r="E3282" s="3">
        <f>IF(INDEX(C:C, ROW())+INDEX(D:D, ROW())=0, 0, INDEX(C:C, ROW())/(INDEX(C:C, ROW())+INDEX(D:D, ROW())))</f>
        <v>0.81549815498154976</v>
      </c>
      <c r="F3282" s="1" t="s">
        <v>440</v>
      </c>
      <c r="G3282" s="1" t="s">
        <v>24</v>
      </c>
      <c r="H3282" s="1">
        <v>23466</v>
      </c>
      <c r="I3282" s="1">
        <v>66016</v>
      </c>
      <c r="J3282" s="7">
        <v>0.35499999999999998</v>
      </c>
      <c r="K3282" s="1" t="s">
        <v>21</v>
      </c>
      <c r="L3282" s="1" t="s">
        <v>29</v>
      </c>
      <c r="M3282" s="1" t="s">
        <v>29</v>
      </c>
      <c r="N3282" s="1" t="s">
        <v>22</v>
      </c>
    </row>
    <row r="3283" spans="1:14" x14ac:dyDescent="0.25">
      <c r="A3283" s="1">
        <v>3282</v>
      </c>
      <c r="B3283" s="2" t="str">
        <f>HYPERLINK("https://leetcode.com/problems/reach-end-of-array-with-max-score/", "Reach End of Array With Max Score")</f>
        <v>Reach End of Array With Max Score</v>
      </c>
      <c r="C3283" s="1">
        <v>223</v>
      </c>
      <c r="D3283" s="1">
        <v>16</v>
      </c>
      <c r="E3283" s="3">
        <f>IF(INDEX(C:C, ROW())+INDEX(D:D, ROW())=0, 0, INDEX(C:C, ROW())/(INDEX(C:C, ROW())+INDEX(D:D, ROW())))</f>
        <v>0.93305439330543938</v>
      </c>
      <c r="F3283" s="1" t="s">
        <v>96</v>
      </c>
      <c r="G3283" s="1" t="s">
        <v>24</v>
      </c>
      <c r="H3283" s="1">
        <v>28845</v>
      </c>
      <c r="I3283" s="1">
        <v>86334</v>
      </c>
      <c r="J3283" s="7">
        <v>0.33400000000000002</v>
      </c>
      <c r="K3283" s="1" t="s">
        <v>21</v>
      </c>
      <c r="L3283" s="1" t="s">
        <v>29</v>
      </c>
      <c r="M3283" s="1" t="s">
        <v>29</v>
      </c>
      <c r="N3283" s="1" t="s">
        <v>22</v>
      </c>
    </row>
    <row r="3284" spans="1:14" x14ac:dyDescent="0.25">
      <c r="A3284" s="1">
        <v>3283</v>
      </c>
      <c r="B3284" s="2" t="str">
        <f>HYPERLINK("https://leetcode.com/problems/maximum-number-of-moves-to-kill-all-pawns/", "Maximum Number of Moves to Kill All Pawns")</f>
        <v>Maximum Number of Moves to Kill All Pawns</v>
      </c>
      <c r="C3284" s="1">
        <v>144</v>
      </c>
      <c r="D3284" s="1">
        <v>12</v>
      </c>
      <c r="E3284" s="3">
        <f>IF(INDEX(C:C, ROW())+INDEX(D:D, ROW())=0, 0, INDEX(C:C, ROW())/(INDEX(C:C, ROW())+INDEX(D:D, ROW())))</f>
        <v>0.92307692307692313</v>
      </c>
      <c r="F3284" s="1" t="s">
        <v>1143</v>
      </c>
      <c r="G3284" s="1" t="s">
        <v>28</v>
      </c>
      <c r="H3284" s="1">
        <v>7190</v>
      </c>
      <c r="I3284" s="1">
        <v>21378</v>
      </c>
      <c r="J3284" s="7">
        <v>0.33600000000000002</v>
      </c>
      <c r="K3284" s="1" t="s">
        <v>21</v>
      </c>
      <c r="L3284" s="1" t="s">
        <v>29</v>
      </c>
      <c r="M3284" s="1" t="s">
        <v>29</v>
      </c>
      <c r="N3284" s="1" t="s">
        <v>22</v>
      </c>
    </row>
    <row r="3285" spans="1:14" x14ac:dyDescent="0.25">
      <c r="A3285" s="1">
        <v>3284</v>
      </c>
      <c r="B3285" s="2" t="str">
        <f>HYPERLINK("https://leetcode.com/problems/sum-of-consecutive-subarrays/", "Sum of Consecutive Subarrays")</f>
        <v>Sum of Consecutive Subarrays</v>
      </c>
      <c r="C3285" s="1">
        <v>12</v>
      </c>
      <c r="D3285" s="1">
        <v>3</v>
      </c>
      <c r="E3285" s="3">
        <f>IF(INDEX(C:C, ROW())+INDEX(D:D, ROW())=0, 0, INDEX(C:C, ROW())/(INDEX(C:C, ROW())+INDEX(D:D, ROW())))</f>
        <v>0.8</v>
      </c>
      <c r="F3285" s="1" t="s">
        <v>1327</v>
      </c>
      <c r="G3285" s="1" t="s">
        <v>24</v>
      </c>
      <c r="H3285" s="1">
        <v>840</v>
      </c>
      <c r="I3285" s="1">
        <v>1972</v>
      </c>
      <c r="J3285" s="7">
        <v>0.42599999999999999</v>
      </c>
      <c r="K3285" s="1" t="s">
        <v>29</v>
      </c>
      <c r="L3285" s="1" t="s">
        <v>29</v>
      </c>
      <c r="M3285" s="1" t="s">
        <v>29</v>
      </c>
      <c r="N3285" s="1" t="s">
        <v>22</v>
      </c>
    </row>
    <row r="3286" spans="1:14" x14ac:dyDescent="0.25">
      <c r="A3286" s="1">
        <v>3285</v>
      </c>
      <c r="B3286" s="2" t="str">
        <f>HYPERLINK("https://leetcode.com/problems/find-indices-of-stable-mountains/", "Find Indices of Stable Mountains")</f>
        <v>Find Indices of Stable Mountains</v>
      </c>
      <c r="C3286" s="1">
        <v>103</v>
      </c>
      <c r="D3286" s="1">
        <v>39</v>
      </c>
      <c r="E3286" s="3">
        <f>IF(INDEX(C:C, ROW())+INDEX(D:D, ROW())=0, 0, INDEX(C:C, ROW())/(INDEX(C:C, ROW())+INDEX(D:D, ROW())))</f>
        <v>0.72535211267605637</v>
      </c>
      <c r="F3286" s="1" t="s">
        <v>113</v>
      </c>
      <c r="G3286" s="1" t="s">
        <v>20</v>
      </c>
      <c r="H3286" s="1">
        <v>67172</v>
      </c>
      <c r="I3286" s="1">
        <v>77395</v>
      </c>
      <c r="J3286" s="7">
        <v>0.86799999999999999</v>
      </c>
      <c r="K3286" s="1" t="s">
        <v>21</v>
      </c>
      <c r="L3286" s="1" t="s">
        <v>29</v>
      </c>
      <c r="M3286" s="1" t="s">
        <v>29</v>
      </c>
      <c r="N3286" s="1" t="s">
        <v>22</v>
      </c>
    </row>
    <row r="3287" spans="1:14" x14ac:dyDescent="0.25">
      <c r="A3287" s="1">
        <v>3286</v>
      </c>
      <c r="B3287" s="2" t="str">
        <f>HYPERLINK("https://leetcode.com/problems/find-a-safe-walk-through-a-grid/", "Find a Safe Walk Through a Grid")</f>
        <v>Find a Safe Walk Through a Grid</v>
      </c>
      <c r="C3287" s="1">
        <v>228</v>
      </c>
      <c r="D3287" s="1">
        <v>14</v>
      </c>
      <c r="E3287" s="3">
        <f>IF(INDEX(C:C, ROW())+INDEX(D:D, ROW())=0, 0, INDEX(C:C, ROW())/(INDEX(C:C, ROW())+INDEX(D:D, ROW())))</f>
        <v>0.94214876033057848</v>
      </c>
      <c r="F3287" s="1" t="s">
        <v>415</v>
      </c>
      <c r="G3287" s="1" t="s">
        <v>24</v>
      </c>
      <c r="H3287" s="1">
        <v>35424</v>
      </c>
      <c r="I3287" s="1">
        <v>108318</v>
      </c>
      <c r="J3287" s="7">
        <v>0.32700000000000001</v>
      </c>
      <c r="K3287" s="1" t="s">
        <v>21</v>
      </c>
      <c r="L3287" s="1" t="s">
        <v>29</v>
      </c>
      <c r="M3287" s="1" t="s">
        <v>29</v>
      </c>
      <c r="N3287" s="1" t="s">
        <v>22</v>
      </c>
    </row>
    <row r="3288" spans="1:14" x14ac:dyDescent="0.25">
      <c r="A3288" s="1">
        <v>3287</v>
      </c>
      <c r="B3288" s="2" t="str">
        <f>HYPERLINK("https://leetcode.com/problems/find-the-maximum-sequence-value-of-array/", "Find the Maximum Sequence Value of Array")</f>
        <v>Find the Maximum Sequence Value of Array</v>
      </c>
      <c r="C3288" s="1">
        <v>88</v>
      </c>
      <c r="D3288" s="1">
        <v>9</v>
      </c>
      <c r="E3288" s="3">
        <f>IF(INDEX(C:C, ROW())+INDEX(D:D, ROW())=0, 0, INDEX(C:C, ROW())/(INDEX(C:C, ROW())+INDEX(D:D, ROW())))</f>
        <v>0.90721649484536082</v>
      </c>
      <c r="F3288" s="1" t="s">
        <v>508</v>
      </c>
      <c r="G3288" s="1" t="s">
        <v>28</v>
      </c>
      <c r="H3288" s="1">
        <v>5716</v>
      </c>
      <c r="I3288" s="1">
        <v>27169</v>
      </c>
      <c r="J3288" s="7">
        <v>0.21</v>
      </c>
      <c r="K3288" s="1" t="s">
        <v>21</v>
      </c>
      <c r="L3288" s="1" t="s">
        <v>29</v>
      </c>
      <c r="M3288" s="1" t="s">
        <v>29</v>
      </c>
      <c r="N3288" s="1" t="s">
        <v>22</v>
      </c>
    </row>
    <row r="3289" spans="1:14" x14ac:dyDescent="0.25">
      <c r="A3289" s="1">
        <v>3288</v>
      </c>
      <c r="B3289" s="2" t="str">
        <f>HYPERLINK("https://leetcode.com/problems/length-of-the-longest-increasing-path/", "Length of the Longest Increasing Path")</f>
        <v>Length of the Longest Increasing Path</v>
      </c>
      <c r="C3289" s="1">
        <v>102</v>
      </c>
      <c r="D3289" s="1">
        <v>2</v>
      </c>
      <c r="E3289" s="3">
        <f>IF(INDEX(C:C, ROW())+INDEX(D:D, ROW())=0, 0, INDEX(C:C, ROW())/(INDEX(C:C, ROW())+INDEX(D:D, ROW())))</f>
        <v>0.98076923076923073</v>
      </c>
      <c r="F3289" s="1" t="s">
        <v>367</v>
      </c>
      <c r="G3289" s="1" t="s">
        <v>28</v>
      </c>
      <c r="H3289" s="1">
        <v>5874</v>
      </c>
      <c r="I3289" s="1">
        <v>30654</v>
      </c>
      <c r="J3289" s="7">
        <v>0.192</v>
      </c>
      <c r="K3289" s="1" t="s">
        <v>21</v>
      </c>
      <c r="L3289" s="1" t="s">
        <v>29</v>
      </c>
      <c r="M3289" s="1" t="s">
        <v>29</v>
      </c>
      <c r="N3289" s="1" t="s">
        <v>22</v>
      </c>
    </row>
    <row r="3290" spans="1:14" x14ac:dyDescent="0.25">
      <c r="A3290" s="1">
        <v>3289</v>
      </c>
      <c r="B3290" s="2" t="str">
        <f>HYPERLINK("https://leetcode.com/problems/the-two-sneaky-numbers-of-digitville/", "The Two Sneaky Numbers of Digitville")</f>
        <v>The Two Sneaky Numbers of Digitville</v>
      </c>
      <c r="C3290" s="1">
        <v>521</v>
      </c>
      <c r="D3290" s="1">
        <v>22</v>
      </c>
      <c r="E3290" s="3">
        <f>IF(INDEX(C:C, ROW())+INDEX(D:D, ROW())=0, 0, INDEX(C:C, ROW())/(INDEX(C:C, ROW())+INDEX(D:D, ROW())))</f>
        <v>0.95948434622467771</v>
      </c>
      <c r="F3290" s="1" t="s">
        <v>741</v>
      </c>
      <c r="G3290" s="1" t="s">
        <v>20</v>
      </c>
      <c r="H3290" s="1">
        <v>247154</v>
      </c>
      <c r="I3290" s="1">
        <v>274920</v>
      </c>
      <c r="J3290" s="7">
        <v>0.89900000000000002</v>
      </c>
      <c r="K3290" s="1" t="s">
        <v>21</v>
      </c>
      <c r="L3290" s="1" t="s">
        <v>21</v>
      </c>
      <c r="M3290" s="1" t="s">
        <v>29</v>
      </c>
      <c r="N3290" s="1" t="s">
        <v>22</v>
      </c>
    </row>
    <row r="3291" spans="1:14" x14ac:dyDescent="0.25">
      <c r="A3291" s="1">
        <v>3290</v>
      </c>
      <c r="B3291" s="2" t="str">
        <f>HYPERLINK("https://leetcode.com/problems/maximum-multiplication-score/", "Maximum Multiplication Score")</f>
        <v>Maximum Multiplication Score</v>
      </c>
      <c r="C3291" s="1">
        <v>188</v>
      </c>
      <c r="D3291" s="1">
        <v>14</v>
      </c>
      <c r="E3291" s="3">
        <f>IF(INDEX(C:C, ROW())+INDEX(D:D, ROW())=0, 0, INDEX(C:C, ROW())/(INDEX(C:C, ROW())+INDEX(D:D, ROW())))</f>
        <v>0.93069306930693074</v>
      </c>
      <c r="F3291" s="1" t="s">
        <v>30</v>
      </c>
      <c r="G3291" s="1" t="s">
        <v>24</v>
      </c>
      <c r="H3291" s="1">
        <v>36236</v>
      </c>
      <c r="I3291" s="1">
        <v>87840</v>
      </c>
      <c r="J3291" s="7">
        <v>0.41299999999999998</v>
      </c>
      <c r="K3291" s="1" t="s">
        <v>21</v>
      </c>
      <c r="L3291" s="1" t="s">
        <v>29</v>
      </c>
      <c r="M3291" s="1" t="s">
        <v>29</v>
      </c>
      <c r="N3291" s="1" t="s">
        <v>22</v>
      </c>
    </row>
    <row r="3292" spans="1:14" x14ac:dyDescent="0.25">
      <c r="A3292" s="1">
        <v>3291</v>
      </c>
      <c r="B3292" s="2" t="str">
        <f>HYPERLINK("https://leetcode.com/problems/minimum-number-of-valid-strings-to-form-target-i/", "Minimum Number of Valid Strings to Form Target I")</f>
        <v>Minimum Number of Valid Strings to Form Target I</v>
      </c>
      <c r="C3292" s="1">
        <v>176</v>
      </c>
      <c r="D3292" s="1">
        <v>17</v>
      </c>
      <c r="E3292" s="3">
        <f>IF(INDEX(C:C, ROW())+INDEX(D:D, ROW())=0, 0, INDEX(C:C, ROW())/(INDEX(C:C, ROW())+INDEX(D:D, ROW())))</f>
        <v>0.91191709844559588</v>
      </c>
      <c r="F3292" s="1" t="s">
        <v>1115</v>
      </c>
      <c r="G3292" s="1" t="s">
        <v>24</v>
      </c>
      <c r="H3292" s="1">
        <v>14857</v>
      </c>
      <c r="I3292" s="1">
        <v>68505</v>
      </c>
      <c r="J3292" s="7">
        <v>0.217</v>
      </c>
      <c r="K3292" s="1" t="s">
        <v>21</v>
      </c>
      <c r="L3292" s="1" t="s">
        <v>29</v>
      </c>
      <c r="M3292" s="1" t="s">
        <v>29</v>
      </c>
      <c r="N3292" s="1" t="s">
        <v>22</v>
      </c>
    </row>
    <row r="3293" spans="1:14" x14ac:dyDescent="0.25">
      <c r="A3293" s="1">
        <v>3292</v>
      </c>
      <c r="B3293" s="2" t="str">
        <f>HYPERLINK("https://leetcode.com/problems/minimum-number-of-valid-strings-to-form-target-ii/", "Minimum Number of Valid Strings to Form Target II")</f>
        <v>Minimum Number of Valid Strings to Form Target II</v>
      </c>
      <c r="C3293" s="1">
        <v>85</v>
      </c>
      <c r="D3293" s="1">
        <v>10</v>
      </c>
      <c r="E3293" s="3">
        <f>IF(INDEX(C:C, ROW())+INDEX(D:D, ROW())=0, 0, INDEX(C:C, ROW())/(INDEX(C:C, ROW())+INDEX(D:D, ROW())))</f>
        <v>0.89473684210526316</v>
      </c>
      <c r="F3293" s="1" t="s">
        <v>1198</v>
      </c>
      <c r="G3293" s="1" t="s">
        <v>28</v>
      </c>
      <c r="H3293" s="1">
        <v>5438</v>
      </c>
      <c r="I3293" s="1">
        <v>26712</v>
      </c>
      <c r="J3293" s="7">
        <v>0.20399999999999999</v>
      </c>
      <c r="K3293" s="1" t="s">
        <v>21</v>
      </c>
      <c r="L3293" s="1" t="s">
        <v>29</v>
      </c>
      <c r="M3293" s="1" t="s">
        <v>29</v>
      </c>
      <c r="N3293" s="1" t="s">
        <v>22</v>
      </c>
    </row>
    <row r="3294" spans="1:14" x14ac:dyDescent="0.25">
      <c r="A3294" s="1">
        <v>3293</v>
      </c>
      <c r="B3294" s="2" t="str">
        <f>HYPERLINK("https://leetcode.com/problems/calculate-product-final-price/", "Calculate Product Final Price")</f>
        <v>Calculate Product Final Price</v>
      </c>
      <c r="C3294" s="1">
        <v>10</v>
      </c>
      <c r="D3294" s="1">
        <v>1</v>
      </c>
      <c r="E3294" s="3">
        <f>IF(INDEX(C:C, ROW())+INDEX(D:D, ROW())=0, 0, INDEX(C:C, ROW())/(INDEX(C:C, ROW())+INDEX(D:D, ROW())))</f>
        <v>0.90909090909090906</v>
      </c>
      <c r="F3294" s="1" t="s">
        <v>297</v>
      </c>
      <c r="G3294" s="1" t="s">
        <v>24</v>
      </c>
      <c r="H3294" s="1">
        <v>2740</v>
      </c>
      <c r="I3294" s="1">
        <v>3471</v>
      </c>
      <c r="J3294" s="7">
        <v>0.78900000000000003</v>
      </c>
      <c r="K3294" s="1" t="s">
        <v>29</v>
      </c>
      <c r="L3294" s="1" t="s">
        <v>29</v>
      </c>
      <c r="M3294" s="1" t="s">
        <v>29</v>
      </c>
      <c r="N3294" s="1" t="s">
        <v>297</v>
      </c>
    </row>
    <row r="3295" spans="1:14" x14ac:dyDescent="0.25">
      <c r="A3295" s="1">
        <v>3294</v>
      </c>
      <c r="B3295" s="2" t="str">
        <f>HYPERLINK("https://leetcode.com/problems/convert-doubly-linked-list-to-array-ii/", "Convert Doubly Linked List to Array II")</f>
        <v>Convert Doubly Linked List to Array II</v>
      </c>
      <c r="C3295" s="1">
        <v>9</v>
      </c>
      <c r="D3295" s="1">
        <v>5</v>
      </c>
      <c r="E3295" s="3">
        <f>IF(INDEX(C:C, ROW())+INDEX(D:D, ROW())=0, 0, INDEX(C:C, ROW())/(INDEX(C:C, ROW())+INDEX(D:D, ROW())))</f>
        <v>0.6428571428571429</v>
      </c>
      <c r="F3295" s="1" t="s">
        <v>1317</v>
      </c>
      <c r="G3295" s="1" t="s">
        <v>24</v>
      </c>
      <c r="H3295" s="1">
        <v>3297</v>
      </c>
      <c r="I3295" s="1">
        <v>3997</v>
      </c>
      <c r="J3295" s="7">
        <v>0.82499999999999996</v>
      </c>
      <c r="K3295" s="1" t="s">
        <v>29</v>
      </c>
      <c r="L3295" s="1" t="s">
        <v>29</v>
      </c>
      <c r="M3295" s="1" t="s">
        <v>29</v>
      </c>
      <c r="N3295" s="1" t="s">
        <v>22</v>
      </c>
    </row>
    <row r="3296" spans="1:14" x14ac:dyDescent="0.25">
      <c r="A3296" s="1">
        <v>3295</v>
      </c>
      <c r="B3296" s="2" t="str">
        <f>HYPERLINK("https://leetcode.com/problems/report-spam-message/", "Report Spam Message")</f>
        <v>Report Spam Message</v>
      </c>
      <c r="C3296" s="1">
        <v>96</v>
      </c>
      <c r="D3296" s="1">
        <v>25</v>
      </c>
      <c r="E3296" s="3">
        <f>IF(INDEX(C:C, ROW())+INDEX(D:D, ROW())=0, 0, INDEX(C:C, ROW())/(INDEX(C:C, ROW())+INDEX(D:D, ROW())))</f>
        <v>0.79338842975206614</v>
      </c>
      <c r="F3296" s="1" t="s">
        <v>258</v>
      </c>
      <c r="G3296" s="1" t="s">
        <v>24</v>
      </c>
      <c r="H3296" s="1">
        <v>57017</v>
      </c>
      <c r="I3296" s="1">
        <v>117523</v>
      </c>
      <c r="J3296" s="7">
        <v>0.48499999999999999</v>
      </c>
      <c r="K3296" s="1" t="s">
        <v>21</v>
      </c>
      <c r="L3296" s="1" t="s">
        <v>29</v>
      </c>
      <c r="M3296" s="1" t="s">
        <v>29</v>
      </c>
      <c r="N3296" s="1" t="s">
        <v>22</v>
      </c>
    </row>
    <row r="3297" spans="1:14" x14ac:dyDescent="0.25">
      <c r="A3297" s="1">
        <v>3296</v>
      </c>
      <c r="B3297" s="2" t="str">
        <f>HYPERLINK("https://leetcode.com/problems/minimum-number-of-seconds-to-make-mountain-height-zero/", "Minimum Number of Seconds to Make Mountain Height Zero")</f>
        <v>Minimum Number of Seconds to Make Mountain Height Zero</v>
      </c>
      <c r="C3297" s="1">
        <v>232</v>
      </c>
      <c r="D3297" s="1">
        <v>35</v>
      </c>
      <c r="E3297" s="3">
        <f>IF(INDEX(C:C, ROW())+INDEX(D:D, ROW())=0, 0, INDEX(C:C, ROW())/(INDEX(C:C, ROW())+INDEX(D:D, ROW())))</f>
        <v>0.86891385767790263</v>
      </c>
      <c r="F3297" s="1" t="s">
        <v>1079</v>
      </c>
      <c r="G3297" s="1" t="s">
        <v>24</v>
      </c>
      <c r="H3297" s="1">
        <v>25219</v>
      </c>
      <c r="I3297" s="1">
        <v>68346</v>
      </c>
      <c r="J3297" s="7">
        <v>0.36899999999999999</v>
      </c>
      <c r="K3297" s="1" t="s">
        <v>21</v>
      </c>
      <c r="L3297" s="1" t="s">
        <v>29</v>
      </c>
      <c r="M3297" s="1" t="s">
        <v>29</v>
      </c>
      <c r="N3297" s="1" t="s">
        <v>22</v>
      </c>
    </row>
    <row r="3298" spans="1:14" x14ac:dyDescent="0.25">
      <c r="A3298" s="1">
        <v>3297</v>
      </c>
      <c r="B3298" s="2" t="str">
        <f>HYPERLINK("https://leetcode.com/problems/count-substrings-that-can-be-rearranged-to-contain-a-string-i/", "Count Substrings That Can Be Rearranged to Contain a String I")</f>
        <v>Count Substrings That Can Be Rearranged to Contain a String I</v>
      </c>
      <c r="C3298" s="1">
        <v>122</v>
      </c>
      <c r="D3298" s="1">
        <v>26</v>
      </c>
      <c r="E3298" s="3">
        <f>IF(INDEX(C:C, ROW())+INDEX(D:D, ROW())=0, 0, INDEX(C:C, ROW())/(INDEX(C:C, ROW())+INDEX(D:D, ROW())))</f>
        <v>0.82432432432432434</v>
      </c>
      <c r="F3298" s="1" t="s">
        <v>23</v>
      </c>
      <c r="G3298" s="1" t="s">
        <v>24</v>
      </c>
      <c r="H3298" s="1">
        <v>19303</v>
      </c>
      <c r="I3298" s="1">
        <v>45252</v>
      </c>
      <c r="J3298" s="7">
        <v>0.42699999999999999</v>
      </c>
      <c r="K3298" s="1" t="s">
        <v>21</v>
      </c>
      <c r="L3298" s="1" t="s">
        <v>29</v>
      </c>
      <c r="M3298" s="1" t="s">
        <v>29</v>
      </c>
      <c r="N3298" s="1" t="s">
        <v>22</v>
      </c>
    </row>
    <row r="3299" spans="1:14" x14ac:dyDescent="0.25">
      <c r="A3299" s="1">
        <v>3298</v>
      </c>
      <c r="B3299" s="2" t="str">
        <f>HYPERLINK("https://leetcode.com/problems/count-substrings-that-can-be-rearranged-to-contain-a-string-ii/", "Count Substrings That Can Be Rearranged to Contain a String II")</f>
        <v>Count Substrings That Can Be Rearranged to Contain a String II</v>
      </c>
      <c r="C3299" s="1">
        <v>89</v>
      </c>
      <c r="D3299" s="1">
        <v>5</v>
      </c>
      <c r="E3299" s="3">
        <f>IF(INDEX(C:C, ROW())+INDEX(D:D, ROW())=0, 0, INDEX(C:C, ROW())/(INDEX(C:C, ROW())+INDEX(D:D, ROW())))</f>
        <v>0.94680851063829785</v>
      </c>
      <c r="F3299" s="1" t="s">
        <v>23</v>
      </c>
      <c r="G3299" s="1" t="s">
        <v>28</v>
      </c>
      <c r="H3299" s="1">
        <v>16911</v>
      </c>
      <c r="I3299" s="1">
        <v>30193</v>
      </c>
      <c r="J3299" s="7">
        <v>0.56000000000000005</v>
      </c>
      <c r="K3299" s="1" t="s">
        <v>21</v>
      </c>
      <c r="L3299" s="1" t="s">
        <v>29</v>
      </c>
      <c r="M3299" s="1" t="s">
        <v>29</v>
      </c>
      <c r="N3299" s="1" t="s">
        <v>22</v>
      </c>
    </row>
    <row r="3300" spans="1:14" x14ac:dyDescent="0.25">
      <c r="A3300" s="1">
        <v>3299</v>
      </c>
      <c r="B3300" s="2" t="str">
        <f>HYPERLINK("https://leetcode.com/problems/sum-of-consecutive-subsequences/", "Sum of Consecutive Subsequences")</f>
        <v>Sum of Consecutive Subsequences</v>
      </c>
      <c r="C3300" s="1">
        <v>7</v>
      </c>
      <c r="D3300" s="1">
        <v>1</v>
      </c>
      <c r="E3300" s="3">
        <f>IF(INDEX(C:C, ROW())+INDEX(D:D, ROW())=0, 0, INDEX(C:C, ROW())/(INDEX(C:C, ROW())+INDEX(D:D, ROW())))</f>
        <v>0.875</v>
      </c>
      <c r="F3300" s="1" t="s">
        <v>174</v>
      </c>
      <c r="G3300" s="1" t="s">
        <v>28</v>
      </c>
      <c r="H3300" s="1">
        <v>523</v>
      </c>
      <c r="I3300" s="1">
        <v>1212</v>
      </c>
      <c r="J3300" s="7">
        <v>0.432</v>
      </c>
      <c r="K3300" s="1" t="s">
        <v>29</v>
      </c>
      <c r="L3300" s="1" t="s">
        <v>29</v>
      </c>
      <c r="M3300" s="1" t="s">
        <v>29</v>
      </c>
      <c r="N3300" s="1" t="s">
        <v>22</v>
      </c>
    </row>
    <row r="3301" spans="1:14" x14ac:dyDescent="0.25">
      <c r="A3301" s="1">
        <v>3300</v>
      </c>
      <c r="B3301" s="2" t="str">
        <f>HYPERLINK("https://leetcode.com/problems/minimum-element-after-replacement-with-digit-sum/", "Minimum Element After Replacement With Digit Sum")</f>
        <v>Minimum Element After Replacement With Digit Sum</v>
      </c>
      <c r="C3301" s="1">
        <v>101</v>
      </c>
      <c r="D3301" s="1">
        <v>4</v>
      </c>
      <c r="E3301" s="3">
        <f>IF(INDEX(C:C, ROW())+INDEX(D:D, ROW())=0, 0, INDEX(C:C, ROW())/(INDEX(C:C, ROW())+INDEX(D:D, ROW())))</f>
        <v>0.96190476190476193</v>
      </c>
      <c r="F3301" s="1" t="s">
        <v>115</v>
      </c>
      <c r="G3301" s="1" t="s">
        <v>20</v>
      </c>
      <c r="H3301" s="1">
        <v>69963</v>
      </c>
      <c r="I3301" s="1">
        <v>82653</v>
      </c>
      <c r="J3301" s="7">
        <v>0.84599999999999997</v>
      </c>
      <c r="K3301" s="1" t="s">
        <v>21</v>
      </c>
      <c r="L3301" s="1" t="s">
        <v>29</v>
      </c>
      <c r="M3301" s="1" t="s">
        <v>29</v>
      </c>
      <c r="N3301" s="1" t="s">
        <v>22</v>
      </c>
    </row>
    <row r="3302" spans="1:14" x14ac:dyDescent="0.25">
      <c r="A3302" s="1">
        <v>3301</v>
      </c>
      <c r="B3302" s="2" t="str">
        <f>HYPERLINK("https://leetcode.com/problems/maximize-the-total-height-of-unique-towers/", "Maximize the Total Height of Unique Towers")</f>
        <v>Maximize the Total Height of Unique Towers</v>
      </c>
      <c r="C3302" s="1">
        <v>129</v>
      </c>
      <c r="D3302" s="1">
        <v>8</v>
      </c>
      <c r="E3302" s="3">
        <f>IF(INDEX(C:C, ROW())+INDEX(D:D, ROW())=0, 0, INDEX(C:C, ROW())/(INDEX(C:C, ROW())+INDEX(D:D, ROW())))</f>
        <v>0.94160583941605835</v>
      </c>
      <c r="F3302" s="1" t="s">
        <v>169</v>
      </c>
      <c r="G3302" s="1" t="s">
        <v>24</v>
      </c>
      <c r="H3302" s="1">
        <v>34452</v>
      </c>
      <c r="I3302" s="1">
        <v>92420</v>
      </c>
      <c r="J3302" s="7">
        <v>0.373</v>
      </c>
      <c r="K3302" s="1" t="s">
        <v>21</v>
      </c>
      <c r="L3302" s="1" t="s">
        <v>29</v>
      </c>
      <c r="M3302" s="1" t="s">
        <v>29</v>
      </c>
      <c r="N3302" s="1" t="s">
        <v>22</v>
      </c>
    </row>
    <row r="3303" spans="1:14" x14ac:dyDescent="0.25">
      <c r="A3303" s="1">
        <v>3302</v>
      </c>
      <c r="B3303" s="2" t="str">
        <f>HYPERLINK("https://leetcode.com/problems/find-the-lexicographically-smallest-valid-sequence/", "Find the Lexicographically Smallest Valid Sequence")</f>
        <v>Find the Lexicographically Smallest Valid Sequence</v>
      </c>
      <c r="C3303" s="1">
        <v>159</v>
      </c>
      <c r="D3303" s="1">
        <v>33</v>
      </c>
      <c r="E3303" s="3">
        <f>IF(INDEX(C:C, ROW())+INDEX(D:D, ROW())=0, 0, INDEX(C:C, ROW())/(INDEX(C:C, ROW())+INDEX(D:D, ROW())))</f>
        <v>0.828125</v>
      </c>
      <c r="F3303" s="1" t="s">
        <v>920</v>
      </c>
      <c r="G3303" s="1" t="s">
        <v>24</v>
      </c>
      <c r="H3303" s="1">
        <v>7506</v>
      </c>
      <c r="I3303" s="1">
        <v>34728</v>
      </c>
      <c r="J3303" s="7">
        <v>0.216</v>
      </c>
      <c r="K3303" s="1" t="s">
        <v>21</v>
      </c>
      <c r="L3303" s="1" t="s">
        <v>29</v>
      </c>
      <c r="M3303" s="1" t="s">
        <v>29</v>
      </c>
      <c r="N3303" s="1" t="s">
        <v>22</v>
      </c>
    </row>
    <row r="3304" spans="1:14" x14ac:dyDescent="0.25">
      <c r="A3304" s="1">
        <v>3303</v>
      </c>
      <c r="B3304" s="2" t="str">
        <f>HYPERLINK("https://leetcode.com/problems/find-the-occurrence-of-first-almost-equal-substring/", "Find the Occurrence of First Almost Equal Substring")</f>
        <v>Find the Occurrence of First Almost Equal Substring</v>
      </c>
      <c r="C3304" s="1">
        <v>74</v>
      </c>
      <c r="D3304" s="1">
        <v>9</v>
      </c>
      <c r="E3304" s="3">
        <f>IF(INDEX(C:C, ROW())+INDEX(D:D, ROW())=0, 0, INDEX(C:C, ROW())/(INDEX(C:C, ROW())+INDEX(D:D, ROW())))</f>
        <v>0.89156626506024095</v>
      </c>
      <c r="F3304" s="1" t="s">
        <v>207</v>
      </c>
      <c r="G3304" s="1" t="s">
        <v>28</v>
      </c>
      <c r="H3304" s="1">
        <v>5373</v>
      </c>
      <c r="I3304" s="1">
        <v>35110</v>
      </c>
      <c r="J3304" s="7">
        <v>0.153</v>
      </c>
      <c r="K3304" s="1" t="s">
        <v>21</v>
      </c>
      <c r="L3304" s="1" t="s">
        <v>29</v>
      </c>
      <c r="M3304" s="1" t="s">
        <v>29</v>
      </c>
      <c r="N3304" s="1" t="s">
        <v>22</v>
      </c>
    </row>
    <row r="3305" spans="1:14" x14ac:dyDescent="0.25">
      <c r="A3305" s="1">
        <v>3304</v>
      </c>
      <c r="B3305" s="2" t="str">
        <f>HYPERLINK("https://leetcode.com/problems/find-the-k-th-character-in-string-game-i/", "Find the K-th Character in String Game I")</f>
        <v>Find the K-th Character in String Game I</v>
      </c>
      <c r="C3305" s="1">
        <v>645</v>
      </c>
      <c r="D3305" s="1">
        <v>136</v>
      </c>
      <c r="E3305" s="3">
        <f>IF(INDEX(C:C, ROW())+INDEX(D:D, ROW())=0, 0, INDEX(C:C, ROW())/(INDEX(C:C, ROW())+INDEX(D:D, ROW())))</f>
        <v>0.82586427656850192</v>
      </c>
      <c r="F3305" s="1" t="s">
        <v>825</v>
      </c>
      <c r="G3305" s="1" t="s">
        <v>20</v>
      </c>
      <c r="H3305" s="1">
        <v>210457</v>
      </c>
      <c r="I3305" s="1">
        <v>257817</v>
      </c>
      <c r="J3305" s="7">
        <v>0.81599999999999995</v>
      </c>
      <c r="K3305" s="1" t="s">
        <v>21</v>
      </c>
      <c r="L3305" s="1" t="s">
        <v>21</v>
      </c>
      <c r="M3305" s="1" t="s">
        <v>29</v>
      </c>
      <c r="N3305" s="1" t="s">
        <v>22</v>
      </c>
    </row>
    <row r="3306" spans="1:14" x14ac:dyDescent="0.25">
      <c r="A3306" s="1">
        <v>3305</v>
      </c>
      <c r="B3306" s="2" t="str">
        <f>HYPERLINK("https://leetcode.com/problems/count-of-substrings-containing-every-vowel-and-k-consonants-i/", "Count of Substrings Containing Every Vowel and K Consonants I")</f>
        <v>Count of Substrings Containing Every Vowel and K Consonants I</v>
      </c>
      <c r="C3306" s="1">
        <v>141</v>
      </c>
      <c r="D3306" s="1">
        <v>13</v>
      </c>
      <c r="E3306" s="3">
        <f>IF(INDEX(C:C, ROW())+INDEX(D:D, ROW())=0, 0, INDEX(C:C, ROW())/(INDEX(C:C, ROW())+INDEX(D:D, ROW())))</f>
        <v>0.91558441558441561</v>
      </c>
      <c r="F3306" s="1" t="s">
        <v>23</v>
      </c>
      <c r="G3306" s="1" t="s">
        <v>24</v>
      </c>
      <c r="H3306" s="1">
        <v>32448</v>
      </c>
      <c r="I3306" s="1">
        <v>77809</v>
      </c>
      <c r="J3306" s="7">
        <v>0.41699999999999998</v>
      </c>
      <c r="K3306" s="1" t="s">
        <v>21</v>
      </c>
      <c r="L3306" s="1" t="s">
        <v>29</v>
      </c>
      <c r="M3306" s="1" t="s">
        <v>29</v>
      </c>
      <c r="N3306" s="1" t="s">
        <v>22</v>
      </c>
    </row>
    <row r="3307" spans="1:14" x14ac:dyDescent="0.25">
      <c r="A3307" s="1">
        <v>3306</v>
      </c>
      <c r="B3307" s="2" t="str">
        <f>HYPERLINK("https://leetcode.com/problems/count-of-substrings-containing-every-vowel-and-k-consonants-ii/", "Count of Substrings Containing Every Vowel and K Consonants II")</f>
        <v>Count of Substrings Containing Every Vowel and K Consonants II</v>
      </c>
      <c r="C3307" s="1">
        <v>991</v>
      </c>
      <c r="D3307" s="1">
        <v>148</v>
      </c>
      <c r="E3307" s="3">
        <f>IF(INDEX(C:C, ROW())+INDEX(D:D, ROW())=0, 0, INDEX(C:C, ROW())/(INDEX(C:C, ROW())+INDEX(D:D, ROW())))</f>
        <v>0.87006145741878838</v>
      </c>
      <c r="F3307" s="1" t="s">
        <v>23</v>
      </c>
      <c r="G3307" s="1" t="s">
        <v>24</v>
      </c>
      <c r="H3307" s="1">
        <v>113947</v>
      </c>
      <c r="I3307" s="1">
        <v>280466</v>
      </c>
      <c r="J3307" s="7">
        <v>0.40600000000000003</v>
      </c>
      <c r="K3307" s="1" t="s">
        <v>21</v>
      </c>
      <c r="L3307" s="1" t="s">
        <v>21</v>
      </c>
      <c r="M3307" s="1" t="s">
        <v>29</v>
      </c>
      <c r="N3307" s="1" t="s">
        <v>22</v>
      </c>
    </row>
    <row r="3308" spans="1:14" x14ac:dyDescent="0.25">
      <c r="A3308" s="1">
        <v>3307</v>
      </c>
      <c r="B3308" s="2" t="str">
        <f>HYPERLINK("https://leetcode.com/problems/find-the-k-th-character-in-string-game-ii/", "Find the K-th Character in String Game II")</f>
        <v>Find the K-th Character in String Game II</v>
      </c>
      <c r="C3308" s="1">
        <v>523</v>
      </c>
      <c r="D3308" s="1">
        <v>31</v>
      </c>
      <c r="E3308" s="3">
        <f>IF(INDEX(C:C, ROW())+INDEX(D:D, ROW())=0, 0, INDEX(C:C, ROW())/(INDEX(C:C, ROW())+INDEX(D:D, ROW())))</f>
        <v>0.94404332129963897</v>
      </c>
      <c r="F3308" s="1" t="s">
        <v>172</v>
      </c>
      <c r="G3308" s="1" t="s">
        <v>28</v>
      </c>
      <c r="H3308" s="1">
        <v>87366</v>
      </c>
      <c r="I3308" s="1">
        <v>179966</v>
      </c>
      <c r="J3308" s="7">
        <v>0.48499999999999999</v>
      </c>
      <c r="K3308" s="1" t="s">
        <v>21</v>
      </c>
      <c r="L3308" s="1" t="s">
        <v>21</v>
      </c>
      <c r="M3308" s="1" t="s">
        <v>29</v>
      </c>
      <c r="N3308" s="1" t="s">
        <v>22</v>
      </c>
    </row>
    <row r="3309" spans="1:14" x14ac:dyDescent="0.25">
      <c r="A3309" s="1">
        <v>3308</v>
      </c>
      <c r="B3309" s="2" t="str">
        <f>HYPERLINK("https://leetcode.com/problems/find-top-performing-driver/", "Find Top Performing Driver")</f>
        <v>Find Top Performing Driver</v>
      </c>
      <c r="C3309" s="1">
        <v>7</v>
      </c>
      <c r="D3309" s="1">
        <v>2</v>
      </c>
      <c r="E3309" s="3">
        <f>IF(INDEX(C:C, ROW())+INDEX(D:D, ROW())=0, 0, INDEX(C:C, ROW())/(INDEX(C:C, ROW())+INDEX(D:D, ROW())))</f>
        <v>0.77777777777777779</v>
      </c>
      <c r="F3309" s="1" t="s">
        <v>297</v>
      </c>
      <c r="G3309" s="1" t="s">
        <v>24</v>
      </c>
      <c r="H3309" s="1">
        <v>2432</v>
      </c>
      <c r="I3309" s="1">
        <v>4951</v>
      </c>
      <c r="J3309" s="7">
        <v>0.49099999999999999</v>
      </c>
      <c r="K3309" s="1" t="s">
        <v>29</v>
      </c>
      <c r="L3309" s="1" t="s">
        <v>29</v>
      </c>
      <c r="M3309" s="1" t="s">
        <v>29</v>
      </c>
      <c r="N3309" s="1" t="s">
        <v>297</v>
      </c>
    </row>
    <row r="3310" spans="1:14" x14ac:dyDescent="0.25">
      <c r="A3310" s="1">
        <v>3309</v>
      </c>
      <c r="B3310" s="2" t="str">
        <f>HYPERLINK("https://leetcode.com/problems/maximum-possible-number-by-binary-concatenation/", "Maximum Possible Number by Binary Concatenation")</f>
        <v>Maximum Possible Number by Binary Concatenation</v>
      </c>
      <c r="C3310" s="1">
        <v>107</v>
      </c>
      <c r="D3310" s="1">
        <v>7</v>
      </c>
      <c r="E3310" s="3">
        <f>IF(INDEX(C:C, ROW())+INDEX(D:D, ROW())=0, 0, INDEX(C:C, ROW())/(INDEX(C:C, ROW())+INDEX(D:D, ROW())))</f>
        <v>0.93859649122807021</v>
      </c>
      <c r="F3310" s="1" t="s">
        <v>1175</v>
      </c>
      <c r="G3310" s="1" t="s">
        <v>24</v>
      </c>
      <c r="H3310" s="1">
        <v>36016</v>
      </c>
      <c r="I3310" s="1">
        <v>55167</v>
      </c>
      <c r="J3310" s="7">
        <v>0.65300000000000002</v>
      </c>
      <c r="K3310" s="1" t="s">
        <v>21</v>
      </c>
      <c r="L3310" s="1" t="s">
        <v>29</v>
      </c>
      <c r="M3310" s="1" t="s">
        <v>29</v>
      </c>
      <c r="N3310" s="1" t="s">
        <v>22</v>
      </c>
    </row>
    <row r="3311" spans="1:14" x14ac:dyDescent="0.25">
      <c r="A3311" s="1">
        <v>3310</v>
      </c>
      <c r="B3311" s="2" t="str">
        <f>HYPERLINK("https://leetcode.com/problems/remove-methods-from-project/", "Remove Methods From Project")</f>
        <v>Remove Methods From Project</v>
      </c>
      <c r="C3311" s="1">
        <v>156</v>
      </c>
      <c r="D3311" s="1">
        <v>57</v>
      </c>
      <c r="E3311" s="3">
        <f>IF(INDEX(C:C, ROW())+INDEX(D:D, ROW())=0, 0, INDEX(C:C, ROW())/(INDEX(C:C, ROW())+INDEX(D:D, ROW())))</f>
        <v>0.73239436619718312</v>
      </c>
      <c r="F3311" s="1" t="s">
        <v>212</v>
      </c>
      <c r="G3311" s="1" t="s">
        <v>24</v>
      </c>
      <c r="H3311" s="1">
        <v>26634</v>
      </c>
      <c r="I3311" s="1">
        <v>52851</v>
      </c>
      <c r="J3311" s="7">
        <v>0.504</v>
      </c>
      <c r="K3311" s="1" t="s">
        <v>21</v>
      </c>
      <c r="L3311" s="1" t="s">
        <v>29</v>
      </c>
      <c r="M3311" s="1" t="s">
        <v>29</v>
      </c>
      <c r="N3311" s="1" t="s">
        <v>22</v>
      </c>
    </row>
    <row r="3312" spans="1:14" x14ac:dyDescent="0.25">
      <c r="A3312" s="1">
        <v>3311</v>
      </c>
      <c r="B3312" s="2" t="str">
        <f>HYPERLINK("https://leetcode.com/problems/construct-2d-grid-matching-graph-layout/", "Construct 2D Grid Matching Graph Layout")</f>
        <v>Construct 2D Grid Matching Graph Layout</v>
      </c>
      <c r="C3312" s="1">
        <v>80</v>
      </c>
      <c r="D3312" s="1">
        <v>12</v>
      </c>
      <c r="E3312" s="3">
        <f>IF(INDEX(C:C, ROW())+INDEX(D:D, ROW())=0, 0, INDEX(C:C, ROW())/(INDEX(C:C, ROW())+INDEX(D:D, ROW())))</f>
        <v>0.86956521739130432</v>
      </c>
      <c r="F3312" s="1" t="s">
        <v>1206</v>
      </c>
      <c r="G3312" s="1" t="s">
        <v>28</v>
      </c>
      <c r="H3312" s="1">
        <v>4427</v>
      </c>
      <c r="I3312" s="1">
        <v>14966</v>
      </c>
      <c r="J3312" s="7">
        <v>0.29599999999999999</v>
      </c>
      <c r="K3312" s="1" t="s">
        <v>21</v>
      </c>
      <c r="L3312" s="1" t="s">
        <v>29</v>
      </c>
      <c r="M3312" s="1" t="s">
        <v>29</v>
      </c>
      <c r="N3312" s="1" t="s">
        <v>22</v>
      </c>
    </row>
    <row r="3313" spans="1:14" x14ac:dyDescent="0.25">
      <c r="A3313" s="1">
        <v>3312</v>
      </c>
      <c r="B3313" s="2" t="str">
        <f>HYPERLINK("https://leetcode.com/problems/sorted-gcd-pair-queries/", "Sorted GCD Pair Queries")</f>
        <v>Sorted GCD Pair Queries</v>
      </c>
      <c r="C3313" s="1">
        <v>100</v>
      </c>
      <c r="D3313" s="1">
        <v>5</v>
      </c>
      <c r="E3313" s="3">
        <f>IF(INDEX(C:C, ROW())+INDEX(D:D, ROW())=0, 0, INDEX(C:C, ROW())/(INDEX(C:C, ROW())+INDEX(D:D, ROW())))</f>
        <v>0.95238095238095233</v>
      </c>
      <c r="F3313" s="1" t="s">
        <v>1186</v>
      </c>
      <c r="G3313" s="1" t="s">
        <v>28</v>
      </c>
      <c r="H3313" s="1">
        <v>5787</v>
      </c>
      <c r="I3313" s="1">
        <v>25948</v>
      </c>
      <c r="J3313" s="7">
        <v>0.223</v>
      </c>
      <c r="K3313" s="1" t="s">
        <v>21</v>
      </c>
      <c r="L3313" s="1" t="s">
        <v>29</v>
      </c>
      <c r="M3313" s="1" t="s">
        <v>29</v>
      </c>
      <c r="N3313" s="1" t="s">
        <v>22</v>
      </c>
    </row>
    <row r="3314" spans="1:14" x14ac:dyDescent="0.25">
      <c r="A3314" s="1">
        <v>3313</v>
      </c>
      <c r="B3314" s="2" t="str">
        <f>HYPERLINK("https://leetcode.com/problems/find-the-last-marked-nodes-in-tree/", "Find the Last Marked Nodes in Tree")</f>
        <v>Find the Last Marked Nodes in Tree</v>
      </c>
      <c r="C3314" s="1">
        <v>7</v>
      </c>
      <c r="D3314" s="1">
        <v>1</v>
      </c>
      <c r="E3314" s="3">
        <f>IF(INDEX(C:C, ROW())+INDEX(D:D, ROW())=0, 0, INDEX(C:C, ROW())/(INDEX(C:C, ROW())+INDEX(D:D, ROW())))</f>
        <v>0.875</v>
      </c>
      <c r="F3314" s="1" t="s">
        <v>726</v>
      </c>
      <c r="G3314" s="1" t="s">
        <v>28</v>
      </c>
      <c r="H3314" s="1">
        <v>623</v>
      </c>
      <c r="I3314" s="1">
        <v>1122</v>
      </c>
      <c r="J3314" s="7">
        <v>0.55500000000000005</v>
      </c>
      <c r="K3314" s="1" t="s">
        <v>29</v>
      </c>
      <c r="L3314" s="1" t="s">
        <v>29</v>
      </c>
      <c r="M3314" s="1" t="s">
        <v>29</v>
      </c>
      <c r="N3314" s="1" t="s">
        <v>22</v>
      </c>
    </row>
    <row r="3315" spans="1:14" x14ac:dyDescent="0.25">
      <c r="A3315" s="1">
        <v>3314</v>
      </c>
      <c r="B3315" s="2" t="str">
        <f>HYPERLINK("https://leetcode.com/problems/construct-the-minimum-bitwise-array-i/", "Construct the Minimum Bitwise Array I")</f>
        <v>Construct the Minimum Bitwise Array I</v>
      </c>
      <c r="C3315" s="1">
        <v>414</v>
      </c>
      <c r="D3315" s="1">
        <v>52</v>
      </c>
      <c r="E3315" s="3">
        <f>IF(INDEX(C:C, ROW())+INDEX(D:D, ROW())=0, 0, INDEX(C:C, ROW())/(INDEX(C:C, ROW())+INDEX(D:D, ROW())))</f>
        <v>0.88841201716738194</v>
      </c>
      <c r="F3315" s="1" t="s">
        <v>65</v>
      </c>
      <c r="G3315" s="1" t="s">
        <v>20</v>
      </c>
      <c r="H3315" s="1">
        <v>135280</v>
      </c>
      <c r="I3315" s="1">
        <v>158634</v>
      </c>
      <c r="J3315" s="7">
        <v>0.85299999999999998</v>
      </c>
      <c r="K3315" s="1" t="s">
        <v>21</v>
      </c>
      <c r="L3315" s="1" t="s">
        <v>21</v>
      </c>
      <c r="M3315" s="1" t="s">
        <v>29</v>
      </c>
      <c r="N3315" s="1" t="s">
        <v>22</v>
      </c>
    </row>
    <row r="3316" spans="1:14" x14ac:dyDescent="0.25">
      <c r="A3316" s="1">
        <v>3315</v>
      </c>
      <c r="B3316" s="2" t="str">
        <f>HYPERLINK("https://leetcode.com/problems/construct-the-minimum-bitwise-array-ii/", "Construct the Minimum Bitwise Array II")</f>
        <v>Construct the Minimum Bitwise Array II</v>
      </c>
      <c r="C3316" s="1">
        <v>354</v>
      </c>
      <c r="D3316" s="1">
        <v>25</v>
      </c>
      <c r="E3316" s="3">
        <f>IF(INDEX(C:C, ROW())+INDEX(D:D, ROW())=0, 0, INDEX(C:C, ROW())/(INDEX(C:C, ROW())+INDEX(D:D, ROW())))</f>
        <v>0.93403693931398413</v>
      </c>
      <c r="F3316" s="1" t="s">
        <v>65</v>
      </c>
      <c r="G3316" s="1" t="s">
        <v>24</v>
      </c>
      <c r="H3316" s="1">
        <v>101789</v>
      </c>
      <c r="I3316" s="1">
        <v>153133</v>
      </c>
      <c r="J3316" s="7">
        <v>0.66500000000000004</v>
      </c>
      <c r="K3316" s="1" t="s">
        <v>21</v>
      </c>
      <c r="L3316" s="1" t="s">
        <v>21</v>
      </c>
      <c r="M3316" s="1" t="s">
        <v>29</v>
      </c>
      <c r="N3316" s="1" t="s">
        <v>22</v>
      </c>
    </row>
    <row r="3317" spans="1:14" x14ac:dyDescent="0.25">
      <c r="A3317" s="1">
        <v>3316</v>
      </c>
      <c r="B3317" s="2" t="str">
        <f>HYPERLINK("https://leetcode.com/problems/find-maximum-removals-from-source-string/", "Find Maximum Removals From Source String")</f>
        <v>Find Maximum Removals From Source String</v>
      </c>
      <c r="C3317" s="1">
        <v>165</v>
      </c>
      <c r="D3317" s="1">
        <v>20</v>
      </c>
      <c r="E3317" s="3">
        <f>IF(INDEX(C:C, ROW())+INDEX(D:D, ROW())=0, 0, INDEX(C:C, ROW())/(INDEX(C:C, ROW())+INDEX(D:D, ROW())))</f>
        <v>0.89189189189189189</v>
      </c>
      <c r="F3317" s="1" t="s">
        <v>1125</v>
      </c>
      <c r="G3317" s="1" t="s">
        <v>24</v>
      </c>
      <c r="H3317" s="1">
        <v>12013</v>
      </c>
      <c r="I3317" s="1">
        <v>30608</v>
      </c>
      <c r="J3317" s="7">
        <v>0.39200000000000002</v>
      </c>
      <c r="K3317" s="1" t="s">
        <v>21</v>
      </c>
      <c r="L3317" s="1" t="s">
        <v>29</v>
      </c>
      <c r="M3317" s="1" t="s">
        <v>29</v>
      </c>
      <c r="N3317" s="1" t="s">
        <v>22</v>
      </c>
    </row>
    <row r="3318" spans="1:14" x14ac:dyDescent="0.25">
      <c r="A3318" s="1">
        <v>3317</v>
      </c>
      <c r="B3318" s="2" t="str">
        <f>HYPERLINK("https://leetcode.com/problems/find-the-number-of-possible-ways-for-an-event/", "Find the Number of Possible Ways for an Event")</f>
        <v>Find the Number of Possible Ways for an Event</v>
      </c>
      <c r="C3318" s="1">
        <v>75</v>
      </c>
      <c r="D3318" s="1">
        <v>15</v>
      </c>
      <c r="E3318" s="3">
        <f>IF(INDEX(C:C, ROW())+INDEX(D:D, ROW())=0, 0, INDEX(C:C, ROW())/(INDEX(C:C, ROW())+INDEX(D:D, ROW())))</f>
        <v>0.83333333333333337</v>
      </c>
      <c r="F3318" s="1" t="s">
        <v>70</v>
      </c>
      <c r="G3318" s="1" t="s">
        <v>28</v>
      </c>
      <c r="H3318" s="1">
        <v>5228</v>
      </c>
      <c r="I3318" s="1">
        <v>15013</v>
      </c>
      <c r="J3318" s="7">
        <v>0.34799999999999998</v>
      </c>
      <c r="K3318" s="1" t="s">
        <v>21</v>
      </c>
      <c r="L3318" s="1" t="s">
        <v>29</v>
      </c>
      <c r="M3318" s="1" t="s">
        <v>29</v>
      </c>
      <c r="N3318" s="1" t="s">
        <v>22</v>
      </c>
    </row>
    <row r="3319" spans="1:14" x14ac:dyDescent="0.25">
      <c r="A3319" s="1">
        <v>3318</v>
      </c>
      <c r="B3319" s="2" t="str">
        <f>HYPERLINK("https://leetcode.com/problems/find-x-sum-of-all-k-long-subarrays-i/", "Find X-Sum of All K-Long Subarrays I")</f>
        <v>Find X-Sum of All K-Long Subarrays I</v>
      </c>
      <c r="C3319" s="1">
        <v>558</v>
      </c>
      <c r="D3319" s="1">
        <v>319</v>
      </c>
      <c r="E3319" s="3">
        <f>IF(INDEX(C:C, ROW())+INDEX(D:D, ROW())=0, 0, INDEX(C:C, ROW())/(INDEX(C:C, ROW())+INDEX(D:D, ROW())))</f>
        <v>0.63625997719498295</v>
      </c>
      <c r="F3319" s="1" t="s">
        <v>344</v>
      </c>
      <c r="G3319" s="1" t="s">
        <v>20</v>
      </c>
      <c r="H3319" s="1">
        <v>140626</v>
      </c>
      <c r="I3319" s="1">
        <v>184842</v>
      </c>
      <c r="J3319" s="7">
        <v>0.76100000000000001</v>
      </c>
      <c r="K3319" s="1" t="s">
        <v>21</v>
      </c>
      <c r="L3319" s="1" t="s">
        <v>21</v>
      </c>
      <c r="M3319" s="1" t="s">
        <v>29</v>
      </c>
      <c r="N3319" s="1" t="s">
        <v>22</v>
      </c>
    </row>
    <row r="3320" spans="1:14" x14ac:dyDescent="0.25">
      <c r="A3320" s="1">
        <v>3319</v>
      </c>
      <c r="B3320" s="2" t="str">
        <f>HYPERLINK("https://leetcode.com/problems/k-th-largest-perfect-subtree-size-in-binary-tree/", "K-th Largest Perfect Subtree Size in Binary Tree")</f>
        <v>K-th Largest Perfect Subtree Size in Binary Tree</v>
      </c>
      <c r="C3320" s="1">
        <v>152</v>
      </c>
      <c r="D3320" s="1">
        <v>15</v>
      </c>
      <c r="E3320" s="3">
        <f>IF(INDEX(C:C, ROW())+INDEX(D:D, ROW())=0, 0, INDEX(C:C, ROW())/(INDEX(C:C, ROW())+INDEX(D:D, ROW())))</f>
        <v>0.91017964071856283</v>
      </c>
      <c r="F3320" s="1" t="s">
        <v>1134</v>
      </c>
      <c r="G3320" s="1" t="s">
        <v>24</v>
      </c>
      <c r="H3320" s="1">
        <v>28925</v>
      </c>
      <c r="I3320" s="1">
        <v>46587</v>
      </c>
      <c r="J3320" s="7">
        <v>0.621</v>
      </c>
      <c r="K3320" s="1" t="s">
        <v>21</v>
      </c>
      <c r="L3320" s="1" t="s">
        <v>29</v>
      </c>
      <c r="M3320" s="1" t="s">
        <v>29</v>
      </c>
      <c r="N3320" s="1" t="s">
        <v>22</v>
      </c>
    </row>
    <row r="3321" spans="1:14" x14ac:dyDescent="0.25">
      <c r="A3321" s="1">
        <v>3320</v>
      </c>
      <c r="B3321" s="2" t="str">
        <f>HYPERLINK("https://leetcode.com/problems/count-the-number-of-winning-sequences/", "Count The Number of Winning Sequences")</f>
        <v>Count The Number of Winning Sequences</v>
      </c>
      <c r="C3321" s="1">
        <v>103</v>
      </c>
      <c r="D3321" s="1">
        <v>5</v>
      </c>
      <c r="E3321" s="3">
        <f>IF(INDEX(C:C, ROW())+INDEX(D:D, ROW())=0, 0, INDEX(C:C, ROW())/(INDEX(C:C, ROW())+INDEX(D:D, ROW())))</f>
        <v>0.95370370370370372</v>
      </c>
      <c r="F3321" s="1" t="s">
        <v>82</v>
      </c>
      <c r="G3321" s="1" t="s">
        <v>28</v>
      </c>
      <c r="H3321" s="1">
        <v>10561</v>
      </c>
      <c r="I3321" s="1">
        <v>33005</v>
      </c>
      <c r="J3321" s="7">
        <v>0.32</v>
      </c>
      <c r="K3321" s="1" t="s">
        <v>21</v>
      </c>
      <c r="L3321" s="1" t="s">
        <v>29</v>
      </c>
      <c r="M3321" s="1" t="s">
        <v>29</v>
      </c>
      <c r="N3321" s="1" t="s">
        <v>22</v>
      </c>
    </row>
    <row r="3322" spans="1:14" x14ac:dyDescent="0.25">
      <c r="A3322" s="1">
        <v>3321</v>
      </c>
      <c r="B3322" s="2" t="str">
        <f>HYPERLINK("https://leetcode.com/problems/find-x-sum-of-all-k-long-subarrays-ii/", "Find X-Sum of All K-Long Subarrays II")</f>
        <v>Find X-Sum of All K-Long Subarrays II</v>
      </c>
      <c r="C3322" s="1">
        <v>448</v>
      </c>
      <c r="D3322" s="1">
        <v>51</v>
      </c>
      <c r="E3322" s="3">
        <f>IF(INDEX(C:C, ROW())+INDEX(D:D, ROW())=0, 0, INDEX(C:C, ROW())/(INDEX(C:C, ROW())+INDEX(D:D, ROW())))</f>
        <v>0.89779559118236474</v>
      </c>
      <c r="F3322" s="1" t="s">
        <v>344</v>
      </c>
      <c r="G3322" s="1" t="s">
        <v>28</v>
      </c>
      <c r="H3322" s="1">
        <v>64752</v>
      </c>
      <c r="I3322" s="1">
        <v>157574</v>
      </c>
      <c r="J3322" s="7">
        <v>0.41099999999999998</v>
      </c>
      <c r="K3322" s="1" t="s">
        <v>21</v>
      </c>
      <c r="L3322" s="1" t="s">
        <v>21</v>
      </c>
      <c r="M3322" s="1" t="s">
        <v>29</v>
      </c>
      <c r="N3322" s="1" t="s">
        <v>22</v>
      </c>
    </row>
    <row r="3323" spans="1:14" x14ac:dyDescent="0.25">
      <c r="A3323" s="1">
        <v>3322</v>
      </c>
      <c r="B3323" s="2" t="str">
        <f>HYPERLINK("https://leetcode.com/problems/premier-league-table-ranking-iii/", "Premier League Table Ranking III")</f>
        <v>Premier League Table Ranking III</v>
      </c>
      <c r="C3323" s="1">
        <v>4</v>
      </c>
      <c r="D3323" s="1">
        <v>0</v>
      </c>
      <c r="E3323" s="3">
        <f>IF(INDEX(C:C, ROW())+INDEX(D:D, ROW())=0, 0, INDEX(C:C, ROW())/(INDEX(C:C, ROW())+INDEX(D:D, ROW())))</f>
        <v>1</v>
      </c>
      <c r="F3323" s="1" t="s">
        <v>297</v>
      </c>
      <c r="G3323" s="1" t="s">
        <v>24</v>
      </c>
      <c r="H3323" s="1">
        <v>1977</v>
      </c>
      <c r="I3323" s="1">
        <v>2800</v>
      </c>
      <c r="J3323" s="7">
        <v>0.70599999999999996</v>
      </c>
      <c r="K3323" s="1" t="s">
        <v>29</v>
      </c>
      <c r="L3323" s="1" t="s">
        <v>29</v>
      </c>
      <c r="M3323" s="1" t="s">
        <v>29</v>
      </c>
      <c r="N3323" s="1" t="s">
        <v>297</v>
      </c>
    </row>
    <row r="3324" spans="1:14" x14ac:dyDescent="0.25">
      <c r="A3324" s="1">
        <v>3323</v>
      </c>
      <c r="B3324" s="2" t="str">
        <f>HYPERLINK("https://leetcode.com/problems/minimize-connected-groups-by-inserting-interval/", "Minimize Connected Groups by Inserting Interval")</f>
        <v>Minimize Connected Groups by Inserting Interval</v>
      </c>
      <c r="C3324" s="1">
        <v>17</v>
      </c>
      <c r="D3324" s="1">
        <v>3</v>
      </c>
      <c r="E3324" s="3">
        <f>IF(INDEX(C:C, ROW())+INDEX(D:D, ROW())=0, 0, INDEX(C:C, ROW())/(INDEX(C:C, ROW())+INDEX(D:D, ROW())))</f>
        <v>0.85</v>
      </c>
      <c r="F3324" s="1" t="s">
        <v>644</v>
      </c>
      <c r="G3324" s="1" t="s">
        <v>24</v>
      </c>
      <c r="H3324" s="1">
        <v>1411</v>
      </c>
      <c r="I3324" s="1">
        <v>2810</v>
      </c>
      <c r="J3324" s="7">
        <v>0.502</v>
      </c>
      <c r="K3324" s="1" t="s">
        <v>29</v>
      </c>
      <c r="L3324" s="1" t="s">
        <v>29</v>
      </c>
      <c r="M3324" s="1" t="s">
        <v>29</v>
      </c>
      <c r="N3324" s="1" t="s">
        <v>22</v>
      </c>
    </row>
    <row r="3325" spans="1:14" x14ac:dyDescent="0.25">
      <c r="A3325" s="1">
        <v>3324</v>
      </c>
      <c r="B3325" s="2" t="str">
        <f>HYPERLINK("https://leetcode.com/problems/find-the-sequence-of-strings-appeared-on-the-screen/", "Find the Sequence of Strings Appeared on the Screen")</f>
        <v>Find the Sequence of Strings Appeared on the Screen</v>
      </c>
      <c r="C3325" s="1">
        <v>138</v>
      </c>
      <c r="D3325" s="1">
        <v>12</v>
      </c>
      <c r="E3325" s="3">
        <f>IF(INDEX(C:C, ROW())+INDEX(D:D, ROW())=0, 0, INDEX(C:C, ROW())/(INDEX(C:C, ROW())+INDEX(D:D, ROW())))</f>
        <v>0.92</v>
      </c>
      <c r="F3325" s="1" t="s">
        <v>414</v>
      </c>
      <c r="G3325" s="1" t="s">
        <v>24</v>
      </c>
      <c r="H3325" s="1">
        <v>42033</v>
      </c>
      <c r="I3325" s="1">
        <v>52409</v>
      </c>
      <c r="J3325" s="7">
        <v>0.80200000000000005</v>
      </c>
      <c r="K3325" s="1" t="s">
        <v>21</v>
      </c>
      <c r="L3325" s="1" t="s">
        <v>29</v>
      </c>
      <c r="M3325" s="1" t="s">
        <v>29</v>
      </c>
      <c r="N3325" s="1" t="s">
        <v>22</v>
      </c>
    </row>
    <row r="3326" spans="1:14" x14ac:dyDescent="0.25">
      <c r="A3326" s="1">
        <v>3325</v>
      </c>
      <c r="B3326" s="2" t="str">
        <f>HYPERLINK("https://leetcode.com/problems/count-substrings-with-k-frequency-characters-i/", "Count Substrings With K-Frequency Characters I")</f>
        <v>Count Substrings With K-Frequency Characters I</v>
      </c>
      <c r="C3326" s="1">
        <v>147</v>
      </c>
      <c r="D3326" s="1">
        <v>9</v>
      </c>
      <c r="E3326" s="3">
        <f>IF(INDEX(C:C, ROW())+INDEX(D:D, ROW())=0, 0, INDEX(C:C, ROW())/(INDEX(C:C, ROW())+INDEX(D:D, ROW())))</f>
        <v>0.94230769230769229</v>
      </c>
      <c r="F3326" s="1" t="s">
        <v>23</v>
      </c>
      <c r="G3326" s="1" t="s">
        <v>24</v>
      </c>
      <c r="H3326" s="1">
        <v>36534</v>
      </c>
      <c r="I3326" s="1">
        <v>65671</v>
      </c>
      <c r="J3326" s="7">
        <v>0.55600000000000005</v>
      </c>
      <c r="K3326" s="1" t="s">
        <v>21</v>
      </c>
      <c r="L3326" s="1" t="s">
        <v>29</v>
      </c>
      <c r="M3326" s="1" t="s">
        <v>29</v>
      </c>
      <c r="N3326" s="1" t="s">
        <v>22</v>
      </c>
    </row>
    <row r="3327" spans="1:14" x14ac:dyDescent="0.25">
      <c r="A3327" s="1">
        <v>3326</v>
      </c>
      <c r="B3327" s="2" t="str">
        <f>HYPERLINK("https://leetcode.com/problems/minimum-division-operations-to-make-array-non-decreasing/", "Minimum Division Operations to Make Array Non Decreasing")</f>
        <v>Minimum Division Operations to Make Array Non Decreasing</v>
      </c>
      <c r="C3327" s="1">
        <v>134</v>
      </c>
      <c r="D3327" s="1">
        <v>29</v>
      </c>
      <c r="E3327" s="3">
        <f>IF(INDEX(C:C, ROW())+INDEX(D:D, ROW())=0, 0, INDEX(C:C, ROW())/(INDEX(C:C, ROW())+INDEX(D:D, ROW())))</f>
        <v>0.82208588957055218</v>
      </c>
      <c r="F3327" s="1" t="s">
        <v>1099</v>
      </c>
      <c r="G3327" s="1" t="s">
        <v>24</v>
      </c>
      <c r="H3327" s="1">
        <v>23803</v>
      </c>
      <c r="I3327" s="1">
        <v>81893</v>
      </c>
      <c r="J3327" s="7">
        <v>0.29099999999999998</v>
      </c>
      <c r="K3327" s="1" t="s">
        <v>21</v>
      </c>
      <c r="L3327" s="1" t="s">
        <v>29</v>
      </c>
      <c r="M3327" s="1" t="s">
        <v>29</v>
      </c>
      <c r="N3327" s="1" t="s">
        <v>22</v>
      </c>
    </row>
    <row r="3328" spans="1:14" x14ac:dyDescent="0.25">
      <c r="A3328" s="1">
        <v>3327</v>
      </c>
      <c r="B3328" s="2" t="str">
        <f>HYPERLINK("https://leetcode.com/problems/check-if-dfs-strings-are-palindromes/", "Check if DFS Strings Are Palindromes")</f>
        <v>Check if DFS Strings Are Palindromes</v>
      </c>
      <c r="C3328" s="1">
        <v>78</v>
      </c>
      <c r="D3328" s="1">
        <v>14</v>
      </c>
      <c r="E3328" s="3">
        <f>IF(INDEX(C:C, ROW())+INDEX(D:D, ROW())=0, 0, INDEX(C:C, ROW())/(INDEX(C:C, ROW())+INDEX(D:D, ROW())))</f>
        <v>0.84782608695652173</v>
      </c>
      <c r="F3328" s="1" t="s">
        <v>1209</v>
      </c>
      <c r="G3328" s="1" t="s">
        <v>28</v>
      </c>
      <c r="H3328" s="1">
        <v>6686</v>
      </c>
      <c r="I3328" s="1">
        <v>33309</v>
      </c>
      <c r="J3328" s="7">
        <v>0.20100000000000001</v>
      </c>
      <c r="K3328" s="1" t="s">
        <v>21</v>
      </c>
      <c r="L3328" s="1" t="s">
        <v>29</v>
      </c>
      <c r="M3328" s="1" t="s">
        <v>29</v>
      </c>
      <c r="N3328" s="1" t="s">
        <v>22</v>
      </c>
    </row>
    <row r="3329" spans="1:14" x14ac:dyDescent="0.25">
      <c r="A3329" s="1">
        <v>3328</v>
      </c>
      <c r="B3329" s="2" t="str">
        <f>HYPERLINK("https://leetcode.com/problems/find-cities-in-each-state-ii/", "Find Cities in Each State II")</f>
        <v>Find Cities in Each State II</v>
      </c>
      <c r="C3329" s="1">
        <v>11</v>
      </c>
      <c r="D3329" s="1">
        <v>2</v>
      </c>
      <c r="E3329" s="3">
        <f>IF(INDEX(C:C, ROW())+INDEX(D:D, ROW())=0, 0, INDEX(C:C, ROW())/(INDEX(C:C, ROW())+INDEX(D:D, ROW())))</f>
        <v>0.84615384615384615</v>
      </c>
      <c r="F3329" s="1" t="s">
        <v>297</v>
      </c>
      <c r="G3329" s="1" t="s">
        <v>24</v>
      </c>
      <c r="H3329" s="1">
        <v>2026</v>
      </c>
      <c r="I3329" s="1">
        <v>2949</v>
      </c>
      <c r="J3329" s="7">
        <v>0.68700000000000006</v>
      </c>
      <c r="K3329" s="1" t="s">
        <v>29</v>
      </c>
      <c r="L3329" s="1" t="s">
        <v>29</v>
      </c>
      <c r="M3329" s="1" t="s">
        <v>29</v>
      </c>
      <c r="N3329" s="1" t="s">
        <v>297</v>
      </c>
    </row>
    <row r="3330" spans="1:14" x14ac:dyDescent="0.25">
      <c r="A3330" s="1">
        <v>3329</v>
      </c>
      <c r="B3330" s="2" t="str">
        <f>HYPERLINK("https://leetcode.com/problems/count-substrings-with-k-frequency-characters-ii/", "Count Substrings With K-Frequency Characters II")</f>
        <v>Count Substrings With K-Frequency Characters II</v>
      </c>
      <c r="C3330" s="1">
        <v>8</v>
      </c>
      <c r="D3330" s="1">
        <v>1</v>
      </c>
      <c r="E3330" s="3">
        <f>IF(INDEX(C:C, ROW())+INDEX(D:D, ROW())=0, 0, INDEX(C:C, ROW())/(INDEX(C:C, ROW())+INDEX(D:D, ROW())))</f>
        <v>0.88888888888888884</v>
      </c>
      <c r="F3330" s="1" t="s">
        <v>23</v>
      </c>
      <c r="G3330" s="1" t="s">
        <v>28</v>
      </c>
      <c r="H3330" s="1">
        <v>949</v>
      </c>
      <c r="I3330" s="1">
        <v>1367</v>
      </c>
      <c r="J3330" s="7">
        <v>0.69399999999999995</v>
      </c>
      <c r="K3330" s="1" t="s">
        <v>29</v>
      </c>
      <c r="L3330" s="1" t="s">
        <v>29</v>
      </c>
      <c r="M3330" s="1" t="s">
        <v>29</v>
      </c>
      <c r="N3330" s="1" t="s">
        <v>22</v>
      </c>
    </row>
    <row r="3331" spans="1:14" x14ac:dyDescent="0.25">
      <c r="A3331" s="1">
        <v>3330</v>
      </c>
      <c r="B3331" s="2" t="str">
        <f>HYPERLINK("https://leetcode.com/problems/find-the-original-typed-string-i/", "Find the Original Typed String I")</f>
        <v>Find the Original Typed String I</v>
      </c>
      <c r="C3331" s="1">
        <v>524</v>
      </c>
      <c r="D3331" s="1">
        <v>78</v>
      </c>
      <c r="E3331" s="3">
        <f>IF(INDEX(C:C, ROW())+INDEX(D:D, ROW())=0, 0, INDEX(C:C, ROW())/(INDEX(C:C, ROW())+INDEX(D:D, ROW())))</f>
        <v>0.87043189368770768</v>
      </c>
      <c r="F3331" s="1" t="s">
        <v>146</v>
      </c>
      <c r="G3331" s="1" t="s">
        <v>20</v>
      </c>
      <c r="H3331" s="1">
        <v>196224</v>
      </c>
      <c r="I3331" s="1">
        <v>272240</v>
      </c>
      <c r="J3331" s="7">
        <v>0.72099999999999997</v>
      </c>
      <c r="K3331" s="1" t="s">
        <v>21</v>
      </c>
      <c r="L3331" s="1" t="s">
        <v>21</v>
      </c>
      <c r="M3331" s="1" t="s">
        <v>29</v>
      </c>
      <c r="N3331" s="1" t="s">
        <v>22</v>
      </c>
    </row>
    <row r="3332" spans="1:14" x14ac:dyDescent="0.25">
      <c r="A3332" s="1">
        <v>3331</v>
      </c>
      <c r="B3332" s="2" t="str">
        <f>HYPERLINK("https://leetcode.com/problems/find-subtree-sizes-after-changes/", "Find Subtree Sizes After Changes")</f>
        <v>Find Subtree Sizes After Changes</v>
      </c>
      <c r="C3332" s="1">
        <v>104</v>
      </c>
      <c r="D3332" s="1">
        <v>37</v>
      </c>
      <c r="E3332" s="3">
        <f>IF(INDEX(C:C, ROW())+INDEX(D:D, ROW())=0, 0, INDEX(C:C, ROW())/(INDEX(C:C, ROW())+INDEX(D:D, ROW())))</f>
        <v>0.73758865248226946</v>
      </c>
      <c r="F3332" s="1" t="s">
        <v>1179</v>
      </c>
      <c r="G3332" s="1" t="s">
        <v>24</v>
      </c>
      <c r="H3332" s="1">
        <v>16469</v>
      </c>
      <c r="I3332" s="1">
        <v>30535</v>
      </c>
      <c r="J3332" s="7">
        <v>0.53900000000000003</v>
      </c>
      <c r="K3332" s="1" t="s">
        <v>21</v>
      </c>
      <c r="L3332" s="1" t="s">
        <v>29</v>
      </c>
      <c r="M3332" s="1" t="s">
        <v>29</v>
      </c>
      <c r="N3332" s="1" t="s">
        <v>22</v>
      </c>
    </row>
    <row r="3333" spans="1:14" x14ac:dyDescent="0.25">
      <c r="A3333" s="1">
        <v>3332</v>
      </c>
      <c r="B3333" s="2" t="str">
        <f>HYPERLINK("https://leetcode.com/problems/maximum-points-tourist-can-earn/", "Maximum Points Tourist Can Earn")</f>
        <v>Maximum Points Tourist Can Earn</v>
      </c>
      <c r="C3333" s="1">
        <v>91</v>
      </c>
      <c r="D3333" s="1">
        <v>15</v>
      </c>
      <c r="E3333" s="3">
        <f>IF(INDEX(C:C, ROW())+INDEX(D:D, ROW())=0, 0, INDEX(C:C, ROW())/(INDEX(C:C, ROW())+INDEX(D:D, ROW())))</f>
        <v>0.85849056603773588</v>
      </c>
      <c r="F3333" s="1" t="s">
        <v>94</v>
      </c>
      <c r="G3333" s="1" t="s">
        <v>24</v>
      </c>
      <c r="H3333" s="1">
        <v>15033</v>
      </c>
      <c r="I3333" s="1">
        <v>31671</v>
      </c>
      <c r="J3333" s="7">
        <v>0.47499999999999998</v>
      </c>
      <c r="K3333" s="1" t="s">
        <v>21</v>
      </c>
      <c r="L3333" s="1" t="s">
        <v>29</v>
      </c>
      <c r="M3333" s="1" t="s">
        <v>29</v>
      </c>
      <c r="N3333" s="1" t="s">
        <v>22</v>
      </c>
    </row>
    <row r="3334" spans="1:14" x14ac:dyDescent="0.25">
      <c r="A3334" s="1">
        <v>3333</v>
      </c>
      <c r="B3334" s="2" t="str">
        <f>HYPERLINK("https://leetcode.com/problems/find-the-original-typed-string-ii/", "Find the Original Typed String II")</f>
        <v>Find the Original Typed String II</v>
      </c>
      <c r="C3334" s="1">
        <v>503</v>
      </c>
      <c r="D3334" s="1">
        <v>76</v>
      </c>
      <c r="E3334" s="3">
        <f>IF(INDEX(C:C, ROW())+INDEX(D:D, ROW())=0, 0, INDEX(C:C, ROW())/(INDEX(C:C, ROW())+INDEX(D:D, ROW())))</f>
        <v>0.86873920552677031</v>
      </c>
      <c r="F3334" s="1" t="s">
        <v>701</v>
      </c>
      <c r="G3334" s="1" t="s">
        <v>28</v>
      </c>
      <c r="H3334" s="1">
        <v>69977</v>
      </c>
      <c r="I3334" s="1">
        <v>153531</v>
      </c>
      <c r="J3334" s="7">
        <v>0.45600000000000002</v>
      </c>
      <c r="K3334" s="1" t="s">
        <v>21</v>
      </c>
      <c r="L3334" s="1" t="s">
        <v>21</v>
      </c>
      <c r="M3334" s="1" t="s">
        <v>29</v>
      </c>
      <c r="N3334" s="1" t="s">
        <v>22</v>
      </c>
    </row>
    <row r="3335" spans="1:14" x14ac:dyDescent="0.25">
      <c r="A3335" s="1">
        <v>3334</v>
      </c>
      <c r="B3335" s="2" t="str">
        <f>HYPERLINK("https://leetcode.com/problems/find-the-maximum-factor-score-of-array/", "Find the Maximum Factor Score of Array")</f>
        <v>Find the Maximum Factor Score of Array</v>
      </c>
      <c r="C3335" s="1">
        <v>86</v>
      </c>
      <c r="D3335" s="1">
        <v>13</v>
      </c>
      <c r="E3335" s="3">
        <f>IF(INDEX(C:C, ROW())+INDEX(D:D, ROW())=0, 0, INDEX(C:C, ROW())/(INDEX(C:C, ROW())+INDEX(D:D, ROW())))</f>
        <v>0.86868686868686873</v>
      </c>
      <c r="F3335" s="1" t="s">
        <v>640</v>
      </c>
      <c r="G3335" s="1" t="s">
        <v>24</v>
      </c>
      <c r="H3335" s="1">
        <v>23885</v>
      </c>
      <c r="I3335" s="1">
        <v>58351</v>
      </c>
      <c r="J3335" s="7">
        <v>0.40899999999999997</v>
      </c>
      <c r="K3335" s="1" t="s">
        <v>21</v>
      </c>
      <c r="L3335" s="1" t="s">
        <v>29</v>
      </c>
      <c r="M3335" s="1" t="s">
        <v>29</v>
      </c>
      <c r="N3335" s="1" t="s">
        <v>22</v>
      </c>
    </row>
    <row r="3336" spans="1:14" x14ac:dyDescent="0.25">
      <c r="A3336" s="1">
        <v>3335</v>
      </c>
      <c r="B3336" s="2" t="str">
        <f>HYPERLINK("https://leetcode.com/problems/total-characters-in-string-after-transformations-i/", "Total Characters in String After Transformations I")</f>
        <v>Total Characters in String After Transformations I</v>
      </c>
      <c r="C3336" s="1">
        <v>612</v>
      </c>
      <c r="D3336" s="1">
        <v>46</v>
      </c>
      <c r="E3336" s="3">
        <f>IF(INDEX(C:C, ROW())+INDEX(D:D, ROW())=0, 0, INDEX(C:C, ROW())/(INDEX(C:C, ROW())+INDEX(D:D, ROW())))</f>
        <v>0.93009118541033431</v>
      </c>
      <c r="F3336" s="1" t="s">
        <v>844</v>
      </c>
      <c r="G3336" s="1" t="s">
        <v>24</v>
      </c>
      <c r="H3336" s="1">
        <v>116711</v>
      </c>
      <c r="I3336" s="1">
        <v>255533</v>
      </c>
      <c r="J3336" s="7">
        <v>0.45700000000000002</v>
      </c>
      <c r="K3336" s="1" t="s">
        <v>21</v>
      </c>
      <c r="L3336" s="1" t="s">
        <v>21</v>
      </c>
      <c r="M3336" s="1" t="s">
        <v>29</v>
      </c>
      <c r="N3336" s="1" t="s">
        <v>22</v>
      </c>
    </row>
    <row r="3337" spans="1:14" x14ac:dyDescent="0.25">
      <c r="A3337" s="1">
        <v>3336</v>
      </c>
      <c r="B3337" s="2" t="str">
        <f>HYPERLINK("https://leetcode.com/problems/find-the-number-of-subsequences-with-equal-gcd/", "Find the Number of Subsequences With Equal GCD")</f>
        <v>Find the Number of Subsequences With Equal GCD</v>
      </c>
      <c r="C3337" s="1">
        <v>88</v>
      </c>
      <c r="D3337" s="1">
        <v>9</v>
      </c>
      <c r="E3337" s="3">
        <f>IF(INDEX(C:C, ROW())+INDEX(D:D, ROW())=0, 0, INDEX(C:C, ROW())/(INDEX(C:C, ROW())+INDEX(D:D, ROW())))</f>
        <v>0.90721649484536082</v>
      </c>
      <c r="F3337" s="1" t="s">
        <v>1193</v>
      </c>
      <c r="G3337" s="1" t="s">
        <v>28</v>
      </c>
      <c r="H3337" s="1">
        <v>7751</v>
      </c>
      <c r="I3337" s="1">
        <v>24657</v>
      </c>
      <c r="J3337" s="7">
        <v>0.314</v>
      </c>
      <c r="K3337" s="1" t="s">
        <v>21</v>
      </c>
      <c r="L3337" s="1" t="s">
        <v>29</v>
      </c>
      <c r="M3337" s="1" t="s">
        <v>29</v>
      </c>
      <c r="N3337" s="1" t="s">
        <v>22</v>
      </c>
    </row>
    <row r="3338" spans="1:14" x14ac:dyDescent="0.25">
      <c r="A3338" s="1">
        <v>3337</v>
      </c>
      <c r="B3338" s="2" t="str">
        <f>HYPERLINK("https://leetcode.com/problems/total-characters-in-string-after-transformations-ii/", "Total Characters in String After Transformations II")</f>
        <v>Total Characters in String After Transformations II</v>
      </c>
      <c r="C3338" s="1">
        <v>385</v>
      </c>
      <c r="D3338" s="1">
        <v>83</v>
      </c>
      <c r="E3338" s="3">
        <f>IF(INDEX(C:C, ROW())+INDEX(D:D, ROW())=0, 0, INDEX(C:C, ROW())/(INDEX(C:C, ROW())+INDEX(D:D, ROW())))</f>
        <v>0.82264957264957261</v>
      </c>
      <c r="F3338" s="1" t="s">
        <v>844</v>
      </c>
      <c r="G3338" s="1" t="s">
        <v>28</v>
      </c>
      <c r="H3338" s="1">
        <v>63398</v>
      </c>
      <c r="I3338" s="1">
        <v>109198</v>
      </c>
      <c r="J3338" s="7">
        <v>0.58099999999999996</v>
      </c>
      <c r="K3338" s="1" t="s">
        <v>21</v>
      </c>
      <c r="L3338" s="1" t="s">
        <v>21</v>
      </c>
      <c r="M3338" s="1" t="s">
        <v>29</v>
      </c>
      <c r="N3338" s="1" t="s">
        <v>22</v>
      </c>
    </row>
    <row r="3339" spans="1:14" x14ac:dyDescent="0.25">
      <c r="A3339" s="1">
        <v>3338</v>
      </c>
      <c r="B3339" s="2" t="str">
        <f>HYPERLINK("https://leetcode.com/problems/second-highest-salary-ii/", "Second Highest Salary II")</f>
        <v>Second Highest Salary II</v>
      </c>
      <c r="C3339" s="1">
        <v>13</v>
      </c>
      <c r="D3339" s="1">
        <v>0</v>
      </c>
      <c r="E3339" s="3">
        <f>IF(INDEX(C:C, ROW())+INDEX(D:D, ROW())=0, 0, INDEX(C:C, ROW())/(INDEX(C:C, ROW())+INDEX(D:D, ROW())))</f>
        <v>1</v>
      </c>
      <c r="F3339" s="1" t="s">
        <v>297</v>
      </c>
      <c r="G3339" s="1" t="s">
        <v>24</v>
      </c>
      <c r="H3339" s="1">
        <v>2834</v>
      </c>
      <c r="I3339" s="1">
        <v>3275</v>
      </c>
      <c r="J3339" s="7">
        <v>0.86499999999999999</v>
      </c>
      <c r="K3339" s="1" t="s">
        <v>29</v>
      </c>
      <c r="L3339" s="1" t="s">
        <v>29</v>
      </c>
      <c r="M3339" s="1" t="s">
        <v>29</v>
      </c>
      <c r="N3339" s="1" t="s">
        <v>297</v>
      </c>
    </row>
    <row r="3340" spans="1:14" x14ac:dyDescent="0.25">
      <c r="A3340" s="1">
        <v>3339</v>
      </c>
      <c r="B3340" s="2" t="str">
        <f>HYPERLINK("https://leetcode.com/problems/find-the-number-of-k-even-arrays/", "Find the Number of K-Even Arrays")</f>
        <v>Find the Number of K-Even Arrays</v>
      </c>
      <c r="C3340" s="1">
        <v>6</v>
      </c>
      <c r="D3340" s="1">
        <v>3</v>
      </c>
      <c r="E3340" s="3">
        <f>IF(INDEX(C:C, ROW())+INDEX(D:D, ROW())=0, 0, INDEX(C:C, ROW())/(INDEX(C:C, ROW())+INDEX(D:D, ROW())))</f>
        <v>0.66666666666666663</v>
      </c>
      <c r="F3340" s="1" t="s">
        <v>251</v>
      </c>
      <c r="G3340" s="1" t="s">
        <v>24</v>
      </c>
      <c r="H3340" s="1">
        <v>600</v>
      </c>
      <c r="I3340" s="1">
        <v>981</v>
      </c>
      <c r="J3340" s="7">
        <v>0.61199999999999999</v>
      </c>
      <c r="K3340" s="1" t="s">
        <v>29</v>
      </c>
      <c r="L3340" s="1" t="s">
        <v>29</v>
      </c>
      <c r="M3340" s="1" t="s">
        <v>29</v>
      </c>
      <c r="N3340" s="1" t="s">
        <v>22</v>
      </c>
    </row>
    <row r="3341" spans="1:14" x14ac:dyDescent="0.25">
      <c r="A3341" s="1">
        <v>3340</v>
      </c>
      <c r="B3341" s="2" t="str">
        <f>HYPERLINK("https://leetcode.com/problems/check-balanced-string/", "Check Balanced String")</f>
        <v>Check Balanced String</v>
      </c>
      <c r="C3341" s="1">
        <v>138</v>
      </c>
      <c r="D3341" s="1">
        <v>2</v>
      </c>
      <c r="E3341" s="3">
        <f>IF(INDEX(C:C, ROW())+INDEX(D:D, ROW())=0, 0, INDEX(C:C, ROW())/(INDEX(C:C, ROW())+INDEX(D:D, ROW())))</f>
        <v>0.98571428571428577</v>
      </c>
      <c r="F3341" s="1" t="s">
        <v>146</v>
      </c>
      <c r="G3341" s="1" t="s">
        <v>20</v>
      </c>
      <c r="H3341" s="1">
        <v>74723</v>
      </c>
      <c r="I3341" s="1">
        <v>90643</v>
      </c>
      <c r="J3341" s="7">
        <v>0.82399999999999995</v>
      </c>
      <c r="K3341" s="1" t="s">
        <v>21</v>
      </c>
      <c r="L3341" s="1" t="s">
        <v>29</v>
      </c>
      <c r="M3341" s="1" t="s">
        <v>29</v>
      </c>
      <c r="N3341" s="1" t="s">
        <v>22</v>
      </c>
    </row>
    <row r="3342" spans="1:14" x14ac:dyDescent="0.25">
      <c r="A3342" s="1">
        <v>3341</v>
      </c>
      <c r="B3342" s="2" t="str">
        <f>HYPERLINK("https://leetcode.com/problems/find-minimum-time-to-reach-last-room-i/", "Find Minimum Time to Reach Last Room I")</f>
        <v>Find Minimum Time to Reach Last Room I</v>
      </c>
      <c r="C3342" s="1">
        <v>538</v>
      </c>
      <c r="D3342" s="1">
        <v>174</v>
      </c>
      <c r="E3342" s="3">
        <f>IF(INDEX(C:C, ROW())+INDEX(D:D, ROW())=0, 0, INDEX(C:C, ROW())/(INDEX(C:C, ROW())+INDEX(D:D, ROW())))</f>
        <v>0.7556179775280899</v>
      </c>
      <c r="F3342" s="1" t="s">
        <v>889</v>
      </c>
      <c r="G3342" s="1" t="s">
        <v>24</v>
      </c>
      <c r="H3342" s="1">
        <v>115137</v>
      </c>
      <c r="I3342" s="1">
        <v>207429</v>
      </c>
      <c r="J3342" s="7">
        <v>0.55500000000000005</v>
      </c>
      <c r="K3342" s="1" t="s">
        <v>21</v>
      </c>
      <c r="L3342" s="1" t="s">
        <v>21</v>
      </c>
      <c r="M3342" s="1" t="s">
        <v>29</v>
      </c>
      <c r="N3342" s="1" t="s">
        <v>22</v>
      </c>
    </row>
    <row r="3343" spans="1:14" x14ac:dyDescent="0.25">
      <c r="A3343" s="1">
        <v>3342</v>
      </c>
      <c r="B3343" s="2" t="str">
        <f>HYPERLINK("https://leetcode.com/problems/find-minimum-time-to-reach-last-room-ii/", "Find Minimum Time to Reach Last Room II")</f>
        <v>Find Minimum Time to Reach Last Room II</v>
      </c>
      <c r="C3343" s="1">
        <v>355</v>
      </c>
      <c r="D3343" s="1">
        <v>57</v>
      </c>
      <c r="E3343" s="3">
        <f>IF(INDEX(C:C, ROW())+INDEX(D:D, ROW())=0, 0, INDEX(C:C, ROW())/(INDEX(C:C, ROW())+INDEX(D:D, ROW())))</f>
        <v>0.86165048543689315</v>
      </c>
      <c r="F3343" s="1" t="s">
        <v>889</v>
      </c>
      <c r="G3343" s="1" t="s">
        <v>24</v>
      </c>
      <c r="H3343" s="1">
        <v>95360</v>
      </c>
      <c r="I3343" s="1">
        <v>140460</v>
      </c>
      <c r="J3343" s="7">
        <v>0.67900000000000005</v>
      </c>
      <c r="K3343" s="1" t="s">
        <v>21</v>
      </c>
      <c r="L3343" s="1" t="s">
        <v>21</v>
      </c>
      <c r="M3343" s="1" t="s">
        <v>29</v>
      </c>
      <c r="N3343" s="1" t="s">
        <v>22</v>
      </c>
    </row>
    <row r="3344" spans="1:14" x14ac:dyDescent="0.25">
      <c r="A3344" s="1">
        <v>3343</v>
      </c>
      <c r="B3344" s="2" t="str">
        <f>HYPERLINK("https://leetcode.com/problems/count-number-of-balanced-permutations/", "Count Number of Balanced Permutations")</f>
        <v>Count Number of Balanced Permutations</v>
      </c>
      <c r="C3344" s="1">
        <v>364</v>
      </c>
      <c r="D3344" s="1">
        <v>79</v>
      </c>
      <c r="E3344" s="3">
        <f>IF(INDEX(C:C, ROW())+INDEX(D:D, ROW())=0, 0, INDEX(C:C, ROW())/(INDEX(C:C, ROW())+INDEX(D:D, ROW())))</f>
        <v>0.82167042889390518</v>
      </c>
      <c r="F3344" s="1" t="s">
        <v>734</v>
      </c>
      <c r="G3344" s="1" t="s">
        <v>28</v>
      </c>
      <c r="H3344" s="1">
        <v>59244</v>
      </c>
      <c r="I3344" s="1">
        <v>120546</v>
      </c>
      <c r="J3344" s="7">
        <v>0.49099999999999999</v>
      </c>
      <c r="K3344" s="1" t="s">
        <v>21</v>
      </c>
      <c r="L3344" s="1" t="s">
        <v>21</v>
      </c>
      <c r="M3344" s="1" t="s">
        <v>29</v>
      </c>
      <c r="N3344" s="1" t="s">
        <v>22</v>
      </c>
    </row>
    <row r="3345" spans="1:14" x14ac:dyDescent="0.25">
      <c r="A3345" s="1">
        <v>3344</v>
      </c>
      <c r="B3345" s="2" t="str">
        <f>HYPERLINK("https://leetcode.com/problems/maximum-sized-array/", "Maximum Sized Array")</f>
        <v>Maximum Sized Array</v>
      </c>
      <c r="C3345" s="1">
        <v>8</v>
      </c>
      <c r="D3345" s="1">
        <v>3</v>
      </c>
      <c r="E3345" s="3">
        <f>IF(INDEX(C:C, ROW())+INDEX(D:D, ROW())=0, 0, INDEX(C:C, ROW())/(INDEX(C:C, ROW())+INDEX(D:D, ROW())))</f>
        <v>0.72727272727272729</v>
      </c>
      <c r="F3345" s="1" t="s">
        <v>1334</v>
      </c>
      <c r="G3345" s="1" t="s">
        <v>24</v>
      </c>
      <c r="H3345" s="1">
        <v>605</v>
      </c>
      <c r="I3345" s="1">
        <v>1185</v>
      </c>
      <c r="J3345" s="7">
        <v>0.51100000000000001</v>
      </c>
      <c r="K3345" s="1" t="s">
        <v>29</v>
      </c>
      <c r="L3345" s="1" t="s">
        <v>29</v>
      </c>
      <c r="M3345" s="1" t="s">
        <v>29</v>
      </c>
      <c r="N3345" s="1" t="s">
        <v>22</v>
      </c>
    </row>
    <row r="3346" spans="1:14" x14ac:dyDescent="0.25">
      <c r="A3346" s="1">
        <v>3345</v>
      </c>
      <c r="B3346" s="2" t="str">
        <f>HYPERLINK("https://leetcode.com/problems/smallest-divisible-digit-product-i/", "Smallest Divisible Digit Product I")</f>
        <v>Smallest Divisible Digit Product I</v>
      </c>
      <c r="C3346" s="1">
        <v>72</v>
      </c>
      <c r="D3346" s="1">
        <v>12</v>
      </c>
      <c r="E3346" s="3">
        <f>IF(INDEX(C:C, ROW())+INDEX(D:D, ROW())=0, 0, INDEX(C:C, ROW())/(INDEX(C:C, ROW())+INDEX(D:D, ROW())))</f>
        <v>0.8571428571428571</v>
      </c>
      <c r="F3346" s="1" t="s">
        <v>602</v>
      </c>
      <c r="G3346" s="1" t="s">
        <v>20</v>
      </c>
      <c r="H3346" s="1">
        <v>38336</v>
      </c>
      <c r="I3346" s="1">
        <v>59518</v>
      </c>
      <c r="J3346" s="7">
        <v>0.64400000000000002</v>
      </c>
      <c r="K3346" s="1" t="s">
        <v>21</v>
      </c>
      <c r="L3346" s="1" t="s">
        <v>29</v>
      </c>
      <c r="M3346" s="1" t="s">
        <v>29</v>
      </c>
      <c r="N3346" s="1" t="s">
        <v>22</v>
      </c>
    </row>
    <row r="3347" spans="1:14" x14ac:dyDescent="0.25">
      <c r="A3347" s="1">
        <v>3346</v>
      </c>
      <c r="B3347" s="2" t="str">
        <f>HYPERLINK("https://leetcode.com/problems/maximum-frequency-of-an-element-after-performing-operations-i/", "Maximum Frequency of an Element After Performing Operations I")</f>
        <v>Maximum Frequency of an Element After Performing Operations I</v>
      </c>
      <c r="C3347" s="1">
        <v>607</v>
      </c>
      <c r="D3347" s="1">
        <v>105</v>
      </c>
      <c r="E3347" s="3">
        <f>IF(INDEX(C:C, ROW())+INDEX(D:D, ROW())=0, 0, INDEX(C:C, ROW())/(INDEX(C:C, ROW())+INDEX(D:D, ROW())))</f>
        <v>0.85252808988764039</v>
      </c>
      <c r="F3347" s="1" t="s">
        <v>849</v>
      </c>
      <c r="G3347" s="1" t="s">
        <v>24</v>
      </c>
      <c r="H3347" s="1">
        <v>88411</v>
      </c>
      <c r="I3347" s="1">
        <v>220313</v>
      </c>
      <c r="J3347" s="7">
        <v>0.40100000000000002</v>
      </c>
      <c r="K3347" s="1" t="s">
        <v>21</v>
      </c>
      <c r="L3347" s="1" t="s">
        <v>21</v>
      </c>
      <c r="M3347" s="1" t="s">
        <v>29</v>
      </c>
      <c r="N3347" s="1" t="s">
        <v>22</v>
      </c>
    </row>
    <row r="3348" spans="1:14" x14ac:dyDescent="0.25">
      <c r="A3348" s="1">
        <v>3347</v>
      </c>
      <c r="B3348" s="2" t="str">
        <f>HYPERLINK("https://leetcode.com/problems/maximum-frequency-of-an-element-after-performing-operations-ii/", "Maximum Frequency of an Element After Performing Operations II")</f>
        <v>Maximum Frequency of an Element After Performing Operations II</v>
      </c>
      <c r="C3348" s="1">
        <v>300</v>
      </c>
      <c r="D3348" s="1">
        <v>21</v>
      </c>
      <c r="E3348" s="3">
        <f>IF(INDEX(C:C, ROW())+INDEX(D:D, ROW())=0, 0, INDEX(C:C, ROW())/(INDEX(C:C, ROW())+INDEX(D:D, ROW())))</f>
        <v>0.93457943925233644</v>
      </c>
      <c r="F3348" s="1" t="s">
        <v>849</v>
      </c>
      <c r="G3348" s="1" t="s">
        <v>28</v>
      </c>
      <c r="H3348" s="1">
        <v>66496</v>
      </c>
      <c r="I3348" s="1">
        <v>123368</v>
      </c>
      <c r="J3348" s="7">
        <v>0.53900000000000003</v>
      </c>
      <c r="K3348" s="1" t="s">
        <v>21</v>
      </c>
      <c r="L3348" s="1" t="s">
        <v>21</v>
      </c>
      <c r="M3348" s="1" t="s">
        <v>29</v>
      </c>
      <c r="N3348" s="1" t="s">
        <v>22</v>
      </c>
    </row>
    <row r="3349" spans="1:14" x14ac:dyDescent="0.25">
      <c r="A3349" s="1">
        <v>3348</v>
      </c>
      <c r="B3349" s="2" t="str">
        <f>HYPERLINK("https://leetcode.com/problems/smallest-divisible-digit-product-ii/", "Smallest Divisible Digit Product II")</f>
        <v>Smallest Divisible Digit Product II</v>
      </c>
      <c r="C3349" s="1">
        <v>57</v>
      </c>
      <c r="D3349" s="1">
        <v>18</v>
      </c>
      <c r="E3349" s="3">
        <f>IF(INDEX(C:C, ROW())+INDEX(D:D, ROW())=0, 0, INDEX(C:C, ROW())/(INDEX(C:C, ROW())+INDEX(D:D, ROW())))</f>
        <v>0.76</v>
      </c>
      <c r="F3349" s="1" t="s">
        <v>1250</v>
      </c>
      <c r="G3349" s="1" t="s">
        <v>28</v>
      </c>
      <c r="H3349" s="1">
        <v>4769</v>
      </c>
      <c r="I3349" s="1">
        <v>33015</v>
      </c>
      <c r="J3349" s="7">
        <v>0.14399999999999999</v>
      </c>
      <c r="K3349" s="1" t="s">
        <v>21</v>
      </c>
      <c r="L3349" s="1" t="s">
        <v>29</v>
      </c>
      <c r="M3349" s="1" t="s">
        <v>29</v>
      </c>
      <c r="N3349" s="1" t="s">
        <v>22</v>
      </c>
    </row>
    <row r="3350" spans="1:14" x14ac:dyDescent="0.25">
      <c r="A3350" s="1">
        <v>3349</v>
      </c>
      <c r="B3350" s="2" t="str">
        <f>HYPERLINK("https://leetcode.com/problems/adjacent-increasing-subarrays-detection-i/", "Adjacent Increasing Subarrays Detection I")</f>
        <v>Adjacent Increasing Subarrays Detection I</v>
      </c>
      <c r="C3350" s="1">
        <v>480</v>
      </c>
      <c r="D3350" s="1">
        <v>59</v>
      </c>
      <c r="E3350" s="3">
        <f>IF(INDEX(C:C, ROW())+INDEX(D:D, ROW())=0, 0, INDEX(C:C, ROW())/(INDEX(C:C, ROW())+INDEX(D:D, ROW())))</f>
        <v>0.89053803339517623</v>
      </c>
      <c r="F3350" s="1" t="s">
        <v>113</v>
      </c>
      <c r="G3350" s="1" t="s">
        <v>20</v>
      </c>
      <c r="H3350" s="1">
        <v>159110</v>
      </c>
      <c r="I3350" s="1">
        <v>331589</v>
      </c>
      <c r="J3350" s="7">
        <v>0.48</v>
      </c>
      <c r="K3350" s="1" t="s">
        <v>21</v>
      </c>
      <c r="L3350" s="1" t="s">
        <v>21</v>
      </c>
      <c r="M3350" s="1" t="s">
        <v>29</v>
      </c>
      <c r="N3350" s="1" t="s">
        <v>22</v>
      </c>
    </row>
    <row r="3351" spans="1:14" x14ac:dyDescent="0.25">
      <c r="A3351" s="1">
        <v>3350</v>
      </c>
      <c r="B3351" s="2" t="str">
        <f>HYPERLINK("https://leetcode.com/problems/adjacent-increasing-subarrays-detection-ii/", "Adjacent Increasing Subarrays Detection II")</f>
        <v>Adjacent Increasing Subarrays Detection II</v>
      </c>
      <c r="C3351" s="1">
        <v>487</v>
      </c>
      <c r="D3351" s="1">
        <v>22</v>
      </c>
      <c r="E3351" s="3">
        <f>IF(INDEX(C:C, ROW())+INDEX(D:D, ROW())=0, 0, INDEX(C:C, ROW())/(INDEX(C:C, ROW())+INDEX(D:D, ROW())))</f>
        <v>0.95677799607072689</v>
      </c>
      <c r="F3351" s="1" t="s">
        <v>35</v>
      </c>
      <c r="G3351" s="1" t="s">
        <v>24</v>
      </c>
      <c r="H3351" s="1">
        <v>119101</v>
      </c>
      <c r="I3351" s="1">
        <v>202360</v>
      </c>
      <c r="J3351" s="7">
        <v>0.58899999999999997</v>
      </c>
      <c r="K3351" s="1" t="s">
        <v>21</v>
      </c>
      <c r="L3351" s="1" t="s">
        <v>21</v>
      </c>
      <c r="M3351" s="1" t="s">
        <v>29</v>
      </c>
      <c r="N3351" s="1" t="s">
        <v>22</v>
      </c>
    </row>
    <row r="3352" spans="1:14" x14ac:dyDescent="0.25">
      <c r="A3352" s="1">
        <v>3351</v>
      </c>
      <c r="B3352" s="2" t="str">
        <f>HYPERLINK("https://leetcode.com/problems/sum-of-good-subsequences/", "Sum of Good Subsequences")</f>
        <v>Sum of Good Subsequences</v>
      </c>
      <c r="C3352" s="1">
        <v>157</v>
      </c>
      <c r="D3352" s="1">
        <v>8</v>
      </c>
      <c r="E3352" s="3">
        <f>IF(INDEX(C:C, ROW())+INDEX(D:D, ROW())=0, 0, INDEX(C:C, ROW())/(INDEX(C:C, ROW())+INDEX(D:D, ROW())))</f>
        <v>0.95151515151515154</v>
      </c>
      <c r="F3352" s="1" t="s">
        <v>174</v>
      </c>
      <c r="G3352" s="1" t="s">
        <v>28</v>
      </c>
      <c r="H3352" s="1">
        <v>12089</v>
      </c>
      <c r="I3352" s="1">
        <v>39270</v>
      </c>
      <c r="J3352" s="7">
        <v>0.308</v>
      </c>
      <c r="K3352" s="1" t="s">
        <v>21</v>
      </c>
      <c r="L3352" s="1" t="s">
        <v>29</v>
      </c>
      <c r="M3352" s="1" t="s">
        <v>29</v>
      </c>
      <c r="N3352" s="1" t="s">
        <v>22</v>
      </c>
    </row>
    <row r="3353" spans="1:14" x14ac:dyDescent="0.25">
      <c r="A3353" s="1">
        <v>3352</v>
      </c>
      <c r="B3353" s="2" t="str">
        <f>HYPERLINK("https://leetcode.com/problems/count-k-reducible-numbers-less-than-n/", "Count K-Reducible Numbers Less Than N")</f>
        <v>Count K-Reducible Numbers Less Than N</v>
      </c>
      <c r="C3353" s="1">
        <v>64</v>
      </c>
      <c r="D3353" s="1">
        <v>3</v>
      </c>
      <c r="E3353" s="3">
        <f>IF(INDEX(C:C, ROW())+INDEX(D:D, ROW())=0, 0, INDEX(C:C, ROW())/(INDEX(C:C, ROW())+INDEX(D:D, ROW())))</f>
        <v>0.95522388059701491</v>
      </c>
      <c r="F3353" s="1" t="s">
        <v>734</v>
      </c>
      <c r="G3353" s="1" t="s">
        <v>28</v>
      </c>
      <c r="H3353" s="1">
        <v>4500</v>
      </c>
      <c r="I3353" s="1">
        <v>16314</v>
      </c>
      <c r="J3353" s="7">
        <v>0.27600000000000002</v>
      </c>
      <c r="K3353" s="1" t="s">
        <v>21</v>
      </c>
      <c r="L3353" s="1" t="s">
        <v>29</v>
      </c>
      <c r="M3353" s="1" t="s">
        <v>29</v>
      </c>
      <c r="N3353" s="1" t="s">
        <v>22</v>
      </c>
    </row>
    <row r="3354" spans="1:14" x14ac:dyDescent="0.25">
      <c r="A3354" s="1">
        <v>3353</v>
      </c>
      <c r="B3354" s="2" t="str">
        <f>HYPERLINK("https://leetcode.com/problems/minimum-total-operations/", "Minimum Total Operations")</f>
        <v>Minimum Total Operations</v>
      </c>
      <c r="C3354" s="1">
        <v>14</v>
      </c>
      <c r="D3354" s="1">
        <v>1</v>
      </c>
      <c r="E3354" s="3">
        <f>IF(INDEX(C:C, ROW())+INDEX(D:D, ROW())=0, 0, INDEX(C:C, ROW())/(INDEX(C:C, ROW())+INDEX(D:D, ROW())))</f>
        <v>0.93333333333333335</v>
      </c>
      <c r="F3354" s="1" t="s">
        <v>113</v>
      </c>
      <c r="G3354" s="1" t="s">
        <v>20</v>
      </c>
      <c r="H3354" s="1">
        <v>1320</v>
      </c>
      <c r="I3354" s="1">
        <v>2061</v>
      </c>
      <c r="J3354" s="7">
        <v>0.64</v>
      </c>
      <c r="K3354" s="1" t="s">
        <v>29</v>
      </c>
      <c r="L3354" s="1" t="s">
        <v>29</v>
      </c>
      <c r="M3354" s="1" t="s">
        <v>29</v>
      </c>
      <c r="N3354" s="1" t="s">
        <v>22</v>
      </c>
    </row>
    <row r="3355" spans="1:14" x14ac:dyDescent="0.25">
      <c r="A3355" s="1">
        <v>3354</v>
      </c>
      <c r="B3355" s="2" t="str">
        <f>HYPERLINK("https://leetcode.com/problems/make-array-elements-equal-to-zero/", "Make Array Elements Equal to Zero")</f>
        <v>Make Array Elements Equal to Zero</v>
      </c>
      <c r="C3355" s="1">
        <v>554</v>
      </c>
      <c r="D3355" s="1">
        <v>165</v>
      </c>
      <c r="E3355" s="3">
        <f>IF(INDEX(C:C, ROW())+INDEX(D:D, ROW())=0, 0, INDEX(C:C, ROW())/(INDEX(C:C, ROW())+INDEX(D:D, ROW())))</f>
        <v>0.77051460361613355</v>
      </c>
      <c r="F3355" s="1" t="s">
        <v>874</v>
      </c>
      <c r="G3355" s="1" t="s">
        <v>20</v>
      </c>
      <c r="H3355" s="1">
        <v>134056</v>
      </c>
      <c r="I3355" s="1">
        <v>196272</v>
      </c>
      <c r="J3355" s="7">
        <v>0.68300000000000005</v>
      </c>
      <c r="K3355" s="1" t="s">
        <v>21</v>
      </c>
      <c r="L3355" s="1" t="s">
        <v>21</v>
      </c>
      <c r="M3355" s="1" t="s">
        <v>29</v>
      </c>
      <c r="N3355" s="1" t="s">
        <v>22</v>
      </c>
    </row>
    <row r="3356" spans="1:14" x14ac:dyDescent="0.25">
      <c r="A3356" s="1">
        <v>3355</v>
      </c>
      <c r="B3356" s="2" t="str">
        <f>HYPERLINK("https://leetcode.com/problems/zero-array-transformation-i/", "Zero Array Transformation I")</f>
        <v>Zero Array Transformation I</v>
      </c>
      <c r="C3356" s="1">
        <v>848</v>
      </c>
      <c r="D3356" s="1">
        <v>90</v>
      </c>
      <c r="E3356" s="3">
        <f>IF(INDEX(C:C, ROW())+INDEX(D:D, ROW())=0, 0, INDEX(C:C, ROW())/(INDEX(C:C, ROW())+INDEX(D:D, ROW())))</f>
        <v>0.90405117270788915</v>
      </c>
      <c r="F3356" s="1" t="s">
        <v>37</v>
      </c>
      <c r="G3356" s="1" t="s">
        <v>24</v>
      </c>
      <c r="H3356" s="1">
        <v>154318</v>
      </c>
      <c r="I3356" s="1">
        <v>283486</v>
      </c>
      <c r="J3356" s="7">
        <v>0.54400000000000004</v>
      </c>
      <c r="K3356" s="1" t="s">
        <v>21</v>
      </c>
      <c r="L3356" s="1" t="s">
        <v>21</v>
      </c>
      <c r="M3356" s="1" t="s">
        <v>29</v>
      </c>
      <c r="N3356" s="1" t="s">
        <v>22</v>
      </c>
    </row>
    <row r="3357" spans="1:14" x14ac:dyDescent="0.25">
      <c r="A3357" s="1">
        <v>3356</v>
      </c>
      <c r="B3357" s="2" t="str">
        <f>HYPERLINK("https://leetcode.com/problems/zero-array-transformation-ii/", "Zero Array Transformation II")</f>
        <v>Zero Array Transformation II</v>
      </c>
      <c r="C3357" s="1">
        <v>1023</v>
      </c>
      <c r="D3357" s="1">
        <v>86</v>
      </c>
      <c r="E3357" s="3">
        <f>IF(INDEX(C:C, ROW())+INDEX(D:D, ROW())=0, 0, INDEX(C:C, ROW())/(INDEX(C:C, ROW())+INDEX(D:D, ROW())))</f>
        <v>0.92245266005410276</v>
      </c>
      <c r="F3357" s="1" t="s">
        <v>710</v>
      </c>
      <c r="G3357" s="1" t="s">
        <v>24</v>
      </c>
      <c r="H3357" s="1">
        <v>132462</v>
      </c>
      <c r="I3357" s="1">
        <v>303742</v>
      </c>
      <c r="J3357" s="7">
        <v>0.436</v>
      </c>
      <c r="K3357" s="1" t="s">
        <v>21</v>
      </c>
      <c r="L3357" s="1" t="s">
        <v>21</v>
      </c>
      <c r="M3357" s="1" t="s">
        <v>29</v>
      </c>
      <c r="N3357" s="1" t="s">
        <v>22</v>
      </c>
    </row>
    <row r="3358" spans="1:14" x14ac:dyDescent="0.25">
      <c r="A3358" s="1">
        <v>3357</v>
      </c>
      <c r="B3358" s="2" t="str">
        <f>HYPERLINK("https://leetcode.com/problems/minimize-the-maximum-adjacent-element-difference/", "Minimize the Maximum Adjacent Element Difference")</f>
        <v>Minimize the Maximum Adjacent Element Difference</v>
      </c>
      <c r="C3358" s="1">
        <v>63</v>
      </c>
      <c r="D3358" s="1">
        <v>14</v>
      </c>
      <c r="E3358" s="3">
        <f>IF(INDEX(C:C, ROW())+INDEX(D:D, ROW())=0, 0, INDEX(C:C, ROW())/(INDEX(C:C, ROW())+INDEX(D:D, ROW())))</f>
        <v>0.81818181818181823</v>
      </c>
      <c r="F3358" s="1" t="s">
        <v>533</v>
      </c>
      <c r="G3358" s="1" t="s">
        <v>28</v>
      </c>
      <c r="H3358" s="1">
        <v>3499</v>
      </c>
      <c r="I3358" s="1">
        <v>18134</v>
      </c>
      <c r="J3358" s="7">
        <v>0.193</v>
      </c>
      <c r="K3358" s="1" t="s">
        <v>21</v>
      </c>
      <c r="L3358" s="1" t="s">
        <v>29</v>
      </c>
      <c r="M3358" s="1" t="s">
        <v>29</v>
      </c>
      <c r="N3358" s="1" t="s">
        <v>22</v>
      </c>
    </row>
    <row r="3359" spans="1:14" x14ac:dyDescent="0.25">
      <c r="A3359" s="1">
        <v>3358</v>
      </c>
      <c r="B3359" s="2" t="str">
        <f>HYPERLINK("https://leetcode.com/problems/books-with-null-ratings/", "Books with NULL Ratings")</f>
        <v>Books with NULL Ratings</v>
      </c>
      <c r="C3359" s="1">
        <v>9</v>
      </c>
      <c r="D3359" s="1">
        <v>0</v>
      </c>
      <c r="E3359" s="3">
        <f>IF(INDEX(C:C, ROW())+INDEX(D:D, ROW())=0, 0, INDEX(C:C, ROW())/(INDEX(C:C, ROW())+INDEX(D:D, ROW())))</f>
        <v>1</v>
      </c>
      <c r="F3359" s="1" t="s">
        <v>297</v>
      </c>
      <c r="G3359" s="1" t="s">
        <v>20</v>
      </c>
      <c r="H3359" s="1">
        <v>3436</v>
      </c>
      <c r="I3359" s="1">
        <v>4143</v>
      </c>
      <c r="J3359" s="7">
        <v>0.82899999999999996</v>
      </c>
      <c r="K3359" s="1" t="s">
        <v>29</v>
      </c>
      <c r="L3359" s="1" t="s">
        <v>29</v>
      </c>
      <c r="M3359" s="1" t="s">
        <v>29</v>
      </c>
      <c r="N3359" s="1" t="s">
        <v>297</v>
      </c>
    </row>
    <row r="3360" spans="1:14" x14ac:dyDescent="0.25">
      <c r="A3360" s="1">
        <v>3359</v>
      </c>
      <c r="B3360" s="2" t="str">
        <f>HYPERLINK("https://leetcode.com/problems/find-sorted-submatrices-with-maximum-element-at-most-k/", "Find Sorted Submatrices With Maximum Element at Most K")</f>
        <v>Find Sorted Submatrices With Maximum Element at Most K</v>
      </c>
      <c r="C3360" s="1">
        <v>7</v>
      </c>
      <c r="D3360" s="1">
        <v>3</v>
      </c>
      <c r="E3360" s="3">
        <f>IF(INDEX(C:C, ROW())+INDEX(D:D, ROW())=0, 0, INDEX(C:C, ROW())/(INDEX(C:C, ROW())+INDEX(D:D, ROW())))</f>
        <v>0.7</v>
      </c>
      <c r="F3360" s="1" t="s">
        <v>1230</v>
      </c>
      <c r="G3360" s="1" t="s">
        <v>28</v>
      </c>
      <c r="H3360" s="1">
        <v>413</v>
      </c>
      <c r="I3360" s="1">
        <v>807</v>
      </c>
      <c r="J3360" s="7">
        <v>0.51200000000000001</v>
      </c>
      <c r="K3360" s="1" t="s">
        <v>29</v>
      </c>
      <c r="L3360" s="1" t="s">
        <v>29</v>
      </c>
      <c r="M3360" s="1" t="s">
        <v>29</v>
      </c>
      <c r="N3360" s="1" t="s">
        <v>22</v>
      </c>
    </row>
    <row r="3361" spans="1:14" x14ac:dyDescent="0.25">
      <c r="A3361" s="1">
        <v>3360</v>
      </c>
      <c r="B3361" s="2" t="str">
        <f>HYPERLINK("https://leetcode.com/problems/stone-removal-game/", "Stone Removal Game")</f>
        <v>Stone Removal Game</v>
      </c>
      <c r="C3361" s="1">
        <v>68</v>
      </c>
      <c r="D3361" s="1">
        <v>5</v>
      </c>
      <c r="E3361" s="3">
        <f>IF(INDEX(C:C, ROW())+INDEX(D:D, ROW())=0, 0, INDEX(C:C, ROW())/(INDEX(C:C, ROW())+INDEX(D:D, ROW())))</f>
        <v>0.93150684931506844</v>
      </c>
      <c r="F3361" s="1" t="s">
        <v>465</v>
      </c>
      <c r="G3361" s="1" t="s">
        <v>20</v>
      </c>
      <c r="H3361" s="1">
        <v>32592</v>
      </c>
      <c r="I3361" s="1">
        <v>76895</v>
      </c>
      <c r="J3361" s="7">
        <v>0.42399999999999999</v>
      </c>
      <c r="K3361" s="1" t="s">
        <v>21</v>
      </c>
      <c r="L3361" s="1" t="s">
        <v>29</v>
      </c>
      <c r="M3361" s="1" t="s">
        <v>29</v>
      </c>
      <c r="N3361" s="1" t="s">
        <v>22</v>
      </c>
    </row>
    <row r="3362" spans="1:14" x14ac:dyDescent="0.25">
      <c r="A3362" s="1">
        <v>3361</v>
      </c>
      <c r="B3362" s="2" t="str">
        <f>HYPERLINK("https://leetcode.com/problems/shift-distance-between-two-strings/", "Shift Distance Between Two Strings")</f>
        <v>Shift Distance Between Two Strings</v>
      </c>
      <c r="C3362" s="1">
        <v>68</v>
      </c>
      <c r="D3362" s="1">
        <v>46</v>
      </c>
      <c r="E3362" s="3">
        <f>IF(INDEX(C:C, ROW())+INDEX(D:D, ROW())=0, 0, INDEX(C:C, ROW())/(INDEX(C:C, ROW())+INDEX(D:D, ROW())))</f>
        <v>0.59649122807017541</v>
      </c>
      <c r="F3362" s="1" t="s">
        <v>372</v>
      </c>
      <c r="G3362" s="1" t="s">
        <v>24</v>
      </c>
      <c r="H3362" s="1">
        <v>17181</v>
      </c>
      <c r="I3362" s="1">
        <v>32090</v>
      </c>
      <c r="J3362" s="7">
        <v>0.53500000000000003</v>
      </c>
      <c r="K3362" s="1" t="s">
        <v>21</v>
      </c>
      <c r="L3362" s="1" t="s">
        <v>29</v>
      </c>
      <c r="M3362" s="1" t="s">
        <v>29</v>
      </c>
      <c r="N3362" s="1" t="s">
        <v>22</v>
      </c>
    </row>
    <row r="3363" spans="1:14" x14ac:dyDescent="0.25">
      <c r="A3363" s="1">
        <v>3362</v>
      </c>
      <c r="B3363" s="2" t="str">
        <f>HYPERLINK("https://leetcode.com/problems/zero-array-transformation-iii/", "Zero Array Transformation III")</f>
        <v>Zero Array Transformation III</v>
      </c>
      <c r="C3363" s="1">
        <v>690</v>
      </c>
      <c r="D3363" s="1">
        <v>126</v>
      </c>
      <c r="E3363" s="3">
        <f>IF(INDEX(C:C, ROW())+INDEX(D:D, ROW())=0, 0, INDEX(C:C, ROW())/(INDEX(C:C, ROW())+INDEX(D:D, ROW())))</f>
        <v>0.84558823529411764</v>
      </c>
      <c r="F3363" s="1" t="s">
        <v>806</v>
      </c>
      <c r="G3363" s="1" t="s">
        <v>24</v>
      </c>
      <c r="H3363" s="1">
        <v>76388</v>
      </c>
      <c r="I3363" s="1">
        <v>139157</v>
      </c>
      <c r="J3363" s="7">
        <v>0.54900000000000004</v>
      </c>
      <c r="K3363" s="1" t="s">
        <v>21</v>
      </c>
      <c r="L3363" s="1" t="s">
        <v>21</v>
      </c>
      <c r="M3363" s="1" t="s">
        <v>29</v>
      </c>
      <c r="N3363" s="1" t="s">
        <v>22</v>
      </c>
    </row>
    <row r="3364" spans="1:14" x14ac:dyDescent="0.25">
      <c r="A3364" s="1">
        <v>3363</v>
      </c>
      <c r="B3364" s="2" t="str">
        <f>HYPERLINK("https://leetcode.com/problems/find-the-maximum-number-of-fruits-collected/", "Find the Maximum Number of Fruits Collected")</f>
        <v>Find the Maximum Number of Fruits Collected</v>
      </c>
      <c r="C3364" s="1">
        <v>448</v>
      </c>
      <c r="D3364" s="1">
        <v>42</v>
      </c>
      <c r="E3364" s="3">
        <f>IF(INDEX(C:C, ROW())+INDEX(D:D, ROW())=0, 0, INDEX(C:C, ROW())/(INDEX(C:C, ROW())+INDEX(D:D, ROW())))</f>
        <v>0.91428571428571426</v>
      </c>
      <c r="F3364" s="1" t="s">
        <v>94</v>
      </c>
      <c r="G3364" s="1" t="s">
        <v>28</v>
      </c>
      <c r="H3364" s="1">
        <v>70668</v>
      </c>
      <c r="I3364" s="1">
        <v>108586</v>
      </c>
      <c r="J3364" s="7">
        <v>0.65100000000000002</v>
      </c>
      <c r="K3364" s="1" t="s">
        <v>21</v>
      </c>
      <c r="L3364" s="1" t="s">
        <v>21</v>
      </c>
      <c r="M3364" s="1" t="s">
        <v>29</v>
      </c>
      <c r="N3364" s="1" t="s">
        <v>22</v>
      </c>
    </row>
    <row r="3365" spans="1:14" x14ac:dyDescent="0.25">
      <c r="A3365" s="1">
        <v>3364</v>
      </c>
      <c r="B3365" s="2" t="str">
        <f>HYPERLINK("https://leetcode.com/problems/minimum-positive-sum-subarray/", "Minimum Positive Sum Subarray ")</f>
        <v xml:space="preserve">Minimum Positive Sum Subarray </v>
      </c>
      <c r="C3365" s="1">
        <v>156</v>
      </c>
      <c r="D3365" s="1">
        <v>37</v>
      </c>
      <c r="E3365" s="3">
        <f>IF(INDEX(C:C, ROW())+INDEX(D:D, ROW())=0, 0, INDEX(C:C, ROW())/(INDEX(C:C, ROW())+INDEX(D:D, ROW())))</f>
        <v>0.80829015544041449</v>
      </c>
      <c r="F3365" s="1" t="s">
        <v>197</v>
      </c>
      <c r="G3365" s="1" t="s">
        <v>20</v>
      </c>
      <c r="H3365" s="1">
        <v>44387</v>
      </c>
      <c r="I3365" s="1">
        <v>98878</v>
      </c>
      <c r="J3365" s="7">
        <v>0.44900000000000001</v>
      </c>
      <c r="K3365" s="1" t="s">
        <v>21</v>
      </c>
      <c r="L3365" s="1" t="s">
        <v>29</v>
      </c>
      <c r="M3365" s="1" t="s">
        <v>29</v>
      </c>
      <c r="N3365" s="1" t="s">
        <v>22</v>
      </c>
    </row>
    <row r="3366" spans="1:14" x14ac:dyDescent="0.25">
      <c r="A3366" s="1">
        <v>3365</v>
      </c>
      <c r="B3366" s="2" t="str">
        <f>HYPERLINK("https://leetcode.com/problems/rearrange-k-substrings-to-form-target-string/", "Rearrange K Substrings to Form Target String")</f>
        <v>Rearrange K Substrings to Form Target String</v>
      </c>
      <c r="C3366" s="1">
        <v>87</v>
      </c>
      <c r="D3366" s="1">
        <v>7</v>
      </c>
      <c r="E3366" s="3">
        <f>IF(INDEX(C:C, ROW())+INDEX(D:D, ROW())=0, 0, INDEX(C:C, ROW())/(INDEX(C:C, ROW())+INDEX(D:D, ROW())))</f>
        <v>0.92553191489361697</v>
      </c>
      <c r="F3366" s="1" t="s">
        <v>90</v>
      </c>
      <c r="G3366" s="1" t="s">
        <v>24</v>
      </c>
      <c r="H3366" s="1">
        <v>27607</v>
      </c>
      <c r="I3366" s="1">
        <v>48710</v>
      </c>
      <c r="J3366" s="7">
        <v>0.56699999999999995</v>
      </c>
      <c r="K3366" s="1" t="s">
        <v>21</v>
      </c>
      <c r="L3366" s="1" t="s">
        <v>29</v>
      </c>
      <c r="M3366" s="1" t="s">
        <v>29</v>
      </c>
      <c r="N3366" s="1" t="s">
        <v>22</v>
      </c>
    </row>
    <row r="3367" spans="1:14" x14ac:dyDescent="0.25">
      <c r="A3367" s="1">
        <v>3366</v>
      </c>
      <c r="B3367" s="2" t="str">
        <f>HYPERLINK("https://leetcode.com/problems/minimum-array-sum/", "Minimum Array Sum")</f>
        <v>Minimum Array Sum</v>
      </c>
      <c r="C3367" s="1">
        <v>171</v>
      </c>
      <c r="D3367" s="1">
        <v>16</v>
      </c>
      <c r="E3367" s="3">
        <f>IF(INDEX(C:C, ROW())+INDEX(D:D, ROW())=0, 0, INDEX(C:C, ROW())/(INDEX(C:C, ROW())+INDEX(D:D, ROW())))</f>
        <v>0.91443850267379678</v>
      </c>
      <c r="F3367" s="1" t="s">
        <v>30</v>
      </c>
      <c r="G3367" s="1" t="s">
        <v>24</v>
      </c>
      <c r="H3367" s="1">
        <v>16339</v>
      </c>
      <c r="I3367" s="1">
        <v>52758</v>
      </c>
      <c r="J3367" s="7">
        <v>0.31</v>
      </c>
      <c r="K3367" s="1" t="s">
        <v>21</v>
      </c>
      <c r="L3367" s="1" t="s">
        <v>29</v>
      </c>
      <c r="M3367" s="1" t="s">
        <v>29</v>
      </c>
      <c r="N3367" s="1" t="s">
        <v>22</v>
      </c>
    </row>
    <row r="3368" spans="1:14" x14ac:dyDescent="0.25">
      <c r="A3368" s="1">
        <v>3367</v>
      </c>
      <c r="B3368" s="2" t="str">
        <f>HYPERLINK("https://leetcode.com/problems/maximize-sum-of-weights-after-edge-removals/", "Maximize Sum of Weights after Edge Removals")</f>
        <v>Maximize Sum of Weights after Edge Removals</v>
      </c>
      <c r="C3368" s="1">
        <v>100</v>
      </c>
      <c r="D3368" s="1">
        <v>4</v>
      </c>
      <c r="E3368" s="3">
        <f>IF(INDEX(C:C, ROW())+INDEX(D:D, ROW())=0, 0, INDEX(C:C, ROW())/(INDEX(C:C, ROW())+INDEX(D:D, ROW())))</f>
        <v>0.96153846153846156</v>
      </c>
      <c r="F3368" s="1" t="s">
        <v>1187</v>
      </c>
      <c r="G3368" s="1" t="s">
        <v>28</v>
      </c>
      <c r="H3368" s="1">
        <v>4370</v>
      </c>
      <c r="I3368" s="1">
        <v>14370</v>
      </c>
      <c r="J3368" s="7">
        <v>0.30399999999999999</v>
      </c>
      <c r="K3368" s="1" t="s">
        <v>21</v>
      </c>
      <c r="L3368" s="1" t="s">
        <v>29</v>
      </c>
      <c r="M3368" s="1" t="s">
        <v>29</v>
      </c>
      <c r="N3368" s="1" t="s">
        <v>22</v>
      </c>
    </row>
    <row r="3369" spans="1:14" x14ac:dyDescent="0.25">
      <c r="A3369" s="1">
        <v>3368</v>
      </c>
      <c r="B3369" s="2" t="str">
        <f>HYPERLINK("https://leetcode.com/problems/first-letter-capitalization/", "First Letter Capitalization")</f>
        <v>First Letter Capitalization</v>
      </c>
      <c r="C3369" s="1">
        <v>6</v>
      </c>
      <c r="D3369" s="1">
        <v>1</v>
      </c>
      <c r="E3369" s="3">
        <f>IF(INDEX(C:C, ROW())+INDEX(D:D, ROW())=0, 0, INDEX(C:C, ROW())/(INDEX(C:C, ROW())+INDEX(D:D, ROW())))</f>
        <v>0.8571428571428571</v>
      </c>
      <c r="F3369" s="1" t="s">
        <v>297</v>
      </c>
      <c r="G3369" s="1" t="s">
        <v>28</v>
      </c>
      <c r="H3369" s="1">
        <v>1190</v>
      </c>
      <c r="I3369" s="1">
        <v>1373</v>
      </c>
      <c r="J3369" s="7">
        <v>0.86699999999999999</v>
      </c>
      <c r="K3369" s="1" t="s">
        <v>29</v>
      </c>
      <c r="L3369" s="1" t="s">
        <v>29</v>
      </c>
      <c r="M3369" s="1" t="s">
        <v>29</v>
      </c>
      <c r="N3369" s="1" t="s">
        <v>297</v>
      </c>
    </row>
    <row r="3370" spans="1:14" x14ac:dyDescent="0.25">
      <c r="A3370" s="1">
        <v>3369</v>
      </c>
      <c r="B3370" s="2" t="str">
        <f>HYPERLINK("https://leetcode.com/problems/design-an-array-statistics-tracker/", "Design an Array Statistics Tracker ")</f>
        <v xml:space="preserve">Design an Array Statistics Tracker </v>
      </c>
      <c r="C3370" s="1">
        <v>15</v>
      </c>
      <c r="D3370" s="1">
        <v>2</v>
      </c>
      <c r="E3370" s="3">
        <f>IF(INDEX(C:C, ROW())+INDEX(D:D, ROW())=0, 0, INDEX(C:C, ROW())/(INDEX(C:C, ROW())+INDEX(D:D, ROW())))</f>
        <v>0.88235294117647056</v>
      </c>
      <c r="F3370" s="1" t="s">
        <v>1326</v>
      </c>
      <c r="G3370" s="1" t="s">
        <v>28</v>
      </c>
      <c r="H3370" s="1">
        <v>1373</v>
      </c>
      <c r="I3370" s="1">
        <v>3859</v>
      </c>
      <c r="J3370" s="7">
        <v>0.35599999999999998</v>
      </c>
      <c r="K3370" s="1" t="s">
        <v>29</v>
      </c>
      <c r="L3370" s="1" t="s">
        <v>29</v>
      </c>
      <c r="M3370" s="1" t="s">
        <v>29</v>
      </c>
      <c r="N3370" s="1" t="s">
        <v>22</v>
      </c>
    </row>
    <row r="3371" spans="1:14" x14ac:dyDescent="0.25">
      <c r="A3371" s="1">
        <v>3370</v>
      </c>
      <c r="B3371" s="2" t="str">
        <f>HYPERLINK("https://leetcode.com/problems/smallest-number-with-all-set-bits/", "Smallest Number With All Set Bits")</f>
        <v>Smallest Number With All Set Bits</v>
      </c>
      <c r="C3371" s="1">
        <v>367</v>
      </c>
      <c r="D3371" s="1">
        <v>15</v>
      </c>
      <c r="E3371" s="3">
        <f>IF(INDEX(C:C, ROW())+INDEX(D:D, ROW())=0, 0, INDEX(C:C, ROW())/(INDEX(C:C, ROW())+INDEX(D:D, ROW())))</f>
        <v>0.96073298429319376</v>
      </c>
      <c r="F3371" s="1" t="s">
        <v>227</v>
      </c>
      <c r="G3371" s="1" t="s">
        <v>20</v>
      </c>
      <c r="H3371" s="1">
        <v>170773</v>
      </c>
      <c r="I3371" s="1">
        <v>212548</v>
      </c>
      <c r="J3371" s="7">
        <v>0.80300000000000005</v>
      </c>
      <c r="K3371" s="1" t="s">
        <v>21</v>
      </c>
      <c r="L3371" s="1" t="s">
        <v>21</v>
      </c>
      <c r="M3371" s="1" t="s">
        <v>29</v>
      </c>
      <c r="N3371" s="1" t="s">
        <v>22</v>
      </c>
    </row>
    <row r="3372" spans="1:14" x14ac:dyDescent="0.25">
      <c r="A3372" s="1">
        <v>3371</v>
      </c>
      <c r="B3372" s="2" t="str">
        <f>HYPERLINK("https://leetcode.com/problems/identify-the-largest-outlier-in-an-array/", "Identify the Largest Outlier in an Array")</f>
        <v>Identify the Largest Outlier in an Array</v>
      </c>
      <c r="C3372" s="1">
        <v>225</v>
      </c>
      <c r="D3372" s="1">
        <v>30</v>
      </c>
      <c r="E3372" s="3">
        <f>IF(INDEX(C:C, ROW())+INDEX(D:D, ROW())=0, 0, INDEX(C:C, ROW())/(INDEX(C:C, ROW())+INDEX(D:D, ROW())))</f>
        <v>0.88235294117647056</v>
      </c>
      <c r="F3372" s="1" t="s">
        <v>1080</v>
      </c>
      <c r="G3372" s="1" t="s">
        <v>24</v>
      </c>
      <c r="H3372" s="1">
        <v>51841</v>
      </c>
      <c r="I3372" s="1">
        <v>143235</v>
      </c>
      <c r="J3372" s="7">
        <v>0.36199999999999999</v>
      </c>
      <c r="K3372" s="1" t="s">
        <v>21</v>
      </c>
      <c r="L3372" s="1" t="s">
        <v>29</v>
      </c>
      <c r="M3372" s="1" t="s">
        <v>29</v>
      </c>
      <c r="N3372" s="1" t="s">
        <v>22</v>
      </c>
    </row>
    <row r="3373" spans="1:14" x14ac:dyDescent="0.25">
      <c r="A3373" s="1">
        <v>3372</v>
      </c>
      <c r="B3373" s="2" t="str">
        <f>HYPERLINK("https://leetcode.com/problems/maximize-the-number-of-target-nodes-after-connecting-trees-i/", "Maximize the Number of Target Nodes After Connecting Trees I")</f>
        <v>Maximize the Number of Target Nodes After Connecting Trees I</v>
      </c>
      <c r="C3373" s="1">
        <v>445</v>
      </c>
      <c r="D3373" s="1">
        <v>266</v>
      </c>
      <c r="E3373" s="3">
        <f>IF(INDEX(C:C, ROW())+INDEX(D:D, ROW())=0, 0, INDEX(C:C, ROW())/(INDEX(C:C, ROW())+INDEX(D:D, ROW())))</f>
        <v>0.62587904360056257</v>
      </c>
      <c r="F3373" s="1" t="s">
        <v>300</v>
      </c>
      <c r="G3373" s="1" t="s">
        <v>24</v>
      </c>
      <c r="H3373" s="1">
        <v>84076</v>
      </c>
      <c r="I3373" s="1">
        <v>120963</v>
      </c>
      <c r="J3373" s="7">
        <v>0.69499999999999995</v>
      </c>
      <c r="K3373" s="1" t="s">
        <v>21</v>
      </c>
      <c r="L3373" s="1" t="s">
        <v>21</v>
      </c>
      <c r="M3373" s="1" t="s">
        <v>29</v>
      </c>
      <c r="N3373" s="1" t="s">
        <v>22</v>
      </c>
    </row>
    <row r="3374" spans="1:14" x14ac:dyDescent="0.25">
      <c r="A3374" s="1">
        <v>3373</v>
      </c>
      <c r="B3374" s="2" t="str">
        <f>HYPERLINK("https://leetcode.com/problems/maximize-the-number-of-target-nodes-after-connecting-trees-ii/", "Maximize the Number of Target Nodes After Connecting Trees II")</f>
        <v>Maximize the Number of Target Nodes After Connecting Trees II</v>
      </c>
      <c r="C3374" s="1">
        <v>371</v>
      </c>
      <c r="D3374" s="1">
        <v>44</v>
      </c>
      <c r="E3374" s="3">
        <f>IF(INDEX(C:C, ROW())+INDEX(D:D, ROW())=0, 0, INDEX(C:C, ROW())/(INDEX(C:C, ROW())+INDEX(D:D, ROW())))</f>
        <v>0.89397590361445778</v>
      </c>
      <c r="F3374" s="1" t="s">
        <v>300</v>
      </c>
      <c r="G3374" s="1" t="s">
        <v>28</v>
      </c>
      <c r="H3374" s="1">
        <v>69762</v>
      </c>
      <c r="I3374" s="1">
        <v>95362</v>
      </c>
      <c r="J3374" s="7">
        <v>0.73199999999999998</v>
      </c>
      <c r="K3374" s="1" t="s">
        <v>21</v>
      </c>
      <c r="L3374" s="1" t="s">
        <v>21</v>
      </c>
      <c r="M3374" s="1" t="s">
        <v>29</v>
      </c>
      <c r="N3374" s="1" t="s">
        <v>22</v>
      </c>
    </row>
    <row r="3375" spans="1:14" x14ac:dyDescent="0.25">
      <c r="A3375" s="1">
        <v>3374</v>
      </c>
      <c r="B3375" s="2" t="str">
        <f>HYPERLINK("https://leetcode.com/problems/first-letter-capitalization-ii/", "First Letter Capitalization II")</f>
        <v>First Letter Capitalization II</v>
      </c>
      <c r="C3375" s="1">
        <v>29</v>
      </c>
      <c r="D3375" s="1">
        <v>16</v>
      </c>
      <c r="E3375" s="3">
        <f>IF(INDEX(C:C, ROW())+INDEX(D:D, ROW())=0, 0, INDEX(C:C, ROW())/(INDEX(C:C, ROW())+INDEX(D:D, ROW())))</f>
        <v>0.64444444444444449</v>
      </c>
      <c r="F3375" s="1" t="s">
        <v>297</v>
      </c>
      <c r="G3375" s="1" t="s">
        <v>28</v>
      </c>
      <c r="H3375" s="1">
        <v>9200</v>
      </c>
      <c r="I3375" s="1">
        <v>16015</v>
      </c>
      <c r="J3375" s="7">
        <v>0.57399999999999995</v>
      </c>
      <c r="K3375" s="1" t="s">
        <v>21</v>
      </c>
      <c r="L3375" s="1" t="s">
        <v>29</v>
      </c>
      <c r="M3375" s="1" t="s">
        <v>29</v>
      </c>
      <c r="N3375" s="1" t="s">
        <v>297</v>
      </c>
    </row>
    <row r="3376" spans="1:14" x14ac:dyDescent="0.25">
      <c r="A3376" s="1">
        <v>3375</v>
      </c>
      <c r="B3376" s="2" t="str">
        <f>HYPERLINK("https://leetcode.com/problems/minimum-operations-to-make-array-values-equal-to-k/", "Minimum Operations to Make Array Values Equal to K")</f>
        <v>Minimum Operations to Make Array Values Equal to K</v>
      </c>
      <c r="C3376" s="1">
        <v>406</v>
      </c>
      <c r="D3376" s="1">
        <v>531</v>
      </c>
      <c r="E3376" s="3">
        <f>IF(INDEX(C:C, ROW())+INDEX(D:D, ROW())=0, 0, INDEX(C:C, ROW())/(INDEX(C:C, ROW())+INDEX(D:D, ROW())))</f>
        <v>0.43329775880469584</v>
      </c>
      <c r="F3376" s="1" t="s">
        <v>19</v>
      </c>
      <c r="G3376" s="1" t="s">
        <v>20</v>
      </c>
      <c r="H3376" s="1">
        <v>167445</v>
      </c>
      <c r="I3376" s="1">
        <v>228477</v>
      </c>
      <c r="J3376" s="7">
        <v>0.73299999999999998</v>
      </c>
      <c r="K3376" s="1" t="s">
        <v>21</v>
      </c>
      <c r="L3376" s="1" t="s">
        <v>21</v>
      </c>
      <c r="M3376" s="1" t="s">
        <v>29</v>
      </c>
      <c r="N3376" s="1" t="s">
        <v>22</v>
      </c>
    </row>
    <row r="3377" spans="1:14" x14ac:dyDescent="0.25">
      <c r="A3377" s="1">
        <v>3376</v>
      </c>
      <c r="B3377" s="2" t="str">
        <f>HYPERLINK("https://leetcode.com/problems/minimum-time-to-break-locks-i/", "Minimum Time to Break Locks I")</f>
        <v>Minimum Time to Break Locks I</v>
      </c>
      <c r="C3377" s="1">
        <v>104</v>
      </c>
      <c r="D3377" s="1">
        <v>25</v>
      </c>
      <c r="E3377" s="3">
        <f>IF(INDEX(C:C, ROW())+INDEX(D:D, ROW())=0, 0, INDEX(C:C, ROW())/(INDEX(C:C, ROW())+INDEX(D:D, ROW())))</f>
        <v>0.80620155038759689</v>
      </c>
      <c r="F3377" s="1" t="s">
        <v>1180</v>
      </c>
      <c r="G3377" s="1" t="s">
        <v>24</v>
      </c>
      <c r="H3377" s="1">
        <v>13891</v>
      </c>
      <c r="I3377" s="1">
        <v>43242</v>
      </c>
      <c r="J3377" s="7">
        <v>0.32100000000000001</v>
      </c>
      <c r="K3377" s="1" t="s">
        <v>21</v>
      </c>
      <c r="L3377" s="1" t="s">
        <v>29</v>
      </c>
      <c r="M3377" s="1" t="s">
        <v>29</v>
      </c>
      <c r="N3377" s="1" t="s">
        <v>22</v>
      </c>
    </row>
    <row r="3378" spans="1:14" x14ac:dyDescent="0.25">
      <c r="A3378" s="1">
        <v>3377</v>
      </c>
      <c r="B3378" s="2" t="str">
        <f>HYPERLINK("https://leetcode.com/problems/digit-operations-to-make-two-integers-equal/", "Digit Operations to Make Two Integers Equal")</f>
        <v>Digit Operations to Make Two Integers Equal</v>
      </c>
      <c r="C3378" s="1">
        <v>132</v>
      </c>
      <c r="D3378" s="1">
        <v>42</v>
      </c>
      <c r="E3378" s="3">
        <f>IF(INDEX(C:C, ROW())+INDEX(D:D, ROW())=0, 0, INDEX(C:C, ROW())/(INDEX(C:C, ROW())+INDEX(D:D, ROW())))</f>
        <v>0.75862068965517238</v>
      </c>
      <c r="F3378" s="1" t="s">
        <v>1153</v>
      </c>
      <c r="G3378" s="1" t="s">
        <v>24</v>
      </c>
      <c r="H3378" s="1">
        <v>9531</v>
      </c>
      <c r="I3378" s="1">
        <v>32033</v>
      </c>
      <c r="J3378" s="7">
        <v>0.29799999999999999</v>
      </c>
      <c r="K3378" s="1" t="s">
        <v>21</v>
      </c>
      <c r="L3378" s="1" t="s">
        <v>29</v>
      </c>
      <c r="M3378" s="1" t="s">
        <v>29</v>
      </c>
      <c r="N3378" s="1" t="s">
        <v>22</v>
      </c>
    </row>
    <row r="3379" spans="1:14" x14ac:dyDescent="0.25">
      <c r="A3379" s="1">
        <v>3378</v>
      </c>
      <c r="B3379" s="2" t="str">
        <f>HYPERLINK("https://leetcode.com/problems/count-connected-components-in-lcm-graph/", "Count Connected Components in LCM Graph")</f>
        <v>Count Connected Components in LCM Graph</v>
      </c>
      <c r="C3379" s="1">
        <v>82</v>
      </c>
      <c r="D3379" s="1">
        <v>2</v>
      </c>
      <c r="E3379" s="3">
        <f>IF(INDEX(C:C, ROW())+INDEX(D:D, ROW())=0, 0, INDEX(C:C, ROW())/(INDEX(C:C, ROW())+INDEX(D:D, ROW())))</f>
        <v>0.97619047619047616</v>
      </c>
      <c r="F3379" s="1" t="s">
        <v>545</v>
      </c>
      <c r="G3379" s="1" t="s">
        <v>28</v>
      </c>
      <c r="H3379" s="1">
        <v>5290</v>
      </c>
      <c r="I3379" s="1">
        <v>17106</v>
      </c>
      <c r="J3379" s="7">
        <v>0.309</v>
      </c>
      <c r="K3379" s="1" t="s">
        <v>21</v>
      </c>
      <c r="L3379" s="1" t="s">
        <v>29</v>
      </c>
      <c r="M3379" s="1" t="s">
        <v>29</v>
      </c>
      <c r="N3379" s="1" t="s">
        <v>22</v>
      </c>
    </row>
    <row r="3380" spans="1:14" x14ac:dyDescent="0.25">
      <c r="A3380" s="1">
        <v>3379</v>
      </c>
      <c r="B3380" s="2" t="str">
        <f>HYPERLINK("https://leetcode.com/problems/transformed-array/", "Transformed Array")</f>
        <v>Transformed Array</v>
      </c>
      <c r="C3380" s="1">
        <v>447</v>
      </c>
      <c r="D3380" s="1">
        <v>46</v>
      </c>
      <c r="E3380" s="3">
        <f>IF(INDEX(C:C, ROW())+INDEX(D:D, ROW())=0, 0, INDEX(C:C, ROW())/(INDEX(C:C, ROW())+INDEX(D:D, ROW())))</f>
        <v>0.90669371196754567</v>
      </c>
      <c r="F3380" s="1" t="s">
        <v>306</v>
      </c>
      <c r="G3380" s="1" t="s">
        <v>20</v>
      </c>
      <c r="H3380" s="1">
        <v>170326</v>
      </c>
      <c r="I3380" s="1">
        <v>241979</v>
      </c>
      <c r="J3380" s="7">
        <v>0.70399999999999996</v>
      </c>
      <c r="K3380" s="1" t="s">
        <v>21</v>
      </c>
      <c r="L3380" s="1" t="s">
        <v>21</v>
      </c>
      <c r="M3380" s="1" t="s">
        <v>29</v>
      </c>
      <c r="N3380" s="1" t="s">
        <v>22</v>
      </c>
    </row>
    <row r="3381" spans="1:14" x14ac:dyDescent="0.25">
      <c r="A3381" s="1">
        <v>3380</v>
      </c>
      <c r="B3381" s="2" t="str">
        <f>HYPERLINK("https://leetcode.com/problems/maximum-area-rectangle-with-point-constraints-i/", "Maximum Area Rectangle With Point Constraints I")</f>
        <v>Maximum Area Rectangle With Point Constraints I</v>
      </c>
      <c r="C3381" s="1">
        <v>77</v>
      </c>
      <c r="D3381" s="1">
        <v>20</v>
      </c>
      <c r="E3381" s="3">
        <f>IF(INDEX(C:C, ROW())+INDEX(D:D, ROW())=0, 0, INDEX(C:C, ROW())/(INDEX(C:C, ROW())+INDEX(D:D, ROW())))</f>
        <v>0.79381443298969068</v>
      </c>
      <c r="F3381" s="1" t="s">
        <v>1212</v>
      </c>
      <c r="G3381" s="1" t="s">
        <v>24</v>
      </c>
      <c r="H3381" s="1">
        <v>15478</v>
      </c>
      <c r="I3381" s="1">
        <v>30157</v>
      </c>
      <c r="J3381" s="7">
        <v>0.51300000000000001</v>
      </c>
      <c r="K3381" s="1" t="s">
        <v>21</v>
      </c>
      <c r="L3381" s="1" t="s">
        <v>29</v>
      </c>
      <c r="M3381" s="1" t="s">
        <v>29</v>
      </c>
      <c r="N3381" s="1" t="s">
        <v>22</v>
      </c>
    </row>
    <row r="3382" spans="1:14" x14ac:dyDescent="0.25">
      <c r="A3382" s="1">
        <v>3381</v>
      </c>
      <c r="B3382" s="2" t="str">
        <f>HYPERLINK("https://leetcode.com/problems/maximum-subarray-sum-with-length-divisible-by-k/", "Maximum Subarray Sum With Length Divisible by K")</f>
        <v>Maximum Subarray Sum With Length Divisible by K</v>
      </c>
      <c r="C3382" s="1">
        <v>679</v>
      </c>
      <c r="D3382" s="1">
        <v>38</v>
      </c>
      <c r="E3382" s="3">
        <f>IF(INDEX(C:C, ROW())+INDEX(D:D, ROW())=0, 0, INDEX(C:C, ROW())/(INDEX(C:C, ROW())+INDEX(D:D, ROW())))</f>
        <v>0.94700139470013944</v>
      </c>
      <c r="F3382" s="1" t="s">
        <v>39</v>
      </c>
      <c r="G3382" s="1" t="s">
        <v>24</v>
      </c>
      <c r="H3382" s="1">
        <v>85145</v>
      </c>
      <c r="I3382" s="1">
        <v>171555</v>
      </c>
      <c r="J3382" s="7">
        <v>0.496</v>
      </c>
      <c r="K3382" s="1" t="s">
        <v>21</v>
      </c>
      <c r="L3382" s="1" t="s">
        <v>21</v>
      </c>
      <c r="M3382" s="1" t="s">
        <v>29</v>
      </c>
      <c r="N3382" s="1" t="s">
        <v>22</v>
      </c>
    </row>
    <row r="3383" spans="1:14" x14ac:dyDescent="0.25">
      <c r="A3383" s="1">
        <v>3382</v>
      </c>
      <c r="B3383" s="2" t="str">
        <f>HYPERLINK("https://leetcode.com/problems/maximum-area-rectangle-with-point-constraints-ii/", "Maximum Area Rectangle With Point Constraints II")</f>
        <v>Maximum Area Rectangle With Point Constraints II</v>
      </c>
      <c r="C3383" s="1">
        <v>47</v>
      </c>
      <c r="D3383" s="1">
        <v>9</v>
      </c>
      <c r="E3383" s="3">
        <f>IF(INDEX(C:C, ROW())+INDEX(D:D, ROW())=0, 0, INDEX(C:C, ROW())/(INDEX(C:C, ROW())+INDEX(D:D, ROW())))</f>
        <v>0.8392857142857143</v>
      </c>
      <c r="F3383" s="1" t="s">
        <v>1274</v>
      </c>
      <c r="G3383" s="1" t="s">
        <v>28</v>
      </c>
      <c r="H3383" s="1">
        <v>3030</v>
      </c>
      <c r="I3383" s="1">
        <v>12785</v>
      </c>
      <c r="J3383" s="7">
        <v>0.23699999999999999</v>
      </c>
      <c r="K3383" s="1" t="s">
        <v>21</v>
      </c>
      <c r="L3383" s="1" t="s">
        <v>29</v>
      </c>
      <c r="M3383" s="1" t="s">
        <v>29</v>
      </c>
      <c r="N3383" s="1" t="s">
        <v>22</v>
      </c>
    </row>
    <row r="3384" spans="1:14" x14ac:dyDescent="0.25">
      <c r="A3384" s="1">
        <v>3383</v>
      </c>
      <c r="B3384" s="2" t="str">
        <f>HYPERLINK("https://leetcode.com/problems/minimum-runes-to-add-to-cast-spell/", "Minimum Runes to Add to Cast Spell")</f>
        <v>Minimum Runes to Add to Cast Spell</v>
      </c>
      <c r="C3384" s="1">
        <v>9</v>
      </c>
      <c r="D3384" s="1">
        <v>2</v>
      </c>
      <c r="E3384" s="3">
        <f>IF(INDEX(C:C, ROW())+INDEX(D:D, ROW())=0, 0, INDEX(C:C, ROW())/(INDEX(C:C, ROW())+INDEX(D:D, ROW())))</f>
        <v>0.81818181818181823</v>
      </c>
      <c r="F3384" s="1" t="s">
        <v>1330</v>
      </c>
      <c r="G3384" s="1" t="s">
        <v>28</v>
      </c>
      <c r="H3384" s="1">
        <v>747</v>
      </c>
      <c r="I3384" s="1">
        <v>1672</v>
      </c>
      <c r="J3384" s="7">
        <v>0.44700000000000001</v>
      </c>
      <c r="K3384" s="1" t="s">
        <v>29</v>
      </c>
      <c r="L3384" s="1" t="s">
        <v>29</v>
      </c>
      <c r="M3384" s="1" t="s">
        <v>29</v>
      </c>
      <c r="N3384" s="1" t="s">
        <v>22</v>
      </c>
    </row>
    <row r="3385" spans="1:14" x14ac:dyDescent="0.25">
      <c r="A3385" s="1">
        <v>3384</v>
      </c>
      <c r="B3385" s="2" t="str">
        <f>HYPERLINK("https://leetcode.com/problems/team-dominance-by-pass-success/", "Team Dominance by Pass Success")</f>
        <v>Team Dominance by Pass Success</v>
      </c>
      <c r="C3385" s="1">
        <v>4</v>
      </c>
      <c r="D3385" s="1">
        <v>0</v>
      </c>
      <c r="E3385" s="3">
        <f>IF(INDEX(C:C, ROW())+INDEX(D:D, ROW())=0, 0, INDEX(C:C, ROW())/(INDEX(C:C, ROW())+INDEX(D:D, ROW())))</f>
        <v>1</v>
      </c>
      <c r="F3385" s="1" t="s">
        <v>297</v>
      </c>
      <c r="G3385" s="1" t="s">
        <v>28</v>
      </c>
      <c r="H3385" s="1">
        <v>1395</v>
      </c>
      <c r="I3385" s="1">
        <v>1939</v>
      </c>
      <c r="J3385" s="7">
        <v>0.71899999999999997</v>
      </c>
      <c r="K3385" s="1" t="s">
        <v>29</v>
      </c>
      <c r="L3385" s="1" t="s">
        <v>29</v>
      </c>
      <c r="M3385" s="1" t="s">
        <v>29</v>
      </c>
      <c r="N3385" s="1" t="s">
        <v>297</v>
      </c>
    </row>
    <row r="3386" spans="1:14" x14ac:dyDescent="0.25">
      <c r="A3386" s="1">
        <v>3385</v>
      </c>
      <c r="B3386" s="2" t="str">
        <f>HYPERLINK("https://leetcode.com/problems/minimum-time-to-break-locks-ii/", "Minimum Time to Break Locks II")</f>
        <v>Minimum Time to Break Locks II</v>
      </c>
      <c r="C3386" s="1">
        <v>5</v>
      </c>
      <c r="D3386" s="1">
        <v>1</v>
      </c>
      <c r="E3386" s="3">
        <f>IF(INDEX(C:C, ROW())+INDEX(D:D, ROW())=0, 0, INDEX(C:C, ROW())/(INDEX(C:C, ROW())+INDEX(D:D, ROW())))</f>
        <v>0.83333333333333337</v>
      </c>
      <c r="F3386" s="1" t="s">
        <v>1340</v>
      </c>
      <c r="G3386" s="1" t="s">
        <v>28</v>
      </c>
      <c r="H3386" s="1">
        <v>336</v>
      </c>
      <c r="I3386" s="1">
        <v>747</v>
      </c>
      <c r="J3386" s="7">
        <v>0.45</v>
      </c>
      <c r="K3386" s="1" t="s">
        <v>29</v>
      </c>
      <c r="L3386" s="1" t="s">
        <v>29</v>
      </c>
      <c r="M3386" s="1" t="s">
        <v>29</v>
      </c>
      <c r="N3386" s="1" t="s">
        <v>22</v>
      </c>
    </row>
    <row r="3387" spans="1:14" x14ac:dyDescent="0.25">
      <c r="A3387" s="1">
        <v>3386</v>
      </c>
      <c r="B3387" s="2" t="str">
        <f>HYPERLINK("https://leetcode.com/problems/button-with-longest-push-time/", "Button with Longest Push Time")</f>
        <v>Button with Longest Push Time</v>
      </c>
      <c r="C3387" s="1">
        <v>77</v>
      </c>
      <c r="D3387" s="1">
        <v>74</v>
      </c>
      <c r="E3387" s="3">
        <f>IF(INDEX(C:C, ROW())+INDEX(D:D, ROW())=0, 0, INDEX(C:C, ROW())/(INDEX(C:C, ROW())+INDEX(D:D, ROW())))</f>
        <v>0.50993377483443714</v>
      </c>
      <c r="F3387" s="1" t="s">
        <v>113</v>
      </c>
      <c r="G3387" s="1" t="s">
        <v>20</v>
      </c>
      <c r="H3387" s="1">
        <v>35726</v>
      </c>
      <c r="I3387" s="1">
        <v>87226</v>
      </c>
      <c r="J3387" s="7">
        <v>0.41</v>
      </c>
      <c r="K3387" s="1" t="s">
        <v>21</v>
      </c>
      <c r="L3387" s="1" t="s">
        <v>29</v>
      </c>
      <c r="M3387" s="1" t="s">
        <v>29</v>
      </c>
      <c r="N3387" s="1" t="s">
        <v>22</v>
      </c>
    </row>
    <row r="3388" spans="1:14" x14ac:dyDescent="0.25">
      <c r="A3388" s="1">
        <v>3387</v>
      </c>
      <c r="B3388" s="2" t="str">
        <f>HYPERLINK("https://leetcode.com/problems/maximize-amount-after-two-days-of-conversions/", "Maximize Amount After Two Days of Conversions")</f>
        <v>Maximize Amount After Two Days of Conversions</v>
      </c>
      <c r="C3388" s="1">
        <v>157</v>
      </c>
      <c r="D3388" s="1">
        <v>41</v>
      </c>
      <c r="E3388" s="3">
        <f>IF(INDEX(C:C, ROW())+INDEX(D:D, ROW())=0, 0, INDEX(C:C, ROW())/(INDEX(C:C, ROW())+INDEX(D:D, ROW())))</f>
        <v>0.79292929292929293</v>
      </c>
      <c r="F3388" s="1" t="s">
        <v>1131</v>
      </c>
      <c r="G3388" s="1" t="s">
        <v>24</v>
      </c>
      <c r="H3388" s="1">
        <v>18558</v>
      </c>
      <c r="I3388" s="1">
        <v>30346</v>
      </c>
      <c r="J3388" s="7">
        <v>0.61199999999999999</v>
      </c>
      <c r="K3388" s="1" t="s">
        <v>21</v>
      </c>
      <c r="L3388" s="1" t="s">
        <v>29</v>
      </c>
      <c r="M3388" s="1" t="s">
        <v>29</v>
      </c>
      <c r="N3388" s="1" t="s">
        <v>22</v>
      </c>
    </row>
    <row r="3389" spans="1:14" x14ac:dyDescent="0.25">
      <c r="A3389" s="1">
        <v>3388</v>
      </c>
      <c r="B3389" s="2" t="str">
        <f>HYPERLINK("https://leetcode.com/problems/count-beautiful-splits-in-an-array/", "Count Beautiful Splits in an Array")</f>
        <v>Count Beautiful Splits in an Array</v>
      </c>
      <c r="C3389" s="1">
        <v>105</v>
      </c>
      <c r="D3389" s="1">
        <v>25</v>
      </c>
      <c r="E3389" s="3">
        <f>IF(INDEX(C:C, ROW())+INDEX(D:D, ROW())=0, 0, INDEX(C:C, ROW())/(INDEX(C:C, ROW())+INDEX(D:D, ROW())))</f>
        <v>0.80769230769230771</v>
      </c>
      <c r="F3389" s="1" t="s">
        <v>30</v>
      </c>
      <c r="G3389" s="1" t="s">
        <v>24</v>
      </c>
      <c r="H3389" s="1">
        <v>7892</v>
      </c>
      <c r="I3389" s="1">
        <v>42476</v>
      </c>
      <c r="J3389" s="7">
        <v>0.186</v>
      </c>
      <c r="K3389" s="1" t="s">
        <v>21</v>
      </c>
      <c r="L3389" s="1" t="s">
        <v>29</v>
      </c>
      <c r="M3389" s="1" t="s">
        <v>29</v>
      </c>
      <c r="N3389" s="1" t="s">
        <v>22</v>
      </c>
    </row>
    <row r="3390" spans="1:14" x14ac:dyDescent="0.25">
      <c r="A3390" s="1">
        <v>3389</v>
      </c>
      <c r="B3390" s="2" t="str">
        <f>HYPERLINK("https://leetcode.com/problems/minimum-operations-to-make-character-frequencies-equal/", "Minimum Operations to Make Character Frequencies Equal")</f>
        <v>Minimum Operations to Make Character Frequencies Equal</v>
      </c>
      <c r="C3390" s="1">
        <v>75</v>
      </c>
      <c r="D3390" s="1">
        <v>2</v>
      </c>
      <c r="E3390" s="3">
        <f>IF(INDEX(C:C, ROW())+INDEX(D:D, ROW())=0, 0, INDEX(C:C, ROW())/(INDEX(C:C, ROW())+INDEX(D:D, ROW())))</f>
        <v>0.97402597402597402</v>
      </c>
      <c r="F3390" s="1" t="s">
        <v>1218</v>
      </c>
      <c r="G3390" s="1" t="s">
        <v>28</v>
      </c>
      <c r="H3390" s="1">
        <v>4548</v>
      </c>
      <c r="I3390" s="1">
        <v>17239</v>
      </c>
      <c r="J3390" s="7">
        <v>0.26400000000000001</v>
      </c>
      <c r="K3390" s="1" t="s">
        <v>21</v>
      </c>
      <c r="L3390" s="1" t="s">
        <v>29</v>
      </c>
      <c r="M3390" s="1" t="s">
        <v>29</v>
      </c>
      <c r="N3390" s="1" t="s">
        <v>22</v>
      </c>
    </row>
    <row r="3391" spans="1:14" x14ac:dyDescent="0.25">
      <c r="A3391" s="1">
        <v>3390</v>
      </c>
      <c r="B3391" s="2" t="str">
        <f>HYPERLINK("https://leetcode.com/problems/longest-team-pass-streak/", "Longest Team Pass Streak")</f>
        <v>Longest Team Pass Streak</v>
      </c>
      <c r="C3391" s="1">
        <v>3</v>
      </c>
      <c r="D3391" s="1">
        <v>9</v>
      </c>
      <c r="E3391" s="3">
        <f>IF(INDEX(C:C, ROW())+INDEX(D:D, ROW())=0, 0, INDEX(C:C, ROW())/(INDEX(C:C, ROW())+INDEX(D:D, ROW())))</f>
        <v>0.25</v>
      </c>
      <c r="F3391" s="1" t="s">
        <v>297</v>
      </c>
      <c r="G3391" s="1" t="s">
        <v>28</v>
      </c>
      <c r="H3391" s="1">
        <v>917</v>
      </c>
      <c r="I3391" s="1">
        <v>2274</v>
      </c>
      <c r="J3391" s="7">
        <v>0.40300000000000002</v>
      </c>
      <c r="K3391" s="1" t="s">
        <v>29</v>
      </c>
      <c r="L3391" s="1" t="s">
        <v>29</v>
      </c>
      <c r="M3391" s="1" t="s">
        <v>29</v>
      </c>
      <c r="N3391" s="1" t="s">
        <v>297</v>
      </c>
    </row>
    <row r="3392" spans="1:14" x14ac:dyDescent="0.25">
      <c r="A3392" s="1">
        <v>3391</v>
      </c>
      <c r="B3392" s="2" t="str">
        <f>HYPERLINK("https://leetcode.com/problems/design-a-3d-binary-matrix-with-efficient-layer-tracking/", "Design a 3D Binary Matrix with Efficient Layer Tracking")</f>
        <v>Design a 3D Binary Matrix with Efficient Layer Tracking</v>
      </c>
      <c r="C3392" s="1">
        <v>9</v>
      </c>
      <c r="D3392" s="1">
        <v>1</v>
      </c>
      <c r="E3392" s="3">
        <f>IF(INDEX(C:C, ROW())+INDEX(D:D, ROW())=0, 0, INDEX(C:C, ROW())/(INDEX(C:C, ROW())+INDEX(D:D, ROW())))</f>
        <v>0.9</v>
      </c>
      <c r="F3392" s="1" t="s">
        <v>1331</v>
      </c>
      <c r="G3392" s="1" t="s">
        <v>24</v>
      </c>
      <c r="H3392" s="1">
        <v>1070</v>
      </c>
      <c r="I3392" s="1">
        <v>1600</v>
      </c>
      <c r="J3392" s="7">
        <v>0.66900000000000004</v>
      </c>
      <c r="K3392" s="1" t="s">
        <v>29</v>
      </c>
      <c r="L3392" s="1" t="s">
        <v>29</v>
      </c>
      <c r="M3392" s="1" t="s">
        <v>29</v>
      </c>
      <c r="N3392" s="1" t="s">
        <v>22</v>
      </c>
    </row>
    <row r="3393" spans="1:14" x14ac:dyDescent="0.25">
      <c r="A3393" s="1">
        <v>3392</v>
      </c>
      <c r="B3393" s="2" t="str">
        <f>HYPERLINK("https://leetcode.com/problems/count-subarrays-of-length-three-with-a-condition/", "Count Subarrays of Length Three With a Condition")</f>
        <v>Count Subarrays of Length Three With a Condition</v>
      </c>
      <c r="C3393" s="1">
        <v>301</v>
      </c>
      <c r="D3393" s="1">
        <v>31</v>
      </c>
      <c r="E3393" s="3">
        <f>IF(INDEX(C:C, ROW())+INDEX(D:D, ROW())=0, 0, INDEX(C:C, ROW())/(INDEX(C:C, ROW())+INDEX(D:D, ROW())))</f>
        <v>0.90662650602409633</v>
      </c>
      <c r="F3393" s="1" t="s">
        <v>113</v>
      </c>
      <c r="G3393" s="1" t="s">
        <v>20</v>
      </c>
      <c r="H3393" s="1">
        <v>150742</v>
      </c>
      <c r="I3393" s="1">
        <v>245196</v>
      </c>
      <c r="J3393" s="7">
        <v>0.61499999999999999</v>
      </c>
      <c r="K3393" s="1" t="s">
        <v>21</v>
      </c>
      <c r="L3393" s="1" t="s">
        <v>21</v>
      </c>
      <c r="M3393" s="1" t="s">
        <v>29</v>
      </c>
      <c r="N3393" s="1" t="s">
        <v>22</v>
      </c>
    </row>
    <row r="3394" spans="1:14" x14ac:dyDescent="0.25">
      <c r="A3394" s="1">
        <v>3393</v>
      </c>
      <c r="B3394" s="2" t="str">
        <f>HYPERLINK("https://leetcode.com/problems/count-paths-with-the-given-xor-value/", "Count Paths With the Given XOR Value")</f>
        <v>Count Paths With the Given XOR Value</v>
      </c>
      <c r="C3394" s="1">
        <v>91</v>
      </c>
      <c r="D3394" s="1">
        <v>7</v>
      </c>
      <c r="E3394" s="3">
        <f>IF(INDEX(C:C, ROW())+INDEX(D:D, ROW())=0, 0, INDEX(C:C, ROW())/(INDEX(C:C, ROW())+INDEX(D:D, ROW())))</f>
        <v>0.9285714285714286</v>
      </c>
      <c r="F3394" s="1" t="s">
        <v>1191</v>
      </c>
      <c r="G3394" s="1" t="s">
        <v>24</v>
      </c>
      <c r="H3394" s="1">
        <v>21014</v>
      </c>
      <c r="I3394" s="1">
        <v>51841</v>
      </c>
      <c r="J3394" s="7">
        <v>0.40500000000000003</v>
      </c>
      <c r="K3394" s="1" t="s">
        <v>21</v>
      </c>
      <c r="L3394" s="1" t="s">
        <v>29</v>
      </c>
      <c r="M3394" s="1" t="s">
        <v>29</v>
      </c>
      <c r="N3394" s="1" t="s">
        <v>22</v>
      </c>
    </row>
    <row r="3395" spans="1:14" x14ac:dyDescent="0.25">
      <c r="A3395" s="1">
        <v>3394</v>
      </c>
      <c r="B3395" s="2" t="str">
        <f>HYPERLINK("https://leetcode.com/problems/check-if-grid-can-be-cut-into-sections/", "Check if Grid can be Cut into Sections")</f>
        <v>Check if Grid can be Cut into Sections</v>
      </c>
      <c r="C3395" s="1">
        <v>622</v>
      </c>
      <c r="D3395" s="1">
        <v>37</v>
      </c>
      <c r="E3395" s="3">
        <f>IF(INDEX(C:C, ROW())+INDEX(D:D, ROW())=0, 0, INDEX(C:C, ROW())/(INDEX(C:C, ROW())+INDEX(D:D, ROW())))</f>
        <v>0.94385432473444608</v>
      </c>
      <c r="F3395" s="1" t="s">
        <v>42</v>
      </c>
      <c r="G3395" s="1" t="s">
        <v>24</v>
      </c>
      <c r="H3395" s="1">
        <v>112932</v>
      </c>
      <c r="I3395" s="1">
        <v>165417</v>
      </c>
      <c r="J3395" s="7">
        <v>0.68300000000000005</v>
      </c>
      <c r="K3395" s="1" t="s">
        <v>21</v>
      </c>
      <c r="L3395" s="1" t="s">
        <v>21</v>
      </c>
      <c r="M3395" s="1" t="s">
        <v>29</v>
      </c>
      <c r="N3395" s="1" t="s">
        <v>22</v>
      </c>
    </row>
    <row r="3396" spans="1:14" x14ac:dyDescent="0.25">
      <c r="A3396" s="1">
        <v>3395</v>
      </c>
      <c r="B3396" s="2" t="str">
        <f>HYPERLINK("https://leetcode.com/problems/subsequences-with-a-unique-middle-mode-i/", "Subsequences with a Unique Middle Mode I")</f>
        <v>Subsequences with a Unique Middle Mode I</v>
      </c>
      <c r="C3396" s="1">
        <v>24</v>
      </c>
      <c r="D3396" s="1">
        <v>25</v>
      </c>
      <c r="E3396" s="3">
        <f>IF(INDEX(C:C, ROW())+INDEX(D:D, ROW())=0, 0, INDEX(C:C, ROW())/(INDEX(C:C, ROW())+INDEX(D:D, ROW())))</f>
        <v>0.48979591836734693</v>
      </c>
      <c r="F3396" s="1" t="s">
        <v>1041</v>
      </c>
      <c r="G3396" s="1" t="s">
        <v>28</v>
      </c>
      <c r="H3396" s="1">
        <v>2648</v>
      </c>
      <c r="I3396" s="1">
        <v>12657</v>
      </c>
      <c r="J3396" s="7">
        <v>0.20899999999999999</v>
      </c>
      <c r="K3396" s="1" t="s">
        <v>21</v>
      </c>
      <c r="L3396" s="1" t="s">
        <v>29</v>
      </c>
      <c r="M3396" s="1" t="s">
        <v>29</v>
      </c>
      <c r="N3396" s="1" t="s">
        <v>22</v>
      </c>
    </row>
    <row r="3397" spans="1:14" x14ac:dyDescent="0.25">
      <c r="A3397" s="1">
        <v>3396</v>
      </c>
      <c r="B3397" s="2" t="str">
        <f>HYPERLINK("https://leetcode.com/problems/minimum-number-of-operations-to-make-elements-in-array-distinct/", "Minimum Number of Operations to Make Elements in Array Distinct")</f>
        <v>Minimum Number of Operations to Make Elements in Array Distinct</v>
      </c>
      <c r="C3397" s="1">
        <v>563</v>
      </c>
      <c r="D3397" s="1">
        <v>30</v>
      </c>
      <c r="E3397" s="3">
        <f>IF(INDEX(C:C, ROW())+INDEX(D:D, ROW())=0, 0, INDEX(C:C, ROW())/(INDEX(C:C, ROW())+INDEX(D:D, ROW())))</f>
        <v>0.94940978077571669</v>
      </c>
      <c r="F3397" s="1" t="s">
        <v>19</v>
      </c>
      <c r="G3397" s="1" t="s">
        <v>20</v>
      </c>
      <c r="H3397" s="1">
        <v>181458</v>
      </c>
      <c r="I3397" s="1">
        <v>254490</v>
      </c>
      <c r="J3397" s="7">
        <v>0.71299999999999997</v>
      </c>
      <c r="K3397" s="1" t="s">
        <v>21</v>
      </c>
      <c r="L3397" s="1" t="s">
        <v>21</v>
      </c>
      <c r="M3397" s="1" t="s">
        <v>29</v>
      </c>
      <c r="N3397" s="1" t="s">
        <v>22</v>
      </c>
    </row>
    <row r="3398" spans="1:14" x14ac:dyDescent="0.25">
      <c r="A3398" s="1">
        <v>3397</v>
      </c>
      <c r="B3398" s="2" t="str">
        <f>HYPERLINK("https://leetcode.com/problems/maximum-number-of-distinct-elements-after-operations/", "Maximum Number of Distinct Elements After Operations")</f>
        <v>Maximum Number of Distinct Elements After Operations</v>
      </c>
      <c r="C3398" s="1">
        <v>559</v>
      </c>
      <c r="D3398" s="1">
        <v>21</v>
      </c>
      <c r="E3398" s="3">
        <f>IF(INDEX(C:C, ROW())+INDEX(D:D, ROW())=0, 0, INDEX(C:C, ROW())/(INDEX(C:C, ROW())+INDEX(D:D, ROW())))</f>
        <v>0.96379310344827585</v>
      </c>
      <c r="F3398" s="1" t="s">
        <v>169</v>
      </c>
      <c r="G3398" s="1" t="s">
        <v>24</v>
      </c>
      <c r="H3398" s="1">
        <v>102101</v>
      </c>
      <c r="I3398" s="1">
        <v>195702</v>
      </c>
      <c r="J3398" s="7">
        <v>0.52200000000000002</v>
      </c>
      <c r="K3398" s="1" t="s">
        <v>21</v>
      </c>
      <c r="L3398" s="1" t="s">
        <v>21</v>
      </c>
      <c r="M3398" s="1" t="s">
        <v>29</v>
      </c>
      <c r="N3398" s="1" t="s">
        <v>22</v>
      </c>
    </row>
    <row r="3399" spans="1:14" x14ac:dyDescent="0.25">
      <c r="A3399" s="1">
        <v>3398</v>
      </c>
      <c r="B3399" s="2" t="str">
        <f>HYPERLINK("https://leetcode.com/problems/smallest-substring-with-identical-characters-i/", "Smallest Substring With Identical Characters I")</f>
        <v>Smallest Substring With Identical Characters I</v>
      </c>
      <c r="C3399" s="1">
        <v>96</v>
      </c>
      <c r="D3399" s="1">
        <v>5</v>
      </c>
      <c r="E3399" s="3">
        <f>IF(INDEX(C:C, ROW())+INDEX(D:D, ROW())=0, 0, INDEX(C:C, ROW())/(INDEX(C:C, ROW())+INDEX(D:D, ROW())))</f>
        <v>0.95049504950495045</v>
      </c>
      <c r="F3399" s="1" t="s">
        <v>1188</v>
      </c>
      <c r="G3399" s="1" t="s">
        <v>28</v>
      </c>
      <c r="H3399" s="1">
        <v>7396</v>
      </c>
      <c r="I3399" s="1">
        <v>36331</v>
      </c>
      <c r="J3399" s="7">
        <v>0.20399999999999999</v>
      </c>
      <c r="K3399" s="1" t="s">
        <v>21</v>
      </c>
      <c r="L3399" s="1" t="s">
        <v>29</v>
      </c>
      <c r="M3399" s="1" t="s">
        <v>29</v>
      </c>
      <c r="N3399" s="1" t="s">
        <v>22</v>
      </c>
    </row>
    <row r="3400" spans="1:14" x14ac:dyDescent="0.25">
      <c r="A3400" s="1">
        <v>3399</v>
      </c>
      <c r="B3400" s="2" t="str">
        <f>HYPERLINK("https://leetcode.com/problems/smallest-substring-with-identical-characters-ii/", "Smallest Substring With Identical Characters II")</f>
        <v>Smallest Substring With Identical Characters II</v>
      </c>
      <c r="C3400" s="1">
        <v>44</v>
      </c>
      <c r="D3400" s="1">
        <v>3</v>
      </c>
      <c r="E3400" s="3">
        <f>IF(INDEX(C:C, ROW())+INDEX(D:D, ROW())=0, 0, INDEX(C:C, ROW())/(INDEX(C:C, ROW())+INDEX(D:D, ROW())))</f>
        <v>0.93617021276595747</v>
      </c>
      <c r="F3400" s="1" t="s">
        <v>1279</v>
      </c>
      <c r="G3400" s="1" t="s">
        <v>28</v>
      </c>
      <c r="H3400" s="1">
        <v>6857</v>
      </c>
      <c r="I3400" s="1">
        <v>17051</v>
      </c>
      <c r="J3400" s="7">
        <v>0.40200000000000002</v>
      </c>
      <c r="K3400" s="1" t="s">
        <v>21</v>
      </c>
      <c r="L3400" s="1" t="s">
        <v>29</v>
      </c>
      <c r="M3400" s="1" t="s">
        <v>29</v>
      </c>
      <c r="N3400" s="1" t="s">
        <v>22</v>
      </c>
    </row>
    <row r="3401" spans="1:14" x14ac:dyDescent="0.25">
      <c r="A3401" s="1">
        <v>3400</v>
      </c>
      <c r="B3401" s="2" t="str">
        <f>HYPERLINK("https://leetcode.com/problems/maximum-number-of-matching-indices-after-right-shifts/", "Maximum Number of Matching Indices After Right Shifts")</f>
        <v>Maximum Number of Matching Indices After Right Shifts</v>
      </c>
      <c r="C3401" s="1">
        <v>15</v>
      </c>
      <c r="D3401" s="1">
        <v>1</v>
      </c>
      <c r="E3401" s="3">
        <f>IF(INDEX(C:C, ROW())+INDEX(D:D, ROW())=0, 0, INDEX(C:C, ROW())/(INDEX(C:C, ROW())+INDEX(D:D, ROW())))</f>
        <v>0.9375</v>
      </c>
      <c r="F3401" s="1" t="s">
        <v>303</v>
      </c>
      <c r="G3401" s="1" t="s">
        <v>24</v>
      </c>
      <c r="H3401" s="1">
        <v>1593</v>
      </c>
      <c r="I3401" s="1">
        <v>1882</v>
      </c>
      <c r="J3401" s="7">
        <v>0.84599999999999997</v>
      </c>
      <c r="K3401" s="1" t="s">
        <v>29</v>
      </c>
      <c r="L3401" s="1" t="s">
        <v>29</v>
      </c>
      <c r="M3401" s="1" t="s">
        <v>29</v>
      </c>
      <c r="N3401" s="1" t="s">
        <v>22</v>
      </c>
    </row>
    <row r="3402" spans="1:14" x14ac:dyDescent="0.25">
      <c r="A3402" s="1">
        <v>3401</v>
      </c>
      <c r="B3402" s="2" t="str">
        <f>HYPERLINK("https://leetcode.com/problems/find-circular-gift-exchange-chains/", "Find Circular Gift Exchange Chains")</f>
        <v>Find Circular Gift Exchange Chains</v>
      </c>
      <c r="C3402" s="1">
        <v>3</v>
      </c>
      <c r="D3402" s="1">
        <v>2</v>
      </c>
      <c r="E3402" s="3">
        <f>IF(INDEX(C:C, ROW())+INDEX(D:D, ROW())=0, 0, INDEX(C:C, ROW())/(INDEX(C:C, ROW())+INDEX(D:D, ROW())))</f>
        <v>0.6</v>
      </c>
      <c r="F3402" s="1" t="s">
        <v>297</v>
      </c>
      <c r="G3402" s="1" t="s">
        <v>28</v>
      </c>
      <c r="H3402" s="1">
        <v>802</v>
      </c>
      <c r="I3402" s="1">
        <v>1565</v>
      </c>
      <c r="J3402" s="7">
        <v>0.51200000000000001</v>
      </c>
      <c r="K3402" s="1" t="s">
        <v>29</v>
      </c>
      <c r="L3402" s="1" t="s">
        <v>29</v>
      </c>
      <c r="M3402" s="1" t="s">
        <v>29</v>
      </c>
      <c r="N3402" s="1" t="s">
        <v>297</v>
      </c>
    </row>
    <row r="3403" spans="1:14" x14ac:dyDescent="0.25">
      <c r="A3403" s="1">
        <v>3402</v>
      </c>
      <c r="B3403" s="2" t="str">
        <f>HYPERLINK("https://leetcode.com/problems/minimum-operations-to-make-columns-strictly-increasing/", "Minimum Operations to Make Columns Strictly Increasing")</f>
        <v>Minimum Operations to Make Columns Strictly Increasing</v>
      </c>
      <c r="C3403" s="1">
        <v>65</v>
      </c>
      <c r="D3403" s="1">
        <v>5</v>
      </c>
      <c r="E3403" s="3">
        <f>IF(INDEX(C:C, ROW())+INDEX(D:D, ROW())=0, 0, INDEX(C:C, ROW())/(INDEX(C:C, ROW())+INDEX(D:D, ROW())))</f>
        <v>0.9285714285714286</v>
      </c>
      <c r="F3403" s="1" t="s">
        <v>405</v>
      </c>
      <c r="G3403" s="1" t="s">
        <v>20</v>
      </c>
      <c r="H3403" s="1">
        <v>36803</v>
      </c>
      <c r="I3403" s="1">
        <v>50715</v>
      </c>
      <c r="J3403" s="7">
        <v>0.72599999999999998</v>
      </c>
      <c r="K3403" s="1" t="s">
        <v>21</v>
      </c>
      <c r="L3403" s="1" t="s">
        <v>29</v>
      </c>
      <c r="M3403" s="1" t="s">
        <v>29</v>
      </c>
      <c r="N3403" s="1" t="s">
        <v>22</v>
      </c>
    </row>
    <row r="3404" spans="1:14" x14ac:dyDescent="0.25">
      <c r="A3404" s="1">
        <v>3403</v>
      </c>
      <c r="B3404" s="2" t="str">
        <f>HYPERLINK("https://leetcode.com/problems/find-the-lexicographically-largest-string-from-the-box-i/", "Find the Lexicographically Largest String From the Box I")</f>
        <v>Find the Lexicographically Largest String From the Box I</v>
      </c>
      <c r="C3404" s="1">
        <v>487</v>
      </c>
      <c r="D3404" s="1">
        <v>127</v>
      </c>
      <c r="E3404" s="3">
        <f>IF(INDEX(C:C, ROW())+INDEX(D:D, ROW())=0, 0, INDEX(C:C, ROW())/(INDEX(C:C, ROW())+INDEX(D:D, ROW())))</f>
        <v>0.79315960912052119</v>
      </c>
      <c r="F3404" s="1" t="s">
        <v>931</v>
      </c>
      <c r="G3404" s="1" t="s">
        <v>24</v>
      </c>
      <c r="H3404" s="1">
        <v>110753</v>
      </c>
      <c r="I3404" s="1">
        <v>270377</v>
      </c>
      <c r="J3404" s="7">
        <v>0.41</v>
      </c>
      <c r="K3404" s="1" t="s">
        <v>21</v>
      </c>
      <c r="L3404" s="1" t="s">
        <v>21</v>
      </c>
      <c r="M3404" s="1" t="s">
        <v>29</v>
      </c>
      <c r="N3404" s="1" t="s">
        <v>22</v>
      </c>
    </row>
    <row r="3405" spans="1:14" x14ac:dyDescent="0.25">
      <c r="A3405" s="1">
        <v>3404</v>
      </c>
      <c r="B3405" s="2" t="str">
        <f>HYPERLINK("https://leetcode.com/problems/count-special-subsequences/", "Count Special Subsequences")</f>
        <v>Count Special Subsequences</v>
      </c>
      <c r="C3405" s="1">
        <v>193</v>
      </c>
      <c r="D3405" s="1">
        <v>27</v>
      </c>
      <c r="E3405" s="3">
        <f>IF(INDEX(C:C, ROW())+INDEX(D:D, ROW())=0, 0, INDEX(C:C, ROW())/(INDEX(C:C, ROW())+INDEX(D:D, ROW())))</f>
        <v>0.87727272727272732</v>
      </c>
      <c r="F3405" s="1" t="s">
        <v>1105</v>
      </c>
      <c r="G3405" s="1" t="s">
        <v>24</v>
      </c>
      <c r="H3405" s="1">
        <v>11276</v>
      </c>
      <c r="I3405" s="1">
        <v>37831</v>
      </c>
      <c r="J3405" s="7">
        <v>0.29799999999999999</v>
      </c>
      <c r="K3405" s="1" t="s">
        <v>21</v>
      </c>
      <c r="L3405" s="1" t="s">
        <v>29</v>
      </c>
      <c r="M3405" s="1" t="s">
        <v>29</v>
      </c>
      <c r="N3405" s="1" t="s">
        <v>22</v>
      </c>
    </row>
    <row r="3406" spans="1:14" x14ac:dyDescent="0.25">
      <c r="A3406" s="1">
        <v>3405</v>
      </c>
      <c r="B3406" s="2" t="str">
        <f>HYPERLINK("https://leetcode.com/problems/count-the-number-of-arrays-with-k-matching-adjacent-elements/", "Count the Number of Arrays with K Matching Adjacent Elements")</f>
        <v>Count the Number of Arrays with K Matching Adjacent Elements</v>
      </c>
      <c r="C3406" s="1">
        <v>429</v>
      </c>
      <c r="D3406" s="1">
        <v>68</v>
      </c>
      <c r="E3406" s="3">
        <f>IF(INDEX(C:C, ROW())+INDEX(D:D, ROW())=0, 0, INDEX(C:C, ROW())/(INDEX(C:C, ROW())+INDEX(D:D, ROW())))</f>
        <v>0.86317907444668007</v>
      </c>
      <c r="F3406" s="1" t="s">
        <v>960</v>
      </c>
      <c r="G3406" s="1" t="s">
        <v>28</v>
      </c>
      <c r="H3406" s="1">
        <v>68012</v>
      </c>
      <c r="I3406" s="1">
        <v>116546</v>
      </c>
      <c r="J3406" s="7">
        <v>0.58399999999999996</v>
      </c>
      <c r="K3406" s="1" t="s">
        <v>21</v>
      </c>
      <c r="L3406" s="1" t="s">
        <v>21</v>
      </c>
      <c r="M3406" s="1" t="s">
        <v>29</v>
      </c>
      <c r="N3406" s="1" t="s">
        <v>22</v>
      </c>
    </row>
    <row r="3407" spans="1:14" x14ac:dyDescent="0.25">
      <c r="A3407" s="1">
        <v>3406</v>
      </c>
      <c r="B3407" s="2" t="str">
        <f>HYPERLINK("https://leetcode.com/problems/find-the-lexicographically-largest-string-from-the-box-ii/", "Find the Lexicographically Largest String From the Box II")</f>
        <v>Find the Lexicographically Largest String From the Box II</v>
      </c>
      <c r="C3407" s="1">
        <v>7</v>
      </c>
      <c r="D3407" s="1">
        <v>1</v>
      </c>
      <c r="E3407" s="3">
        <f>IF(INDEX(C:C, ROW())+INDEX(D:D, ROW())=0, 0, INDEX(C:C, ROW())/(INDEX(C:C, ROW())+INDEX(D:D, ROW())))</f>
        <v>0.875</v>
      </c>
      <c r="F3407" s="1" t="s">
        <v>117</v>
      </c>
      <c r="G3407" s="1" t="s">
        <v>28</v>
      </c>
      <c r="H3407" s="1">
        <v>627</v>
      </c>
      <c r="I3407" s="1">
        <v>1270</v>
      </c>
      <c r="J3407" s="7">
        <v>0.49399999999999999</v>
      </c>
      <c r="K3407" s="1" t="s">
        <v>29</v>
      </c>
      <c r="L3407" s="1" t="s">
        <v>29</v>
      </c>
      <c r="M3407" s="1" t="s">
        <v>29</v>
      </c>
      <c r="N3407" s="1" t="s">
        <v>22</v>
      </c>
    </row>
    <row r="3408" spans="1:14" x14ac:dyDescent="0.25">
      <c r="A3408" s="1">
        <v>3407</v>
      </c>
      <c r="B3408" s="2" t="str">
        <f>HYPERLINK("https://leetcode.com/problems/substring-matching-pattern/", "Substring Matching Pattern")</f>
        <v>Substring Matching Pattern</v>
      </c>
      <c r="C3408" s="1">
        <v>116</v>
      </c>
      <c r="D3408" s="1">
        <v>53</v>
      </c>
      <c r="E3408" s="3">
        <f>IF(INDEX(C:C, ROW())+INDEX(D:D, ROW())=0, 0, INDEX(C:C, ROW())/(INDEX(C:C, ROW())+INDEX(D:D, ROW())))</f>
        <v>0.68639053254437865</v>
      </c>
      <c r="F3408" s="1" t="s">
        <v>207</v>
      </c>
      <c r="G3408" s="1" t="s">
        <v>20</v>
      </c>
      <c r="H3408" s="1">
        <v>37366</v>
      </c>
      <c r="I3408" s="1">
        <v>132037</v>
      </c>
      <c r="J3408" s="7">
        <v>0.28299999999999997</v>
      </c>
      <c r="K3408" s="1" t="s">
        <v>21</v>
      </c>
      <c r="L3408" s="1" t="s">
        <v>29</v>
      </c>
      <c r="M3408" s="1" t="s">
        <v>29</v>
      </c>
      <c r="N3408" s="1" t="s">
        <v>22</v>
      </c>
    </row>
    <row r="3409" spans="1:14" x14ac:dyDescent="0.25">
      <c r="A3409" s="1">
        <v>3408</v>
      </c>
      <c r="B3409" s="2" t="str">
        <f>HYPERLINK("https://leetcode.com/problems/design-task-manager/", "Design Task Manager")</f>
        <v>Design Task Manager</v>
      </c>
      <c r="C3409" s="1">
        <v>484</v>
      </c>
      <c r="D3409" s="1">
        <v>52</v>
      </c>
      <c r="E3409" s="3">
        <f>IF(INDEX(C:C, ROW())+INDEX(D:D, ROW())=0, 0, INDEX(C:C, ROW())/(INDEX(C:C, ROW())+INDEX(D:D, ROW())))</f>
        <v>0.90298507462686572</v>
      </c>
      <c r="F3409" s="1" t="s">
        <v>530</v>
      </c>
      <c r="G3409" s="1" t="s">
        <v>24</v>
      </c>
      <c r="H3409" s="1">
        <v>101247</v>
      </c>
      <c r="I3409" s="1">
        <v>206055</v>
      </c>
      <c r="J3409" s="7">
        <v>0.49099999999999999</v>
      </c>
      <c r="K3409" s="1" t="s">
        <v>21</v>
      </c>
      <c r="L3409" s="1" t="s">
        <v>21</v>
      </c>
      <c r="M3409" s="1" t="s">
        <v>29</v>
      </c>
      <c r="N3409" s="1" t="s">
        <v>22</v>
      </c>
    </row>
    <row r="3410" spans="1:14" x14ac:dyDescent="0.25">
      <c r="A3410" s="1">
        <v>3409</v>
      </c>
      <c r="B3410" s="2" t="str">
        <f>HYPERLINK("https://leetcode.com/problems/longest-subsequence-with-decreasing-adjacent-difference/", "Longest Subsequence With Decreasing Adjacent Difference")</f>
        <v>Longest Subsequence With Decreasing Adjacent Difference</v>
      </c>
      <c r="C3410" s="1">
        <v>149</v>
      </c>
      <c r="D3410" s="1">
        <v>25</v>
      </c>
      <c r="E3410" s="3">
        <f>IF(INDEX(C:C, ROW())+INDEX(D:D, ROW())=0, 0, INDEX(C:C, ROW())/(INDEX(C:C, ROW())+INDEX(D:D, ROW())))</f>
        <v>0.85632183908045978</v>
      </c>
      <c r="F3410" s="1" t="s">
        <v>30</v>
      </c>
      <c r="G3410" s="1" t="s">
        <v>24</v>
      </c>
      <c r="H3410" s="1">
        <v>7066</v>
      </c>
      <c r="I3410" s="1">
        <v>42572</v>
      </c>
      <c r="J3410" s="7">
        <v>0.16600000000000001</v>
      </c>
      <c r="K3410" s="1" t="s">
        <v>21</v>
      </c>
      <c r="L3410" s="1" t="s">
        <v>29</v>
      </c>
      <c r="M3410" s="1" t="s">
        <v>29</v>
      </c>
      <c r="N3410" s="1" t="s">
        <v>22</v>
      </c>
    </row>
    <row r="3411" spans="1:14" x14ac:dyDescent="0.25">
      <c r="A3411" s="1">
        <v>3410</v>
      </c>
      <c r="B3411" s="2" t="str">
        <f>HYPERLINK("https://leetcode.com/problems/maximize-subarray-sum-after-removing-all-occurrences-of-one-element/", "Maximize Subarray Sum After Removing All Occurrences of One Element")</f>
        <v>Maximize Subarray Sum After Removing All Occurrences of One Element</v>
      </c>
      <c r="C3411" s="1">
        <v>60</v>
      </c>
      <c r="D3411" s="1">
        <v>5</v>
      </c>
      <c r="E3411" s="3">
        <f>IF(INDEX(C:C, ROW())+INDEX(D:D, ROW())=0, 0, INDEX(C:C, ROW())/(INDEX(C:C, ROW())+INDEX(D:D, ROW())))</f>
        <v>0.92307692307692313</v>
      </c>
      <c r="F3411" s="1" t="s">
        <v>1239</v>
      </c>
      <c r="G3411" s="1" t="s">
        <v>28</v>
      </c>
      <c r="H3411" s="1">
        <v>3996</v>
      </c>
      <c r="I3411" s="1">
        <v>17428</v>
      </c>
      <c r="J3411" s="7">
        <v>0.22900000000000001</v>
      </c>
      <c r="K3411" s="1" t="s">
        <v>21</v>
      </c>
      <c r="L3411" s="1" t="s">
        <v>29</v>
      </c>
      <c r="M3411" s="1" t="s">
        <v>29</v>
      </c>
      <c r="N3411" s="1" t="s">
        <v>22</v>
      </c>
    </row>
    <row r="3412" spans="1:14" x14ac:dyDescent="0.25">
      <c r="A3412" s="1">
        <v>3411</v>
      </c>
      <c r="B3412" s="2" t="str">
        <f>HYPERLINK("https://leetcode.com/problems/maximum-subarray-with-equal-products/", "Maximum Subarray With Equal Products")</f>
        <v>Maximum Subarray With Equal Products</v>
      </c>
      <c r="C3412" s="1">
        <v>101</v>
      </c>
      <c r="D3412" s="1">
        <v>42</v>
      </c>
      <c r="E3412" s="3">
        <f>IF(INDEX(C:C, ROW())+INDEX(D:D, ROW())=0, 0, INDEX(C:C, ROW())/(INDEX(C:C, ROW())+INDEX(D:D, ROW())))</f>
        <v>0.70629370629370625</v>
      </c>
      <c r="F3412" s="1" t="s">
        <v>1185</v>
      </c>
      <c r="G3412" s="1" t="s">
        <v>20</v>
      </c>
      <c r="H3412" s="1">
        <v>28241</v>
      </c>
      <c r="I3412" s="1">
        <v>60772</v>
      </c>
      <c r="J3412" s="7">
        <v>0.46500000000000002</v>
      </c>
      <c r="K3412" s="1" t="s">
        <v>21</v>
      </c>
      <c r="L3412" s="1" t="s">
        <v>29</v>
      </c>
      <c r="M3412" s="1" t="s">
        <v>29</v>
      </c>
      <c r="N3412" s="1" t="s">
        <v>22</v>
      </c>
    </row>
    <row r="3413" spans="1:14" x14ac:dyDescent="0.25">
      <c r="A3413" s="1">
        <v>3412</v>
      </c>
      <c r="B3413" s="2" t="str">
        <f>HYPERLINK("https://leetcode.com/problems/find-mirror-score-of-a-string/", "Find Mirror Score of a String")</f>
        <v>Find Mirror Score of a String</v>
      </c>
      <c r="C3413" s="1">
        <v>124</v>
      </c>
      <c r="D3413" s="1">
        <v>8</v>
      </c>
      <c r="E3413" s="3">
        <f>IF(INDEX(C:C, ROW())+INDEX(D:D, ROW())=0, 0, INDEX(C:C, ROW())/(INDEX(C:C, ROW())+INDEX(D:D, ROW())))</f>
        <v>0.93939393939393945</v>
      </c>
      <c r="F3413" s="1" t="s">
        <v>1158</v>
      </c>
      <c r="G3413" s="1" t="s">
        <v>24</v>
      </c>
      <c r="H3413" s="1">
        <v>24649</v>
      </c>
      <c r="I3413" s="1">
        <v>69683</v>
      </c>
      <c r="J3413" s="7">
        <v>0.35399999999999998</v>
      </c>
      <c r="K3413" s="1" t="s">
        <v>21</v>
      </c>
      <c r="L3413" s="1" t="s">
        <v>29</v>
      </c>
      <c r="M3413" s="1" t="s">
        <v>29</v>
      </c>
      <c r="N3413" s="1" t="s">
        <v>22</v>
      </c>
    </row>
    <row r="3414" spans="1:14" x14ac:dyDescent="0.25">
      <c r="A3414" s="1">
        <v>3413</v>
      </c>
      <c r="B3414" s="2" t="str">
        <f>HYPERLINK("https://leetcode.com/problems/maximum-coins-from-k-consecutive-bags/", "Maximum Coins From K Consecutive Bags")</f>
        <v>Maximum Coins From K Consecutive Bags</v>
      </c>
      <c r="C3414" s="1">
        <v>196</v>
      </c>
      <c r="D3414" s="1">
        <v>27</v>
      </c>
      <c r="E3414" s="3">
        <f>IF(INDEX(C:C, ROW())+INDEX(D:D, ROW())=0, 0, INDEX(C:C, ROW())/(INDEX(C:C, ROW())+INDEX(D:D, ROW())))</f>
        <v>0.87892376681614348</v>
      </c>
      <c r="F3414" s="1" t="s">
        <v>236</v>
      </c>
      <c r="G3414" s="1" t="s">
        <v>24</v>
      </c>
      <c r="H3414" s="1">
        <v>8585</v>
      </c>
      <c r="I3414" s="1">
        <v>35076</v>
      </c>
      <c r="J3414" s="7">
        <v>0.245</v>
      </c>
      <c r="K3414" s="1" t="s">
        <v>21</v>
      </c>
      <c r="L3414" s="1" t="s">
        <v>29</v>
      </c>
      <c r="M3414" s="1" t="s">
        <v>29</v>
      </c>
      <c r="N3414" s="1" t="s">
        <v>22</v>
      </c>
    </row>
    <row r="3415" spans="1:14" x14ac:dyDescent="0.25">
      <c r="A3415" s="1">
        <v>3414</v>
      </c>
      <c r="B3415" s="2" t="str">
        <f>HYPERLINK("https://leetcode.com/problems/maximum-score-of-non-overlapping-intervals/", "Maximum Score of Non-overlapping Intervals")</f>
        <v>Maximum Score of Non-overlapping Intervals</v>
      </c>
      <c r="C3415" s="1">
        <v>56</v>
      </c>
      <c r="D3415" s="1">
        <v>7</v>
      </c>
      <c r="E3415" s="3">
        <f>IF(INDEX(C:C, ROW())+INDEX(D:D, ROW())=0, 0, INDEX(C:C, ROW())/(INDEX(C:C, ROW())+INDEX(D:D, ROW())))</f>
        <v>0.88888888888888884</v>
      </c>
      <c r="F3415" s="1" t="s">
        <v>188</v>
      </c>
      <c r="G3415" s="1" t="s">
        <v>28</v>
      </c>
      <c r="H3415" s="1">
        <v>4163</v>
      </c>
      <c r="I3415" s="1">
        <v>13410</v>
      </c>
      <c r="J3415" s="7">
        <v>0.31</v>
      </c>
      <c r="K3415" s="1" t="s">
        <v>21</v>
      </c>
      <c r="L3415" s="1" t="s">
        <v>29</v>
      </c>
      <c r="M3415" s="1" t="s">
        <v>29</v>
      </c>
      <c r="N3415" s="1" t="s">
        <v>22</v>
      </c>
    </row>
    <row r="3416" spans="1:14" x14ac:dyDescent="0.25">
      <c r="A3416" s="1">
        <v>3415</v>
      </c>
      <c r="B3416" s="2" t="str">
        <f>HYPERLINK("https://leetcode.com/problems/find-products-with-three-consecutive-digits/", "Find Products with Three Consecutive Digits ")</f>
        <v xml:space="preserve">Find Products with Three Consecutive Digits </v>
      </c>
      <c r="C3416" s="1">
        <v>4</v>
      </c>
      <c r="D3416" s="1">
        <v>3</v>
      </c>
      <c r="E3416" s="3">
        <f>IF(INDEX(C:C, ROW())+INDEX(D:D, ROW())=0, 0, INDEX(C:C, ROW())/(INDEX(C:C, ROW())+INDEX(D:D, ROW())))</f>
        <v>0.5714285714285714</v>
      </c>
      <c r="F3416" s="1" t="s">
        <v>297</v>
      </c>
      <c r="G3416" s="1" t="s">
        <v>20</v>
      </c>
      <c r="H3416" s="1">
        <v>1944</v>
      </c>
      <c r="I3416" s="1">
        <v>2417</v>
      </c>
      <c r="J3416" s="7">
        <v>0.80400000000000005</v>
      </c>
      <c r="K3416" s="1" t="s">
        <v>29</v>
      </c>
      <c r="L3416" s="1" t="s">
        <v>29</v>
      </c>
      <c r="M3416" s="1" t="s">
        <v>29</v>
      </c>
      <c r="N3416" s="1" t="s">
        <v>297</v>
      </c>
    </row>
    <row r="3417" spans="1:14" x14ac:dyDescent="0.25">
      <c r="A3417" s="1">
        <v>3416</v>
      </c>
      <c r="B3417" s="2" t="str">
        <f>HYPERLINK("https://leetcode.com/problems/subsequences-with-a-unique-middle-mode-ii/", "Subsequences with a Unique Middle Mode II")</f>
        <v>Subsequences with a Unique Middle Mode II</v>
      </c>
      <c r="C3417" s="1">
        <v>2</v>
      </c>
      <c r="D3417" s="1">
        <v>2</v>
      </c>
      <c r="E3417" s="3">
        <f>IF(INDEX(C:C, ROW())+INDEX(D:D, ROW())=0, 0, INDEX(C:C, ROW())/(INDEX(C:C, ROW())+INDEX(D:D, ROW())))</f>
        <v>0.5</v>
      </c>
      <c r="F3417" s="1" t="s">
        <v>1041</v>
      </c>
      <c r="G3417" s="1" t="s">
        <v>28</v>
      </c>
      <c r="H3417" s="1">
        <v>225</v>
      </c>
      <c r="I3417" s="1">
        <v>1663</v>
      </c>
      <c r="J3417" s="7">
        <v>0.13500000000000001</v>
      </c>
      <c r="K3417" s="1" t="s">
        <v>29</v>
      </c>
      <c r="L3417" s="1" t="s">
        <v>29</v>
      </c>
      <c r="M3417" s="1" t="s">
        <v>29</v>
      </c>
      <c r="N3417" s="1" t="s">
        <v>22</v>
      </c>
    </row>
    <row r="3418" spans="1:14" x14ac:dyDescent="0.25">
      <c r="A3418" s="1">
        <v>3417</v>
      </c>
      <c r="B3418" s="2" t="str">
        <f>HYPERLINK("https://leetcode.com/problems/zigzag-grid-traversal-with-skip/", "Zigzag Grid Traversal With Skip")</f>
        <v>Zigzag Grid Traversal With Skip</v>
      </c>
      <c r="C3418" s="1">
        <v>79</v>
      </c>
      <c r="D3418" s="1">
        <v>11</v>
      </c>
      <c r="E3418" s="3">
        <f>IF(INDEX(C:C, ROW())+INDEX(D:D, ROW())=0, 0, INDEX(C:C, ROW())/(INDEX(C:C, ROW())+INDEX(D:D, ROW())))</f>
        <v>0.87777777777777777</v>
      </c>
      <c r="F3418" s="1" t="s">
        <v>77</v>
      </c>
      <c r="G3418" s="1" t="s">
        <v>20</v>
      </c>
      <c r="H3418" s="1">
        <v>37726</v>
      </c>
      <c r="I3418" s="1">
        <v>58196</v>
      </c>
      <c r="J3418" s="7">
        <v>0.64800000000000002</v>
      </c>
      <c r="K3418" s="1" t="s">
        <v>21</v>
      </c>
      <c r="L3418" s="1" t="s">
        <v>29</v>
      </c>
      <c r="M3418" s="1" t="s">
        <v>29</v>
      </c>
      <c r="N3418" s="1" t="s">
        <v>22</v>
      </c>
    </row>
    <row r="3419" spans="1:14" x14ac:dyDescent="0.25">
      <c r="A3419" s="1">
        <v>3418</v>
      </c>
      <c r="B3419" s="2" t="str">
        <f>HYPERLINK("https://leetcode.com/problems/maximum-amount-of-money-robot-can-earn/", "Maximum Amount of Money Robot Can Earn")</f>
        <v>Maximum Amount of Money Robot Can Earn</v>
      </c>
      <c r="C3419" s="1">
        <v>137</v>
      </c>
      <c r="D3419" s="1">
        <v>12</v>
      </c>
      <c r="E3419" s="3">
        <f>IF(INDEX(C:C, ROW())+INDEX(D:D, ROW())=0, 0, INDEX(C:C, ROW())/(INDEX(C:C, ROW())+INDEX(D:D, ROW())))</f>
        <v>0.91946308724832215</v>
      </c>
      <c r="F3419" s="1" t="s">
        <v>94</v>
      </c>
      <c r="G3419" s="1" t="s">
        <v>24</v>
      </c>
      <c r="H3419" s="1">
        <v>23377</v>
      </c>
      <c r="I3419" s="1">
        <v>79303</v>
      </c>
      <c r="J3419" s="7">
        <v>0.29499999999999998</v>
      </c>
      <c r="K3419" s="1" t="s">
        <v>21</v>
      </c>
      <c r="L3419" s="1" t="s">
        <v>29</v>
      </c>
      <c r="M3419" s="1" t="s">
        <v>29</v>
      </c>
      <c r="N3419" s="1" t="s">
        <v>22</v>
      </c>
    </row>
    <row r="3420" spans="1:14" x14ac:dyDescent="0.25">
      <c r="A3420" s="1">
        <v>3419</v>
      </c>
      <c r="B3420" s="2" t="str">
        <f>HYPERLINK("https://leetcode.com/problems/minimize-the-maximum-edge-weight-of-graph/", "Minimize the Maximum Edge Weight of Graph")</f>
        <v>Minimize the Maximum Edge Weight of Graph</v>
      </c>
      <c r="C3420" s="1">
        <v>240</v>
      </c>
      <c r="D3420" s="1">
        <v>19</v>
      </c>
      <c r="E3420" s="3">
        <f>IF(INDEX(C:C, ROW())+INDEX(D:D, ROW())=0, 0, INDEX(C:C, ROW())/(INDEX(C:C, ROW())+INDEX(D:D, ROW())))</f>
        <v>0.92664092664092668</v>
      </c>
      <c r="F3420" s="1" t="s">
        <v>1071</v>
      </c>
      <c r="G3420" s="1" t="s">
        <v>24</v>
      </c>
      <c r="H3420" s="1">
        <v>14888</v>
      </c>
      <c r="I3420" s="1">
        <v>33833</v>
      </c>
      <c r="J3420" s="7">
        <v>0.44</v>
      </c>
      <c r="K3420" s="1" t="s">
        <v>21</v>
      </c>
      <c r="L3420" s="1" t="s">
        <v>29</v>
      </c>
      <c r="M3420" s="1" t="s">
        <v>29</v>
      </c>
      <c r="N3420" s="1" t="s">
        <v>22</v>
      </c>
    </row>
    <row r="3421" spans="1:14" x14ac:dyDescent="0.25">
      <c r="A3421" s="1">
        <v>3420</v>
      </c>
      <c r="B3421" s="2" t="str">
        <f>HYPERLINK("https://leetcode.com/problems/count-non-decreasing-subarrays-after-k-operations/", "Count Non-Decreasing Subarrays After K Operations")</f>
        <v>Count Non-Decreasing Subarrays After K Operations</v>
      </c>
      <c r="C3421" s="1">
        <v>83</v>
      </c>
      <c r="D3421" s="1">
        <v>4</v>
      </c>
      <c r="E3421" s="3">
        <f>IF(INDEX(C:C, ROW())+INDEX(D:D, ROW())=0, 0, INDEX(C:C, ROW())/(INDEX(C:C, ROW())+INDEX(D:D, ROW())))</f>
        <v>0.95402298850574707</v>
      </c>
      <c r="F3421" s="1" t="s">
        <v>1202</v>
      </c>
      <c r="G3421" s="1" t="s">
        <v>28</v>
      </c>
      <c r="H3421" s="1">
        <v>4086</v>
      </c>
      <c r="I3421" s="1">
        <v>17226</v>
      </c>
      <c r="J3421" s="7">
        <v>0.23699999999999999</v>
      </c>
      <c r="K3421" s="1" t="s">
        <v>21</v>
      </c>
      <c r="L3421" s="1" t="s">
        <v>29</v>
      </c>
      <c r="M3421" s="1" t="s">
        <v>29</v>
      </c>
      <c r="N3421" s="1" t="s">
        <v>22</v>
      </c>
    </row>
    <row r="3422" spans="1:14" x14ac:dyDescent="0.25">
      <c r="A3422" s="1">
        <v>3421</v>
      </c>
      <c r="B3422" s="2" t="str">
        <f>HYPERLINK("https://leetcode.com/problems/find-students-who-improved/", "Find Students Who Improved")</f>
        <v>Find Students Who Improved</v>
      </c>
      <c r="C3422" s="1">
        <v>92</v>
      </c>
      <c r="D3422" s="1">
        <v>10</v>
      </c>
      <c r="E3422" s="3">
        <f>IF(INDEX(C:C, ROW())+INDEX(D:D, ROW())=0, 0, INDEX(C:C, ROW())/(INDEX(C:C, ROW())+INDEX(D:D, ROW())))</f>
        <v>0.90196078431372551</v>
      </c>
      <c r="F3422" s="1" t="s">
        <v>297</v>
      </c>
      <c r="G3422" s="1" t="s">
        <v>24</v>
      </c>
      <c r="H3422" s="1">
        <v>23207</v>
      </c>
      <c r="I3422" s="1">
        <v>48357</v>
      </c>
      <c r="J3422" s="7">
        <v>0.48</v>
      </c>
      <c r="K3422" s="1" t="s">
        <v>21</v>
      </c>
      <c r="L3422" s="1" t="s">
        <v>29</v>
      </c>
      <c r="M3422" s="1" t="s">
        <v>29</v>
      </c>
      <c r="N3422" s="1" t="s">
        <v>297</v>
      </c>
    </row>
    <row r="3423" spans="1:14" x14ac:dyDescent="0.25">
      <c r="A3423" s="1">
        <v>3422</v>
      </c>
      <c r="B3423" s="2" t="str">
        <f>HYPERLINK("https://leetcode.com/problems/minimum-operations-to-make-subarray-elements-equal/", "Minimum Operations to Make Subarray Elements Equal")</f>
        <v>Minimum Operations to Make Subarray Elements Equal</v>
      </c>
      <c r="C3423" s="1">
        <v>9</v>
      </c>
      <c r="D3423" s="1">
        <v>5</v>
      </c>
      <c r="E3423" s="3">
        <f>IF(INDEX(C:C, ROW())+INDEX(D:D, ROW())=0, 0, INDEX(C:C, ROW())/(INDEX(C:C, ROW())+INDEX(D:D, ROW())))</f>
        <v>0.6428571428571429</v>
      </c>
      <c r="F3423" s="1" t="s">
        <v>1332</v>
      </c>
      <c r="G3423" s="1" t="s">
        <v>24</v>
      </c>
      <c r="H3423" s="1">
        <v>694</v>
      </c>
      <c r="I3423" s="1">
        <v>1468</v>
      </c>
      <c r="J3423" s="7">
        <v>0.47299999999999998</v>
      </c>
      <c r="K3423" s="1" t="s">
        <v>29</v>
      </c>
      <c r="L3423" s="1" t="s">
        <v>29</v>
      </c>
      <c r="M3423" s="1" t="s">
        <v>29</v>
      </c>
      <c r="N3423" s="1" t="s">
        <v>22</v>
      </c>
    </row>
    <row r="3424" spans="1:14" x14ac:dyDescent="0.25">
      <c r="A3424" s="1">
        <v>3423</v>
      </c>
      <c r="B3424" s="2" t="str">
        <f>HYPERLINK("https://leetcode.com/problems/maximum-difference-between-adjacent-elements-in-a-circular-array/", "Maximum Difference Between Adjacent Elements in a Circular Array")</f>
        <v>Maximum Difference Between Adjacent Elements in a Circular Array</v>
      </c>
      <c r="C3424" s="1">
        <v>332</v>
      </c>
      <c r="D3424" s="1">
        <v>7</v>
      </c>
      <c r="E3424" s="3">
        <f>IF(INDEX(C:C, ROW())+INDEX(D:D, ROW())=0, 0, INDEX(C:C, ROW())/(INDEX(C:C, ROW())+INDEX(D:D, ROW())))</f>
        <v>0.97935103244837762</v>
      </c>
      <c r="F3424" s="1" t="s">
        <v>113</v>
      </c>
      <c r="G3424" s="1" t="s">
        <v>20</v>
      </c>
      <c r="H3424" s="1">
        <v>166618</v>
      </c>
      <c r="I3424" s="1">
        <v>220124</v>
      </c>
      <c r="J3424" s="7">
        <v>0.75700000000000001</v>
      </c>
      <c r="K3424" s="1" t="s">
        <v>21</v>
      </c>
      <c r="L3424" s="1" t="s">
        <v>21</v>
      </c>
      <c r="M3424" s="1" t="s">
        <v>29</v>
      </c>
      <c r="N3424" s="1" t="s">
        <v>22</v>
      </c>
    </row>
    <row r="3425" spans="1:14" x14ac:dyDescent="0.25">
      <c r="A3425" s="1">
        <v>3424</v>
      </c>
      <c r="B3425" s="2" t="str">
        <f>HYPERLINK("https://leetcode.com/problems/minimum-cost-to-make-arrays-identical/", "Minimum Cost to Make Arrays Identical")</f>
        <v>Minimum Cost to Make Arrays Identical</v>
      </c>
      <c r="C3425" s="1">
        <v>86</v>
      </c>
      <c r="D3425" s="1">
        <v>13</v>
      </c>
      <c r="E3425" s="3">
        <f>IF(INDEX(C:C, ROW())+INDEX(D:D, ROW())=0, 0, INDEX(C:C, ROW())/(INDEX(C:C, ROW())+INDEX(D:D, ROW())))</f>
        <v>0.86868686868686873</v>
      </c>
      <c r="F3425" s="1" t="s">
        <v>169</v>
      </c>
      <c r="G3425" s="1" t="s">
        <v>24</v>
      </c>
      <c r="H3425" s="1">
        <v>25006</v>
      </c>
      <c r="I3425" s="1">
        <v>66386</v>
      </c>
      <c r="J3425" s="7">
        <v>0.377</v>
      </c>
      <c r="K3425" s="1" t="s">
        <v>21</v>
      </c>
      <c r="L3425" s="1" t="s">
        <v>29</v>
      </c>
      <c r="M3425" s="1" t="s">
        <v>29</v>
      </c>
      <c r="N3425" s="1" t="s">
        <v>22</v>
      </c>
    </row>
    <row r="3426" spans="1:14" x14ac:dyDescent="0.25">
      <c r="A3426" s="1">
        <v>3425</v>
      </c>
      <c r="B3426" s="2" t="str">
        <f>HYPERLINK("https://leetcode.com/problems/longest-special-path/", "Longest Special Path")</f>
        <v>Longest Special Path</v>
      </c>
      <c r="C3426" s="1">
        <v>124</v>
      </c>
      <c r="D3426" s="1">
        <v>18</v>
      </c>
      <c r="E3426" s="3">
        <f>IF(INDEX(C:C, ROW())+INDEX(D:D, ROW())=0, 0, INDEX(C:C, ROW())/(INDEX(C:C, ROW())+INDEX(D:D, ROW())))</f>
        <v>0.87323943661971826</v>
      </c>
      <c r="F3426" s="1" t="s">
        <v>1159</v>
      </c>
      <c r="G3426" s="1" t="s">
        <v>28</v>
      </c>
      <c r="H3426" s="1">
        <v>5911</v>
      </c>
      <c r="I3426" s="1">
        <v>26389</v>
      </c>
      <c r="J3426" s="7">
        <v>0.224</v>
      </c>
      <c r="K3426" s="1" t="s">
        <v>21</v>
      </c>
      <c r="L3426" s="1" t="s">
        <v>29</v>
      </c>
      <c r="M3426" s="1" t="s">
        <v>29</v>
      </c>
      <c r="N3426" s="1" t="s">
        <v>22</v>
      </c>
    </row>
    <row r="3427" spans="1:14" x14ac:dyDescent="0.25">
      <c r="A3427" s="1">
        <v>3426</v>
      </c>
      <c r="B3427" s="2" t="str">
        <f>HYPERLINK("https://leetcode.com/problems/manhattan-distances-of-all-arrangements-of-pieces/", "Manhattan Distances of All Arrangements of Pieces")</f>
        <v>Manhattan Distances of All Arrangements of Pieces</v>
      </c>
      <c r="C3427" s="1">
        <v>41</v>
      </c>
      <c r="D3427" s="1">
        <v>11</v>
      </c>
      <c r="E3427" s="3">
        <f>IF(INDEX(C:C, ROW())+INDEX(D:D, ROW())=0, 0, INDEX(C:C, ROW())/(INDEX(C:C, ROW())+INDEX(D:D, ROW())))</f>
        <v>0.78846153846153844</v>
      </c>
      <c r="F3427" s="1" t="s">
        <v>960</v>
      </c>
      <c r="G3427" s="1" t="s">
        <v>28</v>
      </c>
      <c r="H3427" s="1">
        <v>3824</v>
      </c>
      <c r="I3427" s="1">
        <v>10886</v>
      </c>
      <c r="J3427" s="7">
        <v>0.35099999999999998</v>
      </c>
      <c r="K3427" s="1" t="s">
        <v>21</v>
      </c>
      <c r="L3427" s="1" t="s">
        <v>29</v>
      </c>
      <c r="M3427" s="1" t="s">
        <v>29</v>
      </c>
      <c r="N3427" s="1" t="s">
        <v>22</v>
      </c>
    </row>
    <row r="3428" spans="1:14" x14ac:dyDescent="0.25">
      <c r="A3428" s="1">
        <v>3427</v>
      </c>
      <c r="B3428" s="2" t="str">
        <f>HYPERLINK("https://leetcode.com/problems/sum-of-variable-length-subarrays/", "Sum of Variable Length Subarrays")</f>
        <v>Sum of Variable Length Subarrays</v>
      </c>
      <c r="C3428" s="1">
        <v>107</v>
      </c>
      <c r="D3428" s="1">
        <v>32</v>
      </c>
      <c r="E3428" s="3">
        <f>IF(INDEX(C:C, ROW())+INDEX(D:D, ROW())=0, 0, INDEX(C:C, ROW())/(INDEX(C:C, ROW())+INDEX(D:D, ROW())))</f>
        <v>0.76978417266187049</v>
      </c>
      <c r="F3428" s="1" t="s">
        <v>37</v>
      </c>
      <c r="G3428" s="1" t="s">
        <v>20</v>
      </c>
      <c r="H3428" s="1">
        <v>55223</v>
      </c>
      <c r="I3428" s="1">
        <v>64588</v>
      </c>
      <c r="J3428" s="7">
        <v>0.85499999999999998</v>
      </c>
      <c r="K3428" s="1" t="s">
        <v>21</v>
      </c>
      <c r="L3428" s="1" t="s">
        <v>29</v>
      </c>
      <c r="M3428" s="1" t="s">
        <v>29</v>
      </c>
      <c r="N3428" s="1" t="s">
        <v>22</v>
      </c>
    </row>
    <row r="3429" spans="1:14" x14ac:dyDescent="0.25">
      <c r="A3429" s="1">
        <v>3428</v>
      </c>
      <c r="B3429" s="2" t="str">
        <f>HYPERLINK("https://leetcode.com/problems/maximum-and-minimum-sums-of-at-most-size-k-subsequences/", "Maximum and Minimum Sums of at Most Size K Subsequences")</f>
        <v>Maximum and Minimum Sums of at Most Size K Subsequences</v>
      </c>
      <c r="C3429" s="1">
        <v>147</v>
      </c>
      <c r="D3429" s="1">
        <v>36</v>
      </c>
      <c r="E3429" s="3">
        <f>IF(INDEX(C:C, ROW())+INDEX(D:D, ROW())=0, 0, INDEX(C:C, ROW())/(INDEX(C:C, ROW())+INDEX(D:D, ROW())))</f>
        <v>0.80327868852459017</v>
      </c>
      <c r="F3429" s="1" t="s">
        <v>1141</v>
      </c>
      <c r="G3429" s="1" t="s">
        <v>24</v>
      </c>
      <c r="H3429" s="1">
        <v>12668</v>
      </c>
      <c r="I3429" s="1">
        <v>58615</v>
      </c>
      <c r="J3429" s="7">
        <v>0.216</v>
      </c>
      <c r="K3429" s="1" t="s">
        <v>21</v>
      </c>
      <c r="L3429" s="1" t="s">
        <v>29</v>
      </c>
      <c r="M3429" s="1" t="s">
        <v>29</v>
      </c>
      <c r="N3429" s="1" t="s">
        <v>22</v>
      </c>
    </row>
    <row r="3430" spans="1:14" x14ac:dyDescent="0.25">
      <c r="A3430" s="1">
        <v>3429</v>
      </c>
      <c r="B3430" s="2" t="str">
        <f>HYPERLINK("https://leetcode.com/problems/paint-house-iv/", "Paint House IV")</f>
        <v>Paint House IV</v>
      </c>
      <c r="C3430" s="1">
        <v>121</v>
      </c>
      <c r="D3430" s="1">
        <v>11</v>
      </c>
      <c r="E3430" s="3">
        <f>IF(INDEX(C:C, ROW())+INDEX(D:D, ROW())=0, 0, INDEX(C:C, ROW())/(INDEX(C:C, ROW())+INDEX(D:D, ROW())))</f>
        <v>0.91666666666666663</v>
      </c>
      <c r="F3430" s="1" t="s">
        <v>30</v>
      </c>
      <c r="G3430" s="1" t="s">
        <v>24</v>
      </c>
      <c r="H3430" s="1">
        <v>10685</v>
      </c>
      <c r="I3430" s="1">
        <v>23721</v>
      </c>
      <c r="J3430" s="7">
        <v>0.45</v>
      </c>
      <c r="K3430" s="1" t="s">
        <v>21</v>
      </c>
      <c r="L3430" s="1" t="s">
        <v>29</v>
      </c>
      <c r="M3430" s="1" t="s">
        <v>29</v>
      </c>
      <c r="N3430" s="1" t="s">
        <v>22</v>
      </c>
    </row>
    <row r="3431" spans="1:14" x14ac:dyDescent="0.25">
      <c r="A3431" s="1">
        <v>3430</v>
      </c>
      <c r="B3431" s="2" t="str">
        <f>HYPERLINK("https://leetcode.com/problems/maximum-and-minimum-sums-of-at-most-size-k-subarrays/", "Maximum and Minimum Sums of at Most Size K Subarrays")</f>
        <v>Maximum and Minimum Sums of at Most Size K Subarrays</v>
      </c>
      <c r="C3431" s="1">
        <v>80</v>
      </c>
      <c r="D3431" s="1">
        <v>9</v>
      </c>
      <c r="E3431" s="3">
        <f>IF(INDEX(C:C, ROW())+INDEX(D:D, ROW())=0, 0, INDEX(C:C, ROW())/(INDEX(C:C, ROW())+INDEX(D:D, ROW())))</f>
        <v>0.898876404494382</v>
      </c>
      <c r="F3431" s="1" t="s">
        <v>1207</v>
      </c>
      <c r="G3431" s="1" t="s">
        <v>28</v>
      </c>
      <c r="H3431" s="1">
        <v>4243</v>
      </c>
      <c r="I3431" s="1">
        <v>16922</v>
      </c>
      <c r="J3431" s="7">
        <v>0.251</v>
      </c>
      <c r="K3431" s="1" t="s">
        <v>21</v>
      </c>
      <c r="L3431" s="1" t="s">
        <v>29</v>
      </c>
      <c r="M3431" s="1" t="s">
        <v>29</v>
      </c>
      <c r="N3431" s="1" t="s">
        <v>22</v>
      </c>
    </row>
    <row r="3432" spans="1:14" x14ac:dyDescent="0.25">
      <c r="A3432" s="1">
        <v>3431</v>
      </c>
      <c r="B3432" s="2" t="str">
        <f>HYPERLINK("https://leetcode.com/problems/minimum-unlocked-indices-to-sort-nums/", "Minimum Unlocked Indices to Sort Nums")</f>
        <v>Minimum Unlocked Indices to Sort Nums</v>
      </c>
      <c r="C3432" s="1">
        <v>5</v>
      </c>
      <c r="D3432" s="1">
        <v>3</v>
      </c>
      <c r="E3432" s="3">
        <f>IF(INDEX(C:C, ROW())+INDEX(D:D, ROW())=0, 0, INDEX(C:C, ROW())/(INDEX(C:C, ROW())+INDEX(D:D, ROW())))</f>
        <v>0.625</v>
      </c>
      <c r="F3432" s="1" t="s">
        <v>19</v>
      </c>
      <c r="G3432" s="1" t="s">
        <v>24</v>
      </c>
      <c r="H3432" s="1">
        <v>526</v>
      </c>
      <c r="I3432" s="1">
        <v>897</v>
      </c>
      <c r="J3432" s="7">
        <v>0.58599999999999997</v>
      </c>
      <c r="K3432" s="1" t="s">
        <v>29</v>
      </c>
      <c r="L3432" s="1" t="s">
        <v>29</v>
      </c>
      <c r="M3432" s="1" t="s">
        <v>29</v>
      </c>
      <c r="N3432" s="1" t="s">
        <v>22</v>
      </c>
    </row>
    <row r="3433" spans="1:14" x14ac:dyDescent="0.25">
      <c r="A3433" s="1">
        <v>3432</v>
      </c>
      <c r="B3433" s="2" t="str">
        <f>HYPERLINK("https://leetcode.com/problems/count-partitions-with-even-sum-difference/", "Count Partitions with Even Sum Difference")</f>
        <v>Count Partitions with Even Sum Difference</v>
      </c>
      <c r="C3433" s="1">
        <v>402</v>
      </c>
      <c r="D3433" s="1">
        <v>12</v>
      </c>
      <c r="E3433" s="3">
        <f>IF(INDEX(C:C, ROW())+INDEX(D:D, ROW())=0, 0, INDEX(C:C, ROW())/(INDEX(C:C, ROW())+INDEX(D:D, ROW())))</f>
        <v>0.97101449275362317</v>
      </c>
      <c r="F3433" s="1" t="s">
        <v>317</v>
      </c>
      <c r="G3433" s="1" t="s">
        <v>20</v>
      </c>
      <c r="H3433" s="1">
        <v>168248</v>
      </c>
      <c r="I3433" s="1">
        <v>197567</v>
      </c>
      <c r="J3433" s="7">
        <v>0.85199999999999998</v>
      </c>
      <c r="K3433" s="1" t="s">
        <v>21</v>
      </c>
      <c r="L3433" s="1" t="s">
        <v>21</v>
      </c>
      <c r="M3433" s="1" t="s">
        <v>29</v>
      </c>
      <c r="N3433" s="1" t="s">
        <v>22</v>
      </c>
    </row>
    <row r="3434" spans="1:14" x14ac:dyDescent="0.25">
      <c r="A3434" s="1">
        <v>3433</v>
      </c>
      <c r="B3434" s="2" t="str">
        <f>HYPERLINK("https://leetcode.com/problems/count-mentions-per-user/", "Count Mentions Per User")</f>
        <v>Count Mentions Per User</v>
      </c>
      <c r="C3434" s="1">
        <v>389</v>
      </c>
      <c r="D3434" s="1">
        <v>248</v>
      </c>
      <c r="E3434" s="3">
        <f>IF(INDEX(C:C, ROW())+INDEX(D:D, ROW())=0, 0, INDEX(C:C, ROW())/(INDEX(C:C, ROW())+INDEX(D:D, ROW())))</f>
        <v>0.61067503924646782</v>
      </c>
      <c r="F3434" s="1" t="s">
        <v>991</v>
      </c>
      <c r="G3434" s="1" t="s">
        <v>24</v>
      </c>
      <c r="H3434" s="1">
        <v>84616</v>
      </c>
      <c r="I3434" s="1">
        <v>166552</v>
      </c>
      <c r="J3434" s="7">
        <v>0.50800000000000001</v>
      </c>
      <c r="K3434" s="1" t="s">
        <v>21</v>
      </c>
      <c r="L3434" s="1" t="s">
        <v>21</v>
      </c>
      <c r="M3434" s="1" t="s">
        <v>29</v>
      </c>
      <c r="N3434" s="1" t="s">
        <v>22</v>
      </c>
    </row>
    <row r="3435" spans="1:14" x14ac:dyDescent="0.25">
      <c r="A3435" s="1">
        <v>3434</v>
      </c>
      <c r="B3435" s="2" t="str">
        <f>HYPERLINK("https://leetcode.com/problems/maximum-frequency-after-subarray-operation/", "Maximum Frequency After Subarray Operation")</f>
        <v>Maximum Frequency After Subarray Operation</v>
      </c>
      <c r="C3435" s="1">
        <v>264</v>
      </c>
      <c r="D3435" s="1">
        <v>36</v>
      </c>
      <c r="E3435" s="3">
        <f>IF(INDEX(C:C, ROW())+INDEX(D:D, ROW())=0, 0, INDEX(C:C, ROW())/(INDEX(C:C, ROW())+INDEX(D:D, ROW())))</f>
        <v>0.88</v>
      </c>
      <c r="F3435" s="1" t="s">
        <v>1058</v>
      </c>
      <c r="G3435" s="1" t="s">
        <v>24</v>
      </c>
      <c r="H3435" s="1">
        <v>24651</v>
      </c>
      <c r="I3435" s="1">
        <v>79858</v>
      </c>
      <c r="J3435" s="7">
        <v>0.309</v>
      </c>
      <c r="K3435" s="1" t="s">
        <v>21</v>
      </c>
      <c r="L3435" s="1" t="s">
        <v>29</v>
      </c>
      <c r="M3435" s="1" t="s">
        <v>29</v>
      </c>
      <c r="N3435" s="1" t="s">
        <v>22</v>
      </c>
    </row>
    <row r="3436" spans="1:14" x14ac:dyDescent="0.25">
      <c r="A3436" s="1">
        <v>3435</v>
      </c>
      <c r="B3436" s="2" t="str">
        <f>HYPERLINK("https://leetcode.com/problems/frequencies-of-shortest-supersequences/", "Frequencies of Shortest Supersequences")</f>
        <v>Frequencies of Shortest Supersequences</v>
      </c>
      <c r="C3436" s="1">
        <v>28</v>
      </c>
      <c r="D3436" s="1">
        <v>8</v>
      </c>
      <c r="E3436" s="3">
        <f>IF(INDEX(C:C, ROW())+INDEX(D:D, ROW())=0, 0, INDEX(C:C, ROW())/(INDEX(C:C, ROW())+INDEX(D:D, ROW())))</f>
        <v>0.77777777777777779</v>
      </c>
      <c r="F3436" s="1" t="s">
        <v>1308</v>
      </c>
      <c r="G3436" s="1" t="s">
        <v>28</v>
      </c>
      <c r="H3436" s="1">
        <v>2853</v>
      </c>
      <c r="I3436" s="1">
        <v>12956</v>
      </c>
      <c r="J3436" s="7">
        <v>0.22</v>
      </c>
      <c r="K3436" s="1" t="s">
        <v>21</v>
      </c>
      <c r="L3436" s="1" t="s">
        <v>29</v>
      </c>
      <c r="M3436" s="1" t="s">
        <v>29</v>
      </c>
      <c r="N3436" s="1" t="s">
        <v>22</v>
      </c>
    </row>
    <row r="3437" spans="1:14" x14ac:dyDescent="0.25">
      <c r="A3437" s="1">
        <v>3436</v>
      </c>
      <c r="B3437" s="2" t="str">
        <f>HYPERLINK("https://leetcode.com/problems/find-valid-emails/", "Find Valid Emails")</f>
        <v>Find Valid Emails</v>
      </c>
      <c r="C3437" s="1">
        <v>60</v>
      </c>
      <c r="D3437" s="1">
        <v>7</v>
      </c>
      <c r="E3437" s="3">
        <f>IF(INDEX(C:C, ROW())+INDEX(D:D, ROW())=0, 0, INDEX(C:C, ROW())/(INDEX(C:C, ROW())+INDEX(D:D, ROW())))</f>
        <v>0.89552238805970152</v>
      </c>
      <c r="F3437" s="1" t="s">
        <v>297</v>
      </c>
      <c r="G3437" s="1" t="s">
        <v>20</v>
      </c>
      <c r="H3437" s="1">
        <v>25112</v>
      </c>
      <c r="I3437" s="1">
        <v>56716</v>
      </c>
      <c r="J3437" s="7">
        <v>0.443</v>
      </c>
      <c r="K3437" s="1" t="s">
        <v>21</v>
      </c>
      <c r="L3437" s="1" t="s">
        <v>29</v>
      </c>
      <c r="M3437" s="1" t="s">
        <v>29</v>
      </c>
      <c r="N3437" s="1" t="s">
        <v>297</v>
      </c>
    </row>
    <row r="3438" spans="1:14" x14ac:dyDescent="0.25">
      <c r="A3438" s="1">
        <v>3437</v>
      </c>
      <c r="B3438" s="2" t="str">
        <f>HYPERLINK("https://leetcode.com/problems/permutations-iii/", "Permutations III")</f>
        <v>Permutations III</v>
      </c>
      <c r="C3438" s="1">
        <v>17</v>
      </c>
      <c r="D3438" s="1">
        <v>2</v>
      </c>
      <c r="E3438" s="3">
        <f>IF(INDEX(C:C, ROW())+INDEX(D:D, ROW())=0, 0, INDEX(C:C, ROW())/(INDEX(C:C, ROW())+INDEX(D:D, ROW())))</f>
        <v>0.89473684210526316</v>
      </c>
      <c r="F3438" s="1" t="s">
        <v>56</v>
      </c>
      <c r="G3438" s="1" t="s">
        <v>24</v>
      </c>
      <c r="H3438" s="1">
        <v>3018</v>
      </c>
      <c r="I3438" s="1">
        <v>3475</v>
      </c>
      <c r="J3438" s="7">
        <v>0.86799999999999999</v>
      </c>
      <c r="K3438" s="1" t="s">
        <v>29</v>
      </c>
      <c r="L3438" s="1" t="s">
        <v>29</v>
      </c>
      <c r="M3438" s="1" t="s">
        <v>29</v>
      </c>
      <c r="N3438" s="1" t="s">
        <v>22</v>
      </c>
    </row>
    <row r="3439" spans="1:14" x14ac:dyDescent="0.25">
      <c r="A3439" s="1">
        <v>3438</v>
      </c>
      <c r="B3439" s="2" t="str">
        <f>HYPERLINK("https://leetcode.com/problems/find-valid-pair-of-adjacent-digits-in-string/", "Find Valid Pair of Adjacent Digits in String")</f>
        <v>Find Valid Pair of Adjacent Digits in String</v>
      </c>
      <c r="C3439" s="1">
        <v>77</v>
      </c>
      <c r="D3439" s="1">
        <v>9</v>
      </c>
      <c r="E3439" s="3">
        <f>IF(INDEX(C:C, ROW())+INDEX(D:D, ROW())=0, 0, INDEX(C:C, ROW())/(INDEX(C:C, ROW())+INDEX(D:D, ROW())))</f>
        <v>0.89534883720930236</v>
      </c>
      <c r="F3439" s="1" t="s">
        <v>237</v>
      </c>
      <c r="G3439" s="1" t="s">
        <v>20</v>
      </c>
      <c r="H3439" s="1">
        <v>46360</v>
      </c>
      <c r="I3439" s="1">
        <v>76502</v>
      </c>
      <c r="J3439" s="7">
        <v>0.60599999999999998</v>
      </c>
      <c r="K3439" s="1" t="s">
        <v>21</v>
      </c>
      <c r="L3439" s="1" t="s">
        <v>29</v>
      </c>
      <c r="M3439" s="1" t="s">
        <v>29</v>
      </c>
      <c r="N3439" s="1" t="s">
        <v>22</v>
      </c>
    </row>
    <row r="3440" spans="1:14" x14ac:dyDescent="0.25">
      <c r="A3440" s="1">
        <v>3439</v>
      </c>
      <c r="B3440" s="2" t="str">
        <f>HYPERLINK("https://leetcode.com/problems/reschedule-meetings-for-maximum-free-time-i/", "Reschedule Meetings for Maximum Free Time I")</f>
        <v>Reschedule Meetings for Maximum Free Time I</v>
      </c>
      <c r="C3440" s="1">
        <v>636</v>
      </c>
      <c r="D3440" s="1">
        <v>54</v>
      </c>
      <c r="E3440" s="3">
        <f>IF(INDEX(C:C, ROW())+INDEX(D:D, ROW())=0, 0, INDEX(C:C, ROW())/(INDEX(C:C, ROW())+INDEX(D:D, ROW())))</f>
        <v>0.92173913043478262</v>
      </c>
      <c r="F3440" s="1" t="s">
        <v>828</v>
      </c>
      <c r="G3440" s="1" t="s">
        <v>24</v>
      </c>
      <c r="H3440" s="1">
        <v>108550</v>
      </c>
      <c r="I3440" s="1">
        <v>201311</v>
      </c>
      <c r="J3440" s="7">
        <v>0.53900000000000003</v>
      </c>
      <c r="K3440" s="1" t="s">
        <v>21</v>
      </c>
      <c r="L3440" s="1" t="s">
        <v>21</v>
      </c>
      <c r="M3440" s="1" t="s">
        <v>29</v>
      </c>
      <c r="N3440" s="1" t="s">
        <v>22</v>
      </c>
    </row>
    <row r="3441" spans="1:14" x14ac:dyDescent="0.25">
      <c r="A3441" s="1">
        <v>3440</v>
      </c>
      <c r="B3441" s="2" t="str">
        <f>HYPERLINK("https://leetcode.com/problems/reschedule-meetings-for-maximum-free-time-ii/", "Reschedule Meetings for Maximum Free Time II")</f>
        <v>Reschedule Meetings for Maximum Free Time II</v>
      </c>
      <c r="C3441" s="1">
        <v>465</v>
      </c>
      <c r="D3441" s="1">
        <v>26</v>
      </c>
      <c r="E3441" s="3">
        <f>IF(INDEX(C:C, ROW())+INDEX(D:D, ROW())=0, 0, INDEX(C:C, ROW())/(INDEX(C:C, ROW())+INDEX(D:D, ROW())))</f>
        <v>0.94704684317718946</v>
      </c>
      <c r="F3441" s="1" t="s">
        <v>946</v>
      </c>
      <c r="G3441" s="1" t="s">
        <v>24</v>
      </c>
      <c r="H3441" s="1">
        <v>84318</v>
      </c>
      <c r="I3441" s="1">
        <v>139654</v>
      </c>
      <c r="J3441" s="7">
        <v>0.60399999999999998</v>
      </c>
      <c r="K3441" s="1" t="s">
        <v>21</v>
      </c>
      <c r="L3441" s="1" t="s">
        <v>21</v>
      </c>
      <c r="M3441" s="1" t="s">
        <v>29</v>
      </c>
      <c r="N3441" s="1" t="s">
        <v>22</v>
      </c>
    </row>
    <row r="3442" spans="1:14" x14ac:dyDescent="0.25">
      <c r="A3442" s="1">
        <v>3441</v>
      </c>
      <c r="B3442" s="2" t="str">
        <f>HYPERLINK("https://leetcode.com/problems/minimum-cost-good-caption/", "Minimum Cost Good Caption")</f>
        <v>Minimum Cost Good Caption</v>
      </c>
      <c r="C3442" s="1">
        <v>41</v>
      </c>
      <c r="D3442" s="1">
        <v>7</v>
      </c>
      <c r="E3442" s="3">
        <f>IF(INDEX(C:C, ROW())+INDEX(D:D, ROW())=0, 0, INDEX(C:C, ROW())/(INDEX(C:C, ROW())+INDEX(D:D, ROW())))</f>
        <v>0.85416666666666663</v>
      </c>
      <c r="F3442" s="1" t="s">
        <v>82</v>
      </c>
      <c r="G3442" s="1" t="s">
        <v>28</v>
      </c>
      <c r="H3442" s="1">
        <v>3733</v>
      </c>
      <c r="I3442" s="1">
        <v>18196</v>
      </c>
      <c r="J3442" s="7">
        <v>0.20499999999999999</v>
      </c>
      <c r="K3442" s="1" t="s">
        <v>21</v>
      </c>
      <c r="L3442" s="1" t="s">
        <v>29</v>
      </c>
      <c r="M3442" s="1" t="s">
        <v>29</v>
      </c>
      <c r="N3442" s="1" t="s">
        <v>22</v>
      </c>
    </row>
    <row r="3443" spans="1:14" x14ac:dyDescent="0.25">
      <c r="A3443" s="1">
        <v>3442</v>
      </c>
      <c r="B3443" s="2" t="str">
        <f>HYPERLINK("https://leetcode.com/problems/maximum-difference-between-even-and-odd-frequency-i/", "Maximum Difference Between Even and Odd Frequency I")</f>
        <v>Maximum Difference Between Even and Odd Frequency I</v>
      </c>
      <c r="C3443" s="1">
        <v>394</v>
      </c>
      <c r="D3443" s="1">
        <v>71</v>
      </c>
      <c r="E3443" s="3">
        <f>IF(INDEX(C:C, ROW())+INDEX(D:D, ROW())=0, 0, INDEX(C:C, ROW())/(INDEX(C:C, ROW())+INDEX(D:D, ROW())))</f>
        <v>0.84731182795698923</v>
      </c>
      <c r="F3443" s="1" t="s">
        <v>237</v>
      </c>
      <c r="G3443" s="1" t="s">
        <v>20</v>
      </c>
      <c r="H3443" s="1">
        <v>180218</v>
      </c>
      <c r="I3443" s="1">
        <v>296768</v>
      </c>
      <c r="J3443" s="7">
        <v>0.60699999999999998</v>
      </c>
      <c r="K3443" s="1" t="s">
        <v>21</v>
      </c>
      <c r="L3443" s="1" t="s">
        <v>21</v>
      </c>
      <c r="M3443" s="1" t="s">
        <v>29</v>
      </c>
      <c r="N3443" s="1" t="s">
        <v>22</v>
      </c>
    </row>
    <row r="3444" spans="1:14" x14ac:dyDescent="0.25">
      <c r="A3444" s="1">
        <v>3443</v>
      </c>
      <c r="B3444" s="2" t="str">
        <f>HYPERLINK("https://leetcode.com/problems/maximum-manhattan-distance-after-k-changes/", "Maximum Manhattan Distance After K Changes")</f>
        <v>Maximum Manhattan Distance After K Changes</v>
      </c>
      <c r="C3444" s="1">
        <v>599</v>
      </c>
      <c r="D3444" s="1">
        <v>69</v>
      </c>
      <c r="E3444" s="3">
        <f>IF(INDEX(C:C, ROW())+INDEX(D:D, ROW())=0, 0, INDEX(C:C, ROW())/(INDEX(C:C, ROW())+INDEX(D:D, ROW())))</f>
        <v>0.8967065868263473</v>
      </c>
      <c r="F3444" s="1" t="s">
        <v>854</v>
      </c>
      <c r="G3444" s="1" t="s">
        <v>24</v>
      </c>
      <c r="H3444" s="1">
        <v>100754</v>
      </c>
      <c r="I3444" s="1">
        <v>185995</v>
      </c>
      <c r="J3444" s="7">
        <v>0.54200000000000004</v>
      </c>
      <c r="K3444" s="1" t="s">
        <v>21</v>
      </c>
      <c r="L3444" s="1" t="s">
        <v>21</v>
      </c>
      <c r="M3444" s="1" t="s">
        <v>29</v>
      </c>
      <c r="N3444" s="1" t="s">
        <v>22</v>
      </c>
    </row>
    <row r="3445" spans="1:14" x14ac:dyDescent="0.25">
      <c r="A3445" s="1">
        <v>3444</v>
      </c>
      <c r="B3445" s="2" t="str">
        <f>HYPERLINK("https://leetcode.com/problems/minimum-increments-for-target-multiples-in-an-array/", "Minimum Increments for Target Multiples in an Array")</f>
        <v>Minimum Increments for Target Multiples in an Array</v>
      </c>
      <c r="C3445" s="1">
        <v>87</v>
      </c>
      <c r="D3445" s="1">
        <v>7</v>
      </c>
      <c r="E3445" s="3">
        <f>IF(INDEX(C:C, ROW())+INDEX(D:D, ROW())=0, 0, INDEX(C:C, ROW())/(INDEX(C:C, ROW())+INDEX(D:D, ROW())))</f>
        <v>0.92553191489361697</v>
      </c>
      <c r="F3445" s="1" t="s">
        <v>1194</v>
      </c>
      <c r="G3445" s="1" t="s">
        <v>28</v>
      </c>
      <c r="H3445" s="1">
        <v>6560</v>
      </c>
      <c r="I3445" s="1">
        <v>23972</v>
      </c>
      <c r="J3445" s="7">
        <v>0.27400000000000002</v>
      </c>
      <c r="K3445" s="1" t="s">
        <v>21</v>
      </c>
      <c r="L3445" s="1" t="s">
        <v>29</v>
      </c>
      <c r="M3445" s="1" t="s">
        <v>29</v>
      </c>
      <c r="N3445" s="1" t="s">
        <v>22</v>
      </c>
    </row>
    <row r="3446" spans="1:14" x14ac:dyDescent="0.25">
      <c r="A3446" s="1">
        <v>3445</v>
      </c>
      <c r="B3446" s="2" t="str">
        <f>HYPERLINK("https://leetcode.com/problems/maximum-difference-between-even-and-odd-frequency-ii/", "Maximum Difference Between Even and Odd Frequency II")</f>
        <v>Maximum Difference Between Even and Odd Frequency II</v>
      </c>
      <c r="C3446" s="1">
        <v>391</v>
      </c>
      <c r="D3446" s="1">
        <v>105</v>
      </c>
      <c r="E3446" s="3">
        <f>IF(INDEX(C:C, ROW())+INDEX(D:D, ROW())=0, 0, INDEX(C:C, ROW())/(INDEX(C:C, ROW())+INDEX(D:D, ROW())))</f>
        <v>0.78830645161290325</v>
      </c>
      <c r="F3446" s="1" t="s">
        <v>989</v>
      </c>
      <c r="G3446" s="1" t="s">
        <v>28</v>
      </c>
      <c r="H3446" s="1">
        <v>58700</v>
      </c>
      <c r="I3446" s="1">
        <v>120581</v>
      </c>
      <c r="J3446" s="7">
        <v>0.48699999999999999</v>
      </c>
      <c r="K3446" s="1" t="s">
        <v>21</v>
      </c>
      <c r="L3446" s="1" t="s">
        <v>21</v>
      </c>
      <c r="M3446" s="1" t="s">
        <v>29</v>
      </c>
      <c r="N3446" s="1" t="s">
        <v>22</v>
      </c>
    </row>
    <row r="3447" spans="1:14" x14ac:dyDescent="0.25">
      <c r="A3447" s="1">
        <v>3446</v>
      </c>
      <c r="B3447" s="2" t="str">
        <f>HYPERLINK("https://leetcode.com/problems/sort-matrix-by-diagonals/", "Sort Matrix by Diagonals")</f>
        <v>Sort Matrix by Diagonals</v>
      </c>
      <c r="C3447" s="1">
        <v>508</v>
      </c>
      <c r="D3447" s="1">
        <v>101</v>
      </c>
      <c r="E3447" s="3">
        <f>IF(INDEX(C:C, ROW())+INDEX(D:D, ROW())=0, 0, INDEX(C:C, ROW())/(INDEX(C:C, ROW())+INDEX(D:D, ROW())))</f>
        <v>0.83415435139573069</v>
      </c>
      <c r="F3447" s="1" t="s">
        <v>343</v>
      </c>
      <c r="G3447" s="1" t="s">
        <v>24</v>
      </c>
      <c r="H3447" s="1">
        <v>133350</v>
      </c>
      <c r="I3447" s="1">
        <v>157477</v>
      </c>
      <c r="J3447" s="7">
        <v>0.84699999999999998</v>
      </c>
      <c r="K3447" s="1" t="s">
        <v>21</v>
      </c>
      <c r="L3447" s="1" t="s">
        <v>21</v>
      </c>
      <c r="M3447" s="1" t="s">
        <v>29</v>
      </c>
      <c r="N3447" s="1" t="s">
        <v>22</v>
      </c>
    </row>
    <row r="3448" spans="1:14" x14ac:dyDescent="0.25">
      <c r="A3448" s="1">
        <v>3447</v>
      </c>
      <c r="B3448" s="2" t="str">
        <f>HYPERLINK("https://leetcode.com/problems/assign-elements-to-groups-with-constraints/", "Assign Elements to Groups with Constraints")</f>
        <v>Assign Elements to Groups with Constraints</v>
      </c>
      <c r="C3448" s="1">
        <v>134</v>
      </c>
      <c r="D3448" s="1">
        <v>12</v>
      </c>
      <c r="E3448" s="3">
        <f>IF(INDEX(C:C, ROW())+INDEX(D:D, ROW())=0, 0, INDEX(C:C, ROW())/(INDEX(C:C, ROW())+INDEX(D:D, ROW())))</f>
        <v>0.9178082191780822</v>
      </c>
      <c r="F3448" s="1" t="s">
        <v>19</v>
      </c>
      <c r="G3448" s="1" t="s">
        <v>24</v>
      </c>
      <c r="H3448" s="1">
        <v>20337</v>
      </c>
      <c r="I3448" s="1">
        <v>76042</v>
      </c>
      <c r="J3448" s="7">
        <v>0.26700000000000002</v>
      </c>
      <c r="K3448" s="1" t="s">
        <v>21</v>
      </c>
      <c r="L3448" s="1" t="s">
        <v>29</v>
      </c>
      <c r="M3448" s="1" t="s">
        <v>29</v>
      </c>
      <c r="N3448" s="1" t="s">
        <v>22</v>
      </c>
    </row>
    <row r="3449" spans="1:14" x14ac:dyDescent="0.25">
      <c r="A3449" s="1">
        <v>3448</v>
      </c>
      <c r="B3449" s="2" t="str">
        <f>HYPERLINK("https://leetcode.com/problems/count-substrings-divisible-by-last-digit/", "Count Substrings Divisible By Last Digit")</f>
        <v>Count Substrings Divisible By Last Digit</v>
      </c>
      <c r="C3449" s="1">
        <v>78</v>
      </c>
      <c r="D3449" s="1">
        <v>8</v>
      </c>
      <c r="E3449" s="3">
        <f>IF(INDEX(C:C, ROW())+INDEX(D:D, ROW())=0, 0, INDEX(C:C, ROW())/(INDEX(C:C, ROW())+INDEX(D:D, ROW())))</f>
        <v>0.90697674418604646</v>
      </c>
      <c r="F3449" s="1" t="s">
        <v>82</v>
      </c>
      <c r="G3449" s="1" t="s">
        <v>28</v>
      </c>
      <c r="H3449" s="1">
        <v>6057</v>
      </c>
      <c r="I3449" s="1">
        <v>26423</v>
      </c>
      <c r="J3449" s="7">
        <v>0.22900000000000001</v>
      </c>
      <c r="K3449" s="1" t="s">
        <v>21</v>
      </c>
      <c r="L3449" s="1" t="s">
        <v>29</v>
      </c>
      <c r="M3449" s="1" t="s">
        <v>29</v>
      </c>
      <c r="N3449" s="1" t="s">
        <v>22</v>
      </c>
    </row>
    <row r="3450" spans="1:14" x14ac:dyDescent="0.25">
      <c r="A3450" s="1">
        <v>3449</v>
      </c>
      <c r="B3450" s="2" t="str">
        <f>HYPERLINK("https://leetcode.com/problems/maximize-the-minimum-game-score/", "Maximize the Minimum Game Score")</f>
        <v>Maximize the Minimum Game Score</v>
      </c>
      <c r="C3450" s="1">
        <v>51</v>
      </c>
      <c r="D3450" s="1">
        <v>6</v>
      </c>
      <c r="E3450" s="3">
        <f>IF(INDEX(C:C, ROW())+INDEX(D:D, ROW())=0, 0, INDEX(C:C, ROW())/(INDEX(C:C, ROW())+INDEX(D:D, ROW())))</f>
        <v>0.89473684210526316</v>
      </c>
      <c r="F3450" s="1" t="s">
        <v>533</v>
      </c>
      <c r="G3450" s="1" t="s">
        <v>28</v>
      </c>
      <c r="H3450" s="1">
        <v>4148</v>
      </c>
      <c r="I3450" s="1">
        <v>15940</v>
      </c>
      <c r="J3450" s="7">
        <v>0.26</v>
      </c>
      <c r="K3450" s="1" t="s">
        <v>21</v>
      </c>
      <c r="L3450" s="1" t="s">
        <v>29</v>
      </c>
      <c r="M3450" s="1" t="s">
        <v>29</v>
      </c>
      <c r="N3450" s="1" t="s">
        <v>22</v>
      </c>
    </row>
    <row r="3451" spans="1:14" x14ac:dyDescent="0.25">
      <c r="A3451" s="1">
        <v>3450</v>
      </c>
      <c r="B3451" s="2" t="str">
        <f>HYPERLINK("https://leetcode.com/problems/maximum-students-on-a-single-bench/", "Maximum Students on a Single Bench")</f>
        <v>Maximum Students on a Single Bench</v>
      </c>
      <c r="C3451" s="1">
        <v>15</v>
      </c>
      <c r="D3451" s="1">
        <v>1</v>
      </c>
      <c r="E3451" s="3">
        <f>IF(INDEX(C:C, ROW())+INDEX(D:D, ROW())=0, 0, INDEX(C:C, ROW())/(INDEX(C:C, ROW())+INDEX(D:D, ROW())))</f>
        <v>0.9375</v>
      </c>
      <c r="F3451" s="1" t="s">
        <v>19</v>
      </c>
      <c r="G3451" s="1" t="s">
        <v>20</v>
      </c>
      <c r="H3451" s="1">
        <v>2116</v>
      </c>
      <c r="I3451" s="1">
        <v>2418</v>
      </c>
      <c r="J3451" s="7">
        <v>0.875</v>
      </c>
      <c r="K3451" s="1" t="s">
        <v>29</v>
      </c>
      <c r="L3451" s="1" t="s">
        <v>29</v>
      </c>
      <c r="M3451" s="1" t="s">
        <v>29</v>
      </c>
      <c r="N3451" s="1" t="s">
        <v>22</v>
      </c>
    </row>
    <row r="3452" spans="1:14" x14ac:dyDescent="0.25">
      <c r="A3452" s="1">
        <v>3451</v>
      </c>
      <c r="B3452" s="2" t="str">
        <f>HYPERLINK("https://leetcode.com/problems/find-invalid-ip-addresses/", "Find Invalid IP Addresses")</f>
        <v>Find Invalid IP Addresses</v>
      </c>
      <c r="C3452" s="1">
        <v>34</v>
      </c>
      <c r="D3452" s="1">
        <v>8</v>
      </c>
      <c r="E3452" s="3">
        <f>IF(INDEX(C:C, ROW())+INDEX(D:D, ROW())=0, 0, INDEX(C:C, ROW())/(INDEX(C:C, ROW())+INDEX(D:D, ROW())))</f>
        <v>0.80952380952380953</v>
      </c>
      <c r="F3452" s="1" t="s">
        <v>297</v>
      </c>
      <c r="G3452" s="1" t="s">
        <v>28</v>
      </c>
      <c r="H3452" s="1">
        <v>10307</v>
      </c>
      <c r="I3452" s="1">
        <v>19912</v>
      </c>
      <c r="J3452" s="7">
        <v>0.51800000000000002</v>
      </c>
      <c r="K3452" s="1" t="s">
        <v>21</v>
      </c>
      <c r="L3452" s="1" t="s">
        <v>29</v>
      </c>
      <c r="M3452" s="1" t="s">
        <v>29</v>
      </c>
      <c r="N3452" s="1" t="s">
        <v>297</v>
      </c>
    </row>
    <row r="3453" spans="1:14" x14ac:dyDescent="0.25">
      <c r="A3453" s="1">
        <v>3452</v>
      </c>
      <c r="B3453" s="2" t="str">
        <f>HYPERLINK("https://leetcode.com/problems/sum-of-good-numbers/", "Sum of Good Numbers")</f>
        <v>Sum of Good Numbers</v>
      </c>
      <c r="C3453" s="1">
        <v>79</v>
      </c>
      <c r="D3453" s="1">
        <v>28</v>
      </c>
      <c r="E3453" s="3">
        <f>IF(INDEX(C:C, ROW())+INDEX(D:D, ROW())=0, 0, INDEX(C:C, ROW())/(INDEX(C:C, ROW())+INDEX(D:D, ROW())))</f>
        <v>0.73831775700934577</v>
      </c>
      <c r="F3453" s="1" t="s">
        <v>113</v>
      </c>
      <c r="G3453" s="1" t="s">
        <v>20</v>
      </c>
      <c r="H3453" s="1">
        <v>50926</v>
      </c>
      <c r="I3453" s="1">
        <v>73274</v>
      </c>
      <c r="J3453" s="7">
        <v>0.69499999999999995</v>
      </c>
      <c r="K3453" s="1" t="s">
        <v>21</v>
      </c>
      <c r="L3453" s="1" t="s">
        <v>29</v>
      </c>
      <c r="M3453" s="1" t="s">
        <v>29</v>
      </c>
      <c r="N3453" s="1" t="s">
        <v>22</v>
      </c>
    </row>
    <row r="3454" spans="1:14" x14ac:dyDescent="0.25">
      <c r="A3454" s="1">
        <v>3453</v>
      </c>
      <c r="B3454" s="2" t="str">
        <f>HYPERLINK("https://leetcode.com/problems/separate-squares-i/", "Separate Squares I")</f>
        <v>Separate Squares I</v>
      </c>
      <c r="C3454" s="1">
        <v>670</v>
      </c>
      <c r="D3454" s="1">
        <v>121</v>
      </c>
      <c r="E3454" s="3">
        <f>IF(INDEX(C:C, ROW())+INDEX(D:D, ROW())=0, 0, INDEX(C:C, ROW())/(INDEX(C:C, ROW())+INDEX(D:D, ROW())))</f>
        <v>0.84702907711757269</v>
      </c>
      <c r="F3454" s="1" t="s">
        <v>35</v>
      </c>
      <c r="G3454" s="1" t="s">
        <v>24</v>
      </c>
      <c r="H3454" s="1">
        <v>124476</v>
      </c>
      <c r="I3454" s="1">
        <v>214602</v>
      </c>
      <c r="J3454" s="7">
        <v>0.57999999999999996</v>
      </c>
      <c r="K3454" s="1" t="s">
        <v>21</v>
      </c>
      <c r="L3454" s="1" t="s">
        <v>21</v>
      </c>
      <c r="M3454" s="1" t="s">
        <v>29</v>
      </c>
      <c r="N3454" s="1" t="s">
        <v>22</v>
      </c>
    </row>
    <row r="3455" spans="1:14" x14ac:dyDescent="0.25">
      <c r="A3455" s="1">
        <v>3454</v>
      </c>
      <c r="B3455" s="2" t="str">
        <f>HYPERLINK("https://leetcode.com/problems/separate-squares-ii/", "Separate Squares II")</f>
        <v>Separate Squares II</v>
      </c>
      <c r="C3455" s="1">
        <v>271</v>
      </c>
      <c r="D3455" s="1">
        <v>65</v>
      </c>
      <c r="E3455" s="3">
        <f>IF(INDEX(C:C, ROW())+INDEX(D:D, ROW())=0, 0, INDEX(C:C, ROW())/(INDEX(C:C, ROW())+INDEX(D:D, ROW())))</f>
        <v>0.80654761904761907</v>
      </c>
      <c r="F3455" s="1" t="s">
        <v>1055</v>
      </c>
      <c r="G3455" s="1" t="s">
        <v>28</v>
      </c>
      <c r="H3455" s="1">
        <v>60428</v>
      </c>
      <c r="I3455" s="1">
        <v>100764</v>
      </c>
      <c r="J3455" s="7">
        <v>0.6</v>
      </c>
      <c r="K3455" s="1" t="s">
        <v>21</v>
      </c>
      <c r="L3455" s="1" t="s">
        <v>21</v>
      </c>
      <c r="M3455" s="1" t="s">
        <v>29</v>
      </c>
      <c r="N3455" s="1" t="s">
        <v>22</v>
      </c>
    </row>
    <row r="3456" spans="1:14" x14ac:dyDescent="0.25">
      <c r="A3456" s="1">
        <v>3455</v>
      </c>
      <c r="B3456" s="2" t="str">
        <f>HYPERLINK("https://leetcode.com/problems/shortest-matching-substring/", "Shortest Matching Substring")</f>
        <v>Shortest Matching Substring</v>
      </c>
      <c r="C3456" s="1">
        <v>46</v>
      </c>
      <c r="D3456" s="1">
        <v>3</v>
      </c>
      <c r="E3456" s="3">
        <f>IF(INDEX(C:C, ROW())+INDEX(D:D, ROW())=0, 0, INDEX(C:C, ROW())/(INDEX(C:C, ROW())+INDEX(D:D, ROW())))</f>
        <v>0.93877551020408168</v>
      </c>
      <c r="F3456" s="1" t="s">
        <v>1276</v>
      </c>
      <c r="G3456" s="1" t="s">
        <v>28</v>
      </c>
      <c r="H3456" s="1">
        <v>6325</v>
      </c>
      <c r="I3456" s="1">
        <v>26597</v>
      </c>
      <c r="J3456" s="7">
        <v>0.23799999999999999</v>
      </c>
      <c r="K3456" s="1" t="s">
        <v>21</v>
      </c>
      <c r="L3456" s="1" t="s">
        <v>29</v>
      </c>
      <c r="M3456" s="1" t="s">
        <v>29</v>
      </c>
      <c r="N3456" s="1" t="s">
        <v>22</v>
      </c>
    </row>
    <row r="3457" spans="1:14" x14ac:dyDescent="0.25">
      <c r="A3457" s="1">
        <v>3456</v>
      </c>
      <c r="B3457" s="2" t="str">
        <f>HYPERLINK("https://leetcode.com/problems/find-special-substring-of-length-k/", "Find Special Substring of Length K")</f>
        <v>Find Special Substring of Length K</v>
      </c>
      <c r="C3457" s="1">
        <v>63</v>
      </c>
      <c r="D3457" s="1">
        <v>10</v>
      </c>
      <c r="E3457" s="3">
        <f>IF(INDEX(C:C, ROW())+INDEX(D:D, ROW())=0, 0, INDEX(C:C, ROW())/(INDEX(C:C, ROW())+INDEX(D:D, ROW())))</f>
        <v>0.86301369863013699</v>
      </c>
      <c r="F3457" s="1" t="s">
        <v>146</v>
      </c>
      <c r="G3457" s="1" t="s">
        <v>20</v>
      </c>
      <c r="H3457" s="1">
        <v>41344</v>
      </c>
      <c r="I3457" s="1">
        <v>117726</v>
      </c>
      <c r="J3457" s="7">
        <v>0.35099999999999998</v>
      </c>
      <c r="K3457" s="1" t="s">
        <v>21</v>
      </c>
      <c r="L3457" s="1" t="s">
        <v>29</v>
      </c>
      <c r="M3457" s="1" t="s">
        <v>29</v>
      </c>
      <c r="N3457" s="1" t="s">
        <v>22</v>
      </c>
    </row>
    <row r="3458" spans="1:14" x14ac:dyDescent="0.25">
      <c r="A3458" s="1">
        <v>3457</v>
      </c>
      <c r="B3458" s="2" t="str">
        <f>HYPERLINK("https://leetcode.com/problems/eat-pizzas/", "Eat Pizzas!")</f>
        <v>Eat Pizzas!</v>
      </c>
      <c r="C3458" s="1">
        <v>107</v>
      </c>
      <c r="D3458" s="1">
        <v>16</v>
      </c>
      <c r="E3458" s="3">
        <f>IF(INDEX(C:C, ROW())+INDEX(D:D, ROW())=0, 0, INDEX(C:C, ROW())/(INDEX(C:C, ROW())+INDEX(D:D, ROW())))</f>
        <v>0.86991869918699183</v>
      </c>
      <c r="F3458" s="1" t="s">
        <v>169</v>
      </c>
      <c r="G3458" s="1" t="s">
        <v>24</v>
      </c>
      <c r="H3458" s="1">
        <v>24622</v>
      </c>
      <c r="I3458" s="1">
        <v>74417</v>
      </c>
      <c r="J3458" s="7">
        <v>0.33100000000000002</v>
      </c>
      <c r="K3458" s="1" t="s">
        <v>21</v>
      </c>
      <c r="L3458" s="1" t="s">
        <v>29</v>
      </c>
      <c r="M3458" s="1" t="s">
        <v>29</v>
      </c>
      <c r="N3458" s="1" t="s">
        <v>22</v>
      </c>
    </row>
    <row r="3459" spans="1:14" x14ac:dyDescent="0.25">
      <c r="A3459" s="1">
        <v>3458</v>
      </c>
      <c r="B3459" s="2" t="str">
        <f>HYPERLINK("https://leetcode.com/problems/select-k-disjoint-special-substrings/", "Select K Disjoint Special Substrings")</f>
        <v>Select K Disjoint Special Substrings</v>
      </c>
      <c r="C3459" s="1">
        <v>142</v>
      </c>
      <c r="D3459" s="1">
        <v>14</v>
      </c>
      <c r="E3459" s="3">
        <f>IF(INDEX(C:C, ROW())+INDEX(D:D, ROW())=0, 0, INDEX(C:C, ROW())/(INDEX(C:C, ROW())+INDEX(D:D, ROW())))</f>
        <v>0.91025641025641024</v>
      </c>
      <c r="F3459" s="1" t="s">
        <v>1146</v>
      </c>
      <c r="G3459" s="1" t="s">
        <v>24</v>
      </c>
      <c r="H3459" s="1">
        <v>11130</v>
      </c>
      <c r="I3459" s="1">
        <v>58426</v>
      </c>
      <c r="J3459" s="7">
        <v>0.19</v>
      </c>
      <c r="K3459" s="1" t="s">
        <v>21</v>
      </c>
      <c r="L3459" s="1" t="s">
        <v>29</v>
      </c>
      <c r="M3459" s="1" t="s">
        <v>29</v>
      </c>
      <c r="N3459" s="1" t="s">
        <v>22</v>
      </c>
    </row>
    <row r="3460" spans="1:14" x14ac:dyDescent="0.25">
      <c r="A3460" s="1">
        <v>3459</v>
      </c>
      <c r="B3460" s="2" t="str">
        <f>HYPERLINK("https://leetcode.com/problems/length-of-longest-v-shaped-diagonal-segment/", "Length of Longest V-Shaped Diagonal Segment")</f>
        <v>Length of Longest V-Shaped Diagonal Segment</v>
      </c>
      <c r="C3460" s="1">
        <v>374</v>
      </c>
      <c r="D3460" s="1">
        <v>63</v>
      </c>
      <c r="E3460" s="3">
        <f>IF(INDEX(C:C, ROW())+INDEX(D:D, ROW())=0, 0, INDEX(C:C, ROW())/(INDEX(C:C, ROW())+INDEX(D:D, ROW())))</f>
        <v>0.85583524027459956</v>
      </c>
      <c r="F3460" s="1" t="s">
        <v>1003</v>
      </c>
      <c r="G3460" s="1" t="s">
        <v>28</v>
      </c>
      <c r="H3460" s="1">
        <v>73700</v>
      </c>
      <c r="I3460" s="1">
        <v>130870</v>
      </c>
      <c r="J3460" s="7">
        <v>0.56299999999999994</v>
      </c>
      <c r="K3460" s="1" t="s">
        <v>21</v>
      </c>
      <c r="L3460" s="1" t="s">
        <v>21</v>
      </c>
      <c r="M3460" s="1" t="s">
        <v>29</v>
      </c>
      <c r="N3460" s="1" t="s">
        <v>22</v>
      </c>
    </row>
    <row r="3461" spans="1:14" x14ac:dyDescent="0.25">
      <c r="A3461" s="1">
        <v>3460</v>
      </c>
      <c r="B3461" s="2" t="str">
        <f>HYPERLINK("https://leetcode.com/problems/longest-common-prefix-after-at-most-one-removal/", "Longest Common Prefix After at Most One Removal")</f>
        <v>Longest Common Prefix After at Most One Removal</v>
      </c>
      <c r="C3461" s="1">
        <v>8</v>
      </c>
      <c r="D3461" s="1">
        <v>1</v>
      </c>
      <c r="E3461" s="3">
        <f>IF(INDEX(C:C, ROW())+INDEX(D:D, ROW())=0, 0, INDEX(C:C, ROW())/(INDEX(C:C, ROW())+INDEX(D:D, ROW())))</f>
        <v>0.88888888888888884</v>
      </c>
      <c r="F3461" s="1" t="s">
        <v>117</v>
      </c>
      <c r="G3461" s="1" t="s">
        <v>24</v>
      </c>
      <c r="H3461" s="1">
        <v>1138</v>
      </c>
      <c r="I3461" s="1">
        <v>1690</v>
      </c>
      <c r="J3461" s="7">
        <v>0.67300000000000004</v>
      </c>
      <c r="K3461" s="1" t="s">
        <v>29</v>
      </c>
      <c r="L3461" s="1" t="s">
        <v>29</v>
      </c>
      <c r="M3461" s="1" t="s">
        <v>29</v>
      </c>
      <c r="N3461" s="1" t="s">
        <v>22</v>
      </c>
    </row>
    <row r="3462" spans="1:14" x14ac:dyDescent="0.25">
      <c r="A3462" s="1">
        <v>3461</v>
      </c>
      <c r="B3462" s="2" t="str">
        <f>HYPERLINK("https://leetcode.com/problems/check-if-digits-are-equal-in-string-after-operations-i/", "Check If Digits Are Equal in String After Operations I")</f>
        <v>Check If Digits Are Equal in String After Operations I</v>
      </c>
      <c r="C3462" s="1">
        <v>342</v>
      </c>
      <c r="D3462" s="1">
        <v>14</v>
      </c>
      <c r="E3462" s="3">
        <f>IF(INDEX(C:C, ROW())+INDEX(D:D, ROW())=0, 0, INDEX(C:C, ROW())/(INDEX(C:C, ROW())+INDEX(D:D, ROW())))</f>
        <v>0.9606741573033708</v>
      </c>
      <c r="F3462" s="1" t="s">
        <v>1024</v>
      </c>
      <c r="G3462" s="1" t="s">
        <v>20</v>
      </c>
      <c r="H3462" s="1">
        <v>170416</v>
      </c>
      <c r="I3462" s="1">
        <v>206687</v>
      </c>
      <c r="J3462" s="7">
        <v>0.82499999999999996</v>
      </c>
      <c r="K3462" s="1" t="s">
        <v>21</v>
      </c>
      <c r="L3462" s="1" t="s">
        <v>21</v>
      </c>
      <c r="M3462" s="1" t="s">
        <v>29</v>
      </c>
      <c r="N3462" s="1" t="s">
        <v>22</v>
      </c>
    </row>
    <row r="3463" spans="1:14" x14ac:dyDescent="0.25">
      <c r="A3463" s="1">
        <v>3462</v>
      </c>
      <c r="B3463" s="2" t="str">
        <f>HYPERLINK("https://leetcode.com/problems/maximum-sum-with-at-most-k-elements/", "Maximum Sum With at Most K Elements")</f>
        <v>Maximum Sum With at Most K Elements</v>
      </c>
      <c r="C3463" s="1">
        <v>108</v>
      </c>
      <c r="D3463" s="1">
        <v>4</v>
      </c>
      <c r="E3463" s="3">
        <f>IF(INDEX(C:C, ROW())+INDEX(D:D, ROW())=0, 0, INDEX(C:C, ROW())/(INDEX(C:C, ROW())+INDEX(D:D, ROW())))</f>
        <v>0.9642857142857143</v>
      </c>
      <c r="F3463" s="1" t="s">
        <v>1166</v>
      </c>
      <c r="G3463" s="1" t="s">
        <v>24</v>
      </c>
      <c r="H3463" s="1">
        <v>38973</v>
      </c>
      <c r="I3463" s="1">
        <v>64376</v>
      </c>
      <c r="J3463" s="7">
        <v>0.60499999999999998</v>
      </c>
      <c r="K3463" s="1" t="s">
        <v>21</v>
      </c>
      <c r="L3463" s="1" t="s">
        <v>29</v>
      </c>
      <c r="M3463" s="1" t="s">
        <v>29</v>
      </c>
      <c r="N3463" s="1" t="s">
        <v>22</v>
      </c>
    </row>
    <row r="3464" spans="1:14" x14ac:dyDescent="0.25">
      <c r="A3464" s="1">
        <v>3463</v>
      </c>
      <c r="B3464" s="2" t="str">
        <f>HYPERLINK("https://leetcode.com/problems/check-if-digits-are-equal-in-string-after-operations-ii/", "Check If Digits Are Equal in String After Operations II")</f>
        <v>Check If Digits Are Equal in String After Operations II</v>
      </c>
      <c r="C3464" s="1">
        <v>102</v>
      </c>
      <c r="D3464" s="1">
        <v>54</v>
      </c>
      <c r="E3464" s="3">
        <f>IF(INDEX(C:C, ROW())+INDEX(D:D, ROW())=0, 0, INDEX(C:C, ROW())/(INDEX(C:C, ROW())+INDEX(D:D, ROW())))</f>
        <v>0.65384615384615385</v>
      </c>
      <c r="F3464" s="1" t="s">
        <v>1183</v>
      </c>
      <c r="G3464" s="1" t="s">
        <v>28</v>
      </c>
      <c r="H3464" s="1">
        <v>13419</v>
      </c>
      <c r="I3464" s="1">
        <v>94679</v>
      </c>
      <c r="J3464" s="7">
        <v>0.14199999999999999</v>
      </c>
      <c r="K3464" s="1" t="s">
        <v>21</v>
      </c>
      <c r="L3464" s="1" t="s">
        <v>29</v>
      </c>
      <c r="M3464" s="1" t="s">
        <v>29</v>
      </c>
      <c r="N3464" s="1" t="s">
        <v>22</v>
      </c>
    </row>
    <row r="3465" spans="1:14" x14ac:dyDescent="0.25">
      <c r="A3465" s="1">
        <v>3464</v>
      </c>
      <c r="B3465" s="2" t="str">
        <f>HYPERLINK("https://leetcode.com/problems/maximize-the-distance-between-points-on-a-square/", "Maximize the Distance Between Points on a Square")</f>
        <v>Maximize the Distance Between Points on a Square</v>
      </c>
      <c r="C3465" s="1">
        <v>41</v>
      </c>
      <c r="D3465" s="1">
        <v>9</v>
      </c>
      <c r="E3465" s="3">
        <f>IF(INDEX(C:C, ROW())+INDEX(D:D, ROW())=0, 0, INDEX(C:C, ROW())/(INDEX(C:C, ROW())+INDEX(D:D, ROW())))</f>
        <v>0.82</v>
      </c>
      <c r="F3465" s="1" t="s">
        <v>1283</v>
      </c>
      <c r="G3465" s="1" t="s">
        <v>28</v>
      </c>
      <c r="H3465" s="1">
        <v>4386</v>
      </c>
      <c r="I3465" s="1">
        <v>18614</v>
      </c>
      <c r="J3465" s="7">
        <v>0.23599999999999999</v>
      </c>
      <c r="K3465" s="1" t="s">
        <v>21</v>
      </c>
      <c r="L3465" s="1" t="s">
        <v>29</v>
      </c>
      <c r="M3465" s="1" t="s">
        <v>29</v>
      </c>
      <c r="N3465" s="1" t="s">
        <v>22</v>
      </c>
    </row>
    <row r="3466" spans="1:14" x14ac:dyDescent="0.25">
      <c r="A3466" s="1">
        <v>3465</v>
      </c>
      <c r="B3466" s="2" t="str">
        <f>HYPERLINK("https://leetcode.com/problems/find-products-with-valid-serial-numbers/", "Find Products with Valid Serial Numbers")</f>
        <v>Find Products with Valid Serial Numbers</v>
      </c>
      <c r="C3466" s="1">
        <v>44</v>
      </c>
      <c r="D3466" s="1">
        <v>21</v>
      </c>
      <c r="E3466" s="3">
        <f>IF(INDEX(C:C, ROW())+INDEX(D:D, ROW())=0, 0, INDEX(C:C, ROW())/(INDEX(C:C, ROW())+INDEX(D:D, ROW())))</f>
        <v>0.67692307692307696</v>
      </c>
      <c r="F3466" s="1" t="s">
        <v>297</v>
      </c>
      <c r="G3466" s="1" t="s">
        <v>20</v>
      </c>
      <c r="H3466" s="1">
        <v>17990</v>
      </c>
      <c r="I3466" s="1">
        <v>57360</v>
      </c>
      <c r="J3466" s="7">
        <v>0.314</v>
      </c>
      <c r="K3466" s="1" t="s">
        <v>21</v>
      </c>
      <c r="L3466" s="1" t="s">
        <v>29</v>
      </c>
      <c r="M3466" s="1" t="s">
        <v>29</v>
      </c>
      <c r="N3466" s="1" t="s">
        <v>297</v>
      </c>
    </row>
    <row r="3467" spans="1:14" x14ac:dyDescent="0.25">
      <c r="A3467" s="1">
        <v>3466</v>
      </c>
      <c r="B3467" s="2" t="str">
        <f>HYPERLINK("https://leetcode.com/problems/maximum-coin-collection/", "Maximum Coin Collection ")</f>
        <v xml:space="preserve">Maximum Coin Collection </v>
      </c>
      <c r="C3467" s="1">
        <v>16</v>
      </c>
      <c r="D3467" s="1">
        <v>10</v>
      </c>
      <c r="E3467" s="3">
        <f>IF(INDEX(C:C, ROW())+INDEX(D:D, ROW())=0, 0, INDEX(C:C, ROW())/(INDEX(C:C, ROW())+INDEX(D:D, ROW())))</f>
        <v>0.61538461538461542</v>
      </c>
      <c r="F3467" s="1" t="s">
        <v>30</v>
      </c>
      <c r="G3467" s="1" t="s">
        <v>24</v>
      </c>
      <c r="H3467" s="1">
        <v>2597</v>
      </c>
      <c r="I3467" s="1">
        <v>4934</v>
      </c>
      <c r="J3467" s="7">
        <v>0.52600000000000002</v>
      </c>
      <c r="K3467" s="1" t="s">
        <v>29</v>
      </c>
      <c r="L3467" s="1" t="s">
        <v>29</v>
      </c>
      <c r="M3467" s="1" t="s">
        <v>29</v>
      </c>
      <c r="N3467" s="1" t="s">
        <v>22</v>
      </c>
    </row>
    <row r="3468" spans="1:14" x14ac:dyDescent="0.25">
      <c r="A3468" s="1">
        <v>3467</v>
      </c>
      <c r="B3468" s="2" t="str">
        <f>HYPERLINK("https://leetcode.com/problems/transform-array-by-parity/", "Transform Array by Parity")</f>
        <v>Transform Array by Parity</v>
      </c>
      <c r="C3468" s="1">
        <v>98</v>
      </c>
      <c r="D3468" s="1">
        <v>7</v>
      </c>
      <c r="E3468" s="3">
        <f>IF(INDEX(C:C, ROW())+INDEX(D:D, ROW())=0, 0, INDEX(C:C, ROW())/(INDEX(C:C, ROW())+INDEX(D:D, ROW())))</f>
        <v>0.93333333333333335</v>
      </c>
      <c r="F3468" s="1" t="s">
        <v>796</v>
      </c>
      <c r="G3468" s="1" t="s">
        <v>20</v>
      </c>
      <c r="H3468" s="1">
        <v>89319</v>
      </c>
      <c r="I3468" s="1">
        <v>99507</v>
      </c>
      <c r="J3468" s="7">
        <v>0.89800000000000002</v>
      </c>
      <c r="K3468" s="1" t="s">
        <v>21</v>
      </c>
      <c r="L3468" s="1" t="s">
        <v>29</v>
      </c>
      <c r="M3468" s="1" t="s">
        <v>29</v>
      </c>
      <c r="N3468" s="1" t="s">
        <v>22</v>
      </c>
    </row>
    <row r="3469" spans="1:14" x14ac:dyDescent="0.25">
      <c r="A3469" s="1">
        <v>3468</v>
      </c>
      <c r="B3469" s="2" t="str">
        <f>HYPERLINK("https://leetcode.com/problems/find-the-number-of-copy-arrays/", "Find the Number of Copy Arrays")</f>
        <v>Find the Number of Copy Arrays</v>
      </c>
      <c r="C3469" s="1">
        <v>107</v>
      </c>
      <c r="D3469" s="1">
        <v>21</v>
      </c>
      <c r="E3469" s="3">
        <f>IF(INDEX(C:C, ROW())+INDEX(D:D, ROW())=0, 0, INDEX(C:C, ROW())/(INDEX(C:C, ROW())+INDEX(D:D, ROW())))</f>
        <v>0.8359375</v>
      </c>
      <c r="F3469" s="1" t="s">
        <v>115</v>
      </c>
      <c r="G3469" s="1" t="s">
        <v>24</v>
      </c>
      <c r="H3469" s="1">
        <v>21074</v>
      </c>
      <c r="I3469" s="1">
        <v>45049</v>
      </c>
      <c r="J3469" s="7">
        <v>0.46800000000000003</v>
      </c>
      <c r="K3469" s="1" t="s">
        <v>21</v>
      </c>
      <c r="L3469" s="1" t="s">
        <v>29</v>
      </c>
      <c r="M3469" s="1" t="s">
        <v>29</v>
      </c>
      <c r="N3469" s="1" t="s">
        <v>22</v>
      </c>
    </row>
    <row r="3470" spans="1:14" x14ac:dyDescent="0.25">
      <c r="A3470" s="1">
        <v>3469</v>
      </c>
      <c r="B3470" s="2" t="str">
        <f>HYPERLINK("https://leetcode.com/problems/find-minimum-cost-to-remove-array-elements/", "Find Minimum Cost to Remove Array Elements")</f>
        <v>Find Minimum Cost to Remove Array Elements</v>
      </c>
      <c r="C3470" s="1">
        <v>148</v>
      </c>
      <c r="D3470" s="1">
        <v>9</v>
      </c>
      <c r="E3470" s="3">
        <f>IF(INDEX(C:C, ROW())+INDEX(D:D, ROW())=0, 0, INDEX(C:C, ROW())/(INDEX(C:C, ROW())+INDEX(D:D, ROW())))</f>
        <v>0.9426751592356688</v>
      </c>
      <c r="F3470" s="1" t="s">
        <v>30</v>
      </c>
      <c r="G3470" s="1" t="s">
        <v>24</v>
      </c>
      <c r="H3470" s="1">
        <v>12380</v>
      </c>
      <c r="I3470" s="1">
        <v>58071</v>
      </c>
      <c r="J3470" s="7">
        <v>0.21299999999999999</v>
      </c>
      <c r="K3470" s="1" t="s">
        <v>21</v>
      </c>
      <c r="L3470" s="1" t="s">
        <v>29</v>
      </c>
      <c r="M3470" s="1" t="s">
        <v>29</v>
      </c>
      <c r="N3470" s="1" t="s">
        <v>22</v>
      </c>
    </row>
    <row r="3471" spans="1:14" x14ac:dyDescent="0.25">
      <c r="A3471" s="1">
        <v>3470</v>
      </c>
      <c r="B3471" s="2" t="str">
        <f>HYPERLINK("https://leetcode.com/problems/permutations-iv/", "Permutations IV")</f>
        <v>Permutations IV</v>
      </c>
      <c r="C3471" s="1">
        <v>28</v>
      </c>
      <c r="D3471" s="1">
        <v>4</v>
      </c>
      <c r="E3471" s="3">
        <f>IF(INDEX(C:C, ROW())+INDEX(D:D, ROW())=0, 0, INDEX(C:C, ROW())/(INDEX(C:C, ROW())+INDEX(D:D, ROW())))</f>
        <v>0.875</v>
      </c>
      <c r="F3471" s="1" t="s">
        <v>1309</v>
      </c>
      <c r="G3471" s="1" t="s">
        <v>28</v>
      </c>
      <c r="H3471" s="1">
        <v>4243</v>
      </c>
      <c r="I3471" s="1">
        <v>12542</v>
      </c>
      <c r="J3471" s="7">
        <v>0.33800000000000002</v>
      </c>
      <c r="K3471" s="1" t="s">
        <v>21</v>
      </c>
      <c r="L3471" s="1" t="s">
        <v>29</v>
      </c>
      <c r="M3471" s="1" t="s">
        <v>29</v>
      </c>
      <c r="N3471" s="1" t="s">
        <v>22</v>
      </c>
    </row>
    <row r="3472" spans="1:14" x14ac:dyDescent="0.25">
      <c r="A3472" s="1">
        <v>3471</v>
      </c>
      <c r="B3472" s="2" t="str">
        <f>HYPERLINK("https://leetcode.com/problems/find-the-largest-almost-missing-integer/", "Find the Largest Almost Missing Integer")</f>
        <v>Find the Largest Almost Missing Integer</v>
      </c>
      <c r="C3472" s="1">
        <v>105</v>
      </c>
      <c r="D3472" s="1">
        <v>44</v>
      </c>
      <c r="E3472" s="3">
        <f>IF(INDEX(C:C, ROW())+INDEX(D:D, ROW())=0, 0, INDEX(C:C, ROW())/(INDEX(C:C, ROW())+INDEX(D:D, ROW())))</f>
        <v>0.70469798657718119</v>
      </c>
      <c r="F3472" s="1" t="s">
        <v>19</v>
      </c>
      <c r="G3472" s="1" t="s">
        <v>20</v>
      </c>
      <c r="H3472" s="1">
        <v>35409</v>
      </c>
      <c r="I3472" s="1">
        <v>95594</v>
      </c>
      <c r="J3472" s="7">
        <v>0.37</v>
      </c>
      <c r="K3472" s="1" t="s">
        <v>21</v>
      </c>
      <c r="L3472" s="1" t="s">
        <v>29</v>
      </c>
      <c r="M3472" s="1" t="s">
        <v>29</v>
      </c>
      <c r="N3472" s="1" t="s">
        <v>22</v>
      </c>
    </row>
    <row r="3473" spans="1:14" x14ac:dyDescent="0.25">
      <c r="A3473" s="1">
        <v>3472</v>
      </c>
      <c r="B3473" s="2" t="str">
        <f>HYPERLINK("https://leetcode.com/problems/longest-palindromic-subsequence-after-at-most-k-operations/", "Longest Palindromic Subsequence After at Most K Operations")</f>
        <v>Longest Palindromic Subsequence After at Most K Operations</v>
      </c>
      <c r="C3473" s="1">
        <v>120</v>
      </c>
      <c r="D3473" s="1">
        <v>18</v>
      </c>
      <c r="E3473" s="3">
        <f>IF(INDEX(C:C, ROW())+INDEX(D:D, ROW())=0, 0, INDEX(C:C, ROW())/(INDEX(C:C, ROW())+INDEX(D:D, ROW())))</f>
        <v>0.86956521739130432</v>
      </c>
      <c r="F3473" s="1" t="s">
        <v>82</v>
      </c>
      <c r="G3473" s="1" t="s">
        <v>24</v>
      </c>
      <c r="H3473" s="1">
        <v>15084</v>
      </c>
      <c r="I3473" s="1">
        <v>40347</v>
      </c>
      <c r="J3473" s="7">
        <v>0.374</v>
      </c>
      <c r="K3473" s="1" t="s">
        <v>21</v>
      </c>
      <c r="L3473" s="1" t="s">
        <v>29</v>
      </c>
      <c r="M3473" s="1" t="s">
        <v>29</v>
      </c>
      <c r="N3473" s="1" t="s">
        <v>22</v>
      </c>
    </row>
    <row r="3474" spans="1:14" x14ac:dyDescent="0.25">
      <c r="A3474" s="1">
        <v>3473</v>
      </c>
      <c r="B3474" s="2" t="str">
        <f>HYPERLINK("https://leetcode.com/problems/sum-of-k-subarrays-with-length-at-least-m/", "Sum of K Subarrays With Length at Least M")</f>
        <v>Sum of K Subarrays With Length at Least M</v>
      </c>
      <c r="C3474" s="1">
        <v>93</v>
      </c>
      <c r="D3474" s="1">
        <v>15</v>
      </c>
      <c r="E3474" s="3">
        <f>IF(INDEX(C:C, ROW())+INDEX(D:D, ROW())=0, 0, INDEX(C:C, ROW())/(INDEX(C:C, ROW())+INDEX(D:D, ROW())))</f>
        <v>0.86111111111111116</v>
      </c>
      <c r="F3474" s="1" t="s">
        <v>407</v>
      </c>
      <c r="G3474" s="1" t="s">
        <v>24</v>
      </c>
      <c r="H3474" s="1">
        <v>7882</v>
      </c>
      <c r="I3474" s="1">
        <v>30449</v>
      </c>
      <c r="J3474" s="7">
        <v>0.25900000000000001</v>
      </c>
      <c r="K3474" s="1" t="s">
        <v>21</v>
      </c>
      <c r="L3474" s="1" t="s">
        <v>29</v>
      </c>
      <c r="M3474" s="1" t="s">
        <v>29</v>
      </c>
      <c r="N3474" s="1" t="s">
        <v>22</v>
      </c>
    </row>
    <row r="3475" spans="1:14" x14ac:dyDescent="0.25">
      <c r="A3475" s="1">
        <v>3474</v>
      </c>
      <c r="B3475" s="2" t="str">
        <f>HYPERLINK("https://leetcode.com/problems/lexicographically-smallest-generated-string/", "Lexicographically Smallest Generated String")</f>
        <v>Lexicographically Smallest Generated String</v>
      </c>
      <c r="C3475" s="1">
        <v>31</v>
      </c>
      <c r="D3475" s="1">
        <v>8</v>
      </c>
      <c r="E3475" s="3">
        <f>IF(INDEX(C:C, ROW())+INDEX(D:D, ROW())=0, 0, INDEX(C:C, ROW())/(INDEX(C:C, ROW())+INDEX(D:D, ROW())))</f>
        <v>0.79487179487179482</v>
      </c>
      <c r="F3475" s="1" t="s">
        <v>1301</v>
      </c>
      <c r="G3475" s="1" t="s">
        <v>28</v>
      </c>
      <c r="H3475" s="1">
        <v>5535</v>
      </c>
      <c r="I3475" s="1">
        <v>17577</v>
      </c>
      <c r="J3475" s="7">
        <v>0.315</v>
      </c>
      <c r="K3475" s="1" t="s">
        <v>21</v>
      </c>
      <c r="L3475" s="1" t="s">
        <v>29</v>
      </c>
      <c r="M3475" s="1" t="s">
        <v>29</v>
      </c>
      <c r="N3475" s="1" t="s">
        <v>22</v>
      </c>
    </row>
    <row r="3476" spans="1:14" x14ac:dyDescent="0.25">
      <c r="A3476" s="1">
        <v>3475</v>
      </c>
      <c r="B3476" s="2" t="str">
        <f>HYPERLINK("https://leetcode.com/problems/dna-pattern-recognition/", "DNA Pattern Recognition ")</f>
        <v xml:space="preserve">DNA Pattern Recognition </v>
      </c>
      <c r="C3476" s="1">
        <v>55</v>
      </c>
      <c r="D3476" s="1">
        <v>7</v>
      </c>
      <c r="E3476" s="3">
        <f>IF(INDEX(C:C, ROW())+INDEX(D:D, ROW())=0, 0, INDEX(C:C, ROW())/(INDEX(C:C, ROW())+INDEX(D:D, ROW())))</f>
        <v>0.88709677419354838</v>
      </c>
      <c r="F3476" s="1" t="s">
        <v>297</v>
      </c>
      <c r="G3476" s="1" t="s">
        <v>24</v>
      </c>
      <c r="H3476" s="1">
        <v>20682</v>
      </c>
      <c r="I3476" s="1">
        <v>24353</v>
      </c>
      <c r="J3476" s="7">
        <v>0.84899999999999998</v>
      </c>
      <c r="K3476" s="1" t="s">
        <v>21</v>
      </c>
      <c r="L3476" s="1" t="s">
        <v>29</v>
      </c>
      <c r="M3476" s="1" t="s">
        <v>29</v>
      </c>
      <c r="N3476" s="1" t="s">
        <v>297</v>
      </c>
    </row>
    <row r="3477" spans="1:14" x14ac:dyDescent="0.25">
      <c r="A3477" s="1">
        <v>3476</v>
      </c>
      <c r="B3477" s="2" t="str">
        <f>HYPERLINK("https://leetcode.com/problems/maximize-profit-from-task-assignment/", "Maximize Profit from Task Assignment")</f>
        <v>Maximize Profit from Task Assignment</v>
      </c>
      <c r="C3477" s="1">
        <v>10</v>
      </c>
      <c r="D3477" s="1">
        <v>2</v>
      </c>
      <c r="E3477" s="3">
        <f>IF(INDEX(C:C, ROW())+INDEX(D:D, ROW())=0, 0, INDEX(C:C, ROW())/(INDEX(C:C, ROW())+INDEX(D:D, ROW())))</f>
        <v>0.83333333333333337</v>
      </c>
      <c r="F3477" s="1" t="s">
        <v>302</v>
      </c>
      <c r="G3477" s="1" t="s">
        <v>24</v>
      </c>
      <c r="H3477" s="1">
        <v>982</v>
      </c>
      <c r="I3477" s="1">
        <v>1492</v>
      </c>
      <c r="J3477" s="7">
        <v>0.65800000000000003</v>
      </c>
      <c r="K3477" s="1" t="s">
        <v>29</v>
      </c>
      <c r="L3477" s="1" t="s">
        <v>29</v>
      </c>
      <c r="M3477" s="1" t="s">
        <v>29</v>
      </c>
      <c r="N3477" s="1" t="s">
        <v>22</v>
      </c>
    </row>
    <row r="3478" spans="1:14" x14ac:dyDescent="0.25">
      <c r="A3478" s="1">
        <v>3477</v>
      </c>
      <c r="B3478" s="2" t="str">
        <f>HYPERLINK("https://leetcode.com/problems/fruits-into-baskets-ii/", "Fruits Into Baskets II")</f>
        <v>Fruits Into Baskets II</v>
      </c>
      <c r="C3478" s="1">
        <v>502</v>
      </c>
      <c r="D3478" s="1">
        <v>65</v>
      </c>
      <c r="E3478" s="3">
        <f>IF(INDEX(C:C, ROW())+INDEX(D:D, ROW())=0, 0, INDEX(C:C, ROW())/(INDEX(C:C, ROW())+INDEX(D:D, ROW())))</f>
        <v>0.88536155202821865</v>
      </c>
      <c r="F3478" s="1" t="s">
        <v>921</v>
      </c>
      <c r="G3478" s="1" t="s">
        <v>20</v>
      </c>
      <c r="H3478" s="1">
        <v>197101</v>
      </c>
      <c r="I3478" s="1">
        <v>280620</v>
      </c>
      <c r="J3478" s="7">
        <v>0.70199999999999996</v>
      </c>
      <c r="K3478" s="1" t="s">
        <v>21</v>
      </c>
      <c r="L3478" s="1" t="s">
        <v>21</v>
      </c>
      <c r="M3478" s="1" t="s">
        <v>29</v>
      </c>
      <c r="N3478" s="1" t="s">
        <v>22</v>
      </c>
    </row>
    <row r="3479" spans="1:14" x14ac:dyDescent="0.25">
      <c r="A3479" s="1">
        <v>3478</v>
      </c>
      <c r="B3479" s="2" t="str">
        <f>HYPERLINK("https://leetcode.com/problems/choose-k-elements-with-maximum-sum/", "Choose K Elements With Maximum Sum")</f>
        <v>Choose K Elements With Maximum Sum</v>
      </c>
      <c r="C3479" s="1">
        <v>176</v>
      </c>
      <c r="D3479" s="1">
        <v>9</v>
      </c>
      <c r="E3479" s="3">
        <f>IF(INDEX(C:C, ROW())+INDEX(D:D, ROW())=0, 0, INDEX(C:C, ROW())/(INDEX(C:C, ROW())+INDEX(D:D, ROW())))</f>
        <v>0.9513513513513514</v>
      </c>
      <c r="F3479" s="1" t="s">
        <v>350</v>
      </c>
      <c r="G3479" s="1" t="s">
        <v>24</v>
      </c>
      <c r="H3479" s="1">
        <v>19695</v>
      </c>
      <c r="I3479" s="1">
        <v>59244</v>
      </c>
      <c r="J3479" s="7">
        <v>0.33200000000000002</v>
      </c>
      <c r="K3479" s="1" t="s">
        <v>21</v>
      </c>
      <c r="L3479" s="1" t="s">
        <v>29</v>
      </c>
      <c r="M3479" s="1" t="s">
        <v>29</v>
      </c>
      <c r="N3479" s="1" t="s">
        <v>22</v>
      </c>
    </row>
    <row r="3480" spans="1:14" x14ac:dyDescent="0.25">
      <c r="A3480" s="1">
        <v>3479</v>
      </c>
      <c r="B3480" s="2" t="str">
        <f>HYPERLINK("https://leetcode.com/problems/fruits-into-baskets-iii/", "Fruits Into Baskets III")</f>
        <v>Fruits Into Baskets III</v>
      </c>
      <c r="C3480" s="1">
        <v>597</v>
      </c>
      <c r="D3480" s="1">
        <v>82</v>
      </c>
      <c r="E3480" s="3">
        <f>IF(INDEX(C:C, ROW())+INDEX(D:D, ROW())=0, 0, INDEX(C:C, ROW())/(INDEX(C:C, ROW())+INDEX(D:D, ROW())))</f>
        <v>0.87923416789396169</v>
      </c>
      <c r="F3480" s="1" t="s">
        <v>855</v>
      </c>
      <c r="G3480" s="1" t="s">
        <v>24</v>
      </c>
      <c r="H3480" s="1">
        <v>85423</v>
      </c>
      <c r="I3480" s="1">
        <v>219353</v>
      </c>
      <c r="J3480" s="7">
        <v>0.38900000000000001</v>
      </c>
      <c r="K3480" s="1" t="s">
        <v>21</v>
      </c>
      <c r="L3480" s="1" t="s">
        <v>21</v>
      </c>
      <c r="M3480" s="1" t="s">
        <v>29</v>
      </c>
      <c r="N3480" s="1" t="s">
        <v>22</v>
      </c>
    </row>
    <row r="3481" spans="1:14" x14ac:dyDescent="0.25">
      <c r="A3481" s="1">
        <v>3480</v>
      </c>
      <c r="B3481" s="2" t="str">
        <f>HYPERLINK("https://leetcode.com/problems/maximize-subarrays-after-removing-one-conflicting-pair/", "Maximize Subarrays After Removing One Conflicting Pair")</f>
        <v>Maximize Subarrays After Removing One Conflicting Pair</v>
      </c>
      <c r="C3481" s="1">
        <v>305</v>
      </c>
      <c r="D3481" s="1">
        <v>57</v>
      </c>
      <c r="E3481" s="3">
        <f>IF(INDEX(C:C, ROW())+INDEX(D:D, ROW())=0, 0, INDEX(C:C, ROW())/(INDEX(C:C, ROW())+INDEX(D:D, ROW())))</f>
        <v>0.84254143646408841</v>
      </c>
      <c r="F3481" s="1" t="s">
        <v>1042</v>
      </c>
      <c r="G3481" s="1" t="s">
        <v>28</v>
      </c>
      <c r="H3481" s="1">
        <v>57417</v>
      </c>
      <c r="I3481" s="1">
        <v>88796</v>
      </c>
      <c r="J3481" s="7">
        <v>0.64700000000000002</v>
      </c>
      <c r="K3481" s="1" t="s">
        <v>21</v>
      </c>
      <c r="L3481" s="1" t="s">
        <v>21</v>
      </c>
      <c r="M3481" s="1" t="s">
        <v>29</v>
      </c>
      <c r="N3481" s="1" t="s">
        <v>22</v>
      </c>
    </row>
    <row r="3482" spans="1:14" x14ac:dyDescent="0.25">
      <c r="A3482" s="1">
        <v>3481</v>
      </c>
      <c r="B3482" s="2" t="str">
        <f>HYPERLINK("https://leetcode.com/problems/apply-substitutions/", "Apply Substitutions")</f>
        <v>Apply Substitutions</v>
      </c>
      <c r="C3482" s="1">
        <v>60</v>
      </c>
      <c r="D3482" s="1">
        <v>5</v>
      </c>
      <c r="E3482" s="3">
        <f>IF(INDEX(C:C, ROW())+INDEX(D:D, ROW())=0, 0, INDEX(C:C, ROW())/(INDEX(C:C, ROW())+INDEX(D:D, ROW())))</f>
        <v>0.92307692307692313</v>
      </c>
      <c r="F3482" s="1" t="s">
        <v>1240</v>
      </c>
      <c r="G3482" s="1" t="s">
        <v>24</v>
      </c>
      <c r="H3482" s="1">
        <v>14436</v>
      </c>
      <c r="I3482" s="1">
        <v>18640</v>
      </c>
      <c r="J3482" s="7">
        <v>0.77400000000000002</v>
      </c>
      <c r="K3482" s="1" t="s">
        <v>29</v>
      </c>
      <c r="L3482" s="1" t="s">
        <v>29</v>
      </c>
      <c r="M3482" s="1" t="s">
        <v>29</v>
      </c>
      <c r="N3482" s="1" t="s">
        <v>22</v>
      </c>
    </row>
    <row r="3483" spans="1:14" x14ac:dyDescent="0.25">
      <c r="A3483" s="1">
        <v>3482</v>
      </c>
      <c r="B3483" s="2" t="str">
        <f>HYPERLINK("https://leetcode.com/problems/analyze-organization-hierarchy/", "Analyze Organization Hierarchy")</f>
        <v>Analyze Organization Hierarchy</v>
      </c>
      <c r="C3483" s="1">
        <v>57</v>
      </c>
      <c r="D3483" s="1">
        <v>3</v>
      </c>
      <c r="E3483" s="3">
        <f>IF(INDEX(C:C, ROW())+INDEX(D:D, ROW())=0, 0, INDEX(C:C, ROW())/(INDEX(C:C, ROW())+INDEX(D:D, ROW())))</f>
        <v>0.95</v>
      </c>
      <c r="F3483" s="1" t="s">
        <v>297</v>
      </c>
      <c r="G3483" s="1" t="s">
        <v>28</v>
      </c>
      <c r="H3483" s="1">
        <v>7802</v>
      </c>
      <c r="I3483" s="1">
        <v>13125</v>
      </c>
      <c r="J3483" s="7">
        <v>0.59399999999999997</v>
      </c>
      <c r="K3483" s="1" t="s">
        <v>21</v>
      </c>
      <c r="L3483" s="1" t="s">
        <v>29</v>
      </c>
      <c r="M3483" s="1" t="s">
        <v>29</v>
      </c>
      <c r="N3483" s="1" t="s">
        <v>297</v>
      </c>
    </row>
    <row r="3484" spans="1:14" x14ac:dyDescent="0.25">
      <c r="A3484" s="1">
        <v>3483</v>
      </c>
      <c r="B3484" s="2" t="str">
        <f>HYPERLINK("https://leetcode.com/problems/unique-3-digit-even-numbers/", "Unique 3-Digit Even Numbers")</f>
        <v>Unique 3-Digit Even Numbers</v>
      </c>
      <c r="C3484" s="1">
        <v>127</v>
      </c>
      <c r="D3484" s="1">
        <v>34</v>
      </c>
      <c r="E3484" s="3">
        <f>IF(INDEX(C:C, ROW())+INDEX(D:D, ROW())=0, 0, INDEX(C:C, ROW())/(INDEX(C:C, ROW())+INDEX(D:D, ROW())))</f>
        <v>0.78881987577639756</v>
      </c>
      <c r="F3484" s="1" t="s">
        <v>1157</v>
      </c>
      <c r="G3484" s="1" t="s">
        <v>20</v>
      </c>
      <c r="H3484" s="1">
        <v>44124</v>
      </c>
      <c r="I3484" s="1">
        <v>63792</v>
      </c>
      <c r="J3484" s="7">
        <v>0.69199999999999995</v>
      </c>
      <c r="K3484" s="1" t="s">
        <v>21</v>
      </c>
      <c r="L3484" s="1" t="s">
        <v>29</v>
      </c>
      <c r="M3484" s="1" t="s">
        <v>29</v>
      </c>
      <c r="N3484" s="1" t="s">
        <v>22</v>
      </c>
    </row>
    <row r="3485" spans="1:14" x14ac:dyDescent="0.25">
      <c r="A3485" s="1">
        <v>3484</v>
      </c>
      <c r="B3485" s="2" t="str">
        <f>HYPERLINK("https://leetcode.com/problems/design-spreadsheet/", "Design Spreadsheet")</f>
        <v>Design Spreadsheet</v>
      </c>
      <c r="C3485" s="1">
        <v>324</v>
      </c>
      <c r="D3485" s="1">
        <v>30</v>
      </c>
      <c r="E3485" s="3">
        <f>IF(INDEX(C:C, ROW())+INDEX(D:D, ROW())=0, 0, INDEX(C:C, ROW())/(INDEX(C:C, ROW())+INDEX(D:D, ROW())))</f>
        <v>0.9152542372881356</v>
      </c>
      <c r="F3485" s="1" t="s">
        <v>1032</v>
      </c>
      <c r="G3485" s="1" t="s">
        <v>24</v>
      </c>
      <c r="H3485" s="1">
        <v>118121</v>
      </c>
      <c r="I3485" s="1">
        <v>158885</v>
      </c>
      <c r="J3485" s="7">
        <v>0.74299999999999999</v>
      </c>
      <c r="K3485" s="1" t="s">
        <v>21</v>
      </c>
      <c r="L3485" s="1" t="s">
        <v>21</v>
      </c>
      <c r="M3485" s="1" t="s">
        <v>29</v>
      </c>
      <c r="N3485" s="1" t="s">
        <v>22</v>
      </c>
    </row>
    <row r="3486" spans="1:14" x14ac:dyDescent="0.25">
      <c r="A3486" s="1">
        <v>3485</v>
      </c>
      <c r="B3486" s="2" t="str">
        <f>HYPERLINK("https://leetcode.com/problems/longest-common-prefix-of-k-strings-after-removal/", "Longest Common Prefix of K Strings After Removal")</f>
        <v>Longest Common Prefix of K Strings After Removal</v>
      </c>
      <c r="C3486" s="1">
        <v>63</v>
      </c>
      <c r="D3486" s="1">
        <v>5</v>
      </c>
      <c r="E3486" s="3">
        <f>IF(INDEX(C:C, ROW())+INDEX(D:D, ROW())=0, 0, INDEX(C:C, ROW())/(INDEX(C:C, ROW())+INDEX(D:D, ROW())))</f>
        <v>0.92647058823529416</v>
      </c>
      <c r="F3486" s="1" t="s">
        <v>54</v>
      </c>
      <c r="G3486" s="1" t="s">
        <v>28</v>
      </c>
      <c r="H3486" s="1">
        <v>6374</v>
      </c>
      <c r="I3486" s="1">
        <v>27010</v>
      </c>
      <c r="J3486" s="7">
        <v>0.23599999999999999</v>
      </c>
      <c r="K3486" s="1" t="s">
        <v>21</v>
      </c>
      <c r="L3486" s="1" t="s">
        <v>29</v>
      </c>
      <c r="M3486" s="1" t="s">
        <v>29</v>
      </c>
      <c r="N3486" s="1" t="s">
        <v>22</v>
      </c>
    </row>
    <row r="3487" spans="1:14" x14ac:dyDescent="0.25">
      <c r="A3487" s="1">
        <v>3486</v>
      </c>
      <c r="B3487" s="2" t="str">
        <f>HYPERLINK("https://leetcode.com/problems/longest-special-path-ii/", "Longest Special Path II")</f>
        <v>Longest Special Path II</v>
      </c>
      <c r="C3487" s="1">
        <v>32</v>
      </c>
      <c r="D3487" s="1">
        <v>6</v>
      </c>
      <c r="E3487" s="3">
        <f>IF(INDEX(C:C, ROW())+INDEX(D:D, ROW())=0, 0, INDEX(C:C, ROW())/(INDEX(C:C, ROW())+INDEX(D:D, ROW())))</f>
        <v>0.84210526315789469</v>
      </c>
      <c r="F3487" s="1" t="s">
        <v>1159</v>
      </c>
      <c r="G3487" s="1" t="s">
        <v>28</v>
      </c>
      <c r="H3487" s="1">
        <v>2449</v>
      </c>
      <c r="I3487" s="1">
        <v>13232</v>
      </c>
      <c r="J3487" s="7">
        <v>0.185</v>
      </c>
      <c r="K3487" s="1" t="s">
        <v>21</v>
      </c>
      <c r="L3487" s="1" t="s">
        <v>29</v>
      </c>
      <c r="M3487" s="1" t="s">
        <v>29</v>
      </c>
      <c r="N3487" s="1" t="s">
        <v>22</v>
      </c>
    </row>
    <row r="3488" spans="1:14" x14ac:dyDescent="0.25">
      <c r="A3488" s="1">
        <v>3487</v>
      </c>
      <c r="B3488" s="2" t="str">
        <f>HYPERLINK("https://leetcode.com/problems/maximum-unique-subarray-sum-after-deletion/", "Maximum Unique Subarray Sum After Deletion")</f>
        <v>Maximum Unique Subarray Sum After Deletion</v>
      </c>
      <c r="C3488" s="1">
        <v>473</v>
      </c>
      <c r="D3488" s="1">
        <v>78</v>
      </c>
      <c r="E3488" s="3">
        <f>IF(INDEX(C:C, ROW())+INDEX(D:D, ROW())=0, 0, INDEX(C:C, ROW())/(INDEX(C:C, ROW())+INDEX(D:D, ROW())))</f>
        <v>0.85843920145190566</v>
      </c>
      <c r="F3488" s="1" t="s">
        <v>368</v>
      </c>
      <c r="G3488" s="1" t="s">
        <v>20</v>
      </c>
      <c r="H3488" s="1">
        <v>157087</v>
      </c>
      <c r="I3488" s="1">
        <v>388238</v>
      </c>
      <c r="J3488" s="7">
        <v>0.40500000000000003</v>
      </c>
      <c r="K3488" s="1" t="s">
        <v>21</v>
      </c>
      <c r="L3488" s="1" t="s">
        <v>21</v>
      </c>
      <c r="M3488" s="1" t="s">
        <v>29</v>
      </c>
      <c r="N3488" s="1" t="s">
        <v>22</v>
      </c>
    </row>
    <row r="3489" spans="1:14" x14ac:dyDescent="0.25">
      <c r="A3489" s="1">
        <v>3488</v>
      </c>
      <c r="B3489" s="2" t="str">
        <f>HYPERLINK("https://leetcode.com/problems/closest-equal-element-queries/", "Closest Equal Element Queries")</f>
        <v>Closest Equal Element Queries</v>
      </c>
      <c r="C3489" s="1">
        <v>119</v>
      </c>
      <c r="D3489" s="1">
        <v>10</v>
      </c>
      <c r="E3489" s="3">
        <f>IF(INDEX(C:C, ROW())+INDEX(D:D, ROW())=0, 0, INDEX(C:C, ROW())/(INDEX(C:C, ROW())+INDEX(D:D, ROW())))</f>
        <v>0.92248062015503873</v>
      </c>
      <c r="F3489" s="1" t="s">
        <v>1164</v>
      </c>
      <c r="G3489" s="1" t="s">
        <v>24</v>
      </c>
      <c r="H3489" s="1">
        <v>21476</v>
      </c>
      <c r="I3489" s="1">
        <v>65569</v>
      </c>
      <c r="J3489" s="7">
        <v>0.32800000000000001</v>
      </c>
      <c r="K3489" s="1" t="s">
        <v>21</v>
      </c>
      <c r="L3489" s="1" t="s">
        <v>29</v>
      </c>
      <c r="M3489" s="1" t="s">
        <v>29</v>
      </c>
      <c r="N3489" s="1" t="s">
        <v>22</v>
      </c>
    </row>
    <row r="3490" spans="1:14" x14ac:dyDescent="0.25">
      <c r="A3490" s="1">
        <v>3489</v>
      </c>
      <c r="B3490" s="2" t="str">
        <f>HYPERLINK("https://leetcode.com/problems/zero-array-transformation-iv/", "Zero Array Transformation IV")</f>
        <v>Zero Array Transformation IV</v>
      </c>
      <c r="C3490" s="1">
        <v>141</v>
      </c>
      <c r="D3490" s="1">
        <v>22</v>
      </c>
      <c r="E3490" s="3">
        <f>IF(INDEX(C:C, ROW())+INDEX(D:D, ROW())=0, 0, INDEX(C:C, ROW())/(INDEX(C:C, ROW())+INDEX(D:D, ROW())))</f>
        <v>0.86503067484662577</v>
      </c>
      <c r="F3490" s="1" t="s">
        <v>30</v>
      </c>
      <c r="G3490" s="1" t="s">
        <v>24</v>
      </c>
      <c r="H3490" s="1">
        <v>11476</v>
      </c>
      <c r="I3490" s="1">
        <v>37012</v>
      </c>
      <c r="J3490" s="7">
        <v>0.31</v>
      </c>
      <c r="K3490" s="1" t="s">
        <v>21</v>
      </c>
      <c r="L3490" s="1" t="s">
        <v>29</v>
      </c>
      <c r="M3490" s="1" t="s">
        <v>29</v>
      </c>
      <c r="N3490" s="1" t="s">
        <v>22</v>
      </c>
    </row>
    <row r="3491" spans="1:14" x14ac:dyDescent="0.25">
      <c r="A3491" s="1">
        <v>3490</v>
      </c>
      <c r="B3491" s="2" t="str">
        <f>HYPERLINK("https://leetcode.com/problems/count-beautiful-numbers/", "Count Beautiful Numbers")</f>
        <v>Count Beautiful Numbers</v>
      </c>
      <c r="C3491" s="1">
        <v>51</v>
      </c>
      <c r="D3491" s="1">
        <v>3</v>
      </c>
      <c r="E3491" s="3">
        <f>IF(INDEX(C:C, ROW())+INDEX(D:D, ROW())=0, 0, INDEX(C:C, ROW())/(INDEX(C:C, ROW())+INDEX(D:D, ROW())))</f>
        <v>0.94444444444444442</v>
      </c>
      <c r="F3491" s="1" t="s">
        <v>251</v>
      </c>
      <c r="G3491" s="1" t="s">
        <v>28</v>
      </c>
      <c r="H3491" s="1">
        <v>5255</v>
      </c>
      <c r="I3491" s="1">
        <v>22680</v>
      </c>
      <c r="J3491" s="7">
        <v>0.23200000000000001</v>
      </c>
      <c r="K3491" s="1" t="s">
        <v>21</v>
      </c>
      <c r="L3491" s="1" t="s">
        <v>29</v>
      </c>
      <c r="M3491" s="1" t="s">
        <v>29</v>
      </c>
      <c r="N3491" s="1" t="s">
        <v>22</v>
      </c>
    </row>
    <row r="3492" spans="1:14" x14ac:dyDescent="0.25">
      <c r="A3492" s="1">
        <v>3491</v>
      </c>
      <c r="B3492" s="2" t="str">
        <f>HYPERLINK("https://leetcode.com/problems/phone-number-prefix/", "Phone Number Prefix")</f>
        <v>Phone Number Prefix</v>
      </c>
      <c r="C3492" s="1">
        <v>10</v>
      </c>
      <c r="D3492" s="1">
        <v>1</v>
      </c>
      <c r="E3492" s="3">
        <f>IF(INDEX(C:C, ROW())+INDEX(D:D, ROW())=0, 0, INDEX(C:C, ROW())/(INDEX(C:C, ROW())+INDEX(D:D, ROW())))</f>
        <v>0.90909090909090906</v>
      </c>
      <c r="F3492" s="1" t="s">
        <v>997</v>
      </c>
      <c r="G3492" s="1" t="s">
        <v>20</v>
      </c>
      <c r="H3492" s="1">
        <v>1791</v>
      </c>
      <c r="I3492" s="1">
        <v>2542</v>
      </c>
      <c r="J3492" s="7">
        <v>0.70499999999999996</v>
      </c>
      <c r="K3492" s="1" t="s">
        <v>29</v>
      </c>
      <c r="L3492" s="1" t="s">
        <v>29</v>
      </c>
      <c r="M3492" s="1" t="s">
        <v>29</v>
      </c>
      <c r="N3492" s="1" t="s">
        <v>22</v>
      </c>
    </row>
    <row r="3493" spans="1:14" x14ac:dyDescent="0.25">
      <c r="A3493" s="1">
        <v>3492</v>
      </c>
      <c r="B3493" s="2" t="str">
        <f>HYPERLINK("https://leetcode.com/problems/maximum-containers-on-a-ship/", "Maximum Containers on a Ship")</f>
        <v>Maximum Containers on a Ship</v>
      </c>
      <c r="C3493" s="1">
        <v>64</v>
      </c>
      <c r="D3493" s="1">
        <v>13</v>
      </c>
      <c r="E3493" s="3">
        <f>IF(INDEX(C:C, ROW())+INDEX(D:D, ROW())=0, 0, INDEX(C:C, ROW())/(INDEX(C:C, ROW())+INDEX(D:D, ROW())))</f>
        <v>0.83116883116883122</v>
      </c>
      <c r="F3493" s="1" t="s">
        <v>84</v>
      </c>
      <c r="G3493" s="1" t="s">
        <v>20</v>
      </c>
      <c r="H3493" s="1">
        <v>49329</v>
      </c>
      <c r="I3493" s="1">
        <v>65625</v>
      </c>
      <c r="J3493" s="7">
        <v>0.752</v>
      </c>
      <c r="K3493" s="1" t="s">
        <v>21</v>
      </c>
      <c r="L3493" s="1" t="s">
        <v>29</v>
      </c>
      <c r="M3493" s="1" t="s">
        <v>29</v>
      </c>
      <c r="N3493" s="1" t="s">
        <v>22</v>
      </c>
    </row>
    <row r="3494" spans="1:14" x14ac:dyDescent="0.25">
      <c r="A3494" s="1">
        <v>3493</v>
      </c>
      <c r="B3494" s="2" t="str">
        <f>HYPERLINK("https://leetcode.com/problems/properties-graph/", "Properties Graph")</f>
        <v>Properties Graph</v>
      </c>
      <c r="C3494" s="1">
        <v>92</v>
      </c>
      <c r="D3494" s="1">
        <v>15</v>
      </c>
      <c r="E3494" s="3">
        <f>IF(INDEX(C:C, ROW())+INDEX(D:D, ROW())=0, 0, INDEX(C:C, ROW())/(INDEX(C:C, ROW())+INDEX(D:D, ROW())))</f>
        <v>0.85981308411214952</v>
      </c>
      <c r="F3494" s="1" t="s">
        <v>680</v>
      </c>
      <c r="G3494" s="1" t="s">
        <v>24</v>
      </c>
      <c r="H3494" s="1">
        <v>24865</v>
      </c>
      <c r="I3494" s="1">
        <v>51310</v>
      </c>
      <c r="J3494" s="7">
        <v>0.48499999999999999</v>
      </c>
      <c r="K3494" s="1" t="s">
        <v>21</v>
      </c>
      <c r="L3494" s="1" t="s">
        <v>29</v>
      </c>
      <c r="M3494" s="1" t="s">
        <v>29</v>
      </c>
      <c r="N3494" s="1" t="s">
        <v>22</v>
      </c>
    </row>
    <row r="3495" spans="1:14" x14ac:dyDescent="0.25">
      <c r="A3495" s="1">
        <v>3494</v>
      </c>
      <c r="B3495" s="2" t="str">
        <f>HYPERLINK("https://leetcode.com/problems/find-the-minimum-amount-of-time-to-brew-potions/", "Find the Minimum Amount of Time to Brew Potions")</f>
        <v>Find the Minimum Amount of Time to Brew Potions</v>
      </c>
      <c r="C3495" s="1">
        <v>506</v>
      </c>
      <c r="D3495" s="1">
        <v>359</v>
      </c>
      <c r="E3495" s="3">
        <f>IF(INDEX(C:C, ROW())+INDEX(D:D, ROW())=0, 0, INDEX(C:C, ROW())/(INDEX(C:C, ROW())+INDEX(D:D, ROW())))</f>
        <v>0.58497109826589599</v>
      </c>
      <c r="F3495" s="1" t="s">
        <v>874</v>
      </c>
      <c r="G3495" s="1" t="s">
        <v>24</v>
      </c>
      <c r="H3495" s="1">
        <v>86290</v>
      </c>
      <c r="I3495" s="1">
        <v>137599</v>
      </c>
      <c r="J3495" s="7">
        <v>0.627</v>
      </c>
      <c r="K3495" s="1" t="s">
        <v>21</v>
      </c>
      <c r="L3495" s="1" t="s">
        <v>21</v>
      </c>
      <c r="M3495" s="1" t="s">
        <v>29</v>
      </c>
      <c r="N3495" s="1" t="s">
        <v>22</v>
      </c>
    </row>
    <row r="3496" spans="1:14" x14ac:dyDescent="0.25">
      <c r="A3496" s="1">
        <v>3495</v>
      </c>
      <c r="B3496" s="2" t="str">
        <f>HYPERLINK("https://leetcode.com/problems/minimum-operations-to-make-array-elements-zero/", "Minimum Operations to Make Array Elements Zero")</f>
        <v>Minimum Operations to Make Array Elements Zero</v>
      </c>
      <c r="C3496" s="1">
        <v>385</v>
      </c>
      <c r="D3496" s="1">
        <v>54</v>
      </c>
      <c r="E3496" s="3">
        <f>IF(INDEX(C:C, ROW())+INDEX(D:D, ROW())=0, 0, INDEX(C:C, ROW())/(INDEX(C:C, ROW())+INDEX(D:D, ROW())))</f>
        <v>0.87699316628701596</v>
      </c>
      <c r="F3496" s="1" t="s">
        <v>456</v>
      </c>
      <c r="G3496" s="1" t="s">
        <v>28</v>
      </c>
      <c r="H3496" s="1">
        <v>79113</v>
      </c>
      <c r="I3496" s="1">
        <v>130956</v>
      </c>
      <c r="J3496" s="7">
        <v>0.60399999999999998</v>
      </c>
      <c r="K3496" s="1" t="s">
        <v>21</v>
      </c>
      <c r="L3496" s="1" t="s">
        <v>21</v>
      </c>
      <c r="M3496" s="1" t="s">
        <v>29</v>
      </c>
      <c r="N3496" s="1" t="s">
        <v>22</v>
      </c>
    </row>
    <row r="3497" spans="1:14" x14ac:dyDescent="0.25">
      <c r="A3497" s="1">
        <v>3496</v>
      </c>
      <c r="B3497" s="2" t="str">
        <f>HYPERLINK("https://leetcode.com/problems/maximize-score-after-pair-deletions/", "Maximize Score After Pair Deletions")</f>
        <v>Maximize Score After Pair Deletions</v>
      </c>
      <c r="C3497" s="1">
        <v>11</v>
      </c>
      <c r="D3497" s="1">
        <v>3</v>
      </c>
      <c r="E3497" s="3">
        <f>IF(INDEX(C:C, ROW())+INDEX(D:D, ROW())=0, 0, INDEX(C:C, ROW())/(INDEX(C:C, ROW())+INDEX(D:D, ROW())))</f>
        <v>0.7857142857142857</v>
      </c>
      <c r="F3497" s="1" t="s">
        <v>96</v>
      </c>
      <c r="G3497" s="1" t="s">
        <v>24</v>
      </c>
      <c r="H3497" s="1">
        <v>1084</v>
      </c>
      <c r="I3497" s="1">
        <v>2037</v>
      </c>
      <c r="J3497" s="7">
        <v>0.53200000000000003</v>
      </c>
      <c r="K3497" s="1" t="s">
        <v>29</v>
      </c>
      <c r="L3497" s="1" t="s">
        <v>29</v>
      </c>
      <c r="M3497" s="1" t="s">
        <v>29</v>
      </c>
      <c r="N3497" s="1" t="s">
        <v>22</v>
      </c>
    </row>
    <row r="3498" spans="1:14" x14ac:dyDescent="0.25">
      <c r="A3498" s="1">
        <v>3497</v>
      </c>
      <c r="B3498" s="2" t="str">
        <f>HYPERLINK("https://leetcode.com/problems/analyze-subscription-conversion/", "Analyze Subscription Conversion ")</f>
        <v xml:space="preserve">Analyze Subscription Conversion </v>
      </c>
      <c r="C3498" s="1">
        <v>60</v>
      </c>
      <c r="D3498" s="1">
        <v>6</v>
      </c>
      <c r="E3498" s="3">
        <f>IF(INDEX(C:C, ROW())+INDEX(D:D, ROW())=0, 0, INDEX(C:C, ROW())/(INDEX(C:C, ROW())+INDEX(D:D, ROW())))</f>
        <v>0.90909090909090906</v>
      </c>
      <c r="F3498" s="1" t="s">
        <v>297</v>
      </c>
      <c r="G3498" s="1" t="s">
        <v>24</v>
      </c>
      <c r="H3498" s="1">
        <v>19576</v>
      </c>
      <c r="I3498" s="1">
        <v>26445</v>
      </c>
      <c r="J3498" s="7">
        <v>0.74</v>
      </c>
      <c r="K3498" s="1" t="s">
        <v>21</v>
      </c>
      <c r="L3498" s="1" t="s">
        <v>29</v>
      </c>
      <c r="M3498" s="1" t="s">
        <v>29</v>
      </c>
      <c r="N3498" s="1" t="s">
        <v>297</v>
      </c>
    </row>
    <row r="3499" spans="1:14" x14ac:dyDescent="0.25">
      <c r="A3499" s="1">
        <v>3498</v>
      </c>
      <c r="B3499" s="2" t="str">
        <f>HYPERLINK("https://leetcode.com/problems/reverse-degree-of-a-string/", "Reverse Degree of a String")</f>
        <v>Reverse Degree of a String</v>
      </c>
      <c r="C3499" s="1">
        <v>81</v>
      </c>
      <c r="D3499" s="1">
        <v>5</v>
      </c>
      <c r="E3499" s="3">
        <f>IF(INDEX(C:C, ROW())+INDEX(D:D, ROW())=0, 0, INDEX(C:C, ROW())/(INDEX(C:C, ROW())+INDEX(D:D, ROW())))</f>
        <v>0.94186046511627908</v>
      </c>
      <c r="F3499" s="1" t="s">
        <v>414</v>
      </c>
      <c r="G3499" s="1" t="s">
        <v>20</v>
      </c>
      <c r="H3499" s="1">
        <v>62921</v>
      </c>
      <c r="I3499" s="1">
        <v>71052</v>
      </c>
      <c r="J3499" s="7">
        <v>0.88600000000000001</v>
      </c>
      <c r="K3499" s="1" t="s">
        <v>21</v>
      </c>
      <c r="L3499" s="1" t="s">
        <v>29</v>
      </c>
      <c r="M3499" s="1" t="s">
        <v>29</v>
      </c>
      <c r="N3499" s="1" t="s">
        <v>22</v>
      </c>
    </row>
    <row r="3500" spans="1:14" x14ac:dyDescent="0.25">
      <c r="A3500" s="1">
        <v>3499</v>
      </c>
      <c r="B3500" s="2" t="str">
        <f>HYPERLINK("https://leetcode.com/problems/maximize-active-section-with-trade-i/", "Maximize Active Section with Trade I")</f>
        <v>Maximize Active Section with Trade I</v>
      </c>
      <c r="C3500" s="1">
        <v>69</v>
      </c>
      <c r="D3500" s="1">
        <v>28</v>
      </c>
      <c r="E3500" s="3">
        <f>IF(INDEX(C:C, ROW())+INDEX(D:D, ROW())=0, 0, INDEX(C:C, ROW())/(INDEX(C:C, ROW())+INDEX(D:D, ROW())))</f>
        <v>0.71134020618556704</v>
      </c>
      <c r="F3500" s="1" t="s">
        <v>831</v>
      </c>
      <c r="G3500" s="1" t="s">
        <v>24</v>
      </c>
      <c r="H3500" s="1">
        <v>13808</v>
      </c>
      <c r="I3500" s="1">
        <v>44288</v>
      </c>
      <c r="J3500" s="7">
        <v>0.312</v>
      </c>
      <c r="K3500" s="1" t="s">
        <v>21</v>
      </c>
      <c r="L3500" s="1" t="s">
        <v>29</v>
      </c>
      <c r="M3500" s="1" t="s">
        <v>29</v>
      </c>
      <c r="N3500" s="1" t="s">
        <v>22</v>
      </c>
    </row>
    <row r="3501" spans="1:14" x14ac:dyDescent="0.25">
      <c r="A3501" s="1">
        <v>3500</v>
      </c>
      <c r="B3501" s="2" t="str">
        <f>HYPERLINK("https://leetcode.com/problems/minimum-cost-to-divide-array-into-subarrays/", "Minimum Cost to Divide Array Into Subarrays")</f>
        <v>Minimum Cost to Divide Array Into Subarrays</v>
      </c>
      <c r="C3501" s="1">
        <v>84</v>
      </c>
      <c r="D3501" s="1">
        <v>11</v>
      </c>
      <c r="E3501" s="3">
        <f>IF(INDEX(C:C, ROW())+INDEX(D:D, ROW())=0, 0, INDEX(C:C, ROW())/(INDEX(C:C, ROW())+INDEX(D:D, ROW())))</f>
        <v>0.88421052631578945</v>
      </c>
      <c r="F3501" s="1" t="s">
        <v>407</v>
      </c>
      <c r="G3501" s="1" t="s">
        <v>28</v>
      </c>
      <c r="H3501" s="1">
        <v>4874</v>
      </c>
      <c r="I3501" s="1">
        <v>17731</v>
      </c>
      <c r="J3501" s="7">
        <v>0.27500000000000002</v>
      </c>
      <c r="K3501" s="1" t="s">
        <v>21</v>
      </c>
      <c r="L3501" s="1" t="s">
        <v>29</v>
      </c>
      <c r="M3501" s="1" t="s">
        <v>29</v>
      </c>
      <c r="N3501" s="1" t="s">
        <v>22</v>
      </c>
    </row>
    <row r="3502" spans="1:14" x14ac:dyDescent="0.25">
      <c r="A3502" s="1">
        <v>3501</v>
      </c>
      <c r="B3502" s="2" t="str">
        <f>HYPERLINK("https://leetcode.com/problems/maximize-active-section-with-trade-ii/", "Maximize Active Section with Trade II")</f>
        <v>Maximize Active Section with Trade II</v>
      </c>
      <c r="C3502" s="1">
        <v>24</v>
      </c>
      <c r="D3502" s="1">
        <v>9</v>
      </c>
      <c r="E3502" s="3">
        <f>IF(INDEX(C:C, ROW())+INDEX(D:D, ROW())=0, 0, INDEX(C:C, ROW())/(INDEX(C:C, ROW())+INDEX(D:D, ROW())))</f>
        <v>0.72727272727272729</v>
      </c>
      <c r="F3502" s="1" t="s">
        <v>1313</v>
      </c>
      <c r="G3502" s="1" t="s">
        <v>28</v>
      </c>
      <c r="H3502" s="1">
        <v>1718</v>
      </c>
      <c r="I3502" s="1">
        <v>8447</v>
      </c>
      <c r="J3502" s="7">
        <v>0.20300000000000001</v>
      </c>
      <c r="K3502" s="1" t="s">
        <v>21</v>
      </c>
      <c r="L3502" s="1" t="s">
        <v>29</v>
      </c>
      <c r="M3502" s="1" t="s">
        <v>29</v>
      </c>
      <c r="N3502" s="1" t="s">
        <v>22</v>
      </c>
    </row>
    <row r="3503" spans="1:14" x14ac:dyDescent="0.25">
      <c r="A3503" s="1">
        <v>3502</v>
      </c>
      <c r="B3503" s="2" t="str">
        <f>HYPERLINK("https://leetcode.com/problems/minimum-cost-to-reach-every-position/", "Minimum Cost to Reach Every Position")</f>
        <v>Minimum Cost to Reach Every Position</v>
      </c>
      <c r="C3503" s="1">
        <v>66</v>
      </c>
      <c r="D3503" s="1">
        <v>82</v>
      </c>
      <c r="E3503" s="3">
        <f>IF(INDEX(C:C, ROW())+INDEX(D:D, ROW())=0, 0, INDEX(C:C, ROW())/(INDEX(C:C, ROW())+INDEX(D:D, ROW())))</f>
        <v>0.44594594594594594</v>
      </c>
      <c r="F3503" s="1" t="s">
        <v>113</v>
      </c>
      <c r="G3503" s="1" t="s">
        <v>20</v>
      </c>
      <c r="H3503" s="1">
        <v>39687</v>
      </c>
      <c r="I3503" s="1">
        <v>47686</v>
      </c>
      <c r="J3503" s="7">
        <v>0.83199999999999996</v>
      </c>
      <c r="K3503" s="1" t="s">
        <v>21</v>
      </c>
      <c r="L3503" s="1" t="s">
        <v>29</v>
      </c>
      <c r="M3503" s="1" t="s">
        <v>29</v>
      </c>
      <c r="N3503" s="1" t="s">
        <v>22</v>
      </c>
    </row>
    <row r="3504" spans="1:14" x14ac:dyDescent="0.25">
      <c r="A3504" s="1">
        <v>3503</v>
      </c>
      <c r="B3504" s="2" t="str">
        <f>HYPERLINK("https://leetcode.com/problems/longest-palindrome-after-substring-concatenation-i/", "Longest Palindrome After Substring Concatenation I")</f>
        <v>Longest Palindrome After Substring Concatenation I</v>
      </c>
      <c r="C3504" s="1">
        <v>82</v>
      </c>
      <c r="D3504" s="1">
        <v>5</v>
      </c>
      <c r="E3504" s="3">
        <f>IF(INDEX(C:C, ROW())+INDEX(D:D, ROW())=0, 0, INDEX(C:C, ROW())/(INDEX(C:C, ROW())+INDEX(D:D, ROW())))</f>
        <v>0.94252873563218387</v>
      </c>
      <c r="F3504" s="1" t="s">
        <v>1204</v>
      </c>
      <c r="G3504" s="1" t="s">
        <v>24</v>
      </c>
      <c r="H3504" s="1">
        <v>22011</v>
      </c>
      <c r="I3504" s="1">
        <v>50306</v>
      </c>
      <c r="J3504" s="7">
        <v>0.438</v>
      </c>
      <c r="K3504" s="1" t="s">
        <v>21</v>
      </c>
      <c r="L3504" s="1" t="s">
        <v>29</v>
      </c>
      <c r="M3504" s="1" t="s">
        <v>29</v>
      </c>
      <c r="N3504" s="1" t="s">
        <v>22</v>
      </c>
    </row>
    <row r="3505" spans="1:14" x14ac:dyDescent="0.25">
      <c r="A3505" s="1">
        <v>3504</v>
      </c>
      <c r="B3505" s="2" t="str">
        <f>HYPERLINK("https://leetcode.com/problems/longest-palindrome-after-substring-concatenation-ii/", "Longest Palindrome After Substring Concatenation II")</f>
        <v>Longest Palindrome After Substring Concatenation II</v>
      </c>
      <c r="C3505" s="1">
        <v>90</v>
      </c>
      <c r="D3505" s="1">
        <v>6</v>
      </c>
      <c r="E3505" s="3">
        <f>IF(INDEX(C:C, ROW())+INDEX(D:D, ROW())=0, 0, INDEX(C:C, ROW())/(INDEX(C:C, ROW())+INDEX(D:D, ROW())))</f>
        <v>0.9375</v>
      </c>
      <c r="F3505" s="1" t="s">
        <v>33</v>
      </c>
      <c r="G3505" s="1" t="s">
        <v>28</v>
      </c>
      <c r="H3505" s="1">
        <v>6487</v>
      </c>
      <c r="I3505" s="1">
        <v>36710</v>
      </c>
      <c r="J3505" s="7">
        <v>0.17699999999999999</v>
      </c>
      <c r="K3505" s="1" t="s">
        <v>21</v>
      </c>
      <c r="L3505" s="1" t="s">
        <v>29</v>
      </c>
      <c r="M3505" s="1" t="s">
        <v>29</v>
      </c>
      <c r="N3505" s="1" t="s">
        <v>22</v>
      </c>
    </row>
    <row r="3506" spans="1:14" x14ac:dyDescent="0.25">
      <c r="A3506" s="1">
        <v>3505</v>
      </c>
      <c r="B3506" s="2" t="str">
        <f>HYPERLINK("https://leetcode.com/problems/minimum-operations-to-make-elements-within-k-subarrays-equal/", "Minimum Operations to Make Elements Within K Subarrays Equal")</f>
        <v>Minimum Operations to Make Elements Within K Subarrays Equal</v>
      </c>
      <c r="C3506" s="1">
        <v>58</v>
      </c>
      <c r="D3506" s="1">
        <v>3</v>
      </c>
      <c r="E3506" s="3">
        <f>IF(INDEX(C:C, ROW())+INDEX(D:D, ROW())=0, 0, INDEX(C:C, ROW())/(INDEX(C:C, ROW())+INDEX(D:D, ROW())))</f>
        <v>0.95081967213114749</v>
      </c>
      <c r="F3506" s="1" t="s">
        <v>1245</v>
      </c>
      <c r="G3506" s="1" t="s">
        <v>28</v>
      </c>
      <c r="H3506" s="1">
        <v>4224</v>
      </c>
      <c r="I3506" s="1">
        <v>15240</v>
      </c>
      <c r="J3506" s="7">
        <v>0.27700000000000002</v>
      </c>
      <c r="K3506" s="1" t="s">
        <v>21</v>
      </c>
      <c r="L3506" s="1" t="s">
        <v>29</v>
      </c>
      <c r="M3506" s="1" t="s">
        <v>29</v>
      </c>
      <c r="N3506" s="1" t="s">
        <v>22</v>
      </c>
    </row>
    <row r="3507" spans="1:14" x14ac:dyDescent="0.25">
      <c r="A3507" s="1">
        <v>3506</v>
      </c>
      <c r="B3507" s="2" t="str">
        <f>HYPERLINK("https://leetcode.com/problems/find-time-required-to-eliminate-bacterial-strains/", "Find Time Required to Eliminate Bacterial Strains")</f>
        <v>Find Time Required to Eliminate Bacterial Strains</v>
      </c>
      <c r="C3507" s="1">
        <v>4</v>
      </c>
      <c r="D3507" s="1">
        <v>1</v>
      </c>
      <c r="E3507" s="3">
        <f>IF(INDEX(C:C, ROW())+INDEX(D:D, ROW())=0, 0, INDEX(C:C, ROW())/(INDEX(C:C, ROW())+INDEX(D:D, ROW())))</f>
        <v>0.8</v>
      </c>
      <c r="F3507" s="1" t="s">
        <v>1070</v>
      </c>
      <c r="G3507" s="1" t="s">
        <v>28</v>
      </c>
      <c r="H3507" s="1">
        <v>504</v>
      </c>
      <c r="I3507" s="1">
        <v>824</v>
      </c>
      <c r="J3507" s="7">
        <v>0.61199999999999999</v>
      </c>
      <c r="K3507" s="1" t="s">
        <v>29</v>
      </c>
      <c r="L3507" s="1" t="s">
        <v>29</v>
      </c>
      <c r="M3507" s="1" t="s">
        <v>29</v>
      </c>
      <c r="N3507" s="1" t="s">
        <v>22</v>
      </c>
    </row>
    <row r="3508" spans="1:14" x14ac:dyDescent="0.25">
      <c r="A3508" s="1">
        <v>3507</v>
      </c>
      <c r="B3508" s="2" t="str">
        <f>HYPERLINK("https://leetcode.com/problems/minimum-pair-removal-to-sort-array-i/", "Minimum Pair Removal to Sort Array I")</f>
        <v>Minimum Pair Removal to Sort Array I</v>
      </c>
      <c r="C3508" s="1">
        <v>487</v>
      </c>
      <c r="D3508" s="1">
        <v>91</v>
      </c>
      <c r="E3508" s="3">
        <f>IF(INDEX(C:C, ROW())+INDEX(D:D, ROW())=0, 0, INDEX(C:C, ROW())/(INDEX(C:C, ROW())+INDEX(D:D, ROW())))</f>
        <v>0.84256055363321802</v>
      </c>
      <c r="F3508" s="1" t="s">
        <v>932</v>
      </c>
      <c r="G3508" s="1" t="s">
        <v>20</v>
      </c>
      <c r="H3508" s="1">
        <v>143300</v>
      </c>
      <c r="I3508" s="1">
        <v>219477</v>
      </c>
      <c r="J3508" s="7">
        <v>0.65300000000000002</v>
      </c>
      <c r="K3508" s="1" t="s">
        <v>21</v>
      </c>
      <c r="L3508" s="1" t="s">
        <v>21</v>
      </c>
      <c r="M3508" s="1" t="s">
        <v>29</v>
      </c>
      <c r="N3508" s="1" t="s">
        <v>22</v>
      </c>
    </row>
    <row r="3509" spans="1:14" x14ac:dyDescent="0.25">
      <c r="A3509" s="1">
        <v>3508</v>
      </c>
      <c r="B3509" s="2" t="str">
        <f>HYPERLINK("https://leetcode.com/problems/implement-router/", "Implement Router")</f>
        <v>Implement Router</v>
      </c>
      <c r="C3509" s="1">
        <v>480</v>
      </c>
      <c r="D3509" s="1">
        <v>116</v>
      </c>
      <c r="E3509" s="3">
        <f>IF(INDEX(C:C, ROW())+INDEX(D:D, ROW())=0, 0, INDEX(C:C, ROW())/(INDEX(C:C, ROW())+INDEX(D:D, ROW())))</f>
        <v>0.80536912751677847</v>
      </c>
      <c r="F3509" s="1" t="s">
        <v>938</v>
      </c>
      <c r="G3509" s="1" t="s">
        <v>24</v>
      </c>
      <c r="H3509" s="1">
        <v>88760</v>
      </c>
      <c r="I3509" s="1">
        <v>226710</v>
      </c>
      <c r="J3509" s="7">
        <v>0.39200000000000002</v>
      </c>
      <c r="K3509" s="1" t="s">
        <v>21</v>
      </c>
      <c r="L3509" s="1" t="s">
        <v>21</v>
      </c>
      <c r="M3509" s="1" t="s">
        <v>29</v>
      </c>
      <c r="N3509" s="1" t="s">
        <v>22</v>
      </c>
    </row>
    <row r="3510" spans="1:14" x14ac:dyDescent="0.25">
      <c r="A3510" s="1">
        <v>3509</v>
      </c>
      <c r="B3510" s="2" t="str">
        <f>HYPERLINK("https://leetcode.com/problems/maximum-product-of-subsequences-with-an-alternating-sum-equal-to-k/", "Maximum Product of Subsequences With an Alternating Sum Equal to K")</f>
        <v>Maximum Product of Subsequences With an Alternating Sum Equal to K</v>
      </c>
      <c r="C3510" s="1">
        <v>57</v>
      </c>
      <c r="D3510" s="1">
        <v>6</v>
      </c>
      <c r="E3510" s="3">
        <f>IF(INDEX(C:C, ROW())+INDEX(D:D, ROW())=0, 0, INDEX(C:C, ROW())/(INDEX(C:C, ROW())+INDEX(D:D, ROW())))</f>
        <v>0.90476190476190477</v>
      </c>
      <c r="F3510" s="1" t="s">
        <v>174</v>
      </c>
      <c r="G3510" s="1" t="s">
        <v>28</v>
      </c>
      <c r="H3510" s="1">
        <v>5831</v>
      </c>
      <c r="I3510" s="1">
        <v>45210</v>
      </c>
      <c r="J3510" s="7">
        <v>0.129</v>
      </c>
      <c r="K3510" s="1" t="s">
        <v>21</v>
      </c>
      <c r="L3510" s="1" t="s">
        <v>29</v>
      </c>
      <c r="M3510" s="1" t="s">
        <v>29</v>
      </c>
      <c r="N3510" s="1" t="s">
        <v>22</v>
      </c>
    </row>
    <row r="3511" spans="1:14" x14ac:dyDescent="0.25">
      <c r="A3511" s="1">
        <v>3510</v>
      </c>
      <c r="B3511" s="2" t="str">
        <f>HYPERLINK("https://leetcode.com/problems/minimum-pair-removal-to-sort-array-ii/", "Minimum Pair Removal to Sort Array II")</f>
        <v>Minimum Pair Removal to Sort Array II</v>
      </c>
      <c r="C3511" s="1">
        <v>403</v>
      </c>
      <c r="D3511" s="1">
        <v>39</v>
      </c>
      <c r="E3511" s="3">
        <f>IF(INDEX(C:C, ROW())+INDEX(D:D, ROW())=0, 0, INDEX(C:C, ROW())/(INDEX(C:C, ROW())+INDEX(D:D, ROW())))</f>
        <v>0.91176470588235292</v>
      </c>
      <c r="F3511" s="1" t="s">
        <v>932</v>
      </c>
      <c r="G3511" s="1" t="s">
        <v>28</v>
      </c>
      <c r="H3511" s="1">
        <v>64907</v>
      </c>
      <c r="I3511" s="1">
        <v>165519</v>
      </c>
      <c r="J3511" s="7">
        <v>0.39200000000000002</v>
      </c>
      <c r="K3511" s="1" t="s">
        <v>21</v>
      </c>
      <c r="L3511" s="1" t="s">
        <v>21</v>
      </c>
      <c r="M3511" s="1" t="s">
        <v>29</v>
      </c>
      <c r="N3511" s="1" t="s">
        <v>22</v>
      </c>
    </row>
    <row r="3512" spans="1:14" x14ac:dyDescent="0.25">
      <c r="A3512" s="1">
        <v>3511</v>
      </c>
      <c r="B3512" s="2" t="str">
        <f>HYPERLINK("https://leetcode.com/problems/make-a-positive-array/", "Make a Positive Array")</f>
        <v>Make a Positive Array</v>
      </c>
      <c r="C3512" s="1">
        <v>7</v>
      </c>
      <c r="D3512" s="1">
        <v>7</v>
      </c>
      <c r="E3512" s="3">
        <f>IF(INDEX(C:C, ROW())+INDEX(D:D, ROW())=0, 0, INDEX(C:C, ROW())/(INDEX(C:C, ROW())+INDEX(D:D, ROW())))</f>
        <v>0.5</v>
      </c>
      <c r="F3512" s="1" t="s">
        <v>1337</v>
      </c>
      <c r="G3512" s="1" t="s">
        <v>24</v>
      </c>
      <c r="H3512" s="1">
        <v>689</v>
      </c>
      <c r="I3512" s="1">
        <v>1956</v>
      </c>
      <c r="J3512" s="7">
        <v>0.35199999999999998</v>
      </c>
      <c r="K3512" s="1" t="s">
        <v>29</v>
      </c>
      <c r="L3512" s="1" t="s">
        <v>29</v>
      </c>
      <c r="M3512" s="1" t="s">
        <v>29</v>
      </c>
      <c r="N3512" s="1" t="s">
        <v>22</v>
      </c>
    </row>
    <row r="3513" spans="1:14" x14ac:dyDescent="0.25">
      <c r="A3513" s="1">
        <v>3512</v>
      </c>
      <c r="B3513" s="2" t="str">
        <f>HYPERLINK("https://leetcode.com/problems/minimum-operations-to-make-array-sum-divisible-by-k/", "Minimum Operations to Make Array Sum Divisible by K")</f>
        <v>Minimum Operations to Make Array Sum Divisible by K</v>
      </c>
      <c r="C3513" s="1">
        <v>320</v>
      </c>
      <c r="D3513" s="1">
        <v>36</v>
      </c>
      <c r="E3513" s="3">
        <f>IF(INDEX(C:C, ROW())+INDEX(D:D, ROW())=0, 0, INDEX(C:C, ROW())/(INDEX(C:C, ROW())+INDEX(D:D, ROW())))</f>
        <v>0.898876404494382</v>
      </c>
      <c r="F3513" s="1" t="s">
        <v>115</v>
      </c>
      <c r="G3513" s="1" t="s">
        <v>20</v>
      </c>
      <c r="H3513" s="1">
        <v>178233</v>
      </c>
      <c r="I3513" s="1">
        <v>192908</v>
      </c>
      <c r="J3513" s="7">
        <v>0.92400000000000004</v>
      </c>
      <c r="K3513" s="1" t="s">
        <v>21</v>
      </c>
      <c r="L3513" s="1" t="s">
        <v>21</v>
      </c>
      <c r="M3513" s="1" t="s">
        <v>29</v>
      </c>
      <c r="N3513" s="1" t="s">
        <v>22</v>
      </c>
    </row>
    <row r="3514" spans="1:14" x14ac:dyDescent="0.25">
      <c r="A3514" s="1">
        <v>3513</v>
      </c>
      <c r="B3514" s="2" t="str">
        <f>HYPERLINK("https://leetcode.com/problems/number-of-unique-xor-triplets-i/", "Number of Unique XOR Triplets I")</f>
        <v>Number of Unique XOR Triplets I</v>
      </c>
      <c r="C3514" s="1">
        <v>49</v>
      </c>
      <c r="D3514" s="1">
        <v>11</v>
      </c>
      <c r="E3514" s="3">
        <f>IF(INDEX(C:C, ROW())+INDEX(D:D, ROW())=0, 0, INDEX(C:C, ROW())/(INDEX(C:C, ROW())+INDEX(D:D, ROW())))</f>
        <v>0.81666666666666665</v>
      </c>
      <c r="F3514" s="1" t="s">
        <v>456</v>
      </c>
      <c r="G3514" s="1" t="s">
        <v>24</v>
      </c>
      <c r="H3514" s="1">
        <v>15946</v>
      </c>
      <c r="I3514" s="1">
        <v>60273</v>
      </c>
      <c r="J3514" s="7">
        <v>0.26500000000000001</v>
      </c>
      <c r="K3514" s="1" t="s">
        <v>21</v>
      </c>
      <c r="L3514" s="1" t="s">
        <v>29</v>
      </c>
      <c r="M3514" s="1" t="s">
        <v>29</v>
      </c>
      <c r="N3514" s="1" t="s">
        <v>22</v>
      </c>
    </row>
    <row r="3515" spans="1:14" x14ac:dyDescent="0.25">
      <c r="A3515" s="1">
        <v>3514</v>
      </c>
      <c r="B3515" s="2" t="str">
        <f>HYPERLINK("https://leetcode.com/problems/number-of-unique-xor-triplets-ii/", "Number of Unique XOR Triplets II")</f>
        <v>Number of Unique XOR Triplets II</v>
      </c>
      <c r="C3515" s="1">
        <v>43</v>
      </c>
      <c r="D3515" s="1">
        <v>9</v>
      </c>
      <c r="E3515" s="3">
        <f>IF(INDEX(C:C, ROW())+INDEX(D:D, ROW())=0, 0, INDEX(C:C, ROW())/(INDEX(C:C, ROW())+INDEX(D:D, ROW())))</f>
        <v>0.82692307692307687</v>
      </c>
      <c r="F3515" s="1" t="s">
        <v>1281</v>
      </c>
      <c r="G3515" s="1" t="s">
        <v>24</v>
      </c>
      <c r="H3515" s="1">
        <v>14275</v>
      </c>
      <c r="I3515" s="1">
        <v>44146</v>
      </c>
      <c r="J3515" s="7">
        <v>0.32300000000000001</v>
      </c>
      <c r="K3515" s="1" t="s">
        <v>21</v>
      </c>
      <c r="L3515" s="1" t="s">
        <v>29</v>
      </c>
      <c r="M3515" s="1" t="s">
        <v>29</v>
      </c>
      <c r="N3515" s="1" t="s">
        <v>22</v>
      </c>
    </row>
    <row r="3516" spans="1:14" x14ac:dyDescent="0.25">
      <c r="A3516" s="1">
        <v>3515</v>
      </c>
      <c r="B3516" s="2" t="str">
        <f>HYPERLINK("https://leetcode.com/problems/shortest-path-in-a-weighted-tree/", "Shortest Path in a Weighted Tree")</f>
        <v>Shortest Path in a Weighted Tree</v>
      </c>
      <c r="C3516" s="1">
        <v>63</v>
      </c>
      <c r="D3516" s="1">
        <v>2</v>
      </c>
      <c r="E3516" s="3">
        <f>IF(INDEX(C:C, ROW())+INDEX(D:D, ROW())=0, 0, INDEX(C:C, ROW())/(INDEX(C:C, ROW())+INDEX(D:D, ROW())))</f>
        <v>0.96923076923076923</v>
      </c>
      <c r="F3516" s="1" t="s">
        <v>1234</v>
      </c>
      <c r="G3516" s="1" t="s">
        <v>28</v>
      </c>
      <c r="H3516" s="1">
        <v>7008</v>
      </c>
      <c r="I3516" s="1">
        <v>16669</v>
      </c>
      <c r="J3516" s="7">
        <v>0.42</v>
      </c>
      <c r="K3516" s="1" t="s">
        <v>21</v>
      </c>
      <c r="L3516" s="1" t="s">
        <v>29</v>
      </c>
      <c r="M3516" s="1" t="s">
        <v>29</v>
      </c>
      <c r="N3516" s="1" t="s">
        <v>22</v>
      </c>
    </row>
    <row r="3517" spans="1:14" x14ac:dyDescent="0.25">
      <c r="A3517" s="1">
        <v>3516</v>
      </c>
      <c r="B3517" s="2" t="str">
        <f>HYPERLINK("https://leetcode.com/problems/find-closest-person/", "Find Closest Person")</f>
        <v>Find Closest Person</v>
      </c>
      <c r="C3517" s="1">
        <v>424</v>
      </c>
      <c r="D3517" s="1">
        <v>47</v>
      </c>
      <c r="E3517" s="3">
        <f>IF(INDEX(C:C, ROW())+INDEX(D:D, ROW())=0, 0, INDEX(C:C, ROW())/(INDEX(C:C, ROW())+INDEX(D:D, ROW())))</f>
        <v>0.9002123142250531</v>
      </c>
      <c r="F3517" s="1" t="s">
        <v>84</v>
      </c>
      <c r="G3517" s="1" t="s">
        <v>20</v>
      </c>
      <c r="H3517" s="1">
        <v>211871</v>
      </c>
      <c r="I3517" s="1">
        <v>238240</v>
      </c>
      <c r="J3517" s="7">
        <v>0.88900000000000001</v>
      </c>
      <c r="K3517" s="1" t="s">
        <v>21</v>
      </c>
      <c r="L3517" s="1" t="s">
        <v>21</v>
      </c>
      <c r="M3517" s="1" t="s">
        <v>29</v>
      </c>
      <c r="N3517" s="1" t="s">
        <v>22</v>
      </c>
    </row>
    <row r="3518" spans="1:14" x14ac:dyDescent="0.25">
      <c r="A3518" s="1">
        <v>3517</v>
      </c>
      <c r="B3518" s="2" t="str">
        <f>HYPERLINK("https://leetcode.com/problems/smallest-palindromic-rearrangement-i/", "Smallest Palindromic Rearrangement I")</f>
        <v>Smallest Palindromic Rearrangement I</v>
      </c>
      <c r="C3518" s="1">
        <v>81</v>
      </c>
      <c r="D3518" s="1">
        <v>3</v>
      </c>
      <c r="E3518" s="3">
        <f>IF(INDEX(C:C, ROW())+INDEX(D:D, ROW())=0, 0, INDEX(C:C, ROW())/(INDEX(C:C, ROW())+INDEX(D:D, ROW())))</f>
        <v>0.9642857142857143</v>
      </c>
      <c r="F3518" s="1" t="s">
        <v>1205</v>
      </c>
      <c r="G3518" s="1" t="s">
        <v>24</v>
      </c>
      <c r="H3518" s="1">
        <v>34609</v>
      </c>
      <c r="I3518" s="1">
        <v>54481</v>
      </c>
      <c r="J3518" s="7">
        <v>0.63500000000000001</v>
      </c>
      <c r="K3518" s="1" t="s">
        <v>21</v>
      </c>
      <c r="L3518" s="1" t="s">
        <v>29</v>
      </c>
      <c r="M3518" s="1" t="s">
        <v>29</v>
      </c>
      <c r="N3518" s="1" t="s">
        <v>22</v>
      </c>
    </row>
    <row r="3519" spans="1:14" x14ac:dyDescent="0.25">
      <c r="A3519" s="1">
        <v>3518</v>
      </c>
      <c r="B3519" s="2" t="str">
        <f>HYPERLINK("https://leetcode.com/problems/smallest-palindromic-rearrangement-ii/", "Smallest Palindromic Rearrangement II")</f>
        <v>Smallest Palindromic Rearrangement II</v>
      </c>
      <c r="C3519" s="1">
        <v>72</v>
      </c>
      <c r="D3519" s="1">
        <v>7</v>
      </c>
      <c r="E3519" s="3">
        <f>IF(INDEX(C:C, ROW())+INDEX(D:D, ROW())=0, 0, INDEX(C:C, ROW())/(INDEX(C:C, ROW())+INDEX(D:D, ROW())))</f>
        <v>0.91139240506329111</v>
      </c>
      <c r="F3519" s="1" t="s">
        <v>941</v>
      </c>
      <c r="G3519" s="1" t="s">
        <v>28</v>
      </c>
      <c r="H3519" s="1">
        <v>5972</v>
      </c>
      <c r="I3519" s="1">
        <v>41865</v>
      </c>
      <c r="J3519" s="7">
        <v>0.14299999999999999</v>
      </c>
      <c r="K3519" s="1" t="s">
        <v>21</v>
      </c>
      <c r="L3519" s="1" t="s">
        <v>29</v>
      </c>
      <c r="M3519" s="1" t="s">
        <v>29</v>
      </c>
      <c r="N3519" s="1" t="s">
        <v>22</v>
      </c>
    </row>
    <row r="3520" spans="1:14" x14ac:dyDescent="0.25">
      <c r="A3520" s="1">
        <v>3519</v>
      </c>
      <c r="B3520" s="2" t="str">
        <f>HYPERLINK("https://leetcode.com/problems/count-numbers-with-non-decreasing-digits/", "Count Numbers with Non-Decreasing Digits ")</f>
        <v xml:space="preserve">Count Numbers with Non-Decreasing Digits </v>
      </c>
      <c r="C3520" s="1">
        <v>52</v>
      </c>
      <c r="D3520" s="1">
        <v>3</v>
      </c>
      <c r="E3520" s="3">
        <f>IF(INDEX(C:C, ROW())+INDEX(D:D, ROW())=0, 0, INDEX(C:C, ROW())/(INDEX(C:C, ROW())+INDEX(D:D, ROW())))</f>
        <v>0.94545454545454544</v>
      </c>
      <c r="F3520" s="1" t="s">
        <v>627</v>
      </c>
      <c r="G3520" s="1" t="s">
        <v>28</v>
      </c>
      <c r="H3520" s="1">
        <v>6647</v>
      </c>
      <c r="I3520" s="1">
        <v>17200</v>
      </c>
      <c r="J3520" s="7">
        <v>0.38600000000000001</v>
      </c>
      <c r="K3520" s="1" t="s">
        <v>21</v>
      </c>
      <c r="L3520" s="1" t="s">
        <v>29</v>
      </c>
      <c r="M3520" s="1" t="s">
        <v>29</v>
      </c>
      <c r="N3520" s="1" t="s">
        <v>22</v>
      </c>
    </row>
    <row r="3521" spans="1:14" x14ac:dyDescent="0.25">
      <c r="A3521" s="1">
        <v>3520</v>
      </c>
      <c r="B3521" s="2" t="str">
        <f>HYPERLINK("https://leetcode.com/problems/minimum-threshold-for-inversion-pairs-count/", "Minimum Threshold for Inversion Pairs Count")</f>
        <v>Minimum Threshold for Inversion Pairs Count</v>
      </c>
      <c r="C3521" s="1">
        <v>3</v>
      </c>
      <c r="D3521" s="1">
        <v>1</v>
      </c>
      <c r="E3521" s="3">
        <f>IF(INDEX(C:C, ROW())+INDEX(D:D, ROW())=0, 0, INDEX(C:C, ROW())/(INDEX(C:C, ROW())+INDEX(D:D, ROW())))</f>
        <v>0.75</v>
      </c>
      <c r="F3521" s="1" t="s">
        <v>1140</v>
      </c>
      <c r="G3521" s="1" t="s">
        <v>24</v>
      </c>
      <c r="H3521" s="1">
        <v>639</v>
      </c>
      <c r="I3521" s="1">
        <v>1152</v>
      </c>
      <c r="J3521" s="7">
        <v>0.55500000000000005</v>
      </c>
      <c r="K3521" s="1" t="s">
        <v>29</v>
      </c>
      <c r="L3521" s="1" t="s">
        <v>29</v>
      </c>
      <c r="M3521" s="1" t="s">
        <v>29</v>
      </c>
      <c r="N3521" s="1" t="s">
        <v>22</v>
      </c>
    </row>
    <row r="3522" spans="1:14" x14ac:dyDescent="0.25">
      <c r="A3522" s="1">
        <v>3521</v>
      </c>
      <c r="B3522" s="2" t="str">
        <f>HYPERLINK("https://leetcode.com/problems/find-product-recommendation-pairs/", "Find Product Recommendation Pairs")</f>
        <v>Find Product Recommendation Pairs</v>
      </c>
      <c r="C3522" s="1">
        <v>72</v>
      </c>
      <c r="D3522" s="1">
        <v>5</v>
      </c>
      <c r="E3522" s="3">
        <f>IF(INDEX(C:C, ROW())+INDEX(D:D, ROW())=0, 0, INDEX(C:C, ROW())/(INDEX(C:C, ROW())+INDEX(D:D, ROW())))</f>
        <v>0.93506493506493504</v>
      </c>
      <c r="F3522" s="1" t="s">
        <v>297</v>
      </c>
      <c r="G3522" s="1" t="s">
        <v>24</v>
      </c>
      <c r="H3522" s="1">
        <v>13119</v>
      </c>
      <c r="I3522" s="1">
        <v>21392</v>
      </c>
      <c r="J3522" s="7">
        <v>0.61299999999999999</v>
      </c>
      <c r="K3522" s="1" t="s">
        <v>21</v>
      </c>
      <c r="L3522" s="1" t="s">
        <v>29</v>
      </c>
      <c r="M3522" s="1" t="s">
        <v>29</v>
      </c>
      <c r="N3522" s="1" t="s">
        <v>297</v>
      </c>
    </row>
    <row r="3523" spans="1:14" x14ac:dyDescent="0.25">
      <c r="A3523" s="1">
        <v>3522</v>
      </c>
      <c r="B3523" s="2" t="str">
        <f>HYPERLINK("https://leetcode.com/problems/calculate-score-after-performing-instructions/", "Calculate Score After Performing Instructions")</f>
        <v>Calculate Score After Performing Instructions</v>
      </c>
      <c r="C3523" s="1">
        <v>45</v>
      </c>
      <c r="D3523" s="1">
        <v>9</v>
      </c>
      <c r="E3523" s="3">
        <f>IF(INDEX(C:C, ROW())+INDEX(D:D, ROW())=0, 0, INDEX(C:C, ROW())/(INDEX(C:C, ROW())+INDEX(D:D, ROW())))</f>
        <v>0.83333333333333337</v>
      </c>
      <c r="F3523" s="1" t="s">
        <v>944</v>
      </c>
      <c r="G3523" s="1" t="s">
        <v>24</v>
      </c>
      <c r="H3523" s="1">
        <v>39951</v>
      </c>
      <c r="I3523" s="1">
        <v>70249</v>
      </c>
      <c r="J3523" s="7">
        <v>0.56899999999999995</v>
      </c>
      <c r="K3523" s="1" t="s">
        <v>21</v>
      </c>
      <c r="L3523" s="1" t="s">
        <v>29</v>
      </c>
      <c r="M3523" s="1" t="s">
        <v>29</v>
      </c>
      <c r="N3523" s="1" t="s">
        <v>22</v>
      </c>
    </row>
    <row r="3524" spans="1:14" x14ac:dyDescent="0.25">
      <c r="A3524" s="1">
        <v>3523</v>
      </c>
      <c r="B3524" s="2" t="str">
        <f>HYPERLINK("https://leetcode.com/problems/make-array-non-decreasing/", "Make Array Non-decreasing")</f>
        <v>Make Array Non-decreasing</v>
      </c>
      <c r="C3524" s="1">
        <v>88</v>
      </c>
      <c r="D3524" s="1">
        <v>9</v>
      </c>
      <c r="E3524" s="3">
        <f>IF(INDEX(C:C, ROW())+INDEX(D:D, ROW())=0, 0, INDEX(C:C, ROW())/(INDEX(C:C, ROW())+INDEX(D:D, ROW())))</f>
        <v>0.90721649484536082</v>
      </c>
      <c r="F3524" s="1" t="s">
        <v>473</v>
      </c>
      <c r="G3524" s="1" t="s">
        <v>24</v>
      </c>
      <c r="H3524" s="1">
        <v>32082</v>
      </c>
      <c r="I3524" s="1">
        <v>56552</v>
      </c>
      <c r="J3524" s="7">
        <v>0.56699999999999995</v>
      </c>
      <c r="K3524" s="1" t="s">
        <v>21</v>
      </c>
      <c r="L3524" s="1" t="s">
        <v>29</v>
      </c>
      <c r="M3524" s="1" t="s">
        <v>29</v>
      </c>
      <c r="N3524" s="1" t="s">
        <v>22</v>
      </c>
    </row>
    <row r="3525" spans="1:14" x14ac:dyDescent="0.25">
      <c r="A3525" s="1">
        <v>3524</v>
      </c>
      <c r="B3525" s="2" t="str">
        <f>HYPERLINK("https://leetcode.com/problems/find-x-value-of-array-i/", "Find X Value of Array I")</f>
        <v>Find X Value of Array I</v>
      </c>
      <c r="C3525" s="1">
        <v>84</v>
      </c>
      <c r="D3525" s="1">
        <v>29</v>
      </c>
      <c r="E3525" s="3">
        <f>IF(INDEX(C:C, ROW())+INDEX(D:D, ROW())=0, 0, INDEX(C:C, ROW())/(INDEX(C:C, ROW())+INDEX(D:D, ROW())))</f>
        <v>0.74336283185840712</v>
      </c>
      <c r="F3525" s="1" t="s">
        <v>457</v>
      </c>
      <c r="G3525" s="1" t="s">
        <v>24</v>
      </c>
      <c r="H3525" s="1">
        <v>11198</v>
      </c>
      <c r="I3525" s="1">
        <v>30142</v>
      </c>
      <c r="J3525" s="7">
        <v>0.372</v>
      </c>
      <c r="K3525" s="1" t="s">
        <v>21</v>
      </c>
      <c r="L3525" s="1" t="s">
        <v>29</v>
      </c>
      <c r="M3525" s="1" t="s">
        <v>29</v>
      </c>
      <c r="N3525" s="1" t="s">
        <v>22</v>
      </c>
    </row>
    <row r="3526" spans="1:14" x14ac:dyDescent="0.25">
      <c r="A3526" s="1">
        <v>3525</v>
      </c>
      <c r="B3526" s="2" t="str">
        <f>HYPERLINK("https://leetcode.com/problems/find-x-value-of-array-ii/", "Find X Value of Array II")</f>
        <v>Find X Value of Array II</v>
      </c>
      <c r="C3526" s="1">
        <v>30</v>
      </c>
      <c r="D3526" s="1">
        <v>8</v>
      </c>
      <c r="E3526" s="3">
        <f>IF(INDEX(C:C, ROW())+INDEX(D:D, ROW())=0, 0, INDEX(C:C, ROW())/(INDEX(C:C, ROW())+INDEX(D:D, ROW())))</f>
        <v>0.78947368421052633</v>
      </c>
      <c r="F3526" s="1" t="s">
        <v>1303</v>
      </c>
      <c r="G3526" s="1" t="s">
        <v>28</v>
      </c>
      <c r="H3526" s="1">
        <v>3452</v>
      </c>
      <c r="I3526" s="1">
        <v>11308</v>
      </c>
      <c r="J3526" s="7">
        <v>0.30499999999999999</v>
      </c>
      <c r="K3526" s="1" t="s">
        <v>21</v>
      </c>
      <c r="L3526" s="1" t="s">
        <v>29</v>
      </c>
      <c r="M3526" s="1" t="s">
        <v>29</v>
      </c>
      <c r="N3526" s="1" t="s">
        <v>22</v>
      </c>
    </row>
    <row r="3527" spans="1:14" x14ac:dyDescent="0.25">
      <c r="A3527" s="1">
        <v>3526</v>
      </c>
      <c r="B3527" s="2" t="str">
        <f>HYPERLINK("https://leetcode.com/problems/range-xor-queries-with-subarray-reversals/", "Range XOR Queries with Subarray Reversals")</f>
        <v>Range XOR Queries with Subarray Reversals</v>
      </c>
      <c r="C3527" s="1">
        <v>3</v>
      </c>
      <c r="D3527" s="1">
        <v>2</v>
      </c>
      <c r="E3527" s="3">
        <f>IF(INDEX(C:C, ROW())+INDEX(D:D, ROW())=0, 0, INDEX(C:C, ROW())/(INDEX(C:C, ROW())+INDEX(D:D, ROW())))</f>
        <v>0.6</v>
      </c>
      <c r="F3527" s="1" t="s">
        <v>990</v>
      </c>
      <c r="G3527" s="1" t="s">
        <v>28</v>
      </c>
      <c r="H3527" s="1">
        <v>377</v>
      </c>
      <c r="I3527" s="1">
        <v>595</v>
      </c>
      <c r="J3527" s="7">
        <v>0.63400000000000001</v>
      </c>
      <c r="K3527" s="1" t="s">
        <v>29</v>
      </c>
      <c r="L3527" s="1" t="s">
        <v>29</v>
      </c>
      <c r="M3527" s="1" t="s">
        <v>29</v>
      </c>
      <c r="N3527" s="1" t="s">
        <v>22</v>
      </c>
    </row>
    <row r="3528" spans="1:14" x14ac:dyDescent="0.25">
      <c r="A3528" s="1">
        <v>3527</v>
      </c>
      <c r="B3528" s="2" t="str">
        <f>HYPERLINK("https://leetcode.com/problems/find-the-most-common-response/", "Find the Most Common Response")</f>
        <v>Find the Most Common Response</v>
      </c>
      <c r="C3528" s="1">
        <v>57</v>
      </c>
      <c r="D3528" s="1">
        <v>7</v>
      </c>
      <c r="E3528" s="3">
        <f>IF(INDEX(C:C, ROW())+INDEX(D:D, ROW())=0, 0, INDEX(C:C, ROW())/(INDEX(C:C, ROW())+INDEX(D:D, ROW())))</f>
        <v>0.890625</v>
      </c>
      <c r="F3528" s="1" t="s">
        <v>467</v>
      </c>
      <c r="G3528" s="1" t="s">
        <v>24</v>
      </c>
      <c r="H3528" s="1">
        <v>36486</v>
      </c>
      <c r="I3528" s="1">
        <v>48662</v>
      </c>
      <c r="J3528" s="7">
        <v>0.75</v>
      </c>
      <c r="K3528" s="1" t="s">
        <v>21</v>
      </c>
      <c r="L3528" s="1" t="s">
        <v>29</v>
      </c>
      <c r="M3528" s="1" t="s">
        <v>29</v>
      </c>
      <c r="N3528" s="1" t="s">
        <v>22</v>
      </c>
    </row>
    <row r="3529" spans="1:14" x14ac:dyDescent="0.25">
      <c r="A3529" s="1">
        <v>3528</v>
      </c>
      <c r="B3529" s="2" t="str">
        <f>HYPERLINK("https://leetcode.com/problems/unit-conversion-i/", "Unit Conversion I")</f>
        <v>Unit Conversion I</v>
      </c>
      <c r="C3529" s="1">
        <v>42</v>
      </c>
      <c r="D3529" s="1">
        <v>19</v>
      </c>
      <c r="E3529" s="3">
        <f>IF(INDEX(C:C, ROW())+INDEX(D:D, ROW())=0, 0, INDEX(C:C, ROW())/(INDEX(C:C, ROW())+INDEX(D:D, ROW())))</f>
        <v>0.68852459016393441</v>
      </c>
      <c r="F3529" s="1" t="s">
        <v>212</v>
      </c>
      <c r="G3529" s="1" t="s">
        <v>24</v>
      </c>
      <c r="H3529" s="1">
        <v>19542</v>
      </c>
      <c r="I3529" s="1">
        <v>35962</v>
      </c>
      <c r="J3529" s="7">
        <v>0.54300000000000004</v>
      </c>
      <c r="K3529" s="1" t="s">
        <v>21</v>
      </c>
      <c r="L3529" s="1" t="s">
        <v>29</v>
      </c>
      <c r="M3529" s="1" t="s">
        <v>29</v>
      </c>
      <c r="N3529" s="1" t="s">
        <v>22</v>
      </c>
    </row>
    <row r="3530" spans="1:14" x14ac:dyDescent="0.25">
      <c r="A3530" s="1">
        <v>3529</v>
      </c>
      <c r="B3530" s="2" t="str">
        <f>HYPERLINK("https://leetcode.com/problems/count-cells-in-overlapping-horizontal-and-vertical-substrings/", "Count Cells in Overlapping Horizontal and Vertical Substrings")</f>
        <v>Count Cells in Overlapping Horizontal and Vertical Substrings</v>
      </c>
      <c r="C3530" s="1">
        <v>62</v>
      </c>
      <c r="D3530" s="1">
        <v>14</v>
      </c>
      <c r="E3530" s="3">
        <f>IF(INDEX(C:C, ROW())+INDEX(D:D, ROW())=0, 0, INDEX(C:C, ROW())/(INDEX(C:C, ROW())+INDEX(D:D, ROW())))</f>
        <v>0.81578947368421051</v>
      </c>
      <c r="F3530" s="1" t="s">
        <v>1237</v>
      </c>
      <c r="G3530" s="1" t="s">
        <v>24</v>
      </c>
      <c r="H3530" s="1">
        <v>7416</v>
      </c>
      <c r="I3530" s="1">
        <v>27496</v>
      </c>
      <c r="J3530" s="7">
        <v>0.27</v>
      </c>
      <c r="K3530" s="1" t="s">
        <v>21</v>
      </c>
      <c r="L3530" s="1" t="s">
        <v>29</v>
      </c>
      <c r="M3530" s="1" t="s">
        <v>29</v>
      </c>
      <c r="N3530" s="1" t="s">
        <v>22</v>
      </c>
    </row>
    <row r="3531" spans="1:14" x14ac:dyDescent="0.25">
      <c r="A3531" s="1">
        <v>3530</v>
      </c>
      <c r="B3531" s="2" t="str">
        <f>HYPERLINK("https://leetcode.com/problems/maximum-profit-from-valid-topological-order-in-dag/", "Maximum Profit from Valid Topological Order in DAG")</f>
        <v>Maximum Profit from Valid Topological Order in DAG</v>
      </c>
      <c r="C3531" s="1">
        <v>58</v>
      </c>
      <c r="D3531" s="1">
        <v>4</v>
      </c>
      <c r="E3531" s="3">
        <f>IF(INDEX(C:C, ROW())+INDEX(D:D, ROW())=0, 0, INDEX(C:C, ROW())/(INDEX(C:C, ROW())+INDEX(D:D, ROW())))</f>
        <v>0.93548387096774188</v>
      </c>
      <c r="F3531" s="1" t="s">
        <v>1246</v>
      </c>
      <c r="G3531" s="1" t="s">
        <v>28</v>
      </c>
      <c r="H3531" s="1">
        <v>5728</v>
      </c>
      <c r="I3531" s="1">
        <v>19255</v>
      </c>
      <c r="J3531" s="7">
        <v>0.29699999999999999</v>
      </c>
      <c r="K3531" s="1" t="s">
        <v>21</v>
      </c>
      <c r="L3531" s="1" t="s">
        <v>29</v>
      </c>
      <c r="M3531" s="1" t="s">
        <v>29</v>
      </c>
      <c r="N3531" s="1" t="s">
        <v>22</v>
      </c>
    </row>
    <row r="3532" spans="1:14" x14ac:dyDescent="0.25">
      <c r="A3532" s="1">
        <v>3531</v>
      </c>
      <c r="B3532" s="2" t="str">
        <f>HYPERLINK("https://leetcode.com/problems/count-covered-buildings/", "Count Covered Buildings")</f>
        <v>Count Covered Buildings</v>
      </c>
      <c r="C3532" s="1">
        <v>438</v>
      </c>
      <c r="D3532" s="1">
        <v>28</v>
      </c>
      <c r="E3532" s="3">
        <f>IF(INDEX(C:C, ROW())+INDEX(D:D, ROW())=0, 0, INDEX(C:C, ROW())/(INDEX(C:C, ROW())+INDEX(D:D, ROW())))</f>
        <v>0.93991416309012876</v>
      </c>
      <c r="F3532" s="1" t="s">
        <v>92</v>
      </c>
      <c r="G3532" s="1" t="s">
        <v>24</v>
      </c>
      <c r="H3532" s="1">
        <v>103165</v>
      </c>
      <c r="I3532" s="1">
        <v>175571</v>
      </c>
      <c r="J3532" s="7">
        <v>0.58799999999999997</v>
      </c>
      <c r="K3532" s="1" t="s">
        <v>21</v>
      </c>
      <c r="L3532" s="1" t="s">
        <v>21</v>
      </c>
      <c r="M3532" s="1" t="s">
        <v>29</v>
      </c>
      <c r="N3532" s="1" t="s">
        <v>22</v>
      </c>
    </row>
    <row r="3533" spans="1:14" x14ac:dyDescent="0.25">
      <c r="A3533" s="1">
        <v>3532</v>
      </c>
      <c r="B3533" s="2" t="str">
        <f>HYPERLINK("https://leetcode.com/problems/path-existence-queries-in-a-graph-i/", "Path Existence Queries in a Graph I")</f>
        <v>Path Existence Queries in a Graph I</v>
      </c>
      <c r="C3533" s="1">
        <v>109</v>
      </c>
      <c r="D3533" s="1">
        <v>5</v>
      </c>
      <c r="E3533" s="3">
        <f>IF(INDEX(C:C, ROW())+INDEX(D:D, ROW())=0, 0, INDEX(C:C, ROW())/(INDEX(C:C, ROW())+INDEX(D:D, ROW())))</f>
        <v>0.95614035087719296</v>
      </c>
      <c r="F3533" s="1" t="s">
        <v>1172</v>
      </c>
      <c r="G3533" s="1" t="s">
        <v>24</v>
      </c>
      <c r="H3533" s="1">
        <v>21735</v>
      </c>
      <c r="I3533" s="1">
        <v>39285</v>
      </c>
      <c r="J3533" s="7">
        <v>0.55300000000000005</v>
      </c>
      <c r="K3533" s="1" t="s">
        <v>21</v>
      </c>
      <c r="L3533" s="1" t="s">
        <v>29</v>
      </c>
      <c r="M3533" s="1" t="s">
        <v>29</v>
      </c>
      <c r="N3533" s="1" t="s">
        <v>22</v>
      </c>
    </row>
    <row r="3534" spans="1:14" x14ac:dyDescent="0.25">
      <c r="A3534" s="1">
        <v>3533</v>
      </c>
      <c r="B3534" s="2" t="str">
        <f>HYPERLINK("https://leetcode.com/problems/concatenated-divisibility/", "Concatenated Divisibility")</f>
        <v>Concatenated Divisibility</v>
      </c>
      <c r="C3534" s="1">
        <v>48</v>
      </c>
      <c r="D3534" s="1">
        <v>7</v>
      </c>
      <c r="E3534" s="3">
        <f>IF(INDEX(C:C, ROW())+INDEX(D:D, ROW())=0, 0, INDEX(C:C, ROW())/(INDEX(C:C, ROW())+INDEX(D:D, ROW())))</f>
        <v>0.87272727272727268</v>
      </c>
      <c r="F3534" s="1" t="s">
        <v>462</v>
      </c>
      <c r="G3534" s="1" t="s">
        <v>28</v>
      </c>
      <c r="H3534" s="1">
        <v>6084</v>
      </c>
      <c r="I3534" s="1">
        <v>19915</v>
      </c>
      <c r="J3534" s="7">
        <v>0.30499999999999999</v>
      </c>
      <c r="K3534" s="1" t="s">
        <v>21</v>
      </c>
      <c r="L3534" s="1" t="s">
        <v>29</v>
      </c>
      <c r="M3534" s="1" t="s">
        <v>29</v>
      </c>
      <c r="N3534" s="1" t="s">
        <v>22</v>
      </c>
    </row>
    <row r="3535" spans="1:14" x14ac:dyDescent="0.25">
      <c r="A3535" s="1">
        <v>3534</v>
      </c>
      <c r="B3535" s="2" t="str">
        <f>HYPERLINK("https://leetcode.com/problems/path-existence-queries-in-a-graph-ii/", "Path Existence Queries in a Graph II")</f>
        <v>Path Existence Queries in a Graph II</v>
      </c>
      <c r="C3535" s="1">
        <v>52</v>
      </c>
      <c r="D3535" s="1">
        <v>2</v>
      </c>
      <c r="E3535" s="3">
        <f>IF(INDEX(C:C, ROW())+INDEX(D:D, ROW())=0, 0, INDEX(C:C, ROW())/(INDEX(C:C, ROW())+INDEX(D:D, ROW())))</f>
        <v>0.96296296296296291</v>
      </c>
      <c r="F3535" s="1" t="s">
        <v>1261</v>
      </c>
      <c r="G3535" s="1" t="s">
        <v>28</v>
      </c>
      <c r="H3535" s="1">
        <v>4201</v>
      </c>
      <c r="I3535" s="1">
        <v>16029</v>
      </c>
      <c r="J3535" s="7">
        <v>0.26200000000000001</v>
      </c>
      <c r="K3535" s="1" t="s">
        <v>21</v>
      </c>
      <c r="L3535" s="1" t="s">
        <v>29</v>
      </c>
      <c r="M3535" s="1" t="s">
        <v>29</v>
      </c>
      <c r="N3535" s="1" t="s">
        <v>22</v>
      </c>
    </row>
    <row r="3536" spans="1:14" x14ac:dyDescent="0.25">
      <c r="A3536" s="1">
        <v>3535</v>
      </c>
      <c r="B3536" s="2" t="str">
        <f>HYPERLINK("https://leetcode.com/problems/unit-conversion-ii/", "Unit Conversion II")</f>
        <v>Unit Conversion II</v>
      </c>
      <c r="C3536" s="1">
        <v>5</v>
      </c>
      <c r="D3536" s="1">
        <v>8</v>
      </c>
      <c r="E3536" s="3">
        <f>IF(INDEX(C:C, ROW())+INDEX(D:D, ROW())=0, 0, INDEX(C:C, ROW())/(INDEX(C:C, ROW())+INDEX(D:D, ROW())))</f>
        <v>0.38461538461538464</v>
      </c>
      <c r="F3536" s="1" t="s">
        <v>1341</v>
      </c>
      <c r="G3536" s="1" t="s">
        <v>24</v>
      </c>
      <c r="H3536" s="1">
        <v>567</v>
      </c>
      <c r="I3536" s="1">
        <v>819</v>
      </c>
      <c r="J3536" s="7">
        <v>0.69199999999999995</v>
      </c>
      <c r="K3536" s="1" t="s">
        <v>29</v>
      </c>
      <c r="L3536" s="1" t="s">
        <v>29</v>
      </c>
      <c r="M3536" s="1" t="s">
        <v>29</v>
      </c>
      <c r="N3536" s="1" t="s">
        <v>22</v>
      </c>
    </row>
    <row r="3537" spans="1:14" x14ac:dyDescent="0.25">
      <c r="A3537" s="1">
        <v>3536</v>
      </c>
      <c r="B3537" s="2" t="str">
        <f>HYPERLINK("https://leetcode.com/problems/maximum-product-of-two-digits/", "Maximum Product of Two Digits")</f>
        <v>Maximum Product of Two Digits</v>
      </c>
      <c r="C3537" s="1">
        <v>66</v>
      </c>
      <c r="D3537" s="1">
        <v>3</v>
      </c>
      <c r="E3537" s="3">
        <f>IF(INDEX(C:C, ROW())+INDEX(D:D, ROW())=0, 0, INDEX(C:C, ROW())/(INDEX(C:C, ROW())+INDEX(D:D, ROW())))</f>
        <v>0.95652173913043481</v>
      </c>
      <c r="F3537" s="1" t="s">
        <v>808</v>
      </c>
      <c r="G3537" s="1" t="s">
        <v>20</v>
      </c>
      <c r="H3537" s="1">
        <v>46571</v>
      </c>
      <c r="I3537" s="1">
        <v>67171</v>
      </c>
      <c r="J3537" s="7">
        <v>0.69299999999999995</v>
      </c>
      <c r="K3537" s="1" t="s">
        <v>21</v>
      </c>
      <c r="L3537" s="1" t="s">
        <v>29</v>
      </c>
      <c r="M3537" s="1" t="s">
        <v>29</v>
      </c>
      <c r="N3537" s="1" t="s">
        <v>22</v>
      </c>
    </row>
    <row r="3538" spans="1:14" x14ac:dyDescent="0.25">
      <c r="A3538" s="1">
        <v>3537</v>
      </c>
      <c r="B3538" s="2" t="str">
        <f>HYPERLINK("https://leetcode.com/problems/fill-a-special-grid/", "Fill a Special Grid")</f>
        <v>Fill a Special Grid</v>
      </c>
      <c r="C3538" s="1">
        <v>111</v>
      </c>
      <c r="D3538" s="1">
        <v>9</v>
      </c>
      <c r="E3538" s="3">
        <f>IF(INDEX(C:C, ROW())+INDEX(D:D, ROW())=0, 0, INDEX(C:C, ROW())/(INDEX(C:C, ROW())+INDEX(D:D, ROW())))</f>
        <v>0.92500000000000004</v>
      </c>
      <c r="F3538" s="1" t="s">
        <v>1171</v>
      </c>
      <c r="G3538" s="1" t="s">
        <v>24</v>
      </c>
      <c r="H3538" s="1">
        <v>20749</v>
      </c>
      <c r="I3538" s="1">
        <v>29352</v>
      </c>
      <c r="J3538" s="7">
        <v>0.70699999999999996</v>
      </c>
      <c r="K3538" s="1" t="s">
        <v>21</v>
      </c>
      <c r="L3538" s="1" t="s">
        <v>29</v>
      </c>
      <c r="M3538" s="1" t="s">
        <v>29</v>
      </c>
      <c r="N3538" s="1" t="s">
        <v>22</v>
      </c>
    </row>
    <row r="3539" spans="1:14" x14ac:dyDescent="0.25">
      <c r="A3539" s="1">
        <v>3538</v>
      </c>
      <c r="B3539" s="2" t="str">
        <f>HYPERLINK("https://leetcode.com/problems/merge-operations-for-minimum-travel-time/", "Merge Operations for Minimum Travel Time")</f>
        <v>Merge Operations for Minimum Travel Time</v>
      </c>
      <c r="C3539" s="1">
        <v>69</v>
      </c>
      <c r="D3539" s="1">
        <v>10</v>
      </c>
      <c r="E3539" s="3">
        <f>IF(INDEX(C:C, ROW())+INDEX(D:D, ROW())=0, 0, INDEX(C:C, ROW())/(INDEX(C:C, ROW())+INDEX(D:D, ROW())))</f>
        <v>0.87341772151898733</v>
      </c>
      <c r="F3539" s="1" t="s">
        <v>407</v>
      </c>
      <c r="G3539" s="1" t="s">
        <v>28</v>
      </c>
      <c r="H3539" s="1">
        <v>4898</v>
      </c>
      <c r="I3539" s="1">
        <v>15918</v>
      </c>
      <c r="J3539" s="7">
        <v>0.308</v>
      </c>
      <c r="K3539" s="1" t="s">
        <v>21</v>
      </c>
      <c r="L3539" s="1" t="s">
        <v>29</v>
      </c>
      <c r="M3539" s="1" t="s">
        <v>29</v>
      </c>
      <c r="N3539" s="1" t="s">
        <v>22</v>
      </c>
    </row>
    <row r="3540" spans="1:14" x14ac:dyDescent="0.25">
      <c r="A3540" s="1">
        <v>3539</v>
      </c>
      <c r="B3540" s="2" t="str">
        <f>HYPERLINK("https://leetcode.com/problems/find-sum-of-array-product-of-magical-sequences/", "Find Sum of Array Product of Magical Sequences")</f>
        <v>Find Sum of Array Product of Magical Sequences</v>
      </c>
      <c r="C3540" s="1">
        <v>217</v>
      </c>
      <c r="D3540" s="1">
        <v>156</v>
      </c>
      <c r="E3540" s="3">
        <f>IF(INDEX(C:C, ROW())+INDEX(D:D, ROW())=0, 0, INDEX(C:C, ROW())/(INDEX(C:C, ROW())+INDEX(D:D, ROW())))</f>
        <v>0.58176943699731909</v>
      </c>
      <c r="F3540" s="1" t="s">
        <v>1082</v>
      </c>
      <c r="G3540" s="1" t="s">
        <v>28</v>
      </c>
      <c r="H3540" s="1">
        <v>52405</v>
      </c>
      <c r="I3540" s="1">
        <v>84529</v>
      </c>
      <c r="J3540" s="7">
        <v>0.62</v>
      </c>
      <c r="K3540" s="1" t="s">
        <v>21</v>
      </c>
      <c r="L3540" s="1" t="s">
        <v>21</v>
      </c>
      <c r="M3540" s="1" t="s">
        <v>29</v>
      </c>
      <c r="N3540" s="1" t="s">
        <v>22</v>
      </c>
    </row>
    <row r="3541" spans="1:14" x14ac:dyDescent="0.25">
      <c r="A3541" s="1">
        <v>3540</v>
      </c>
      <c r="B3541" s="2" t="str">
        <f>HYPERLINK("https://leetcode.com/problems/minimum-time-to-visit-all-houses/", "Minimum Time to Visit All Houses")</f>
        <v>Minimum Time to Visit All Houses</v>
      </c>
      <c r="C3541" s="1">
        <v>7</v>
      </c>
      <c r="D3541" s="1">
        <v>2</v>
      </c>
      <c r="E3541" s="3">
        <f>IF(INDEX(C:C, ROW())+INDEX(D:D, ROW())=0, 0, INDEX(C:C, ROW())/(INDEX(C:C, ROW())+INDEX(D:D, ROW())))</f>
        <v>0.77777777777777779</v>
      </c>
      <c r="F3541" s="1" t="s">
        <v>37</v>
      </c>
      <c r="G3541" s="1" t="s">
        <v>24</v>
      </c>
      <c r="H3541" s="1">
        <v>1172</v>
      </c>
      <c r="I3541" s="1">
        <v>1691</v>
      </c>
      <c r="J3541" s="7">
        <v>0.69299999999999995</v>
      </c>
      <c r="K3541" s="1" t="s">
        <v>29</v>
      </c>
      <c r="L3541" s="1" t="s">
        <v>29</v>
      </c>
      <c r="M3541" s="1" t="s">
        <v>29</v>
      </c>
      <c r="N3541" s="1" t="s">
        <v>22</v>
      </c>
    </row>
    <row r="3542" spans="1:14" x14ac:dyDescent="0.25">
      <c r="A3542" s="1">
        <v>3541</v>
      </c>
      <c r="B3542" s="2" t="str">
        <f>HYPERLINK("https://leetcode.com/problems/find-most-frequent-vowel-and-consonant/", "Find Most Frequent Vowel and Consonant")</f>
        <v>Find Most Frequent Vowel and Consonant</v>
      </c>
      <c r="C3542" s="1">
        <v>422</v>
      </c>
      <c r="D3542" s="1">
        <v>15</v>
      </c>
      <c r="E3542" s="3">
        <f>IF(INDEX(C:C, ROW())+INDEX(D:D, ROW())=0, 0, INDEX(C:C, ROW())/(INDEX(C:C, ROW())+INDEX(D:D, ROW())))</f>
        <v>0.96567505720823799</v>
      </c>
      <c r="F3542" s="1" t="s">
        <v>237</v>
      </c>
      <c r="G3542" s="1" t="s">
        <v>20</v>
      </c>
      <c r="H3542" s="1">
        <v>203612</v>
      </c>
      <c r="I3542" s="1">
        <v>227907</v>
      </c>
      <c r="J3542" s="7">
        <v>0.89300000000000002</v>
      </c>
      <c r="K3542" s="1" t="s">
        <v>21</v>
      </c>
      <c r="L3542" s="1" t="s">
        <v>21</v>
      </c>
      <c r="M3542" s="1" t="s">
        <v>29</v>
      </c>
      <c r="N3542" s="1" t="s">
        <v>22</v>
      </c>
    </row>
    <row r="3543" spans="1:14" x14ac:dyDescent="0.25">
      <c r="A3543" s="1">
        <v>3542</v>
      </c>
      <c r="B3543" s="2" t="str">
        <f>HYPERLINK("https://leetcode.com/problems/minimum-operations-to-convert-all-elements-to-zero/", "Minimum Operations to Convert All Elements to Zero")</f>
        <v>Minimum Operations to Convert All Elements to Zero</v>
      </c>
      <c r="C3543" s="1">
        <v>610</v>
      </c>
      <c r="D3543" s="1">
        <v>64</v>
      </c>
      <c r="E3543" s="3">
        <f>IF(INDEX(C:C, ROW())+INDEX(D:D, ROW())=0, 0, INDEX(C:C, ROW())/(INDEX(C:C, ROW())+INDEX(D:D, ROW())))</f>
        <v>0.90504451038575673</v>
      </c>
      <c r="F3543" s="1" t="s">
        <v>846</v>
      </c>
      <c r="G3543" s="1" t="s">
        <v>24</v>
      </c>
      <c r="H3543" s="1">
        <v>86147</v>
      </c>
      <c r="I3543" s="1">
        <v>162758</v>
      </c>
      <c r="J3543" s="7">
        <v>0.52900000000000003</v>
      </c>
      <c r="K3543" s="1" t="s">
        <v>21</v>
      </c>
      <c r="L3543" s="1" t="s">
        <v>21</v>
      </c>
      <c r="M3543" s="1" t="s">
        <v>29</v>
      </c>
      <c r="N3543" s="1" t="s">
        <v>22</v>
      </c>
    </row>
    <row r="3544" spans="1:14" x14ac:dyDescent="0.25">
      <c r="A3544" s="1">
        <v>3543</v>
      </c>
      <c r="B3544" s="2" t="str">
        <f>HYPERLINK("https://leetcode.com/problems/maximum-weighted-k-edge-path/", "Maximum Weighted K-Edge Path")</f>
        <v>Maximum Weighted K-Edge Path</v>
      </c>
      <c r="C3544" s="1">
        <v>85</v>
      </c>
      <c r="D3544" s="1">
        <v>10</v>
      </c>
      <c r="E3544" s="3">
        <f>IF(INDEX(C:C, ROW())+INDEX(D:D, ROW())=0, 0, INDEX(C:C, ROW())/(INDEX(C:C, ROW())+INDEX(D:D, ROW())))</f>
        <v>0.89473684210526316</v>
      </c>
      <c r="F3544" s="1" t="s">
        <v>1199</v>
      </c>
      <c r="G3544" s="1" t="s">
        <v>24</v>
      </c>
      <c r="H3544" s="1">
        <v>9354</v>
      </c>
      <c r="I3544" s="1">
        <v>47094</v>
      </c>
      <c r="J3544" s="7">
        <v>0.19900000000000001</v>
      </c>
      <c r="K3544" s="1" t="s">
        <v>21</v>
      </c>
      <c r="L3544" s="1" t="s">
        <v>29</v>
      </c>
      <c r="M3544" s="1" t="s">
        <v>29</v>
      </c>
      <c r="N3544" s="1" t="s">
        <v>22</v>
      </c>
    </row>
    <row r="3545" spans="1:14" x14ac:dyDescent="0.25">
      <c r="A3545" s="1">
        <v>3544</v>
      </c>
      <c r="B3545" s="2" t="str">
        <f>HYPERLINK("https://leetcode.com/problems/subtree-inversion-sum/", "Subtree Inversion Sum")</f>
        <v>Subtree Inversion Sum</v>
      </c>
      <c r="C3545" s="1">
        <v>45</v>
      </c>
      <c r="D3545" s="1">
        <v>7</v>
      </c>
      <c r="E3545" s="3">
        <f>IF(INDEX(C:C, ROW())+INDEX(D:D, ROW())=0, 0, INDEX(C:C, ROW())/(INDEX(C:C, ROW())+INDEX(D:D, ROW())))</f>
        <v>0.86538461538461542</v>
      </c>
      <c r="F3545" s="1" t="s">
        <v>939</v>
      </c>
      <c r="G3545" s="1" t="s">
        <v>28</v>
      </c>
      <c r="H3545" s="1">
        <v>4249</v>
      </c>
      <c r="I3545" s="1">
        <v>9607</v>
      </c>
      <c r="J3545" s="7">
        <v>0.442</v>
      </c>
      <c r="K3545" s="1" t="s">
        <v>21</v>
      </c>
      <c r="L3545" s="1" t="s">
        <v>29</v>
      </c>
      <c r="M3545" s="1" t="s">
        <v>29</v>
      </c>
      <c r="N3545" s="1" t="s">
        <v>22</v>
      </c>
    </row>
    <row r="3546" spans="1:14" x14ac:dyDescent="0.25">
      <c r="A3546" s="1">
        <v>3545</v>
      </c>
      <c r="B3546" s="2" t="str">
        <f>HYPERLINK("https://leetcode.com/problems/minimum-deletions-for-at-most-k-distinct-characters/", "Minimum Deletions for At Most K Distinct Characters")</f>
        <v>Minimum Deletions for At Most K Distinct Characters</v>
      </c>
      <c r="C3546" s="1">
        <v>90</v>
      </c>
      <c r="D3546" s="1">
        <v>6</v>
      </c>
      <c r="E3546" s="3">
        <f>IF(INDEX(C:C, ROW())+INDEX(D:D, ROW())=0, 0, INDEX(C:C, ROW())/(INDEX(C:C, ROW())+INDEX(D:D, ROW())))</f>
        <v>0.9375</v>
      </c>
      <c r="F3546" s="1" t="s">
        <v>772</v>
      </c>
      <c r="G3546" s="1" t="s">
        <v>20</v>
      </c>
      <c r="H3546" s="1">
        <v>41280</v>
      </c>
      <c r="I3546" s="1">
        <v>56611</v>
      </c>
      <c r="J3546" s="7">
        <v>0.72899999999999998</v>
      </c>
      <c r="K3546" s="1" t="s">
        <v>21</v>
      </c>
      <c r="L3546" s="1" t="s">
        <v>29</v>
      </c>
      <c r="M3546" s="1" t="s">
        <v>29</v>
      </c>
      <c r="N3546" s="1" t="s">
        <v>22</v>
      </c>
    </row>
    <row r="3547" spans="1:14" x14ac:dyDescent="0.25">
      <c r="A3547" s="1">
        <v>3546</v>
      </c>
      <c r="B3547" s="2" t="str">
        <f>HYPERLINK("https://leetcode.com/problems/equal-sum-grid-partition-i/", "Equal Sum Grid Partition I")</f>
        <v>Equal Sum Grid Partition I</v>
      </c>
      <c r="C3547" s="1">
        <v>77</v>
      </c>
      <c r="D3547" s="1">
        <v>5</v>
      </c>
      <c r="E3547" s="3">
        <f>IF(INDEX(C:C, ROW())+INDEX(D:D, ROW())=0, 0, INDEX(C:C, ROW())/(INDEX(C:C, ROW())+INDEX(D:D, ROW())))</f>
        <v>0.93902439024390238</v>
      </c>
      <c r="F3547" s="1" t="s">
        <v>1213</v>
      </c>
      <c r="G3547" s="1" t="s">
        <v>24</v>
      </c>
      <c r="H3547" s="1">
        <v>25456</v>
      </c>
      <c r="I3547" s="1">
        <v>60236</v>
      </c>
      <c r="J3547" s="7">
        <v>0.42299999999999999</v>
      </c>
      <c r="K3547" s="1" t="s">
        <v>21</v>
      </c>
      <c r="L3547" s="1" t="s">
        <v>29</v>
      </c>
      <c r="M3547" s="1" t="s">
        <v>29</v>
      </c>
      <c r="N3547" s="1" t="s">
        <v>22</v>
      </c>
    </row>
    <row r="3548" spans="1:14" x14ac:dyDescent="0.25">
      <c r="A3548" s="1">
        <v>3547</v>
      </c>
      <c r="B3548" s="2" t="str">
        <f>HYPERLINK("https://leetcode.com/problems/maximum-sum-of-edge-values-in-a-graph/", "Maximum Sum of Edge Values in a Graph")</f>
        <v>Maximum Sum of Edge Values in a Graph</v>
      </c>
      <c r="C3548" s="1">
        <v>50</v>
      </c>
      <c r="D3548" s="1">
        <v>30</v>
      </c>
      <c r="E3548" s="3">
        <f>IF(INDEX(C:C, ROW())+INDEX(D:D, ROW())=0, 0, INDEX(C:C, ROW())/(INDEX(C:C, ROW())+INDEX(D:D, ROW())))</f>
        <v>0.625</v>
      </c>
      <c r="F3548" s="1" t="s">
        <v>1267</v>
      </c>
      <c r="G3548" s="1" t="s">
        <v>28</v>
      </c>
      <c r="H3548" s="1">
        <v>6480</v>
      </c>
      <c r="I3548" s="1">
        <v>18154</v>
      </c>
      <c r="J3548" s="7">
        <v>0.35699999999999998</v>
      </c>
      <c r="K3548" s="1" t="s">
        <v>21</v>
      </c>
      <c r="L3548" s="1" t="s">
        <v>29</v>
      </c>
      <c r="M3548" s="1" t="s">
        <v>29</v>
      </c>
      <c r="N3548" s="1" t="s">
        <v>22</v>
      </c>
    </row>
    <row r="3549" spans="1:14" x14ac:dyDescent="0.25">
      <c r="A3549" s="1">
        <v>3548</v>
      </c>
      <c r="B3549" s="2" t="str">
        <f>HYPERLINK("https://leetcode.com/problems/equal-sum-grid-partition-ii/", "Equal Sum Grid Partition II")</f>
        <v>Equal Sum Grid Partition II</v>
      </c>
      <c r="C3549" s="1">
        <v>39</v>
      </c>
      <c r="D3549" s="1">
        <v>15</v>
      </c>
      <c r="E3549" s="3">
        <f>IF(INDEX(C:C, ROW())+INDEX(D:D, ROW())=0, 0, INDEX(C:C, ROW())/(INDEX(C:C, ROW())+INDEX(D:D, ROW())))</f>
        <v>0.72222222222222221</v>
      </c>
      <c r="F3549" s="1" t="s">
        <v>1289</v>
      </c>
      <c r="G3549" s="1" t="s">
        <v>28</v>
      </c>
      <c r="H3549" s="1">
        <v>6295</v>
      </c>
      <c r="I3549" s="1">
        <v>29013</v>
      </c>
      <c r="J3549" s="7">
        <v>0.217</v>
      </c>
      <c r="K3549" s="1" t="s">
        <v>21</v>
      </c>
      <c r="L3549" s="1" t="s">
        <v>29</v>
      </c>
      <c r="M3549" s="1" t="s">
        <v>29</v>
      </c>
      <c r="N3549" s="1" t="s">
        <v>22</v>
      </c>
    </row>
    <row r="3550" spans="1:14" x14ac:dyDescent="0.25">
      <c r="A3550" s="1">
        <v>3549</v>
      </c>
      <c r="B3550" s="2" t="str">
        <f>HYPERLINK("https://leetcode.com/problems/multiply-two-polynomials/", "Multiply Two Polynomials")</f>
        <v>Multiply Two Polynomials</v>
      </c>
      <c r="C3550" s="1">
        <v>6</v>
      </c>
      <c r="D3550" s="1">
        <v>1</v>
      </c>
      <c r="E3550" s="3">
        <f>IF(INDEX(C:C, ROW())+INDEX(D:D, ROW())=0, 0, INDEX(C:C, ROW())/(INDEX(C:C, ROW())+INDEX(D:D, ROW())))</f>
        <v>0.8571428571428571</v>
      </c>
      <c r="F3550" s="1" t="s">
        <v>115</v>
      </c>
      <c r="G3550" s="1" t="s">
        <v>28</v>
      </c>
      <c r="H3550" s="1">
        <v>347</v>
      </c>
      <c r="I3550" s="1">
        <v>570</v>
      </c>
      <c r="J3550" s="7">
        <v>0.60899999999999999</v>
      </c>
      <c r="K3550" s="1" t="s">
        <v>29</v>
      </c>
      <c r="L3550" s="1" t="s">
        <v>29</v>
      </c>
      <c r="M3550" s="1" t="s">
        <v>29</v>
      </c>
      <c r="N3550" s="1" t="s">
        <v>22</v>
      </c>
    </row>
    <row r="3551" spans="1:14" x14ac:dyDescent="0.25">
      <c r="A3551" s="1">
        <v>3550</v>
      </c>
      <c r="B3551" s="2" t="str">
        <f>HYPERLINK("https://leetcode.com/problems/smallest-index-with-digit-sum-equal-to-index/", "Smallest Index With Digit Sum Equal to Index")</f>
        <v>Smallest Index With Digit Sum Equal to Index</v>
      </c>
      <c r="C3551" s="1">
        <v>68</v>
      </c>
      <c r="D3551" s="1">
        <v>3</v>
      </c>
      <c r="E3551" s="3">
        <f>IF(INDEX(C:C, ROW())+INDEX(D:D, ROW())=0, 0, INDEX(C:C, ROW())/(INDEX(C:C, ROW())+INDEX(D:D, ROW())))</f>
        <v>0.95774647887323938</v>
      </c>
      <c r="F3551" s="1" t="s">
        <v>115</v>
      </c>
      <c r="G3551" s="1" t="s">
        <v>20</v>
      </c>
      <c r="H3551" s="1">
        <v>52675</v>
      </c>
      <c r="I3551" s="1">
        <v>65737</v>
      </c>
      <c r="J3551" s="7">
        <v>0.80100000000000005</v>
      </c>
      <c r="K3551" s="1" t="s">
        <v>21</v>
      </c>
      <c r="L3551" s="1" t="s">
        <v>29</v>
      </c>
      <c r="M3551" s="1" t="s">
        <v>29</v>
      </c>
      <c r="N3551" s="1" t="s">
        <v>22</v>
      </c>
    </row>
    <row r="3552" spans="1:14" x14ac:dyDescent="0.25">
      <c r="A3552" s="1">
        <v>3551</v>
      </c>
      <c r="B3552" s="2" t="str">
        <f>HYPERLINK("https://leetcode.com/problems/minimum-swaps-to-sort-by-digit-sum/", "Minimum Swaps to Sort by Digit Sum")</f>
        <v>Minimum Swaps to Sort by Digit Sum</v>
      </c>
      <c r="C3552" s="1">
        <v>143</v>
      </c>
      <c r="D3552" s="1">
        <v>5</v>
      </c>
      <c r="E3552" s="3">
        <f>IF(INDEX(C:C, ROW())+INDEX(D:D, ROW())=0, 0, INDEX(C:C, ROW())/(INDEX(C:C, ROW())+INDEX(D:D, ROW())))</f>
        <v>0.96621621621621623</v>
      </c>
      <c r="F3552" s="1" t="s">
        <v>92</v>
      </c>
      <c r="G3552" s="1" t="s">
        <v>24</v>
      </c>
      <c r="H3552" s="1">
        <v>25453</v>
      </c>
      <c r="I3552" s="1">
        <v>50492</v>
      </c>
      <c r="J3552" s="7">
        <v>0.504</v>
      </c>
      <c r="K3552" s="1" t="s">
        <v>21</v>
      </c>
      <c r="L3552" s="1" t="s">
        <v>29</v>
      </c>
      <c r="M3552" s="1" t="s">
        <v>29</v>
      </c>
      <c r="N3552" s="1" t="s">
        <v>22</v>
      </c>
    </row>
    <row r="3553" spans="1:14" x14ac:dyDescent="0.25">
      <c r="A3553" s="1">
        <v>3552</v>
      </c>
      <c r="B3553" s="2" t="str">
        <f>HYPERLINK("https://leetcode.com/problems/grid-teleportation-traversal/", "Grid Teleportation Traversal")</f>
        <v>Grid Teleportation Traversal</v>
      </c>
      <c r="C3553" s="1">
        <v>134</v>
      </c>
      <c r="D3553" s="1">
        <v>11</v>
      </c>
      <c r="E3553" s="3">
        <f>IF(INDEX(C:C, ROW())+INDEX(D:D, ROW())=0, 0, INDEX(C:C, ROW())/(INDEX(C:C, ROW())+INDEX(D:D, ROW())))</f>
        <v>0.92413793103448272</v>
      </c>
      <c r="F3553" s="1" t="s">
        <v>1150</v>
      </c>
      <c r="G3553" s="1" t="s">
        <v>24</v>
      </c>
      <c r="H3553" s="1">
        <v>13210</v>
      </c>
      <c r="I3553" s="1">
        <v>56964</v>
      </c>
      <c r="J3553" s="7">
        <v>0.23200000000000001</v>
      </c>
      <c r="K3553" s="1" t="s">
        <v>21</v>
      </c>
      <c r="L3553" s="1" t="s">
        <v>29</v>
      </c>
      <c r="M3553" s="1" t="s">
        <v>29</v>
      </c>
      <c r="N3553" s="1" t="s">
        <v>22</v>
      </c>
    </row>
    <row r="3554" spans="1:14" x14ac:dyDescent="0.25">
      <c r="A3554" s="1">
        <v>3553</v>
      </c>
      <c r="B3554" s="2" t="str">
        <f>HYPERLINK("https://leetcode.com/problems/minimum-weighted-subgraph-with-the-required-paths-ii/", "Minimum Weighted Subgraph With the Required Paths II")</f>
        <v>Minimum Weighted Subgraph With the Required Paths II</v>
      </c>
      <c r="C3554" s="1">
        <v>52</v>
      </c>
      <c r="D3554" s="1">
        <v>4</v>
      </c>
      <c r="E3554" s="3">
        <f>IF(INDEX(C:C, ROW())+INDEX(D:D, ROW())=0, 0, INDEX(C:C, ROW())/(INDEX(C:C, ROW())+INDEX(D:D, ROW())))</f>
        <v>0.9285714285714286</v>
      </c>
      <c r="F3554" s="1" t="s">
        <v>1262</v>
      </c>
      <c r="G3554" s="1" t="s">
        <v>28</v>
      </c>
      <c r="H3554" s="1">
        <v>4523</v>
      </c>
      <c r="I3554" s="1">
        <v>9105</v>
      </c>
      <c r="J3554" s="7">
        <v>0.497</v>
      </c>
      <c r="K3554" s="1" t="s">
        <v>21</v>
      </c>
      <c r="L3554" s="1" t="s">
        <v>29</v>
      </c>
      <c r="M3554" s="1" t="s">
        <v>29</v>
      </c>
      <c r="N3554" s="1" t="s">
        <v>22</v>
      </c>
    </row>
    <row r="3555" spans="1:14" x14ac:dyDescent="0.25">
      <c r="A3555" s="1">
        <v>3554</v>
      </c>
      <c r="B3555" s="2" t="str">
        <f>HYPERLINK("https://leetcode.com/problems/find-category-recommendation-pairs/", "Find Category Recommendation Pairs")</f>
        <v>Find Category Recommendation Pairs</v>
      </c>
      <c r="C3555" s="1">
        <v>32</v>
      </c>
      <c r="D3555" s="1">
        <v>5</v>
      </c>
      <c r="E3555" s="3">
        <f>IF(INDEX(C:C, ROW())+INDEX(D:D, ROW())=0, 0, INDEX(C:C, ROW())/(INDEX(C:C, ROW())+INDEX(D:D, ROW())))</f>
        <v>0.86486486486486491</v>
      </c>
      <c r="F3555" s="1" t="s">
        <v>297</v>
      </c>
      <c r="G3555" s="1" t="s">
        <v>28</v>
      </c>
      <c r="H3555" s="1">
        <v>8522</v>
      </c>
      <c r="I3555" s="1">
        <v>13603</v>
      </c>
      <c r="J3555" s="7">
        <v>0.626</v>
      </c>
      <c r="K3555" s="1" t="s">
        <v>21</v>
      </c>
      <c r="L3555" s="1" t="s">
        <v>29</v>
      </c>
      <c r="M3555" s="1" t="s">
        <v>29</v>
      </c>
      <c r="N3555" s="1" t="s">
        <v>297</v>
      </c>
    </row>
    <row r="3556" spans="1:14" x14ac:dyDescent="0.25">
      <c r="A3556" s="1">
        <v>3555</v>
      </c>
      <c r="B3556" s="2" t="str">
        <f>HYPERLINK("https://leetcode.com/problems/smallest-subarray-to-sort-in-every-sliding-window/", "Smallest Subarray to Sort in Every Sliding Window")</f>
        <v>Smallest Subarray to Sort in Every Sliding Window</v>
      </c>
      <c r="C3556" s="1">
        <v>7</v>
      </c>
      <c r="D3556" s="1">
        <v>1</v>
      </c>
      <c r="E3556" s="3">
        <f>IF(INDEX(C:C, ROW())+INDEX(D:D, ROW())=0, 0, INDEX(C:C, ROW())/(INDEX(C:C, ROW())+INDEX(D:D, ROW())))</f>
        <v>0.875</v>
      </c>
      <c r="F3556" s="1" t="s">
        <v>170</v>
      </c>
      <c r="G3556" s="1" t="s">
        <v>24</v>
      </c>
      <c r="H3556" s="1">
        <v>696</v>
      </c>
      <c r="I3556" s="1">
        <v>1174</v>
      </c>
      <c r="J3556" s="7">
        <v>0.59299999999999997</v>
      </c>
      <c r="K3556" s="1" t="s">
        <v>29</v>
      </c>
      <c r="L3556" s="1" t="s">
        <v>29</v>
      </c>
      <c r="M3556" s="1" t="s">
        <v>29</v>
      </c>
      <c r="N3556" s="1" t="s">
        <v>22</v>
      </c>
    </row>
    <row r="3557" spans="1:14" x14ac:dyDescent="0.25">
      <c r="A3557" s="1">
        <v>3556</v>
      </c>
      <c r="B3557" s="2" t="str">
        <f>HYPERLINK("https://leetcode.com/problems/sum-of-largest-prime-substrings/", "Sum of Largest Prime Substrings")</f>
        <v>Sum of Largest Prime Substrings</v>
      </c>
      <c r="C3557" s="1">
        <v>55</v>
      </c>
      <c r="D3557" s="1">
        <v>10</v>
      </c>
      <c r="E3557" s="3">
        <f>IF(INDEX(C:C, ROW())+INDEX(D:D, ROW())=0, 0, INDEX(C:C, ROW())/(INDEX(C:C, ROW())+INDEX(D:D, ROW())))</f>
        <v>0.84615384615384615</v>
      </c>
      <c r="F3557" s="1" t="s">
        <v>1255</v>
      </c>
      <c r="G3557" s="1" t="s">
        <v>24</v>
      </c>
      <c r="H3557" s="1">
        <v>24434</v>
      </c>
      <c r="I3557" s="1">
        <v>64696</v>
      </c>
      <c r="J3557" s="7">
        <v>0.378</v>
      </c>
      <c r="K3557" s="1" t="s">
        <v>21</v>
      </c>
      <c r="L3557" s="1" t="s">
        <v>29</v>
      </c>
      <c r="M3557" s="1" t="s">
        <v>29</v>
      </c>
      <c r="N3557" s="1" t="s">
        <v>22</v>
      </c>
    </row>
    <row r="3558" spans="1:14" x14ac:dyDescent="0.25">
      <c r="A3558" s="1">
        <v>3557</v>
      </c>
      <c r="B3558" s="2" t="str">
        <f>HYPERLINK("https://leetcode.com/problems/find-maximum-number-of-non-intersecting-substrings/", "Find Maximum Number of Non Intersecting Substrings")</f>
        <v>Find Maximum Number of Non Intersecting Substrings</v>
      </c>
      <c r="C3558" s="1">
        <v>75</v>
      </c>
      <c r="D3558" s="1">
        <v>3</v>
      </c>
      <c r="E3558" s="3">
        <f>IF(INDEX(C:C, ROW())+INDEX(D:D, ROW())=0, 0, INDEX(C:C, ROW())/(INDEX(C:C, ROW())+INDEX(D:D, ROW())))</f>
        <v>0.96153846153846156</v>
      </c>
      <c r="F3558" s="1" t="s">
        <v>1219</v>
      </c>
      <c r="G3558" s="1" t="s">
        <v>24</v>
      </c>
      <c r="H3558" s="1">
        <v>15908</v>
      </c>
      <c r="I3558" s="1">
        <v>52371</v>
      </c>
      <c r="J3558" s="7">
        <v>0.30399999999999999</v>
      </c>
      <c r="K3558" s="1" t="s">
        <v>21</v>
      </c>
      <c r="L3558" s="1" t="s">
        <v>29</v>
      </c>
      <c r="M3558" s="1" t="s">
        <v>29</v>
      </c>
      <c r="N3558" s="1" t="s">
        <v>22</v>
      </c>
    </row>
    <row r="3559" spans="1:14" x14ac:dyDescent="0.25">
      <c r="A3559" s="1">
        <v>3558</v>
      </c>
      <c r="B3559" s="2" t="str">
        <f>HYPERLINK("https://leetcode.com/problems/number-of-ways-to-assign-edge-weights-i/", "Number of Ways to Assign Edge Weights I")</f>
        <v>Number of Ways to Assign Edge Weights I</v>
      </c>
      <c r="C3559" s="1">
        <v>58</v>
      </c>
      <c r="D3559" s="1">
        <v>6</v>
      </c>
      <c r="E3559" s="3">
        <f>IF(INDEX(C:C, ROW())+INDEX(D:D, ROW())=0, 0, INDEX(C:C, ROW())/(INDEX(C:C, ROW())+INDEX(D:D, ROW())))</f>
        <v>0.90625</v>
      </c>
      <c r="F3559" s="1" t="s">
        <v>1247</v>
      </c>
      <c r="G3559" s="1" t="s">
        <v>24</v>
      </c>
      <c r="H3559" s="1">
        <v>13477</v>
      </c>
      <c r="I3559" s="1">
        <v>25311</v>
      </c>
      <c r="J3559" s="7">
        <v>0.53200000000000003</v>
      </c>
      <c r="K3559" s="1" t="s">
        <v>21</v>
      </c>
      <c r="L3559" s="1" t="s">
        <v>29</v>
      </c>
      <c r="M3559" s="1" t="s">
        <v>29</v>
      </c>
      <c r="N3559" s="1" t="s">
        <v>22</v>
      </c>
    </row>
    <row r="3560" spans="1:14" x14ac:dyDescent="0.25">
      <c r="A3560" s="1">
        <v>3559</v>
      </c>
      <c r="B3560" s="2" t="str">
        <f>HYPERLINK("https://leetcode.com/problems/number-of-ways-to-assign-edge-weights-ii/", "Number of Ways to Assign Edge Weights II")</f>
        <v>Number of Ways to Assign Edge Weights II</v>
      </c>
      <c r="C3560" s="1">
        <v>57</v>
      </c>
      <c r="D3560" s="1">
        <v>1</v>
      </c>
      <c r="E3560" s="3">
        <f>IF(INDEX(C:C, ROW())+INDEX(D:D, ROW())=0, 0, INDEX(C:C, ROW())/(INDEX(C:C, ROW())+INDEX(D:D, ROW())))</f>
        <v>0.98275862068965514</v>
      </c>
      <c r="F3560" s="1" t="s">
        <v>1251</v>
      </c>
      <c r="G3560" s="1" t="s">
        <v>28</v>
      </c>
      <c r="H3560" s="1">
        <v>6699</v>
      </c>
      <c r="I3560" s="1">
        <v>11255</v>
      </c>
      <c r="J3560" s="7">
        <v>0.59499999999999997</v>
      </c>
      <c r="K3560" s="1" t="s">
        <v>21</v>
      </c>
      <c r="L3560" s="1" t="s">
        <v>29</v>
      </c>
      <c r="M3560" s="1" t="s">
        <v>29</v>
      </c>
      <c r="N3560" s="1" t="s">
        <v>22</v>
      </c>
    </row>
    <row r="3561" spans="1:14" x14ac:dyDescent="0.25">
      <c r="A3561" s="1">
        <v>3560</v>
      </c>
      <c r="B3561" s="2" t="str">
        <f>HYPERLINK("https://leetcode.com/problems/find-minimum-log-transportation-cost/", "Find Minimum Log Transportation Cost")</f>
        <v>Find Minimum Log Transportation Cost</v>
      </c>
      <c r="C3561" s="1">
        <v>59</v>
      </c>
      <c r="D3561" s="1">
        <v>17</v>
      </c>
      <c r="E3561" s="3">
        <f>IF(INDEX(C:C, ROW())+INDEX(D:D, ROW())=0, 0, INDEX(C:C, ROW())/(INDEX(C:C, ROW())+INDEX(D:D, ROW())))</f>
        <v>0.77631578947368418</v>
      </c>
      <c r="F3561" s="1" t="s">
        <v>84</v>
      </c>
      <c r="G3561" s="1" t="s">
        <v>20</v>
      </c>
      <c r="H3561" s="1">
        <v>35123</v>
      </c>
      <c r="I3561" s="1">
        <v>83308</v>
      </c>
      <c r="J3561" s="7">
        <v>0.42199999999999999</v>
      </c>
      <c r="K3561" s="1" t="s">
        <v>21</v>
      </c>
      <c r="L3561" s="1" t="s">
        <v>29</v>
      </c>
      <c r="M3561" s="1" t="s">
        <v>29</v>
      </c>
      <c r="N3561" s="1" t="s">
        <v>22</v>
      </c>
    </row>
    <row r="3562" spans="1:14" x14ac:dyDescent="0.25">
      <c r="A3562" s="1">
        <v>3561</v>
      </c>
      <c r="B3562" s="2" t="str">
        <f>HYPERLINK("https://leetcode.com/problems/resulting-string-after-adjacent-removals/", "Resulting String After Adjacent Removals")</f>
        <v>Resulting String After Adjacent Removals</v>
      </c>
      <c r="C3562" s="1">
        <v>89</v>
      </c>
      <c r="D3562" s="1">
        <v>3</v>
      </c>
      <c r="E3562" s="3">
        <f>IF(INDEX(C:C, ROW())+INDEX(D:D, ROW())=0, 0, INDEX(C:C, ROW())/(INDEX(C:C, ROW())+INDEX(D:D, ROW())))</f>
        <v>0.96739130434782605</v>
      </c>
      <c r="F3562" s="1" t="s">
        <v>365</v>
      </c>
      <c r="G3562" s="1" t="s">
        <v>24</v>
      </c>
      <c r="H3562" s="1">
        <v>32134</v>
      </c>
      <c r="I3562" s="1">
        <v>56787</v>
      </c>
      <c r="J3562" s="7">
        <v>0.56599999999999995</v>
      </c>
      <c r="K3562" s="1" t="s">
        <v>21</v>
      </c>
      <c r="L3562" s="1" t="s">
        <v>29</v>
      </c>
      <c r="M3562" s="1" t="s">
        <v>29</v>
      </c>
      <c r="N3562" s="1" t="s">
        <v>22</v>
      </c>
    </row>
    <row r="3563" spans="1:14" x14ac:dyDescent="0.25">
      <c r="A3563" s="1">
        <v>3562</v>
      </c>
      <c r="B3563" s="2" t="str">
        <f>HYPERLINK("https://leetcode.com/problems/maximum-profit-from-trading-stocks-with-discounts/", "Maximum Profit from Trading Stocks with Discounts")</f>
        <v>Maximum Profit from Trading Stocks with Discounts</v>
      </c>
      <c r="C3563" s="1">
        <v>375</v>
      </c>
      <c r="D3563" s="1">
        <v>53</v>
      </c>
      <c r="E3563" s="3">
        <f>IF(INDEX(C:C, ROW())+INDEX(D:D, ROW())=0, 0, INDEX(C:C, ROW())/(INDEX(C:C, ROW())+INDEX(D:D, ROW())))</f>
        <v>0.87616822429906538</v>
      </c>
      <c r="F3563" s="1" t="s">
        <v>939</v>
      </c>
      <c r="G3563" s="1" t="s">
        <v>28</v>
      </c>
      <c r="H3563" s="1">
        <v>49900</v>
      </c>
      <c r="I3563" s="1">
        <v>87836</v>
      </c>
      <c r="J3563" s="7">
        <v>0.56799999999999995</v>
      </c>
      <c r="K3563" s="1" t="s">
        <v>21</v>
      </c>
      <c r="L3563" s="1" t="s">
        <v>21</v>
      </c>
      <c r="M3563" s="1" t="s">
        <v>29</v>
      </c>
      <c r="N3563" s="1" t="s">
        <v>22</v>
      </c>
    </row>
    <row r="3564" spans="1:14" x14ac:dyDescent="0.25">
      <c r="A3564" s="1">
        <v>3563</v>
      </c>
      <c r="B3564" s="2" t="str">
        <f>HYPERLINK("https://leetcode.com/problems/lexicographically-smallest-string-after-adjacent-removals/", "Lexicographically Smallest String After Adjacent Removals")</f>
        <v>Lexicographically Smallest String After Adjacent Removals</v>
      </c>
      <c r="C3564" s="1">
        <v>52</v>
      </c>
      <c r="D3564" s="1">
        <v>4</v>
      </c>
      <c r="E3564" s="3">
        <f>IF(INDEX(C:C, ROW())+INDEX(D:D, ROW())=0, 0, INDEX(C:C, ROW())/(INDEX(C:C, ROW())+INDEX(D:D, ROW())))</f>
        <v>0.9285714285714286</v>
      </c>
      <c r="F3564" s="1" t="s">
        <v>82</v>
      </c>
      <c r="G3564" s="1" t="s">
        <v>28</v>
      </c>
      <c r="H3564" s="1">
        <v>3957</v>
      </c>
      <c r="I3564" s="1">
        <v>23020</v>
      </c>
      <c r="J3564" s="7">
        <v>0.17199999999999999</v>
      </c>
      <c r="K3564" s="1" t="s">
        <v>21</v>
      </c>
      <c r="L3564" s="1" t="s">
        <v>29</v>
      </c>
      <c r="M3564" s="1" t="s">
        <v>29</v>
      </c>
      <c r="N3564" s="1" t="s">
        <v>22</v>
      </c>
    </row>
    <row r="3565" spans="1:14" x14ac:dyDescent="0.25">
      <c r="A3565" s="1">
        <v>3564</v>
      </c>
      <c r="B3565" s="2" t="str">
        <f>HYPERLINK("https://leetcode.com/problems/seasonal-sales-analysis/", "Seasonal Sales Analysis")</f>
        <v>Seasonal Sales Analysis</v>
      </c>
      <c r="C3565" s="1">
        <v>59</v>
      </c>
      <c r="D3565" s="1">
        <v>4</v>
      </c>
      <c r="E3565" s="3">
        <f>IF(INDEX(C:C, ROW())+INDEX(D:D, ROW())=0, 0, INDEX(C:C, ROW())/(INDEX(C:C, ROW())+INDEX(D:D, ROW())))</f>
        <v>0.93650793650793651</v>
      </c>
      <c r="F3565" s="1" t="s">
        <v>297</v>
      </c>
      <c r="G3565" s="1" t="s">
        <v>24</v>
      </c>
      <c r="H3565" s="1">
        <v>12180</v>
      </c>
      <c r="I3565" s="1">
        <v>19826</v>
      </c>
      <c r="J3565" s="7">
        <v>0.61399999999999999</v>
      </c>
      <c r="K3565" s="1" t="s">
        <v>21</v>
      </c>
      <c r="L3565" s="1" t="s">
        <v>29</v>
      </c>
      <c r="M3565" s="1" t="s">
        <v>29</v>
      </c>
      <c r="N3565" s="1" t="s">
        <v>297</v>
      </c>
    </row>
    <row r="3566" spans="1:14" x14ac:dyDescent="0.25">
      <c r="A3566" s="1">
        <v>3565</v>
      </c>
      <c r="B3566" s="2" t="str">
        <f>HYPERLINK("https://leetcode.com/problems/sequential-grid-path-cover/", "Sequential Grid Path Cover")</f>
        <v>Sequential Grid Path Cover</v>
      </c>
      <c r="C3566" s="1">
        <v>5</v>
      </c>
      <c r="D3566" s="1">
        <v>1</v>
      </c>
      <c r="E3566" s="3">
        <f>IF(INDEX(C:C, ROW())+INDEX(D:D, ROW())=0, 0, INDEX(C:C, ROW())/(INDEX(C:C, ROW())+INDEX(D:D, ROW())))</f>
        <v>0.83333333333333337</v>
      </c>
      <c r="F3566" s="1" t="s">
        <v>1342</v>
      </c>
      <c r="G3566" s="1" t="s">
        <v>24</v>
      </c>
      <c r="H3566" s="1">
        <v>614</v>
      </c>
      <c r="I3566" s="1">
        <v>1032</v>
      </c>
      <c r="J3566" s="7">
        <v>0.59499999999999997</v>
      </c>
      <c r="K3566" s="1" t="s">
        <v>29</v>
      </c>
      <c r="L3566" s="1" t="s">
        <v>29</v>
      </c>
      <c r="M3566" s="1" t="s">
        <v>29</v>
      </c>
      <c r="N3566" s="1" t="s">
        <v>22</v>
      </c>
    </row>
    <row r="3567" spans="1:14" x14ac:dyDescent="0.25">
      <c r="A3567" s="1">
        <v>3566</v>
      </c>
      <c r="B3567" s="2" t="str">
        <f>HYPERLINK("https://leetcode.com/problems/partition-array-into-two-equal-product-subsets/", "Partition Array into Two Equal Product Subsets")</f>
        <v>Partition Array into Two Equal Product Subsets</v>
      </c>
      <c r="C3567" s="1">
        <v>78</v>
      </c>
      <c r="D3567" s="1">
        <v>20</v>
      </c>
      <c r="E3567" s="3">
        <f>IF(INDEX(C:C, ROW())+INDEX(D:D, ROW())=0, 0, INDEX(C:C, ROW())/(INDEX(C:C, ROW())+INDEX(D:D, ROW())))</f>
        <v>0.79591836734693877</v>
      </c>
      <c r="F3567" s="1" t="s">
        <v>1210</v>
      </c>
      <c r="G3567" s="1" t="s">
        <v>24</v>
      </c>
      <c r="H3567" s="1">
        <v>33996</v>
      </c>
      <c r="I3567" s="1">
        <v>96862</v>
      </c>
      <c r="J3567" s="7">
        <v>0.35099999999999998</v>
      </c>
      <c r="K3567" s="1" t="s">
        <v>21</v>
      </c>
      <c r="L3567" s="1" t="s">
        <v>29</v>
      </c>
      <c r="M3567" s="1" t="s">
        <v>29</v>
      </c>
      <c r="N3567" s="1" t="s">
        <v>22</v>
      </c>
    </row>
    <row r="3568" spans="1:14" x14ac:dyDescent="0.25">
      <c r="A3568" s="1">
        <v>3567</v>
      </c>
      <c r="B3568" s="2" t="str">
        <f>HYPERLINK("https://leetcode.com/problems/minimum-absolute-difference-in-sliding-submatrix/", "Minimum Absolute Difference in Sliding Submatrix")</f>
        <v>Minimum Absolute Difference in Sliding Submatrix</v>
      </c>
      <c r="C3568" s="1">
        <v>49</v>
      </c>
      <c r="D3568" s="1">
        <v>3</v>
      </c>
      <c r="E3568" s="3">
        <f>IF(INDEX(C:C, ROW())+INDEX(D:D, ROW())=0, 0, INDEX(C:C, ROW())/(INDEX(C:C, ROW())+INDEX(D:D, ROW())))</f>
        <v>0.94230769230769229</v>
      </c>
      <c r="F3568" s="1" t="s">
        <v>343</v>
      </c>
      <c r="G3568" s="1" t="s">
        <v>24</v>
      </c>
      <c r="H3568" s="1">
        <v>19902</v>
      </c>
      <c r="I3568" s="1">
        <v>28910</v>
      </c>
      <c r="J3568" s="7">
        <v>0.68799999999999994</v>
      </c>
      <c r="K3568" s="1" t="s">
        <v>21</v>
      </c>
      <c r="L3568" s="1" t="s">
        <v>29</v>
      </c>
      <c r="M3568" s="1" t="s">
        <v>29</v>
      </c>
      <c r="N3568" s="1" t="s">
        <v>22</v>
      </c>
    </row>
    <row r="3569" spans="1:14" x14ac:dyDescent="0.25">
      <c r="A3569" s="1">
        <v>3568</v>
      </c>
      <c r="B3569" s="2" t="str">
        <f>HYPERLINK("https://leetcode.com/problems/minimum-moves-to-clean-the-classroom/", "Minimum Moves to Clean the Classroom")</f>
        <v>Minimum Moves to Clean the Classroom</v>
      </c>
      <c r="C3569" s="1">
        <v>125</v>
      </c>
      <c r="D3569" s="1">
        <v>15</v>
      </c>
      <c r="E3569" s="3">
        <f>IF(INDEX(C:C, ROW())+INDEX(D:D, ROW())=0, 0, INDEX(C:C, ROW())/(INDEX(C:C, ROW())+INDEX(D:D, ROW())))</f>
        <v>0.8928571428571429</v>
      </c>
      <c r="F3569" s="1" t="s">
        <v>714</v>
      </c>
      <c r="G3569" s="1" t="s">
        <v>24</v>
      </c>
      <c r="H3569" s="1">
        <v>8927</v>
      </c>
      <c r="I3569" s="1">
        <v>33677</v>
      </c>
      <c r="J3569" s="7">
        <v>0.26500000000000001</v>
      </c>
      <c r="K3569" s="1" t="s">
        <v>21</v>
      </c>
      <c r="L3569" s="1" t="s">
        <v>29</v>
      </c>
      <c r="M3569" s="1" t="s">
        <v>29</v>
      </c>
      <c r="N3569" s="1" t="s">
        <v>22</v>
      </c>
    </row>
    <row r="3570" spans="1:14" x14ac:dyDescent="0.25">
      <c r="A3570" s="1">
        <v>3569</v>
      </c>
      <c r="B3570" s="2" t="str">
        <f>HYPERLINK("https://leetcode.com/problems/maximize-count-of-distinct-primes-after-split/", "Maximize Count of Distinct Primes After Split")</f>
        <v>Maximize Count of Distinct Primes After Split</v>
      </c>
      <c r="C3570" s="1">
        <v>22</v>
      </c>
      <c r="D3570" s="1">
        <v>7</v>
      </c>
      <c r="E3570" s="3">
        <f>IF(INDEX(C:C, ROW())+INDEX(D:D, ROW())=0, 0, INDEX(C:C, ROW())/(INDEX(C:C, ROW())+INDEX(D:D, ROW())))</f>
        <v>0.75862068965517238</v>
      </c>
      <c r="F3570" s="1" t="s">
        <v>1316</v>
      </c>
      <c r="G3570" s="1" t="s">
        <v>28</v>
      </c>
      <c r="H3570" s="1">
        <v>2766</v>
      </c>
      <c r="I3570" s="1">
        <v>15272</v>
      </c>
      <c r="J3570" s="7">
        <v>0.18099999999999999</v>
      </c>
      <c r="K3570" s="1" t="s">
        <v>21</v>
      </c>
      <c r="L3570" s="1" t="s">
        <v>29</v>
      </c>
      <c r="M3570" s="1" t="s">
        <v>29</v>
      </c>
      <c r="N3570" s="1" t="s">
        <v>22</v>
      </c>
    </row>
    <row r="3571" spans="1:14" x14ac:dyDescent="0.25">
      <c r="A3571" s="1">
        <v>3570</v>
      </c>
      <c r="B3571" s="2" t="str">
        <f>HYPERLINK("https://leetcode.com/problems/find-books-with-no-available-copies/", "Find Books with No Available Copies")</f>
        <v>Find Books with No Available Copies</v>
      </c>
      <c r="C3571" s="1">
        <v>53</v>
      </c>
      <c r="D3571" s="1">
        <v>13</v>
      </c>
      <c r="E3571" s="3">
        <f>IF(INDEX(C:C, ROW())+INDEX(D:D, ROW())=0, 0, INDEX(C:C, ROW())/(INDEX(C:C, ROW())+INDEX(D:D, ROW())))</f>
        <v>0.80303030303030298</v>
      </c>
      <c r="F3571" s="1" t="s">
        <v>297</v>
      </c>
      <c r="G3571" s="1" t="s">
        <v>20</v>
      </c>
      <c r="H3571" s="1">
        <v>17638</v>
      </c>
      <c r="I3571" s="1">
        <v>33042</v>
      </c>
      <c r="J3571" s="7">
        <v>0.53400000000000003</v>
      </c>
      <c r="K3571" s="1" t="s">
        <v>21</v>
      </c>
      <c r="L3571" s="1" t="s">
        <v>29</v>
      </c>
      <c r="M3571" s="1" t="s">
        <v>29</v>
      </c>
      <c r="N3571" s="1" t="s">
        <v>297</v>
      </c>
    </row>
    <row r="3572" spans="1:14" x14ac:dyDescent="0.25">
      <c r="A3572" s="1">
        <v>3571</v>
      </c>
      <c r="B3572" s="2" t="str">
        <f>HYPERLINK("https://leetcode.com/problems/find-the-shortest-superstring-ii/", "Find the Shortest Superstring II")</f>
        <v>Find the Shortest Superstring II</v>
      </c>
      <c r="C3572" s="1">
        <v>8</v>
      </c>
      <c r="D3572" s="1">
        <v>2</v>
      </c>
      <c r="E3572" s="3">
        <f>IF(INDEX(C:C, ROW())+INDEX(D:D, ROW())=0, 0, INDEX(C:C, ROW())/(INDEX(C:C, ROW())+INDEX(D:D, ROW())))</f>
        <v>0.8</v>
      </c>
      <c r="F3572" s="1" t="s">
        <v>146</v>
      </c>
      <c r="G3572" s="1" t="s">
        <v>20</v>
      </c>
      <c r="H3572" s="1">
        <v>725</v>
      </c>
      <c r="I3572" s="1">
        <v>1500</v>
      </c>
      <c r="J3572" s="7">
        <v>0.48299999999999998</v>
      </c>
      <c r="K3572" s="1" t="s">
        <v>29</v>
      </c>
      <c r="L3572" s="1" t="s">
        <v>29</v>
      </c>
      <c r="M3572" s="1" t="s">
        <v>29</v>
      </c>
      <c r="N3572" s="1" t="s">
        <v>22</v>
      </c>
    </row>
    <row r="3573" spans="1:14" x14ac:dyDescent="0.25">
      <c r="A3573" s="1">
        <v>3572</v>
      </c>
      <c r="B3573" s="2" t="str">
        <f>HYPERLINK("https://leetcode.com/problems/maximize-ysum-by-picking-a-triplet-of-distinct-xvalues/", "Maximize Y‑Sum by Picking a Triplet of Distinct X‑Values")</f>
        <v>Maximize Y‑Sum by Picking a Triplet of Distinct X‑Values</v>
      </c>
      <c r="C3573" s="1">
        <v>69</v>
      </c>
      <c r="D3573" s="1">
        <v>2</v>
      </c>
      <c r="E3573" s="3">
        <f>IF(INDEX(C:C, ROW())+INDEX(D:D, ROW())=0, 0, INDEX(C:C, ROW())/(INDEX(C:C, ROW())+INDEX(D:D, ROW())))</f>
        <v>0.971830985915493</v>
      </c>
      <c r="F3573" s="1" t="s">
        <v>358</v>
      </c>
      <c r="G3573" s="1" t="s">
        <v>24</v>
      </c>
      <c r="H3573" s="1">
        <v>30544</v>
      </c>
      <c r="I3573" s="1">
        <v>48323</v>
      </c>
      <c r="J3573" s="7">
        <v>0.63200000000000001</v>
      </c>
      <c r="K3573" s="1" t="s">
        <v>21</v>
      </c>
      <c r="L3573" s="1" t="s">
        <v>29</v>
      </c>
      <c r="M3573" s="1" t="s">
        <v>29</v>
      </c>
      <c r="N3573" s="1" t="s">
        <v>22</v>
      </c>
    </row>
    <row r="3574" spans="1:14" x14ac:dyDescent="0.25">
      <c r="A3574" s="1">
        <v>3573</v>
      </c>
      <c r="B3574" s="2" t="str">
        <f>HYPERLINK("https://leetcode.com/problems/best-time-to-buy-and-sell-stock-v/", "Best Time to Buy and Sell Stock V")</f>
        <v>Best Time to Buy and Sell Stock V</v>
      </c>
      <c r="C3574" s="1">
        <v>412</v>
      </c>
      <c r="D3574" s="1">
        <v>59</v>
      </c>
      <c r="E3574" s="3">
        <f>IF(INDEX(C:C, ROW())+INDEX(D:D, ROW())=0, 0, INDEX(C:C, ROW())/(INDEX(C:C, ROW())+INDEX(D:D, ROW())))</f>
        <v>0.87473460721868368</v>
      </c>
      <c r="F3574" s="1" t="s">
        <v>30</v>
      </c>
      <c r="G3574" s="1" t="s">
        <v>24</v>
      </c>
      <c r="H3574" s="1">
        <v>78610</v>
      </c>
      <c r="I3574" s="1">
        <v>129357</v>
      </c>
      <c r="J3574" s="7">
        <v>0.60799999999999998</v>
      </c>
      <c r="K3574" s="1" t="s">
        <v>21</v>
      </c>
      <c r="L3574" s="1" t="s">
        <v>21</v>
      </c>
      <c r="M3574" s="1" t="s">
        <v>29</v>
      </c>
      <c r="N3574" s="1" t="s">
        <v>22</v>
      </c>
    </row>
    <row r="3575" spans="1:14" x14ac:dyDescent="0.25">
      <c r="A3575" s="1">
        <v>3574</v>
      </c>
      <c r="B3575" s="2" t="str">
        <f>HYPERLINK("https://leetcode.com/problems/maximize-subarray-gcd-score/", "Maximize Subarray GCD Score")</f>
        <v>Maximize Subarray GCD Score</v>
      </c>
      <c r="C3575" s="1">
        <v>46</v>
      </c>
      <c r="D3575" s="1">
        <v>4</v>
      </c>
      <c r="E3575" s="3">
        <f>IF(INDEX(C:C, ROW())+INDEX(D:D, ROW())=0, 0, INDEX(C:C, ROW())/(INDEX(C:C, ROW())+INDEX(D:D, ROW())))</f>
        <v>0.92</v>
      </c>
      <c r="F3575" s="1" t="s">
        <v>161</v>
      </c>
      <c r="G3575" s="1" t="s">
        <v>28</v>
      </c>
      <c r="H3575" s="1">
        <v>6070</v>
      </c>
      <c r="I3575" s="1">
        <v>24609</v>
      </c>
      <c r="J3575" s="7">
        <v>0.247</v>
      </c>
      <c r="K3575" s="1" t="s">
        <v>21</v>
      </c>
      <c r="L3575" s="1" t="s">
        <v>29</v>
      </c>
      <c r="M3575" s="1" t="s">
        <v>29</v>
      </c>
      <c r="N3575" s="1" t="s">
        <v>22</v>
      </c>
    </row>
    <row r="3576" spans="1:14" x14ac:dyDescent="0.25">
      <c r="A3576" s="1">
        <v>3575</v>
      </c>
      <c r="B3576" s="2" t="str">
        <f>HYPERLINK("https://leetcode.com/problems/maximum-good-subtree-score/", "Maximum Good Subtree Score")</f>
        <v>Maximum Good Subtree Score</v>
      </c>
      <c r="C3576" s="1">
        <v>51</v>
      </c>
      <c r="D3576" s="1">
        <v>8</v>
      </c>
      <c r="E3576" s="3">
        <f>IF(INDEX(C:C, ROW())+INDEX(D:D, ROW())=0, 0, INDEX(C:C, ROW())/(INDEX(C:C, ROW())+INDEX(D:D, ROW())))</f>
        <v>0.86440677966101698</v>
      </c>
      <c r="F3576" s="1" t="s">
        <v>1266</v>
      </c>
      <c r="G3576" s="1" t="s">
        <v>28</v>
      </c>
      <c r="H3576" s="1">
        <v>4656</v>
      </c>
      <c r="I3576" s="1">
        <v>10243</v>
      </c>
      <c r="J3576" s="7">
        <v>0.45500000000000002</v>
      </c>
      <c r="K3576" s="1" t="s">
        <v>21</v>
      </c>
      <c r="L3576" s="1" t="s">
        <v>29</v>
      </c>
      <c r="M3576" s="1" t="s">
        <v>29</v>
      </c>
      <c r="N3576" s="1" t="s">
        <v>22</v>
      </c>
    </row>
    <row r="3577" spans="1:14" x14ac:dyDescent="0.25">
      <c r="A3577" s="1">
        <v>3576</v>
      </c>
      <c r="B3577" s="2" t="str">
        <f>HYPERLINK("https://leetcode.com/problems/transform-array-to-all-equal-elements/", "Transform Array to All Equal Elements")</f>
        <v>Transform Array to All Equal Elements</v>
      </c>
      <c r="C3577" s="1">
        <v>94</v>
      </c>
      <c r="D3577" s="1">
        <v>7</v>
      </c>
      <c r="E3577" s="3">
        <f>IF(INDEX(C:C, ROW())+INDEX(D:D, ROW())=0, 0, INDEX(C:C, ROW())/(INDEX(C:C, ROW())+INDEX(D:D, ROW())))</f>
        <v>0.93069306930693074</v>
      </c>
      <c r="F3577" s="1" t="s">
        <v>96</v>
      </c>
      <c r="G3577" s="1" t="s">
        <v>24</v>
      </c>
      <c r="H3577" s="1">
        <v>30260</v>
      </c>
      <c r="I3577" s="1">
        <v>91652</v>
      </c>
      <c r="J3577" s="7">
        <v>0.33</v>
      </c>
      <c r="K3577" s="1" t="s">
        <v>21</v>
      </c>
      <c r="L3577" s="1" t="s">
        <v>29</v>
      </c>
      <c r="M3577" s="1" t="s">
        <v>29</v>
      </c>
      <c r="N3577" s="1" t="s">
        <v>22</v>
      </c>
    </row>
    <row r="3578" spans="1:14" x14ac:dyDescent="0.25">
      <c r="A3578" s="1">
        <v>3577</v>
      </c>
      <c r="B3578" s="2" t="str">
        <f>HYPERLINK("https://leetcode.com/problems/count-the-number-of-computer-unlocking-permutations/", "Count the Number of Computer Unlocking Permutations")</f>
        <v>Count the Number of Computer Unlocking Permutations</v>
      </c>
      <c r="C3578" s="1">
        <v>355</v>
      </c>
      <c r="D3578" s="1">
        <v>129</v>
      </c>
      <c r="E3578" s="3">
        <f>IF(INDEX(C:C, ROW())+INDEX(D:D, ROW())=0, 0, INDEX(C:C, ROW())/(INDEX(C:C, ROW())+INDEX(D:D, ROW())))</f>
        <v>0.73347107438016534</v>
      </c>
      <c r="F3578" s="1" t="s">
        <v>1015</v>
      </c>
      <c r="G3578" s="1" t="s">
        <v>24</v>
      </c>
      <c r="H3578" s="1">
        <v>93053</v>
      </c>
      <c r="I3578" s="1">
        <v>157731</v>
      </c>
      <c r="J3578" s="7">
        <v>0.59</v>
      </c>
      <c r="K3578" s="1" t="s">
        <v>21</v>
      </c>
      <c r="L3578" s="1" t="s">
        <v>21</v>
      </c>
      <c r="M3578" s="1" t="s">
        <v>29</v>
      </c>
      <c r="N3578" s="1" t="s">
        <v>22</v>
      </c>
    </row>
    <row r="3579" spans="1:14" x14ac:dyDescent="0.25">
      <c r="A3579" s="1">
        <v>3578</v>
      </c>
      <c r="B3579" s="2" t="str">
        <f>HYPERLINK("https://leetcode.com/problems/count-partitions-with-max-min-difference-at-most-k/", "Count Partitions With Max-Min Difference at Most K")</f>
        <v>Count Partitions With Max-Min Difference at Most K</v>
      </c>
      <c r="C3579" s="1">
        <v>524</v>
      </c>
      <c r="D3579" s="1">
        <v>131</v>
      </c>
      <c r="E3579" s="3">
        <f>IF(INDEX(C:C, ROW())+INDEX(D:D, ROW())=0, 0, INDEX(C:C, ROW())/(INDEX(C:C, ROW())+INDEX(D:D, ROW())))</f>
        <v>0.8</v>
      </c>
      <c r="F3579" s="1" t="s">
        <v>901</v>
      </c>
      <c r="G3579" s="1" t="s">
        <v>24</v>
      </c>
      <c r="H3579" s="1">
        <v>64643</v>
      </c>
      <c r="I3579" s="1">
        <v>109871</v>
      </c>
      <c r="J3579" s="7">
        <v>0.58799999999999997</v>
      </c>
      <c r="K3579" s="1" t="s">
        <v>21</v>
      </c>
      <c r="L3579" s="1" t="s">
        <v>21</v>
      </c>
      <c r="M3579" s="1" t="s">
        <v>29</v>
      </c>
      <c r="N3579" s="1" t="s">
        <v>22</v>
      </c>
    </row>
    <row r="3580" spans="1:14" x14ac:dyDescent="0.25">
      <c r="A3580" s="1">
        <v>3579</v>
      </c>
      <c r="B3580" s="2" t="str">
        <f>HYPERLINK("https://leetcode.com/problems/minimum-steps-to-convert-string-with-operations/", "Minimum Steps to Convert String with Operations")</f>
        <v>Minimum Steps to Convert String with Operations</v>
      </c>
      <c r="C3580" s="1">
        <v>44</v>
      </c>
      <c r="D3580" s="1">
        <v>3</v>
      </c>
      <c r="E3580" s="3">
        <f>IF(INDEX(C:C, ROW())+INDEX(D:D, ROW())=0, 0, INDEX(C:C, ROW())/(INDEX(C:C, ROW())+INDEX(D:D, ROW())))</f>
        <v>0.93617021276595747</v>
      </c>
      <c r="F3580" s="1" t="s">
        <v>861</v>
      </c>
      <c r="G3580" s="1" t="s">
        <v>28</v>
      </c>
      <c r="H3580" s="1">
        <v>4226</v>
      </c>
      <c r="I3580" s="1">
        <v>9875</v>
      </c>
      <c r="J3580" s="7">
        <v>0.42799999999999999</v>
      </c>
      <c r="K3580" s="1" t="s">
        <v>21</v>
      </c>
      <c r="L3580" s="1" t="s">
        <v>29</v>
      </c>
      <c r="M3580" s="1" t="s">
        <v>29</v>
      </c>
      <c r="N3580" s="1" t="s">
        <v>22</v>
      </c>
    </row>
    <row r="3581" spans="1:14" x14ac:dyDescent="0.25">
      <c r="A3581" s="1">
        <v>3580</v>
      </c>
      <c r="B3581" s="2" t="str">
        <f>HYPERLINK("https://leetcode.com/problems/find-consistently-improving-employees/", "Find Consistently Improving Employees")</f>
        <v>Find Consistently Improving Employees</v>
      </c>
      <c r="C3581" s="1">
        <v>43</v>
      </c>
      <c r="D3581" s="1">
        <v>1</v>
      </c>
      <c r="E3581" s="3">
        <f>IF(INDEX(C:C, ROW())+INDEX(D:D, ROW())=0, 0, INDEX(C:C, ROW())/(INDEX(C:C, ROW())+INDEX(D:D, ROW())))</f>
        <v>0.97727272727272729</v>
      </c>
      <c r="F3581" s="1" t="s">
        <v>297</v>
      </c>
      <c r="G3581" s="1" t="s">
        <v>24</v>
      </c>
      <c r="H3581" s="1">
        <v>10332</v>
      </c>
      <c r="I3581" s="1">
        <v>18601</v>
      </c>
      <c r="J3581" s="7">
        <v>0.55500000000000005</v>
      </c>
      <c r="K3581" s="1" t="s">
        <v>21</v>
      </c>
      <c r="L3581" s="1" t="s">
        <v>29</v>
      </c>
      <c r="M3581" s="1" t="s">
        <v>29</v>
      </c>
      <c r="N3581" s="1" t="s">
        <v>297</v>
      </c>
    </row>
    <row r="3582" spans="1:14" x14ac:dyDescent="0.25">
      <c r="A3582" s="1">
        <v>3581</v>
      </c>
      <c r="B3582" s="2" t="str">
        <f>HYPERLINK("https://leetcode.com/problems/count-odd-letters-from-number/", "Count Odd Letters from Number")</f>
        <v>Count Odd Letters from Number</v>
      </c>
      <c r="C3582" s="1">
        <v>8</v>
      </c>
      <c r="D3582" s="1">
        <v>2</v>
      </c>
      <c r="E3582" s="3">
        <f>IF(INDEX(C:C, ROW())+INDEX(D:D, ROW())=0, 0, INDEX(C:C, ROW())/(INDEX(C:C, ROW())+INDEX(D:D, ROW())))</f>
        <v>0.8</v>
      </c>
      <c r="F3582" s="1" t="s">
        <v>1335</v>
      </c>
      <c r="G3582" s="1" t="s">
        <v>20</v>
      </c>
      <c r="H3582" s="1">
        <v>1290</v>
      </c>
      <c r="I3582" s="1">
        <v>1514</v>
      </c>
      <c r="J3582" s="7">
        <v>0.85199999999999998</v>
      </c>
      <c r="K3582" s="1" t="s">
        <v>29</v>
      </c>
      <c r="L3582" s="1" t="s">
        <v>29</v>
      </c>
      <c r="M3582" s="1" t="s">
        <v>29</v>
      </c>
      <c r="N3582" s="1" t="s">
        <v>22</v>
      </c>
    </row>
    <row r="3583" spans="1:14" x14ac:dyDescent="0.25">
      <c r="A3583" s="1">
        <v>3582</v>
      </c>
      <c r="B3583" s="2" t="str">
        <f>HYPERLINK("https://leetcode.com/problems/generate-tag-for-video-caption/", "Generate Tag for Video Caption")</f>
        <v>Generate Tag for Video Caption</v>
      </c>
      <c r="C3583" s="1">
        <v>66</v>
      </c>
      <c r="D3583" s="1">
        <v>30</v>
      </c>
      <c r="E3583" s="3">
        <f>IF(INDEX(C:C, ROW())+INDEX(D:D, ROW())=0, 0, INDEX(C:C, ROW())/(INDEX(C:C, ROW())+INDEX(D:D, ROW())))</f>
        <v>0.6875</v>
      </c>
      <c r="F3583" s="1" t="s">
        <v>414</v>
      </c>
      <c r="G3583" s="1" t="s">
        <v>20</v>
      </c>
      <c r="H3583" s="1">
        <v>42748</v>
      </c>
      <c r="I3583" s="1">
        <v>132297</v>
      </c>
      <c r="J3583" s="7">
        <v>0.32300000000000001</v>
      </c>
      <c r="K3583" s="1" t="s">
        <v>21</v>
      </c>
      <c r="L3583" s="1" t="s">
        <v>29</v>
      </c>
      <c r="M3583" s="1" t="s">
        <v>29</v>
      </c>
      <c r="N3583" s="1" t="s">
        <v>22</v>
      </c>
    </row>
    <row r="3584" spans="1:14" x14ac:dyDescent="0.25">
      <c r="A3584" s="1">
        <v>3583</v>
      </c>
      <c r="B3584" s="2" t="str">
        <f>HYPERLINK("https://leetcode.com/problems/count-special-triplets/", "Count Special Triplets")</f>
        <v>Count Special Triplets</v>
      </c>
      <c r="C3584" s="1">
        <v>548</v>
      </c>
      <c r="D3584" s="1">
        <v>23</v>
      </c>
      <c r="E3584" s="3">
        <f>IF(INDEX(C:C, ROW())+INDEX(D:D, ROW())=0, 0, INDEX(C:C, ROW())/(INDEX(C:C, ROW())+INDEX(D:D, ROW())))</f>
        <v>0.95971978984238182</v>
      </c>
      <c r="F3584" s="1" t="s">
        <v>294</v>
      </c>
      <c r="G3584" s="1" t="s">
        <v>24</v>
      </c>
      <c r="H3584" s="1">
        <v>116371</v>
      </c>
      <c r="I3584" s="1">
        <v>247001</v>
      </c>
      <c r="J3584" s="7">
        <v>0.47099999999999997</v>
      </c>
      <c r="K3584" s="1" t="s">
        <v>21</v>
      </c>
      <c r="L3584" s="1" t="s">
        <v>21</v>
      </c>
      <c r="M3584" s="1" t="s">
        <v>29</v>
      </c>
      <c r="N3584" s="1" t="s">
        <v>22</v>
      </c>
    </row>
    <row r="3585" spans="1:14" x14ac:dyDescent="0.25">
      <c r="A3585" s="1">
        <v>3584</v>
      </c>
      <c r="B3585" s="2" t="str">
        <f>HYPERLINK("https://leetcode.com/problems/maximum-product-of-first-and-last-elements-of-a-subsequence/", "Maximum Product of First and Last Elements of a Subsequence")</f>
        <v>Maximum Product of First and Last Elements of a Subsequence</v>
      </c>
      <c r="C3585" s="1">
        <v>113</v>
      </c>
      <c r="D3585" s="1">
        <v>1</v>
      </c>
      <c r="E3585" s="3">
        <f>IF(INDEX(C:C, ROW())+INDEX(D:D, ROW())=0, 0, INDEX(C:C, ROW())/(INDEX(C:C, ROW())+INDEX(D:D, ROW())))</f>
        <v>0.99122807017543857</v>
      </c>
      <c r="F3585" s="1" t="s">
        <v>51</v>
      </c>
      <c r="G3585" s="1" t="s">
        <v>24</v>
      </c>
      <c r="H3585" s="1">
        <v>19601</v>
      </c>
      <c r="I3585" s="1">
        <v>62814</v>
      </c>
      <c r="J3585" s="7">
        <v>0.312</v>
      </c>
      <c r="K3585" s="1" t="s">
        <v>21</v>
      </c>
      <c r="L3585" s="1" t="s">
        <v>29</v>
      </c>
      <c r="M3585" s="1" t="s">
        <v>29</v>
      </c>
      <c r="N3585" s="1" t="s">
        <v>22</v>
      </c>
    </row>
    <row r="3586" spans="1:14" x14ac:dyDescent="0.25">
      <c r="A3586" s="1">
        <v>3585</v>
      </c>
      <c r="B3586" s="2" t="str">
        <f>HYPERLINK("https://leetcode.com/problems/find-weighted-median-node-in-tree/", "Find Weighted Median Node in Tree")</f>
        <v>Find Weighted Median Node in Tree</v>
      </c>
      <c r="C3586" s="1">
        <v>71</v>
      </c>
      <c r="D3586" s="1">
        <v>5</v>
      </c>
      <c r="E3586" s="3">
        <f>IF(INDEX(C:C, ROW())+INDEX(D:D, ROW())=0, 0, INDEX(C:C, ROW())/(INDEX(C:C, ROW())+INDEX(D:D, ROW())))</f>
        <v>0.93421052631578949</v>
      </c>
      <c r="F3586" s="1" t="s">
        <v>1222</v>
      </c>
      <c r="G3586" s="1" t="s">
        <v>28</v>
      </c>
      <c r="H3586" s="1">
        <v>4421</v>
      </c>
      <c r="I3586" s="1">
        <v>16927</v>
      </c>
      <c r="J3586" s="7">
        <v>0.26100000000000001</v>
      </c>
      <c r="K3586" s="1" t="s">
        <v>21</v>
      </c>
      <c r="L3586" s="1" t="s">
        <v>29</v>
      </c>
      <c r="M3586" s="1" t="s">
        <v>29</v>
      </c>
      <c r="N3586" s="1" t="s">
        <v>22</v>
      </c>
    </row>
    <row r="3587" spans="1:14" x14ac:dyDescent="0.25">
      <c r="A3587" s="1">
        <v>3586</v>
      </c>
      <c r="B3587" s="2" t="str">
        <f>HYPERLINK("https://leetcode.com/problems/find-covid-recovery-patients/", "Find COVID Recovery Patients")</f>
        <v>Find COVID Recovery Patients</v>
      </c>
      <c r="C3587" s="1">
        <v>46</v>
      </c>
      <c r="D3587" s="1">
        <v>7</v>
      </c>
      <c r="E3587" s="3">
        <f>IF(INDEX(C:C, ROW())+INDEX(D:D, ROW())=0, 0, INDEX(C:C, ROW())/(INDEX(C:C, ROW())+INDEX(D:D, ROW())))</f>
        <v>0.86792452830188682</v>
      </c>
      <c r="F3587" s="1" t="s">
        <v>297</v>
      </c>
      <c r="G3587" s="1" t="s">
        <v>24</v>
      </c>
      <c r="H3587" s="1">
        <v>10556</v>
      </c>
      <c r="I3587" s="1">
        <v>25731</v>
      </c>
      <c r="J3587" s="7">
        <v>0.41</v>
      </c>
      <c r="K3587" s="1" t="s">
        <v>21</v>
      </c>
      <c r="L3587" s="1" t="s">
        <v>29</v>
      </c>
      <c r="M3587" s="1" t="s">
        <v>29</v>
      </c>
      <c r="N3587" s="1" t="s">
        <v>297</v>
      </c>
    </row>
    <row r="3588" spans="1:14" x14ac:dyDescent="0.25">
      <c r="A3588" s="1">
        <v>3587</v>
      </c>
      <c r="B3588" s="2" t="str">
        <f>HYPERLINK("https://leetcode.com/problems/minimum-adjacent-swaps-to-alternate-parity/", "Minimum Adjacent Swaps to Alternate Parity")</f>
        <v>Minimum Adjacent Swaps to Alternate Parity</v>
      </c>
      <c r="C3588" s="1">
        <v>91</v>
      </c>
      <c r="D3588" s="1">
        <v>15</v>
      </c>
      <c r="E3588" s="3">
        <f>IF(INDEX(C:C, ROW())+INDEX(D:D, ROW())=0, 0, INDEX(C:C, ROW())/(INDEX(C:C, ROW())+INDEX(D:D, ROW())))</f>
        <v>0.85849056603773588</v>
      </c>
      <c r="F3588" s="1" t="s">
        <v>96</v>
      </c>
      <c r="G3588" s="1" t="s">
        <v>24</v>
      </c>
      <c r="H3588" s="1">
        <v>20543</v>
      </c>
      <c r="I3588" s="1">
        <v>48638</v>
      </c>
      <c r="J3588" s="7">
        <v>0.42199999999999999</v>
      </c>
      <c r="K3588" s="1" t="s">
        <v>21</v>
      </c>
      <c r="L3588" s="1" t="s">
        <v>29</v>
      </c>
      <c r="M3588" s="1" t="s">
        <v>29</v>
      </c>
      <c r="N3588" s="1" t="s">
        <v>22</v>
      </c>
    </row>
    <row r="3589" spans="1:14" x14ac:dyDescent="0.25">
      <c r="A3589" s="1">
        <v>3588</v>
      </c>
      <c r="B3589" s="2" t="str">
        <f>HYPERLINK("https://leetcode.com/problems/find-maximum-area-of-a-triangle/", "Find Maximum Area of a Triangle")</f>
        <v>Find Maximum Area of a Triangle</v>
      </c>
      <c r="C3589" s="1">
        <v>52</v>
      </c>
      <c r="D3589" s="1">
        <v>10</v>
      </c>
      <c r="E3589" s="3">
        <f>IF(INDEX(C:C, ROW())+INDEX(D:D, ROW())=0, 0, INDEX(C:C, ROW())/(INDEX(C:C, ROW())+INDEX(D:D, ROW())))</f>
        <v>0.83870967741935487</v>
      </c>
      <c r="F3589" s="1" t="s">
        <v>1263</v>
      </c>
      <c r="G3589" s="1" t="s">
        <v>24</v>
      </c>
      <c r="H3589" s="1">
        <v>11776</v>
      </c>
      <c r="I3589" s="1">
        <v>40611</v>
      </c>
      <c r="J3589" s="7">
        <v>0.28999999999999998</v>
      </c>
      <c r="K3589" s="1" t="s">
        <v>21</v>
      </c>
      <c r="L3589" s="1" t="s">
        <v>29</v>
      </c>
      <c r="M3589" s="1" t="s">
        <v>29</v>
      </c>
      <c r="N3589" s="1" t="s">
        <v>22</v>
      </c>
    </row>
    <row r="3590" spans="1:14" x14ac:dyDescent="0.25">
      <c r="A3590" s="1">
        <v>3589</v>
      </c>
      <c r="B3590" s="2" t="str">
        <f>HYPERLINK("https://leetcode.com/problems/count-prime-gap-balanced-subarrays/", "Count Prime-Gap Balanced Subarrays")</f>
        <v>Count Prime-Gap Balanced Subarrays</v>
      </c>
      <c r="C3590" s="1">
        <v>85</v>
      </c>
      <c r="D3590" s="1">
        <v>6</v>
      </c>
      <c r="E3590" s="3">
        <f>IF(INDEX(C:C, ROW())+INDEX(D:D, ROW())=0, 0, INDEX(C:C, ROW())/(INDEX(C:C, ROW())+INDEX(D:D, ROW())))</f>
        <v>0.93406593406593408</v>
      </c>
      <c r="F3590" s="1" t="s">
        <v>1200</v>
      </c>
      <c r="G3590" s="1" t="s">
        <v>24</v>
      </c>
      <c r="H3590" s="1">
        <v>6997</v>
      </c>
      <c r="I3590" s="1">
        <v>31166</v>
      </c>
      <c r="J3590" s="7">
        <v>0.22500000000000001</v>
      </c>
      <c r="K3590" s="1" t="s">
        <v>21</v>
      </c>
      <c r="L3590" s="1" t="s">
        <v>29</v>
      </c>
      <c r="M3590" s="1" t="s">
        <v>29</v>
      </c>
      <c r="N3590" s="1" t="s">
        <v>22</v>
      </c>
    </row>
    <row r="3591" spans="1:14" x14ac:dyDescent="0.25">
      <c r="A3591" s="1">
        <v>3590</v>
      </c>
      <c r="B3591" s="2" t="str">
        <f>HYPERLINK("https://leetcode.com/problems/kth-smallest-path-xor-sum/", "Kth Smallest Path XOR Sum")</f>
        <v>Kth Smallest Path XOR Sum</v>
      </c>
      <c r="C3591" s="1">
        <v>27</v>
      </c>
      <c r="D3591" s="1">
        <v>11</v>
      </c>
      <c r="E3591" s="3">
        <f>IF(INDEX(C:C, ROW())+INDEX(D:D, ROW())=0, 0, INDEX(C:C, ROW())/(INDEX(C:C, ROW())+INDEX(D:D, ROW())))</f>
        <v>0.71052631578947367</v>
      </c>
      <c r="F3591" s="1" t="s">
        <v>1310</v>
      </c>
      <c r="G3591" s="1" t="s">
        <v>28</v>
      </c>
      <c r="H3591" s="1">
        <v>2627</v>
      </c>
      <c r="I3591" s="1">
        <v>9153</v>
      </c>
      <c r="J3591" s="7">
        <v>0.28699999999999998</v>
      </c>
      <c r="K3591" s="1" t="s">
        <v>21</v>
      </c>
      <c r="L3591" s="1" t="s">
        <v>29</v>
      </c>
      <c r="M3591" s="1" t="s">
        <v>29</v>
      </c>
      <c r="N3591" s="1" t="s">
        <v>22</v>
      </c>
    </row>
    <row r="3592" spans="1:14" x14ac:dyDescent="0.25">
      <c r="A3592" s="1">
        <v>3591</v>
      </c>
      <c r="B3592" s="2" t="str">
        <f>HYPERLINK("https://leetcode.com/problems/check-if-any-element-has-prime-frequency/", "Check if Any Element Has Prime Frequency")</f>
        <v>Check if Any Element Has Prime Frequency</v>
      </c>
      <c r="C3592" s="1">
        <v>65</v>
      </c>
      <c r="D3592" s="1">
        <v>2</v>
      </c>
      <c r="E3592" s="3">
        <f>IF(INDEX(C:C, ROW())+INDEX(D:D, ROW())=0, 0, INDEX(C:C, ROW())/(INDEX(C:C, ROW())+INDEX(D:D, ROW())))</f>
        <v>0.97014925373134331</v>
      </c>
      <c r="F3592" s="1" t="s">
        <v>518</v>
      </c>
      <c r="G3592" s="1" t="s">
        <v>20</v>
      </c>
      <c r="H3592" s="1">
        <v>51602</v>
      </c>
      <c r="I3592" s="1">
        <v>82550</v>
      </c>
      <c r="J3592" s="7">
        <v>0.625</v>
      </c>
      <c r="K3592" s="1" t="s">
        <v>21</v>
      </c>
      <c r="L3592" s="1" t="s">
        <v>29</v>
      </c>
      <c r="M3592" s="1" t="s">
        <v>29</v>
      </c>
      <c r="N3592" s="1" t="s">
        <v>22</v>
      </c>
    </row>
    <row r="3593" spans="1:14" x14ac:dyDescent="0.25">
      <c r="A3593" s="1">
        <v>3592</v>
      </c>
      <c r="B3593" s="2" t="str">
        <f>HYPERLINK("https://leetcode.com/problems/inverse-coin-change/", "Inverse Coin Change")</f>
        <v>Inverse Coin Change</v>
      </c>
      <c r="C3593" s="1">
        <v>160</v>
      </c>
      <c r="D3593" s="1">
        <v>20</v>
      </c>
      <c r="E3593" s="3">
        <f>IF(INDEX(C:C, ROW())+INDEX(D:D, ROW())=0, 0, INDEX(C:C, ROW())/(INDEX(C:C, ROW())+INDEX(D:D, ROW())))</f>
        <v>0.88888888888888884</v>
      </c>
      <c r="F3593" s="1" t="s">
        <v>30</v>
      </c>
      <c r="G3593" s="1" t="s">
        <v>24</v>
      </c>
      <c r="H3593" s="1">
        <v>21208</v>
      </c>
      <c r="I3593" s="1">
        <v>41170</v>
      </c>
      <c r="J3593" s="7">
        <v>0.51500000000000001</v>
      </c>
      <c r="K3593" s="1" t="s">
        <v>21</v>
      </c>
      <c r="L3593" s="1" t="s">
        <v>29</v>
      </c>
      <c r="M3593" s="1" t="s">
        <v>29</v>
      </c>
      <c r="N3593" s="1" t="s">
        <v>22</v>
      </c>
    </row>
    <row r="3594" spans="1:14" x14ac:dyDescent="0.25">
      <c r="A3594" s="1">
        <v>3593</v>
      </c>
      <c r="B3594" s="2" t="str">
        <f>HYPERLINK("https://leetcode.com/problems/minimum-increments-to-equalize-leaf-paths/", "Minimum Increments to Equalize Leaf Paths")</f>
        <v>Minimum Increments to Equalize Leaf Paths</v>
      </c>
      <c r="C3594" s="1">
        <v>142</v>
      </c>
      <c r="D3594" s="1">
        <v>11</v>
      </c>
      <c r="E3594" s="3">
        <f>IF(INDEX(C:C, ROW())+INDEX(D:D, ROW())=0, 0, INDEX(C:C, ROW())/(INDEX(C:C, ROW())+INDEX(D:D, ROW())))</f>
        <v>0.92810457516339873</v>
      </c>
      <c r="F3594" s="1" t="s">
        <v>939</v>
      </c>
      <c r="G3594" s="1" t="s">
        <v>24</v>
      </c>
      <c r="H3594" s="1">
        <v>15779</v>
      </c>
      <c r="I3594" s="1">
        <v>38342</v>
      </c>
      <c r="J3594" s="7">
        <v>0.41199999999999998</v>
      </c>
      <c r="K3594" s="1" t="s">
        <v>21</v>
      </c>
      <c r="L3594" s="1" t="s">
        <v>29</v>
      </c>
      <c r="M3594" s="1" t="s">
        <v>29</v>
      </c>
      <c r="N3594" s="1" t="s">
        <v>22</v>
      </c>
    </row>
    <row r="3595" spans="1:14" x14ac:dyDescent="0.25">
      <c r="A3595" s="1">
        <v>3594</v>
      </c>
      <c r="B3595" s="2" t="str">
        <f>HYPERLINK("https://leetcode.com/problems/minimum-time-to-transport-all-individuals/", "Minimum Time to Transport All Individuals")</f>
        <v>Minimum Time to Transport All Individuals</v>
      </c>
      <c r="C3595" s="1">
        <v>41</v>
      </c>
      <c r="D3595" s="1">
        <v>6</v>
      </c>
      <c r="E3595" s="3">
        <f>IF(INDEX(C:C, ROW())+INDEX(D:D, ROW())=0, 0, INDEX(C:C, ROW())/(INDEX(C:C, ROW())+INDEX(D:D, ROW())))</f>
        <v>0.87234042553191493</v>
      </c>
      <c r="F3595" s="1" t="s">
        <v>1284</v>
      </c>
      <c r="G3595" s="1" t="s">
        <v>28</v>
      </c>
      <c r="H3595" s="1">
        <v>3349</v>
      </c>
      <c r="I3595" s="1">
        <v>11968</v>
      </c>
      <c r="J3595" s="7">
        <v>0.28000000000000003</v>
      </c>
      <c r="K3595" s="1" t="s">
        <v>21</v>
      </c>
      <c r="L3595" s="1" t="s">
        <v>29</v>
      </c>
      <c r="M3595" s="1" t="s">
        <v>29</v>
      </c>
      <c r="N3595" s="1" t="s">
        <v>22</v>
      </c>
    </row>
    <row r="3596" spans="1:14" x14ac:dyDescent="0.25">
      <c r="A3596" s="1">
        <v>3595</v>
      </c>
      <c r="B3596" s="2" t="str">
        <f>HYPERLINK("https://leetcode.com/problems/once-twice/", "Once Twice")</f>
        <v>Once Twice</v>
      </c>
      <c r="C3596" s="1">
        <v>9</v>
      </c>
      <c r="D3596" s="1">
        <v>3</v>
      </c>
      <c r="E3596" s="3">
        <f>IF(INDEX(C:C, ROW())+INDEX(D:D, ROW())=0, 0, INDEX(C:C, ROW())/(INDEX(C:C, ROW())+INDEX(D:D, ROW())))</f>
        <v>0.75</v>
      </c>
      <c r="F3596" s="1" t="s">
        <v>65</v>
      </c>
      <c r="G3596" s="1" t="s">
        <v>24</v>
      </c>
      <c r="H3596" s="1">
        <v>628</v>
      </c>
      <c r="I3596" s="1">
        <v>828</v>
      </c>
      <c r="J3596" s="7">
        <v>0.75800000000000001</v>
      </c>
      <c r="K3596" s="1" t="s">
        <v>29</v>
      </c>
      <c r="L3596" s="1" t="s">
        <v>29</v>
      </c>
      <c r="M3596" s="1" t="s">
        <v>29</v>
      </c>
      <c r="N3596" s="1" t="s">
        <v>22</v>
      </c>
    </row>
    <row r="3597" spans="1:14" x14ac:dyDescent="0.25">
      <c r="A3597" s="1">
        <v>3596</v>
      </c>
      <c r="B3597" s="2" t="str">
        <f>HYPERLINK("https://leetcode.com/problems/minimum-cost-path-with-alternating-directions-i/", "Minimum Cost Path with Alternating Directions I")</f>
        <v>Minimum Cost Path with Alternating Directions I</v>
      </c>
      <c r="C3597" s="1">
        <v>10</v>
      </c>
      <c r="D3597" s="1">
        <v>8</v>
      </c>
      <c r="E3597" s="3">
        <f>IF(INDEX(C:C, ROW())+INDEX(D:D, ROW())=0, 0, INDEX(C:C, ROW())/(INDEX(C:C, ROW())+INDEX(D:D, ROW())))</f>
        <v>0.55555555555555558</v>
      </c>
      <c r="F3597" s="1" t="s">
        <v>381</v>
      </c>
      <c r="G3597" s="1" t="s">
        <v>24</v>
      </c>
      <c r="H3597" s="1">
        <v>433</v>
      </c>
      <c r="I3597" s="1">
        <v>620</v>
      </c>
      <c r="J3597" s="7">
        <v>0.69799999999999995</v>
      </c>
      <c r="K3597" s="1" t="s">
        <v>29</v>
      </c>
      <c r="L3597" s="1" t="s">
        <v>29</v>
      </c>
      <c r="M3597" s="1" t="s">
        <v>29</v>
      </c>
      <c r="N3597" s="1" t="s">
        <v>22</v>
      </c>
    </row>
    <row r="3598" spans="1:14" x14ac:dyDescent="0.25">
      <c r="A3598" s="1">
        <v>3597</v>
      </c>
      <c r="B3598" s="2" t="str">
        <f>HYPERLINK("https://leetcode.com/problems/partition-string/", "Partition String ")</f>
        <v xml:space="preserve">Partition String </v>
      </c>
      <c r="C3598" s="1">
        <v>68</v>
      </c>
      <c r="D3598" s="1">
        <v>7</v>
      </c>
      <c r="E3598" s="3">
        <f>IF(INDEX(C:C, ROW())+INDEX(D:D, ROW())=0, 0, INDEX(C:C, ROW())/(INDEX(C:C, ROW())+INDEX(D:D, ROW())))</f>
        <v>0.90666666666666662</v>
      </c>
      <c r="F3598" s="1" t="s">
        <v>1226</v>
      </c>
      <c r="G3598" s="1" t="s">
        <v>24</v>
      </c>
      <c r="H3598" s="1">
        <v>38070</v>
      </c>
      <c r="I3598" s="1">
        <v>64913</v>
      </c>
      <c r="J3598" s="7">
        <v>0.58599999999999997</v>
      </c>
      <c r="K3598" s="1" t="s">
        <v>21</v>
      </c>
      <c r="L3598" s="1" t="s">
        <v>29</v>
      </c>
      <c r="M3598" s="1" t="s">
        <v>29</v>
      </c>
      <c r="N3598" s="1" t="s">
        <v>22</v>
      </c>
    </row>
    <row r="3599" spans="1:14" x14ac:dyDescent="0.25">
      <c r="A3599" s="1">
        <v>3598</v>
      </c>
      <c r="B3599" s="2" t="str">
        <f>HYPERLINK("https://leetcode.com/problems/longest-common-prefix-between-adjacent-strings-after-removals/", "Longest Common Prefix Between Adjacent Strings After Removals")</f>
        <v>Longest Common Prefix Between Adjacent Strings After Removals</v>
      </c>
      <c r="C3599" s="1">
        <v>82</v>
      </c>
      <c r="D3599" s="1">
        <v>5</v>
      </c>
      <c r="E3599" s="3">
        <f>IF(INDEX(C:C, ROW())+INDEX(D:D, ROW())=0, 0, INDEX(C:C, ROW())/(INDEX(C:C, ROW())+INDEX(D:D, ROW())))</f>
        <v>0.94252873563218387</v>
      </c>
      <c r="F3599" s="1" t="s">
        <v>369</v>
      </c>
      <c r="G3599" s="1" t="s">
        <v>24</v>
      </c>
      <c r="H3599" s="1">
        <v>18949</v>
      </c>
      <c r="I3599" s="1">
        <v>58671</v>
      </c>
      <c r="J3599" s="7">
        <v>0.32300000000000001</v>
      </c>
      <c r="K3599" s="1" t="s">
        <v>21</v>
      </c>
      <c r="L3599" s="1" t="s">
        <v>29</v>
      </c>
      <c r="M3599" s="1" t="s">
        <v>29</v>
      </c>
      <c r="N3599" s="1" t="s">
        <v>22</v>
      </c>
    </row>
    <row r="3600" spans="1:14" x14ac:dyDescent="0.25">
      <c r="A3600" s="1">
        <v>3599</v>
      </c>
      <c r="B3600" s="2" t="str">
        <f>HYPERLINK("https://leetcode.com/problems/partition-array-to-minimize-xor/", "Partition Array to Minimize XOR")</f>
        <v>Partition Array to Minimize XOR</v>
      </c>
      <c r="C3600" s="1">
        <v>107</v>
      </c>
      <c r="D3600" s="1">
        <v>7</v>
      </c>
      <c r="E3600" s="3">
        <f>IF(INDEX(C:C, ROW())+INDEX(D:D, ROW())=0, 0, INDEX(C:C, ROW())/(INDEX(C:C, ROW())+INDEX(D:D, ROW())))</f>
        <v>0.93859649122807021</v>
      </c>
      <c r="F3600" s="1" t="s">
        <v>1176</v>
      </c>
      <c r="G3600" s="1" t="s">
        <v>24</v>
      </c>
      <c r="H3600" s="1">
        <v>14037</v>
      </c>
      <c r="I3600" s="1">
        <v>34217</v>
      </c>
      <c r="J3600" s="7">
        <v>0.41</v>
      </c>
      <c r="K3600" s="1" t="s">
        <v>21</v>
      </c>
      <c r="L3600" s="1" t="s">
        <v>29</v>
      </c>
      <c r="M3600" s="1" t="s">
        <v>29</v>
      </c>
      <c r="N3600" s="1" t="s">
        <v>22</v>
      </c>
    </row>
    <row r="3601" spans="1:14" x14ac:dyDescent="0.25">
      <c r="A3601" s="1">
        <v>3600</v>
      </c>
      <c r="B3601" s="2" t="str">
        <f>HYPERLINK("https://leetcode.com/problems/maximize-spanning-tree-stability-with-upgrades/", "Maximize Spanning Tree Stability with Upgrades")</f>
        <v>Maximize Spanning Tree Stability with Upgrades</v>
      </c>
      <c r="C3601" s="1">
        <v>70</v>
      </c>
      <c r="D3601" s="1">
        <v>3</v>
      </c>
      <c r="E3601" s="3">
        <f>IF(INDEX(C:C, ROW())+INDEX(D:D, ROW())=0, 0, INDEX(C:C, ROW())/(INDEX(C:C, ROW())+INDEX(D:D, ROW())))</f>
        <v>0.95890410958904104</v>
      </c>
      <c r="F3601" s="1" t="s">
        <v>1223</v>
      </c>
      <c r="G3601" s="1" t="s">
        <v>28</v>
      </c>
      <c r="H3601" s="1">
        <v>7177</v>
      </c>
      <c r="I3601" s="1">
        <v>18138</v>
      </c>
      <c r="J3601" s="7">
        <v>0.39600000000000002</v>
      </c>
      <c r="K3601" s="1" t="s">
        <v>21</v>
      </c>
      <c r="L3601" s="1" t="s">
        <v>29</v>
      </c>
      <c r="M3601" s="1" t="s">
        <v>29</v>
      </c>
      <c r="N3601" s="1" t="s">
        <v>22</v>
      </c>
    </row>
    <row r="3602" spans="1:14" x14ac:dyDescent="0.25">
      <c r="A3602" s="1">
        <v>3601</v>
      </c>
      <c r="B3602" s="2" t="str">
        <f>HYPERLINK("https://leetcode.com/problems/find-drivers-with-improved-fuel-efficiency/", "Find Drivers with Improved Fuel Efficiency")</f>
        <v>Find Drivers with Improved Fuel Efficiency</v>
      </c>
      <c r="C3602" s="1">
        <v>36</v>
      </c>
      <c r="D3602" s="1">
        <v>5</v>
      </c>
      <c r="E3602" s="3">
        <f>IF(INDEX(C:C, ROW())+INDEX(D:D, ROW())=0, 0, INDEX(C:C, ROW())/(INDEX(C:C, ROW())+INDEX(D:D, ROW())))</f>
        <v>0.87804878048780488</v>
      </c>
      <c r="F3602" s="1" t="s">
        <v>297</v>
      </c>
      <c r="G3602" s="1" t="s">
        <v>24</v>
      </c>
      <c r="H3602" s="1">
        <v>8349</v>
      </c>
      <c r="I3602" s="1">
        <v>18000</v>
      </c>
      <c r="J3602" s="7">
        <v>0.46400000000000002</v>
      </c>
      <c r="K3602" s="1" t="s">
        <v>21</v>
      </c>
      <c r="L3602" s="1" t="s">
        <v>29</v>
      </c>
      <c r="M3602" s="1" t="s">
        <v>29</v>
      </c>
      <c r="N3602" s="1" t="s">
        <v>297</v>
      </c>
    </row>
    <row r="3603" spans="1:14" x14ac:dyDescent="0.25">
      <c r="A3603" s="1">
        <v>3602</v>
      </c>
      <c r="B3603" s="2" t="str">
        <f>HYPERLINK("https://leetcode.com/problems/hexadecimal-and-hexatrigesimal-conversion/", "Hexadecimal and Hexatrigesimal Conversion")</f>
        <v>Hexadecimal and Hexatrigesimal Conversion</v>
      </c>
      <c r="C3603" s="1">
        <v>48</v>
      </c>
      <c r="D3603" s="1">
        <v>0</v>
      </c>
      <c r="E3603" s="3">
        <f>IF(INDEX(C:C, ROW())+INDEX(D:D, ROW())=0, 0, INDEX(C:C, ROW())/(INDEX(C:C, ROW())+INDEX(D:D, ROW())))</f>
        <v>1</v>
      </c>
      <c r="F3603" s="1" t="s">
        <v>228</v>
      </c>
      <c r="G3603" s="1" t="s">
        <v>20</v>
      </c>
      <c r="H3603" s="1">
        <v>30022</v>
      </c>
      <c r="I3603" s="1">
        <v>37228</v>
      </c>
      <c r="J3603" s="7">
        <v>0.80600000000000005</v>
      </c>
      <c r="K3603" s="1" t="s">
        <v>21</v>
      </c>
      <c r="L3603" s="1" t="s">
        <v>29</v>
      </c>
      <c r="M3603" s="1" t="s">
        <v>29</v>
      </c>
      <c r="N3603" s="1" t="s">
        <v>22</v>
      </c>
    </row>
    <row r="3604" spans="1:14" x14ac:dyDescent="0.25">
      <c r="A3604" s="1">
        <v>3603</v>
      </c>
      <c r="B3604" s="2" t="str">
        <f>HYPERLINK("https://leetcode.com/problems/minimum-cost-path-with-alternating-directions-ii/", "Minimum Cost Path with Alternating Directions II")</f>
        <v>Minimum Cost Path with Alternating Directions II</v>
      </c>
      <c r="C3604" s="1">
        <v>71</v>
      </c>
      <c r="D3604" s="1">
        <v>11</v>
      </c>
      <c r="E3604" s="3">
        <f>IF(INDEX(C:C, ROW())+INDEX(D:D, ROW())=0, 0, INDEX(C:C, ROW())/(INDEX(C:C, ROW())+INDEX(D:D, ROW())))</f>
        <v>0.86585365853658536</v>
      </c>
      <c r="F3604" s="1" t="s">
        <v>94</v>
      </c>
      <c r="G3604" s="1" t="s">
        <v>24</v>
      </c>
      <c r="H3604" s="1">
        <v>18831</v>
      </c>
      <c r="I3604" s="1">
        <v>42226</v>
      </c>
      <c r="J3604" s="7">
        <v>0.44600000000000001</v>
      </c>
      <c r="K3604" s="1" t="s">
        <v>21</v>
      </c>
      <c r="L3604" s="1" t="s">
        <v>29</v>
      </c>
      <c r="M3604" s="1" t="s">
        <v>29</v>
      </c>
      <c r="N3604" s="1" t="s">
        <v>22</v>
      </c>
    </row>
    <row r="3605" spans="1:14" x14ac:dyDescent="0.25">
      <c r="A3605" s="1">
        <v>3604</v>
      </c>
      <c r="B3605" s="2" t="str">
        <f>HYPERLINK("https://leetcode.com/problems/minimum-time-to-reach-destination-in-directed-graph/", "Minimum Time to Reach Destination in Directed Graph")</f>
        <v>Minimum Time to Reach Destination in Directed Graph</v>
      </c>
      <c r="C3605" s="1">
        <v>101</v>
      </c>
      <c r="D3605" s="1">
        <v>4</v>
      </c>
      <c r="E3605" s="3">
        <f>IF(INDEX(C:C, ROW())+INDEX(D:D, ROW())=0, 0, INDEX(C:C, ROW())/(INDEX(C:C, ROW())+INDEX(D:D, ROW())))</f>
        <v>0.96190476190476193</v>
      </c>
      <c r="F3605" s="1" t="s">
        <v>737</v>
      </c>
      <c r="G3605" s="1" t="s">
        <v>24</v>
      </c>
      <c r="H3605" s="1">
        <v>16864</v>
      </c>
      <c r="I3605" s="1">
        <v>37116</v>
      </c>
      <c r="J3605" s="7">
        <v>0.45400000000000001</v>
      </c>
      <c r="K3605" s="1" t="s">
        <v>21</v>
      </c>
      <c r="L3605" s="1" t="s">
        <v>29</v>
      </c>
      <c r="M3605" s="1" t="s">
        <v>29</v>
      </c>
      <c r="N3605" s="1" t="s">
        <v>22</v>
      </c>
    </row>
    <row r="3606" spans="1:14" x14ac:dyDescent="0.25">
      <c r="A3606" s="1">
        <v>3605</v>
      </c>
      <c r="B3606" s="2" t="str">
        <f>HYPERLINK("https://leetcode.com/problems/minimum-stability-factor-of-array/", "Minimum Stability Factor of Array")</f>
        <v>Minimum Stability Factor of Array</v>
      </c>
      <c r="C3606" s="1">
        <v>41</v>
      </c>
      <c r="D3606" s="1">
        <v>2</v>
      </c>
      <c r="E3606" s="3">
        <f>IF(INDEX(C:C, ROW())+INDEX(D:D, ROW())=0, 0, INDEX(C:C, ROW())/(INDEX(C:C, ROW())+INDEX(D:D, ROW())))</f>
        <v>0.95348837209302328</v>
      </c>
      <c r="F3606" s="1" t="s">
        <v>1285</v>
      </c>
      <c r="G3606" s="1" t="s">
        <v>28</v>
      </c>
      <c r="H3606" s="1">
        <v>3966</v>
      </c>
      <c r="I3606" s="1">
        <v>19582</v>
      </c>
      <c r="J3606" s="7">
        <v>0.20300000000000001</v>
      </c>
      <c r="K3606" s="1" t="s">
        <v>21</v>
      </c>
      <c r="L3606" s="1" t="s">
        <v>29</v>
      </c>
      <c r="M3606" s="1" t="s">
        <v>29</v>
      </c>
      <c r="N3606" s="1" t="s">
        <v>22</v>
      </c>
    </row>
    <row r="3607" spans="1:14" x14ac:dyDescent="0.25">
      <c r="A3607" s="1">
        <v>3606</v>
      </c>
      <c r="B3607" s="2" t="str">
        <f>HYPERLINK("https://leetcode.com/problems/coupon-code-validator/", "Coupon Code Validator")</f>
        <v>Coupon Code Validator</v>
      </c>
      <c r="C3607" s="1">
        <v>332</v>
      </c>
      <c r="D3607" s="1">
        <v>107</v>
      </c>
      <c r="E3607" s="3">
        <f>IF(INDEX(C:C, ROW())+INDEX(D:D, ROW())=0, 0, INDEX(C:C, ROW())/(INDEX(C:C, ROW())+INDEX(D:D, ROW())))</f>
        <v>0.75626423690205014</v>
      </c>
      <c r="F3607" s="1" t="s">
        <v>49</v>
      </c>
      <c r="G3607" s="1" t="s">
        <v>20</v>
      </c>
      <c r="H3607" s="1">
        <v>123955</v>
      </c>
      <c r="I3607" s="1">
        <v>190616</v>
      </c>
      <c r="J3607" s="7">
        <v>0.65</v>
      </c>
      <c r="K3607" s="1" t="s">
        <v>21</v>
      </c>
      <c r="L3607" s="1" t="s">
        <v>21</v>
      </c>
      <c r="M3607" s="1" t="s">
        <v>29</v>
      </c>
      <c r="N3607" s="1" t="s">
        <v>22</v>
      </c>
    </row>
    <row r="3608" spans="1:14" x14ac:dyDescent="0.25">
      <c r="A3608" s="1">
        <v>3607</v>
      </c>
      <c r="B3608" s="2" t="str">
        <f>HYPERLINK("https://leetcode.com/problems/power-grid-maintenance/", "Power Grid Maintenance")</f>
        <v>Power Grid Maintenance</v>
      </c>
      <c r="C3608" s="1">
        <v>526</v>
      </c>
      <c r="D3608" s="1">
        <v>57</v>
      </c>
      <c r="E3608" s="3">
        <f>IF(INDEX(C:C, ROW())+INDEX(D:D, ROW())=0, 0, INDEX(C:C, ROW())/(INDEX(C:C, ROW())+INDEX(D:D, ROW())))</f>
        <v>0.902229845626072</v>
      </c>
      <c r="F3608" s="1" t="s">
        <v>899</v>
      </c>
      <c r="G3608" s="1" t="s">
        <v>24</v>
      </c>
      <c r="H3608" s="1">
        <v>91747</v>
      </c>
      <c r="I3608" s="1">
        <v>162912</v>
      </c>
      <c r="J3608" s="7">
        <v>0.56299999999999994</v>
      </c>
      <c r="K3608" s="1" t="s">
        <v>21</v>
      </c>
      <c r="L3608" s="1" t="s">
        <v>21</v>
      </c>
      <c r="M3608" s="1" t="s">
        <v>29</v>
      </c>
      <c r="N3608" s="1" t="s">
        <v>22</v>
      </c>
    </row>
    <row r="3609" spans="1:14" x14ac:dyDescent="0.25">
      <c r="A3609" s="1">
        <v>3608</v>
      </c>
      <c r="B3609" s="2" t="str">
        <f>HYPERLINK("https://leetcode.com/problems/minimum-time-for-k-connected-components/", "Minimum Time for K Connected Components")</f>
        <v>Minimum Time for K Connected Components</v>
      </c>
      <c r="C3609" s="1">
        <v>123</v>
      </c>
      <c r="D3609" s="1">
        <v>6</v>
      </c>
      <c r="E3609" s="3">
        <f>IF(INDEX(C:C, ROW())+INDEX(D:D, ROW())=0, 0, INDEX(C:C, ROW())/(INDEX(C:C, ROW())+INDEX(D:D, ROW())))</f>
        <v>0.95348837209302328</v>
      </c>
      <c r="F3609" s="1" t="s">
        <v>1160</v>
      </c>
      <c r="G3609" s="1" t="s">
        <v>24</v>
      </c>
      <c r="H3609" s="1">
        <v>17025</v>
      </c>
      <c r="I3609" s="1">
        <v>37731</v>
      </c>
      <c r="J3609" s="7">
        <v>0.45100000000000001</v>
      </c>
      <c r="K3609" s="1" t="s">
        <v>21</v>
      </c>
      <c r="L3609" s="1" t="s">
        <v>29</v>
      </c>
      <c r="M3609" s="1" t="s">
        <v>29</v>
      </c>
      <c r="N3609" s="1" t="s">
        <v>22</v>
      </c>
    </row>
    <row r="3610" spans="1:14" x14ac:dyDescent="0.25">
      <c r="A3610" s="1">
        <v>3609</v>
      </c>
      <c r="B3610" s="2" t="str">
        <f>HYPERLINK("https://leetcode.com/problems/minimum-moves-to-reach-target-in-grid/", "Minimum Moves to Reach Target in Grid")</f>
        <v>Minimum Moves to Reach Target in Grid</v>
      </c>
      <c r="C3610" s="1">
        <v>55</v>
      </c>
      <c r="D3610" s="1">
        <v>3</v>
      </c>
      <c r="E3610" s="3">
        <f>IF(INDEX(C:C, ROW())+INDEX(D:D, ROW())=0, 0, INDEX(C:C, ROW())/(INDEX(C:C, ROW())+INDEX(D:D, ROW())))</f>
        <v>0.94827586206896552</v>
      </c>
      <c r="F3610" s="1" t="s">
        <v>84</v>
      </c>
      <c r="G3610" s="1" t="s">
        <v>28</v>
      </c>
      <c r="H3610" s="1">
        <v>5100</v>
      </c>
      <c r="I3610" s="1">
        <v>34329</v>
      </c>
      <c r="J3610" s="7">
        <v>0.14899999999999999</v>
      </c>
      <c r="K3610" s="1" t="s">
        <v>21</v>
      </c>
      <c r="L3610" s="1" t="s">
        <v>29</v>
      </c>
      <c r="M3610" s="1" t="s">
        <v>29</v>
      </c>
      <c r="N3610" s="1" t="s">
        <v>22</v>
      </c>
    </row>
    <row r="3611" spans="1:14" x14ac:dyDescent="0.25">
      <c r="A3611" s="1">
        <v>3610</v>
      </c>
      <c r="B3611" s="2" t="str">
        <f>HYPERLINK("https://leetcode.com/problems/minimum-number-of-primes-to-sum-to-target/", "Minimum Number of Primes to Sum to Target")</f>
        <v>Minimum Number of Primes to Sum to Target</v>
      </c>
      <c r="C3611" s="1">
        <v>15</v>
      </c>
      <c r="D3611" s="1">
        <v>1</v>
      </c>
      <c r="E3611" s="3">
        <f>IF(INDEX(C:C, ROW())+INDEX(D:D, ROW())=0, 0, INDEX(C:C, ROW())/(INDEX(C:C, ROW())+INDEX(D:D, ROW())))</f>
        <v>0.9375</v>
      </c>
      <c r="F3611" s="1" t="s">
        <v>1193</v>
      </c>
      <c r="G3611" s="1" t="s">
        <v>24</v>
      </c>
      <c r="H3611" s="1">
        <v>3342</v>
      </c>
      <c r="I3611" s="1">
        <v>5605</v>
      </c>
      <c r="J3611" s="7">
        <v>0.59599999999999997</v>
      </c>
      <c r="K3611" s="1" t="s">
        <v>29</v>
      </c>
      <c r="L3611" s="1" t="s">
        <v>29</v>
      </c>
      <c r="M3611" s="1" t="s">
        <v>29</v>
      </c>
      <c r="N3611" s="1" t="s">
        <v>22</v>
      </c>
    </row>
    <row r="3612" spans="1:14" x14ac:dyDescent="0.25">
      <c r="A3612" s="1">
        <v>3611</v>
      </c>
      <c r="B3612" s="2" t="str">
        <f>HYPERLINK("https://leetcode.com/problems/find-overbooked-employees/", "Find Overbooked Employees")</f>
        <v>Find Overbooked Employees</v>
      </c>
      <c r="C3612" s="1">
        <v>39</v>
      </c>
      <c r="D3612" s="1">
        <v>10</v>
      </c>
      <c r="E3612" s="3">
        <f>IF(INDEX(C:C, ROW())+INDEX(D:D, ROW())=0, 0, INDEX(C:C, ROW())/(INDEX(C:C, ROW())+INDEX(D:D, ROW())))</f>
        <v>0.79591836734693877</v>
      </c>
      <c r="F3612" s="1" t="s">
        <v>297</v>
      </c>
      <c r="G3612" s="1" t="s">
        <v>24</v>
      </c>
      <c r="H3612" s="1">
        <v>8492</v>
      </c>
      <c r="I3612" s="1">
        <v>18783</v>
      </c>
      <c r="J3612" s="7">
        <v>0.45200000000000001</v>
      </c>
      <c r="K3612" s="1" t="s">
        <v>21</v>
      </c>
      <c r="L3612" s="1" t="s">
        <v>29</v>
      </c>
      <c r="M3612" s="1" t="s">
        <v>29</v>
      </c>
      <c r="N3612" s="1" t="s">
        <v>297</v>
      </c>
    </row>
    <row r="3613" spans="1:14" x14ac:dyDescent="0.25">
      <c r="A3613" s="1">
        <v>3612</v>
      </c>
      <c r="B3613" s="2" t="str">
        <f>HYPERLINK("https://leetcode.com/problems/process-string-with-special-operations-i/", "Process String with Special Operations I")</f>
        <v>Process String with Special Operations I</v>
      </c>
      <c r="C3613" s="1">
        <v>56</v>
      </c>
      <c r="D3613" s="1">
        <v>11</v>
      </c>
      <c r="E3613" s="3">
        <f>IF(INDEX(C:C, ROW())+INDEX(D:D, ROW())=0, 0, INDEX(C:C, ROW())/(INDEX(C:C, ROW())+INDEX(D:D, ROW())))</f>
        <v>0.83582089552238803</v>
      </c>
      <c r="F3613" s="1" t="s">
        <v>414</v>
      </c>
      <c r="G3613" s="1" t="s">
        <v>24</v>
      </c>
      <c r="H3613" s="1">
        <v>47851</v>
      </c>
      <c r="I3613" s="1">
        <v>73675</v>
      </c>
      <c r="J3613" s="7">
        <v>0.64900000000000002</v>
      </c>
      <c r="K3613" s="1" t="s">
        <v>21</v>
      </c>
      <c r="L3613" s="1" t="s">
        <v>29</v>
      </c>
      <c r="M3613" s="1" t="s">
        <v>29</v>
      </c>
      <c r="N3613" s="1" t="s">
        <v>22</v>
      </c>
    </row>
    <row r="3614" spans="1:14" x14ac:dyDescent="0.25">
      <c r="A3614" s="1">
        <v>3613</v>
      </c>
      <c r="B3614" s="2" t="str">
        <f>HYPERLINK("https://leetcode.com/problems/minimize-maximum-component-cost/", "Minimize Maximum Component Cost")</f>
        <v>Minimize Maximum Component Cost</v>
      </c>
      <c r="C3614" s="1">
        <v>116</v>
      </c>
      <c r="D3614" s="1">
        <v>9</v>
      </c>
      <c r="E3614" s="3">
        <f>IF(INDEX(C:C, ROW())+INDEX(D:D, ROW())=0, 0, INDEX(C:C, ROW())/(INDEX(C:C, ROW())+INDEX(D:D, ROW())))</f>
        <v>0.92800000000000005</v>
      </c>
      <c r="F3614" s="1" t="s">
        <v>1160</v>
      </c>
      <c r="G3614" s="1" t="s">
        <v>24</v>
      </c>
      <c r="H3614" s="1">
        <v>23479</v>
      </c>
      <c r="I3614" s="1">
        <v>54128</v>
      </c>
      <c r="J3614" s="7">
        <v>0.434</v>
      </c>
      <c r="K3614" s="1" t="s">
        <v>21</v>
      </c>
      <c r="L3614" s="1" t="s">
        <v>29</v>
      </c>
      <c r="M3614" s="1" t="s">
        <v>29</v>
      </c>
      <c r="N3614" s="1" t="s">
        <v>22</v>
      </c>
    </row>
    <row r="3615" spans="1:14" x14ac:dyDescent="0.25">
      <c r="A3615" s="1">
        <v>3614</v>
      </c>
      <c r="B3615" s="2" t="str">
        <f>HYPERLINK("https://leetcode.com/problems/process-string-with-special-operations-ii/", "Process String with Special Operations II")</f>
        <v>Process String with Special Operations II</v>
      </c>
      <c r="C3615" s="1">
        <v>92</v>
      </c>
      <c r="D3615" s="1">
        <v>8</v>
      </c>
      <c r="E3615" s="3">
        <f>IF(INDEX(C:C, ROW())+INDEX(D:D, ROW())=0, 0, INDEX(C:C, ROW())/(INDEX(C:C, ROW())+INDEX(D:D, ROW())))</f>
        <v>0.92</v>
      </c>
      <c r="F3615" s="1" t="s">
        <v>414</v>
      </c>
      <c r="G3615" s="1" t="s">
        <v>28</v>
      </c>
      <c r="H3615" s="1">
        <v>10903</v>
      </c>
      <c r="I3615" s="1">
        <v>64714</v>
      </c>
      <c r="J3615" s="7">
        <v>0.16800000000000001</v>
      </c>
      <c r="K3615" s="1" t="s">
        <v>21</v>
      </c>
      <c r="L3615" s="1" t="s">
        <v>29</v>
      </c>
      <c r="M3615" s="1" t="s">
        <v>29</v>
      </c>
      <c r="N3615" s="1" t="s">
        <v>22</v>
      </c>
    </row>
    <row r="3616" spans="1:14" x14ac:dyDescent="0.25">
      <c r="A3616" s="1">
        <v>3615</v>
      </c>
      <c r="B3616" s="2" t="str">
        <f>HYPERLINK("https://leetcode.com/problems/longest-palindromic-path-in-graph/", "Longest Palindromic Path in Graph")</f>
        <v>Longest Palindromic Path in Graph</v>
      </c>
      <c r="C3616" s="1">
        <v>58</v>
      </c>
      <c r="D3616" s="1">
        <v>5</v>
      </c>
      <c r="E3616" s="3">
        <f>IF(INDEX(C:C, ROW())+INDEX(D:D, ROW())=0, 0, INDEX(C:C, ROW())/(INDEX(C:C, ROW())+INDEX(D:D, ROW())))</f>
        <v>0.92063492063492058</v>
      </c>
      <c r="F3616" s="1" t="s">
        <v>1248</v>
      </c>
      <c r="G3616" s="1" t="s">
        <v>28</v>
      </c>
      <c r="H3616" s="1">
        <v>7125</v>
      </c>
      <c r="I3616" s="1">
        <v>32549</v>
      </c>
      <c r="J3616" s="7">
        <v>0.219</v>
      </c>
      <c r="K3616" s="1" t="s">
        <v>21</v>
      </c>
      <c r="L3616" s="1" t="s">
        <v>29</v>
      </c>
      <c r="M3616" s="1" t="s">
        <v>29</v>
      </c>
      <c r="N3616" s="1" t="s">
        <v>22</v>
      </c>
    </row>
    <row r="3617" spans="1:14" x14ac:dyDescent="0.25">
      <c r="A3617" s="1">
        <v>3616</v>
      </c>
      <c r="B3617" s="2" t="str">
        <f>HYPERLINK("https://leetcode.com/problems/number-of-student-replacements/", "Number of Student Replacements")</f>
        <v>Number of Student Replacements</v>
      </c>
      <c r="C3617" s="1">
        <v>5</v>
      </c>
      <c r="D3617" s="1">
        <v>3</v>
      </c>
      <c r="E3617" s="3">
        <f>IF(INDEX(C:C, ROW())+INDEX(D:D, ROW())=0, 0, INDEX(C:C, ROW())/(INDEX(C:C, ROW())+INDEX(D:D, ROW())))</f>
        <v>0.625</v>
      </c>
      <c r="F3617" s="1" t="s">
        <v>306</v>
      </c>
      <c r="G3617" s="1" t="s">
        <v>24</v>
      </c>
      <c r="H3617" s="1">
        <v>912</v>
      </c>
      <c r="I3617" s="1">
        <v>1056</v>
      </c>
      <c r="J3617" s="7">
        <v>0.86399999999999999</v>
      </c>
      <c r="K3617" s="1" t="s">
        <v>29</v>
      </c>
      <c r="L3617" s="1" t="s">
        <v>29</v>
      </c>
      <c r="M3617" s="1" t="s">
        <v>29</v>
      </c>
      <c r="N3617" s="1" t="s">
        <v>22</v>
      </c>
    </row>
    <row r="3618" spans="1:14" x14ac:dyDescent="0.25">
      <c r="A3618" s="1">
        <v>3617</v>
      </c>
      <c r="B3618" s="2" t="str">
        <f>HYPERLINK("https://leetcode.com/problems/find-students-with-study-spiral-pattern/", "Find Students with Study Spiral Pattern")</f>
        <v>Find Students with Study Spiral Pattern</v>
      </c>
      <c r="C3618" s="1">
        <v>33</v>
      </c>
      <c r="D3618" s="1">
        <v>12</v>
      </c>
      <c r="E3618" s="3">
        <f>IF(INDEX(C:C, ROW())+INDEX(D:D, ROW())=0, 0, INDEX(C:C, ROW())/(INDEX(C:C, ROW())+INDEX(D:D, ROW())))</f>
        <v>0.73333333333333328</v>
      </c>
      <c r="G3618" s="1" t="s">
        <v>28</v>
      </c>
      <c r="H3618" s="1">
        <v>2810</v>
      </c>
      <c r="I3618" s="1">
        <v>9743</v>
      </c>
      <c r="J3618" s="7">
        <v>0.28799999999999998</v>
      </c>
      <c r="K3618" s="1" t="s">
        <v>21</v>
      </c>
      <c r="L3618" s="1" t="s">
        <v>29</v>
      </c>
      <c r="M3618" s="1" t="s">
        <v>29</v>
      </c>
      <c r="N3618" s="1" t="s">
        <v>297</v>
      </c>
    </row>
    <row r="3619" spans="1:14" x14ac:dyDescent="0.25">
      <c r="A3619" s="1">
        <v>3618</v>
      </c>
      <c r="B3619" s="2" t="str">
        <f>HYPERLINK("https://leetcode.com/problems/split-array-by-prime-indices/", "Split Array by Prime Indices")</f>
        <v>Split Array by Prime Indices</v>
      </c>
      <c r="C3619" s="1">
        <v>54</v>
      </c>
      <c r="D3619" s="1">
        <v>3</v>
      </c>
      <c r="E3619" s="3">
        <f>IF(INDEX(C:C, ROW())+INDEX(D:D, ROW())=0, 0, INDEX(C:C, ROW())/(INDEX(C:C, ROW())+INDEX(D:D, ROW())))</f>
        <v>0.94736842105263153</v>
      </c>
      <c r="F3619" s="1" t="s">
        <v>640</v>
      </c>
      <c r="G3619" s="1" t="s">
        <v>24</v>
      </c>
      <c r="H3619" s="1">
        <v>36708</v>
      </c>
      <c r="I3619" s="1">
        <v>74443</v>
      </c>
      <c r="J3619" s="7">
        <v>0.49299999999999999</v>
      </c>
      <c r="K3619" s="1" t="s">
        <v>21</v>
      </c>
      <c r="L3619" s="1" t="s">
        <v>29</v>
      </c>
      <c r="M3619" s="1" t="s">
        <v>29</v>
      </c>
      <c r="N3619" s="1" t="s">
        <v>22</v>
      </c>
    </row>
    <row r="3620" spans="1:14" x14ac:dyDescent="0.25">
      <c r="A3620" s="1">
        <v>3619</v>
      </c>
      <c r="B3620" s="2" t="str">
        <f>HYPERLINK("https://leetcode.com/problems/count-islands-with-total-value-divisible-by-k/", "Count Islands With Total Value Divisible by K")</f>
        <v>Count Islands With Total Value Divisible by K</v>
      </c>
      <c r="C3620" s="1">
        <v>64</v>
      </c>
      <c r="D3620" s="1">
        <v>1</v>
      </c>
      <c r="E3620" s="3">
        <f>IF(INDEX(C:C, ROW())+INDEX(D:D, ROW())=0, 0, INDEX(C:C, ROW())/(INDEX(C:C, ROW())+INDEX(D:D, ROW())))</f>
        <v>0.98461538461538467</v>
      </c>
      <c r="F3620" s="1" t="s">
        <v>40</v>
      </c>
      <c r="G3620" s="1" t="s">
        <v>24</v>
      </c>
      <c r="H3620" s="1">
        <v>29864</v>
      </c>
      <c r="I3620" s="1">
        <v>53023</v>
      </c>
      <c r="J3620" s="7">
        <v>0.56299999999999994</v>
      </c>
      <c r="K3620" s="1" t="s">
        <v>21</v>
      </c>
      <c r="L3620" s="1" t="s">
        <v>29</v>
      </c>
      <c r="M3620" s="1" t="s">
        <v>29</v>
      </c>
      <c r="N3620" s="1" t="s">
        <v>22</v>
      </c>
    </row>
    <row r="3621" spans="1:14" x14ac:dyDescent="0.25">
      <c r="A3621" s="1">
        <v>3620</v>
      </c>
      <c r="B3621" s="2" t="str">
        <f>HYPERLINK("https://leetcode.com/problems/network-recovery-pathways/", "Network Recovery Pathways")</f>
        <v>Network Recovery Pathways</v>
      </c>
      <c r="C3621" s="1">
        <v>136</v>
      </c>
      <c r="D3621" s="1">
        <v>12</v>
      </c>
      <c r="E3621" s="3">
        <f>IF(INDEX(C:C, ROW())+INDEX(D:D, ROW())=0, 0, INDEX(C:C, ROW())/(INDEX(C:C, ROW())+INDEX(D:D, ROW())))</f>
        <v>0.91891891891891897</v>
      </c>
      <c r="F3621" s="1" t="s">
        <v>1149</v>
      </c>
      <c r="G3621" s="1" t="s">
        <v>28</v>
      </c>
      <c r="H3621" s="1">
        <v>14613</v>
      </c>
      <c r="I3621" s="1">
        <v>48843</v>
      </c>
      <c r="J3621" s="7">
        <v>0.29899999999999999</v>
      </c>
      <c r="K3621" s="1" t="s">
        <v>21</v>
      </c>
      <c r="L3621" s="1" t="s">
        <v>29</v>
      </c>
      <c r="M3621" s="1" t="s">
        <v>29</v>
      </c>
      <c r="N3621" s="1" t="s">
        <v>22</v>
      </c>
    </row>
    <row r="3622" spans="1:14" x14ac:dyDescent="0.25">
      <c r="A3622" s="1">
        <v>3621</v>
      </c>
      <c r="B3622" s="2" t="str">
        <f>HYPERLINK("https://leetcode.com/problems/number-of-integers-with-popcount-depth-equal-to-k-i/", "Number of Integers With Popcount-Depth Equal to K I")</f>
        <v>Number of Integers With Popcount-Depth Equal to K I</v>
      </c>
      <c r="C3622" s="1">
        <v>52</v>
      </c>
      <c r="D3622" s="1">
        <v>5</v>
      </c>
      <c r="E3622" s="3">
        <f>IF(INDEX(C:C, ROW())+INDEX(D:D, ROW())=0, 0, INDEX(C:C, ROW())/(INDEX(C:C, ROW())+INDEX(D:D, ROW())))</f>
        <v>0.91228070175438591</v>
      </c>
      <c r="F3622" s="1" t="s">
        <v>1264</v>
      </c>
      <c r="G3622" s="1" t="s">
        <v>28</v>
      </c>
      <c r="H3622" s="1">
        <v>4560</v>
      </c>
      <c r="I3622" s="1">
        <v>20434</v>
      </c>
      <c r="J3622" s="7">
        <v>0.223</v>
      </c>
      <c r="K3622" s="1" t="s">
        <v>21</v>
      </c>
      <c r="L3622" s="1" t="s">
        <v>29</v>
      </c>
      <c r="M3622" s="1" t="s">
        <v>29</v>
      </c>
      <c r="N3622" s="1" t="s">
        <v>22</v>
      </c>
    </row>
    <row r="3623" spans="1:14" x14ac:dyDescent="0.25">
      <c r="A3623" s="1">
        <v>3622</v>
      </c>
      <c r="B3623" s="2" t="str">
        <f>HYPERLINK("https://leetcode.com/problems/check-divisibility-by-digit-sum-and-product/", "Check Divisibility by Digit Sum and Product")</f>
        <v>Check Divisibility by Digit Sum and Product</v>
      </c>
      <c r="C3623" s="1">
        <v>51</v>
      </c>
      <c r="D3623" s="1">
        <v>0</v>
      </c>
      <c r="E3623" s="3">
        <f>IF(INDEX(C:C, ROW())+INDEX(D:D, ROW())=0, 0, INDEX(C:C, ROW())/(INDEX(C:C, ROW())+INDEX(D:D, ROW())))</f>
        <v>1</v>
      </c>
      <c r="F3623" s="1" t="s">
        <v>84</v>
      </c>
      <c r="G3623" s="1" t="s">
        <v>20</v>
      </c>
      <c r="H3623" s="1">
        <v>70807</v>
      </c>
      <c r="I3623" s="1">
        <v>101661</v>
      </c>
      <c r="J3623" s="7">
        <v>0.69699999999999995</v>
      </c>
      <c r="K3623" s="1" t="s">
        <v>21</v>
      </c>
      <c r="L3623" s="1" t="s">
        <v>29</v>
      </c>
      <c r="M3623" s="1" t="s">
        <v>29</v>
      </c>
      <c r="N3623" s="1" t="s">
        <v>22</v>
      </c>
    </row>
    <row r="3624" spans="1:14" x14ac:dyDescent="0.25">
      <c r="A3624" s="1">
        <v>3623</v>
      </c>
      <c r="B3624" s="2" t="str">
        <f>HYPERLINK("https://leetcode.com/problems/count-number-of-trapezoids-i/", "Count Number of Trapezoids I")</f>
        <v>Count Number of Trapezoids I</v>
      </c>
      <c r="C3624" s="1">
        <v>393</v>
      </c>
      <c r="D3624" s="1">
        <v>49</v>
      </c>
      <c r="E3624" s="3">
        <f>IF(INDEX(C:C, ROW())+INDEX(D:D, ROW())=0, 0, INDEX(C:C, ROW())/(INDEX(C:C, ROW())+INDEX(D:D, ROW())))</f>
        <v>0.88914027149321262</v>
      </c>
      <c r="F3624" s="1" t="s">
        <v>286</v>
      </c>
      <c r="G3624" s="1" t="s">
        <v>24</v>
      </c>
      <c r="H3624" s="1">
        <v>116631</v>
      </c>
      <c r="I3624" s="1">
        <v>242792</v>
      </c>
      <c r="J3624" s="7">
        <v>0.48</v>
      </c>
      <c r="K3624" s="1" t="s">
        <v>21</v>
      </c>
      <c r="L3624" s="1" t="s">
        <v>21</v>
      </c>
      <c r="M3624" s="1" t="s">
        <v>29</v>
      </c>
      <c r="N3624" s="1" t="s">
        <v>22</v>
      </c>
    </row>
    <row r="3625" spans="1:14" x14ac:dyDescent="0.25">
      <c r="A3625" s="1">
        <v>3624</v>
      </c>
      <c r="B3625" s="2" t="str">
        <f>HYPERLINK("https://leetcode.com/problems/number-of-integers-with-popcount-depth-equal-to-k-ii/", "Number of Integers With Popcount-Depth Equal to K II")</f>
        <v>Number of Integers With Popcount-Depth Equal to K II</v>
      </c>
      <c r="C3625" s="1">
        <v>34</v>
      </c>
      <c r="D3625" s="1">
        <v>9</v>
      </c>
      <c r="E3625" s="3">
        <f>IF(INDEX(C:C, ROW())+INDEX(D:D, ROW())=0, 0, INDEX(C:C, ROW())/(INDEX(C:C, ROW())+INDEX(D:D, ROW())))</f>
        <v>0.79069767441860461</v>
      </c>
      <c r="F3625" s="1" t="s">
        <v>1297</v>
      </c>
      <c r="G3625" s="1" t="s">
        <v>28</v>
      </c>
      <c r="H3625" s="1">
        <v>20046</v>
      </c>
      <c r="I3625" s="1">
        <v>33740</v>
      </c>
      <c r="J3625" s="7">
        <v>0.59399999999999997</v>
      </c>
      <c r="K3625" s="1" t="s">
        <v>21</v>
      </c>
      <c r="L3625" s="1" t="s">
        <v>29</v>
      </c>
      <c r="M3625" s="1" t="s">
        <v>29</v>
      </c>
      <c r="N3625" s="1" t="s">
        <v>22</v>
      </c>
    </row>
    <row r="3626" spans="1:14" x14ac:dyDescent="0.25">
      <c r="A3626" s="1">
        <v>3625</v>
      </c>
      <c r="B3626" s="2" t="str">
        <f>HYPERLINK("https://leetcode.com/problems/count-number-of-trapezoids-ii/", "Count Number of Trapezoids II")</f>
        <v>Count Number of Trapezoids II</v>
      </c>
      <c r="C3626" s="1">
        <v>259</v>
      </c>
      <c r="D3626" s="1">
        <v>97</v>
      </c>
      <c r="E3626" s="3">
        <f>IF(INDEX(C:C, ROW())+INDEX(D:D, ROW())=0, 0, INDEX(C:C, ROW())/(INDEX(C:C, ROW())+INDEX(D:D, ROW())))</f>
        <v>0.72752808988764039</v>
      </c>
      <c r="F3626" s="1" t="s">
        <v>286</v>
      </c>
      <c r="G3626" s="1" t="s">
        <v>28</v>
      </c>
      <c r="H3626" s="1">
        <v>57322</v>
      </c>
      <c r="I3626" s="1">
        <v>143121</v>
      </c>
      <c r="J3626" s="7">
        <v>0.40100000000000002</v>
      </c>
      <c r="K3626" s="1" t="s">
        <v>21</v>
      </c>
      <c r="L3626" s="1" t="s">
        <v>21</v>
      </c>
      <c r="M3626" s="1" t="s">
        <v>29</v>
      </c>
      <c r="N3626" s="1" t="s">
        <v>22</v>
      </c>
    </row>
    <row r="3627" spans="1:14" x14ac:dyDescent="0.25">
      <c r="A3627" s="1">
        <v>3626</v>
      </c>
      <c r="B3627" s="2" t="str">
        <f>HYPERLINK("https://leetcode.com/problems/find-stores-with-inventory-imbalance/", "Find Stores with Inventory Imbalance")</f>
        <v>Find Stores with Inventory Imbalance</v>
      </c>
      <c r="C3627" s="1">
        <v>43</v>
      </c>
      <c r="D3627" s="1">
        <v>9</v>
      </c>
      <c r="E3627" s="3">
        <f>IF(INDEX(C:C, ROW())+INDEX(D:D, ROW())=0, 0, INDEX(C:C, ROW())/(INDEX(C:C, ROW())+INDEX(D:D, ROW())))</f>
        <v>0.82692307692307687</v>
      </c>
      <c r="G3627" s="1" t="s">
        <v>24</v>
      </c>
      <c r="H3627" s="1">
        <v>6622</v>
      </c>
      <c r="I3627" s="1">
        <v>13766</v>
      </c>
      <c r="J3627" s="7">
        <v>0.48099999999999998</v>
      </c>
      <c r="K3627" s="1" t="s">
        <v>21</v>
      </c>
      <c r="L3627" s="1" t="s">
        <v>29</v>
      </c>
      <c r="M3627" s="1" t="s">
        <v>29</v>
      </c>
      <c r="N3627" s="1" t="s">
        <v>297</v>
      </c>
    </row>
    <row r="3628" spans="1:14" x14ac:dyDescent="0.25">
      <c r="A3628" s="1">
        <v>3627</v>
      </c>
      <c r="B3628" s="2" t="str">
        <f>HYPERLINK("https://leetcode.com/problems/maximum-median-sum-of-subsequences-of-size-3/", "Maximum Median Sum of Subsequences of Size 3")</f>
        <v>Maximum Median Sum of Subsequences of Size 3</v>
      </c>
      <c r="C3628" s="1">
        <v>77</v>
      </c>
      <c r="D3628" s="1">
        <v>3</v>
      </c>
      <c r="E3628" s="3">
        <f>IF(INDEX(C:C, ROW())+INDEX(D:D, ROW())=0, 0, INDEX(C:C, ROW())/(INDEX(C:C, ROW())+INDEX(D:D, ROW())))</f>
        <v>0.96250000000000002</v>
      </c>
      <c r="F3628" s="1" t="s">
        <v>505</v>
      </c>
      <c r="G3628" s="1" t="s">
        <v>24</v>
      </c>
      <c r="H3628" s="1">
        <v>61956</v>
      </c>
      <c r="I3628" s="1">
        <v>95259</v>
      </c>
      <c r="J3628" s="7">
        <v>0.65</v>
      </c>
      <c r="K3628" s="1" t="s">
        <v>21</v>
      </c>
      <c r="L3628" s="1" t="s">
        <v>29</v>
      </c>
      <c r="M3628" s="1" t="s">
        <v>29</v>
      </c>
      <c r="N3628" s="1" t="s">
        <v>22</v>
      </c>
    </row>
    <row r="3629" spans="1:14" x14ac:dyDescent="0.25">
      <c r="A3629" s="1">
        <v>3628</v>
      </c>
      <c r="B3629" s="2" t="str">
        <f>HYPERLINK("https://leetcode.com/problems/maximum-number-of-subsequences-after-one-inserting/", "Maximum Number of Subsequences After One Inserting")</f>
        <v>Maximum Number of Subsequences After One Inserting</v>
      </c>
      <c r="C3629" s="1">
        <v>128</v>
      </c>
      <c r="D3629" s="1">
        <v>4</v>
      </c>
      <c r="E3629" s="3">
        <f>IF(INDEX(C:C, ROW())+INDEX(D:D, ROW())=0, 0, INDEX(C:C, ROW())/(INDEX(C:C, ROW())+INDEX(D:D, ROW())))</f>
        <v>0.96969696969696972</v>
      </c>
      <c r="F3629" s="1" t="s">
        <v>1155</v>
      </c>
      <c r="G3629" s="1" t="s">
        <v>24</v>
      </c>
      <c r="H3629" s="1">
        <v>30213</v>
      </c>
      <c r="I3629" s="1">
        <v>95296</v>
      </c>
      <c r="J3629" s="7">
        <v>0.317</v>
      </c>
      <c r="K3629" s="1" t="s">
        <v>21</v>
      </c>
      <c r="L3629" s="1" t="s">
        <v>29</v>
      </c>
      <c r="M3629" s="1" t="s">
        <v>29</v>
      </c>
      <c r="N3629" s="1" t="s">
        <v>22</v>
      </c>
    </row>
    <row r="3630" spans="1:14" x14ac:dyDescent="0.25">
      <c r="A3630" s="1">
        <v>3629</v>
      </c>
      <c r="B3630" s="2" t="str">
        <f>HYPERLINK("https://leetcode.com/problems/minimum-jumps-to-reach-end-via-prime-teleportation/", "Minimum Jumps to Reach End via Prime Teleportation")</f>
        <v>Minimum Jumps to Reach End via Prime Teleportation</v>
      </c>
      <c r="C3630" s="1">
        <v>128</v>
      </c>
      <c r="D3630" s="1">
        <v>17</v>
      </c>
      <c r="E3630" s="3">
        <f>IF(INDEX(C:C, ROW())+INDEX(D:D, ROW())=0, 0, INDEX(C:C, ROW())/(INDEX(C:C, ROW())+INDEX(D:D, ROW())))</f>
        <v>0.88275862068965516</v>
      </c>
      <c r="F3630" s="1" t="s">
        <v>1156</v>
      </c>
      <c r="G3630" s="1" t="s">
        <v>24</v>
      </c>
      <c r="H3630" s="1">
        <v>26013</v>
      </c>
      <c r="I3630" s="1">
        <v>81743</v>
      </c>
      <c r="J3630" s="7">
        <v>0.318</v>
      </c>
      <c r="K3630" s="1" t="s">
        <v>21</v>
      </c>
      <c r="L3630" s="1" t="s">
        <v>29</v>
      </c>
      <c r="M3630" s="1" t="s">
        <v>29</v>
      </c>
      <c r="N3630" s="1" t="s">
        <v>22</v>
      </c>
    </row>
    <row r="3631" spans="1:14" x14ac:dyDescent="0.25">
      <c r="A3631" s="1">
        <v>3630</v>
      </c>
      <c r="B3631" s="2" t="str">
        <f>HYPERLINK("https://leetcode.com/problems/partition-array-for-maximum-xor-and-and/", "Partition Array for Maximum XOR and AND")</f>
        <v>Partition Array for Maximum XOR and AND</v>
      </c>
      <c r="C3631" s="1">
        <v>30</v>
      </c>
      <c r="D3631" s="1">
        <v>8</v>
      </c>
      <c r="E3631" s="3">
        <f>IF(INDEX(C:C, ROW())+INDEX(D:D, ROW())=0, 0, INDEX(C:C, ROW())/(INDEX(C:C, ROW())+INDEX(D:D, ROW())))</f>
        <v>0.78947368421052633</v>
      </c>
      <c r="F3631" s="1" t="s">
        <v>1304</v>
      </c>
      <c r="G3631" s="1" t="s">
        <v>28</v>
      </c>
      <c r="H3631" s="1">
        <v>7274</v>
      </c>
      <c r="I3631" s="1">
        <v>41545</v>
      </c>
      <c r="J3631" s="7">
        <v>0.17499999999999999</v>
      </c>
      <c r="K3631" s="1" t="s">
        <v>21</v>
      </c>
      <c r="L3631" s="1" t="s">
        <v>29</v>
      </c>
      <c r="M3631" s="1" t="s">
        <v>29</v>
      </c>
      <c r="N3631" s="1" t="s">
        <v>22</v>
      </c>
    </row>
    <row r="3632" spans="1:14" x14ac:dyDescent="0.25">
      <c r="A3632" s="1">
        <v>3631</v>
      </c>
      <c r="B3632" s="2" t="str">
        <f>HYPERLINK("https://leetcode.com/problems/sort-threats-by-severity-and-exploitability/", "Sort Threats by Severity and Exploitability")</f>
        <v>Sort Threats by Severity and Exploitability</v>
      </c>
      <c r="C3632" s="1">
        <v>5</v>
      </c>
      <c r="D3632" s="1">
        <v>1</v>
      </c>
      <c r="E3632" s="3">
        <f>IF(INDEX(C:C, ROW())+INDEX(D:D, ROW())=0, 0, INDEX(C:C, ROW())/(INDEX(C:C, ROW())+INDEX(D:D, ROW())))</f>
        <v>0.83333333333333337</v>
      </c>
      <c r="F3632" s="1" t="s">
        <v>42</v>
      </c>
      <c r="G3632" s="1" t="s">
        <v>24</v>
      </c>
      <c r="H3632" s="1">
        <v>533</v>
      </c>
      <c r="I3632" s="1">
        <v>832</v>
      </c>
      <c r="J3632" s="7">
        <v>0.64100000000000001</v>
      </c>
      <c r="K3632" s="1" t="s">
        <v>29</v>
      </c>
      <c r="L3632" s="1" t="s">
        <v>29</v>
      </c>
      <c r="M3632" s="1" t="s">
        <v>29</v>
      </c>
      <c r="N3632" s="1" t="s">
        <v>22</v>
      </c>
    </row>
    <row r="3633" spans="1:14" x14ac:dyDescent="0.25">
      <c r="A3633" s="1">
        <v>3632</v>
      </c>
      <c r="B3633" s="2" t="str">
        <f>HYPERLINK("https://leetcode.com/problems/subarrays-with-xor-at-least-k/", "Subarrays with XOR at Least K")</f>
        <v>Subarrays with XOR at Least K</v>
      </c>
      <c r="C3633" s="1">
        <v>4</v>
      </c>
      <c r="D3633" s="1">
        <v>2</v>
      </c>
      <c r="E3633" s="3">
        <f>IF(INDEX(C:C, ROW())+INDEX(D:D, ROW())=0, 0, INDEX(C:C, ROW())/(INDEX(C:C, ROW())+INDEX(D:D, ROW())))</f>
        <v>0.66666666666666663</v>
      </c>
      <c r="F3633" s="1" t="s">
        <v>1343</v>
      </c>
      <c r="G3633" s="1" t="s">
        <v>28</v>
      </c>
      <c r="H3633" s="1">
        <v>240</v>
      </c>
      <c r="I3633" s="1">
        <v>524</v>
      </c>
      <c r="J3633" s="7">
        <v>0.45800000000000002</v>
      </c>
      <c r="K3633" s="1" t="s">
        <v>29</v>
      </c>
      <c r="L3633" s="1" t="s">
        <v>29</v>
      </c>
      <c r="M3633" s="1" t="s">
        <v>29</v>
      </c>
      <c r="N3633" s="1" t="s">
        <v>22</v>
      </c>
    </row>
    <row r="3634" spans="1:14" x14ac:dyDescent="0.25">
      <c r="A3634" s="1">
        <v>3633</v>
      </c>
      <c r="B3634" s="2" t="str">
        <f>HYPERLINK("https://leetcode.com/problems/earliest-finish-time-for-land-and-water-rides-i/", "Earliest Finish Time for Land and Water Rides I")</f>
        <v>Earliest Finish Time for Land and Water Rides I</v>
      </c>
      <c r="C3634" s="1">
        <v>67</v>
      </c>
      <c r="D3634" s="1">
        <v>15</v>
      </c>
      <c r="E3634" s="3">
        <f>IF(INDEX(C:C, ROW())+INDEX(D:D, ROW())=0, 0, INDEX(C:C, ROW())/(INDEX(C:C, ROW())+INDEX(D:D, ROW())))</f>
        <v>0.81707317073170727</v>
      </c>
      <c r="F3634" s="1" t="s">
        <v>290</v>
      </c>
      <c r="G3634" s="1" t="s">
        <v>20</v>
      </c>
      <c r="H3634" s="1">
        <v>32454</v>
      </c>
      <c r="I3634" s="1">
        <v>52703</v>
      </c>
      <c r="J3634" s="7">
        <v>0.61599999999999999</v>
      </c>
      <c r="K3634" s="1" t="s">
        <v>21</v>
      </c>
      <c r="L3634" s="1" t="s">
        <v>29</v>
      </c>
      <c r="M3634" s="1" t="s">
        <v>29</v>
      </c>
      <c r="N3634" s="1" t="s">
        <v>22</v>
      </c>
    </row>
    <row r="3635" spans="1:14" x14ac:dyDescent="0.25">
      <c r="A3635" s="1">
        <v>3634</v>
      </c>
      <c r="B3635" s="2" t="str">
        <f>HYPERLINK("https://leetcode.com/problems/minimum-removals-to-balance-array/", "Minimum Removals to Balance Array")</f>
        <v>Minimum Removals to Balance Array</v>
      </c>
      <c r="C3635" s="1">
        <v>600</v>
      </c>
      <c r="D3635" s="1">
        <v>27</v>
      </c>
      <c r="E3635" s="3">
        <f>IF(INDEX(C:C, ROW())+INDEX(D:D, ROW())=0, 0, INDEX(C:C, ROW())/(INDEX(C:C, ROW())+INDEX(D:D, ROW())))</f>
        <v>0.9569377990430622</v>
      </c>
      <c r="F3635" s="1" t="s">
        <v>644</v>
      </c>
      <c r="G3635" s="1" t="s">
        <v>24</v>
      </c>
      <c r="H3635" s="1">
        <v>139503</v>
      </c>
      <c r="I3635" s="1">
        <v>291478</v>
      </c>
      <c r="J3635" s="7">
        <v>0.47899999999999998</v>
      </c>
      <c r="K3635" s="1" t="s">
        <v>21</v>
      </c>
      <c r="L3635" s="1" t="s">
        <v>21</v>
      </c>
      <c r="M3635" s="1" t="s">
        <v>29</v>
      </c>
      <c r="N3635" s="1" t="s">
        <v>22</v>
      </c>
    </row>
    <row r="3636" spans="1:14" x14ac:dyDescent="0.25">
      <c r="A3636" s="1">
        <v>3635</v>
      </c>
      <c r="B3636" s="2" t="str">
        <f>HYPERLINK("https://leetcode.com/problems/earliest-finish-time-for-land-and-water-rides-ii/", "Earliest Finish Time for Land and Water Rides II")</f>
        <v>Earliest Finish Time for Land and Water Rides II</v>
      </c>
      <c r="C3636" s="1">
        <v>71</v>
      </c>
      <c r="D3636" s="1">
        <v>2</v>
      </c>
      <c r="E3636" s="3">
        <f>IF(INDEX(C:C, ROW())+INDEX(D:D, ROW())=0, 0, INDEX(C:C, ROW())/(INDEX(C:C, ROW())+INDEX(D:D, ROW())))</f>
        <v>0.9726027397260274</v>
      </c>
      <c r="F3636" s="1" t="s">
        <v>290</v>
      </c>
      <c r="G3636" s="1" t="s">
        <v>24</v>
      </c>
      <c r="H3636" s="1">
        <v>12839</v>
      </c>
      <c r="I3636" s="1">
        <v>36689</v>
      </c>
      <c r="J3636" s="7">
        <v>0.35</v>
      </c>
      <c r="K3636" s="1" t="s">
        <v>21</v>
      </c>
      <c r="L3636" s="1" t="s">
        <v>29</v>
      </c>
      <c r="M3636" s="1" t="s">
        <v>29</v>
      </c>
      <c r="N3636" s="1" t="s">
        <v>22</v>
      </c>
    </row>
    <row r="3637" spans="1:14" x14ac:dyDescent="0.25">
      <c r="A3637" s="1">
        <v>3636</v>
      </c>
      <c r="B3637" s="2" t="str">
        <f>HYPERLINK("https://leetcode.com/problems/threshold-majority-queries/", "Threshold Majority Queries")</f>
        <v>Threshold Majority Queries</v>
      </c>
      <c r="C3637" s="1">
        <v>36</v>
      </c>
      <c r="D3637" s="1">
        <v>10</v>
      </c>
      <c r="E3637" s="3">
        <f>IF(INDEX(C:C, ROW())+INDEX(D:D, ROW())=0, 0, INDEX(C:C, ROW())/(INDEX(C:C, ROW())+INDEX(D:D, ROW())))</f>
        <v>0.78260869565217395</v>
      </c>
      <c r="F3637" s="1" t="s">
        <v>1291</v>
      </c>
      <c r="G3637" s="1" t="s">
        <v>28</v>
      </c>
      <c r="H3637" s="1">
        <v>4558</v>
      </c>
      <c r="I3637" s="1">
        <v>20977</v>
      </c>
      <c r="J3637" s="7">
        <v>0.217</v>
      </c>
      <c r="K3637" s="1" t="s">
        <v>21</v>
      </c>
      <c r="L3637" s="1" t="s">
        <v>29</v>
      </c>
      <c r="M3637" s="1" t="s">
        <v>29</v>
      </c>
      <c r="N3637" s="1" t="s">
        <v>22</v>
      </c>
    </row>
    <row r="3638" spans="1:14" x14ac:dyDescent="0.25">
      <c r="A3638" s="1">
        <v>3637</v>
      </c>
      <c r="B3638" s="2" t="str">
        <f>HYPERLINK("https://leetcode.com/problems/trionic-array-i/", "Trionic Array I")</f>
        <v>Trionic Array I</v>
      </c>
      <c r="C3638" s="1">
        <v>463</v>
      </c>
      <c r="D3638" s="1">
        <v>38</v>
      </c>
      <c r="E3638" s="3">
        <f>IF(INDEX(C:C, ROW())+INDEX(D:D, ROW())=0, 0, INDEX(C:C, ROW())/(INDEX(C:C, ROW())+INDEX(D:D, ROW())))</f>
        <v>0.92415169660678642</v>
      </c>
      <c r="F3638" s="1" t="s">
        <v>113</v>
      </c>
      <c r="G3638" s="1" t="s">
        <v>20</v>
      </c>
      <c r="H3638" s="1">
        <v>191613</v>
      </c>
      <c r="I3638" s="1">
        <v>386868</v>
      </c>
      <c r="J3638" s="7">
        <v>0.495</v>
      </c>
      <c r="K3638" s="1" t="s">
        <v>21</v>
      </c>
      <c r="L3638" s="1" t="s">
        <v>21</v>
      </c>
      <c r="M3638" s="1" t="s">
        <v>29</v>
      </c>
      <c r="N3638" s="1" t="s">
        <v>22</v>
      </c>
    </row>
    <row r="3639" spans="1:14" x14ac:dyDescent="0.25">
      <c r="A3639" s="1">
        <v>3638</v>
      </c>
      <c r="B3639" s="2" t="str">
        <f>HYPERLINK("https://leetcode.com/problems/maximum-balanced-shipments/", "Maximum Balanced Shipments")</f>
        <v>Maximum Balanced Shipments</v>
      </c>
      <c r="C3639" s="1">
        <v>76</v>
      </c>
      <c r="D3639" s="1">
        <v>10</v>
      </c>
      <c r="E3639" s="3">
        <f>IF(INDEX(C:C, ROW())+INDEX(D:D, ROW())=0, 0, INDEX(C:C, ROW())/(INDEX(C:C, ROW())+INDEX(D:D, ROW())))</f>
        <v>0.88372093023255816</v>
      </c>
      <c r="F3639" s="1" t="s">
        <v>289</v>
      </c>
      <c r="G3639" s="1" t="s">
        <v>24</v>
      </c>
      <c r="H3639" s="1">
        <v>51838</v>
      </c>
      <c r="I3639" s="1">
        <v>84553</v>
      </c>
      <c r="J3639" s="7">
        <v>0.61299999999999999</v>
      </c>
      <c r="K3639" s="1" t="s">
        <v>21</v>
      </c>
      <c r="L3639" s="1" t="s">
        <v>29</v>
      </c>
      <c r="M3639" s="1" t="s">
        <v>29</v>
      </c>
      <c r="N3639" s="1" t="s">
        <v>22</v>
      </c>
    </row>
    <row r="3640" spans="1:14" x14ac:dyDescent="0.25">
      <c r="A3640" s="1">
        <v>3639</v>
      </c>
      <c r="B3640" s="2" t="str">
        <f>HYPERLINK("https://leetcode.com/problems/minimum-time-to-activate-string/", "Minimum Time to Activate String")</f>
        <v>Minimum Time to Activate String</v>
      </c>
      <c r="C3640" s="1">
        <v>120</v>
      </c>
      <c r="D3640" s="1">
        <v>6</v>
      </c>
      <c r="E3640" s="3">
        <f>IF(INDEX(C:C, ROW())+INDEX(D:D, ROW())=0, 0, INDEX(C:C, ROW())/(INDEX(C:C, ROW())+INDEX(D:D, ROW())))</f>
        <v>0.95238095238095233</v>
      </c>
      <c r="F3640" s="1" t="s">
        <v>35</v>
      </c>
      <c r="G3640" s="1" t="s">
        <v>24</v>
      </c>
      <c r="H3640" s="1">
        <v>34728</v>
      </c>
      <c r="I3640" s="1">
        <v>70625</v>
      </c>
      <c r="J3640" s="7">
        <v>0.49199999999999999</v>
      </c>
      <c r="K3640" s="1" t="s">
        <v>21</v>
      </c>
      <c r="L3640" s="1" t="s">
        <v>29</v>
      </c>
      <c r="M3640" s="1" t="s">
        <v>29</v>
      </c>
      <c r="N3640" s="1" t="s">
        <v>22</v>
      </c>
    </row>
    <row r="3641" spans="1:14" x14ac:dyDescent="0.25">
      <c r="A3641" s="1">
        <v>3640</v>
      </c>
      <c r="B3641" s="2" t="str">
        <f>HYPERLINK("https://leetcode.com/problems/trionic-array-ii/", "Trionic Array II")</f>
        <v>Trionic Array II</v>
      </c>
      <c r="C3641" s="1">
        <v>379</v>
      </c>
      <c r="D3641" s="1">
        <v>38</v>
      </c>
      <c r="E3641" s="3">
        <f>IF(INDEX(C:C, ROW())+INDEX(D:D, ROW())=0, 0, INDEX(C:C, ROW())/(INDEX(C:C, ROW())+INDEX(D:D, ROW())))</f>
        <v>0.90887290167865709</v>
      </c>
      <c r="F3641" s="1" t="s">
        <v>30</v>
      </c>
      <c r="G3641" s="1" t="s">
        <v>28</v>
      </c>
      <c r="H3641" s="1">
        <v>83501</v>
      </c>
      <c r="I3641" s="1">
        <v>176559</v>
      </c>
      <c r="J3641" s="7">
        <v>0.47299999999999998</v>
      </c>
      <c r="K3641" s="1" t="s">
        <v>21</v>
      </c>
      <c r="L3641" s="1" t="s">
        <v>21</v>
      </c>
      <c r="M3641" s="1" t="s">
        <v>29</v>
      </c>
      <c r="N3641" s="1" t="s">
        <v>22</v>
      </c>
    </row>
    <row r="3642" spans="1:14" x14ac:dyDescent="0.25">
      <c r="A3642" s="1">
        <v>3641</v>
      </c>
      <c r="B3642" s="2" t="str">
        <f>HYPERLINK("https://leetcode.com/problems/longest-semi-repeating-subarray/", "Longest Semi-Repeating Subarray")</f>
        <v>Longest Semi-Repeating Subarray</v>
      </c>
      <c r="C3642" s="1">
        <v>6</v>
      </c>
      <c r="D3642" s="1">
        <v>1</v>
      </c>
      <c r="E3642" s="3">
        <f>IF(INDEX(C:C, ROW())+INDEX(D:D, ROW())=0, 0, INDEX(C:C, ROW())/(INDEX(C:C, ROW())+INDEX(D:D, ROW())))</f>
        <v>0.8571428571428571</v>
      </c>
      <c r="F3642" s="1" t="s">
        <v>185</v>
      </c>
      <c r="G3642" s="1" t="s">
        <v>24</v>
      </c>
      <c r="H3642" s="1">
        <v>860</v>
      </c>
      <c r="I3642" s="1">
        <v>1311</v>
      </c>
      <c r="J3642" s="7">
        <v>0.65600000000000003</v>
      </c>
      <c r="K3642" s="1" t="s">
        <v>29</v>
      </c>
      <c r="L3642" s="1" t="s">
        <v>29</v>
      </c>
      <c r="M3642" s="1" t="s">
        <v>29</v>
      </c>
      <c r="N3642" s="1" t="s">
        <v>22</v>
      </c>
    </row>
    <row r="3643" spans="1:14" x14ac:dyDescent="0.25">
      <c r="A3643" s="1">
        <v>3642</v>
      </c>
      <c r="B3643" s="2" t="str">
        <f>HYPERLINK("https://leetcode.com/problems/find-books-with-polarized-opinions/", "Find Books with Polarized Opinions")</f>
        <v>Find Books with Polarized Opinions</v>
      </c>
      <c r="C3643" s="1">
        <v>47</v>
      </c>
      <c r="D3643" s="1">
        <v>12</v>
      </c>
      <c r="E3643" s="3">
        <f>IF(INDEX(C:C, ROW())+INDEX(D:D, ROW())=0, 0, INDEX(C:C, ROW())/(INDEX(C:C, ROW())+INDEX(D:D, ROW())))</f>
        <v>0.79661016949152541</v>
      </c>
      <c r="G3643" s="1" t="s">
        <v>24</v>
      </c>
      <c r="H3643" s="1">
        <v>8326</v>
      </c>
      <c r="I3643" s="1">
        <v>20071</v>
      </c>
      <c r="J3643" s="7">
        <v>0.41499999999999998</v>
      </c>
      <c r="K3643" s="1" t="s">
        <v>21</v>
      </c>
      <c r="L3643" s="1" t="s">
        <v>29</v>
      </c>
      <c r="M3643" s="1" t="s">
        <v>29</v>
      </c>
      <c r="N3643" s="1" t="s">
        <v>297</v>
      </c>
    </row>
    <row r="3644" spans="1:14" x14ac:dyDescent="0.25">
      <c r="A3644" s="1">
        <v>3643</v>
      </c>
      <c r="B3644" s="2" t="str">
        <f>HYPERLINK("https://leetcode.com/problems/flip-square-submatrix-vertically/", "Flip Square Submatrix Vertically")</f>
        <v>Flip Square Submatrix Vertically</v>
      </c>
      <c r="C3644" s="1">
        <v>56</v>
      </c>
      <c r="D3644" s="1">
        <v>2</v>
      </c>
      <c r="E3644" s="3">
        <f>IF(INDEX(C:C, ROW())+INDEX(D:D, ROW())=0, 0, INDEX(C:C, ROW())/(INDEX(C:C, ROW())+INDEX(D:D, ROW())))</f>
        <v>0.96551724137931039</v>
      </c>
      <c r="F3644" s="1" t="s">
        <v>559</v>
      </c>
      <c r="G3644" s="1" t="s">
        <v>20</v>
      </c>
      <c r="H3644" s="1">
        <v>63985</v>
      </c>
      <c r="I3644" s="1">
        <v>87779</v>
      </c>
      <c r="J3644" s="7">
        <v>0.72899999999999998</v>
      </c>
      <c r="K3644" s="1" t="s">
        <v>21</v>
      </c>
      <c r="L3644" s="1" t="s">
        <v>29</v>
      </c>
      <c r="M3644" s="1" t="s">
        <v>29</v>
      </c>
      <c r="N3644" s="1" t="s">
        <v>22</v>
      </c>
    </row>
    <row r="3645" spans="1:14" x14ac:dyDescent="0.25">
      <c r="A3645" s="1">
        <v>3644</v>
      </c>
      <c r="B3645" s="2" t="str">
        <f>HYPERLINK("https://leetcode.com/problems/maximum-k-to-sort-a-permutation/", "Maximum K to Sort a Permutation")</f>
        <v>Maximum K to Sort a Permutation</v>
      </c>
      <c r="C3645" s="1">
        <v>96</v>
      </c>
      <c r="D3645" s="1">
        <v>35</v>
      </c>
      <c r="E3645" s="3">
        <f>IF(INDEX(C:C, ROW())+INDEX(D:D, ROW())=0, 0, INDEX(C:C, ROW())/(INDEX(C:C, ROW())+INDEX(D:D, ROW())))</f>
        <v>0.73282442748091603</v>
      </c>
      <c r="F3645" s="1" t="s">
        <v>65</v>
      </c>
      <c r="G3645" s="1" t="s">
        <v>24</v>
      </c>
      <c r="H3645" s="1">
        <v>32581</v>
      </c>
      <c r="I3645" s="1">
        <v>87589</v>
      </c>
      <c r="J3645" s="7">
        <v>0.372</v>
      </c>
      <c r="K3645" s="1" t="s">
        <v>21</v>
      </c>
      <c r="L3645" s="1" t="s">
        <v>29</v>
      </c>
      <c r="M3645" s="1" t="s">
        <v>29</v>
      </c>
      <c r="N3645" s="1" t="s">
        <v>22</v>
      </c>
    </row>
    <row r="3646" spans="1:14" x14ac:dyDescent="0.25">
      <c r="A3646" s="1">
        <v>3645</v>
      </c>
      <c r="B3646" s="2" t="str">
        <f>HYPERLINK("https://leetcode.com/problems/maximum-total-from-optimal-activation-order/", "Maximum Total from Optimal Activation Order")</f>
        <v>Maximum Total from Optimal Activation Order</v>
      </c>
      <c r="C3646" s="1">
        <v>78</v>
      </c>
      <c r="D3646" s="1">
        <v>51</v>
      </c>
      <c r="E3646" s="3">
        <f>IF(INDEX(C:C, ROW())+INDEX(D:D, ROW())=0, 0, INDEX(C:C, ROW())/(INDEX(C:C, ROW())+INDEX(D:D, ROW())))</f>
        <v>0.60465116279069764</v>
      </c>
      <c r="F3646" s="1" t="s">
        <v>1211</v>
      </c>
      <c r="G3646" s="1" t="s">
        <v>24</v>
      </c>
      <c r="H3646" s="1">
        <v>17494</v>
      </c>
      <c r="I3646" s="1">
        <v>52966</v>
      </c>
      <c r="J3646" s="7">
        <v>0.33</v>
      </c>
      <c r="K3646" s="1" t="s">
        <v>21</v>
      </c>
      <c r="L3646" s="1" t="s">
        <v>29</v>
      </c>
      <c r="M3646" s="1" t="s">
        <v>29</v>
      </c>
      <c r="N3646" s="1" t="s">
        <v>22</v>
      </c>
    </row>
    <row r="3647" spans="1:14" x14ac:dyDescent="0.25">
      <c r="A3647" s="1">
        <v>3646</v>
      </c>
      <c r="B3647" s="2" t="str">
        <f>HYPERLINK("https://leetcode.com/problems/next-special-palindrome-number/", "Next Special Palindrome Number")</f>
        <v>Next Special Palindrome Number</v>
      </c>
      <c r="C3647" s="1">
        <v>61</v>
      </c>
      <c r="D3647" s="1">
        <v>5</v>
      </c>
      <c r="E3647" s="3">
        <f>IF(INDEX(C:C, ROW())+INDEX(D:D, ROW())=0, 0, INDEX(C:C, ROW())/(INDEX(C:C, ROW())+INDEX(D:D, ROW())))</f>
        <v>0.9242424242424242</v>
      </c>
      <c r="F3647" s="1" t="s">
        <v>510</v>
      </c>
      <c r="G3647" s="1" t="s">
        <v>28</v>
      </c>
      <c r="H3647" s="1">
        <v>11717</v>
      </c>
      <c r="I3647" s="1">
        <v>42026</v>
      </c>
      <c r="J3647" s="7">
        <v>0.27900000000000003</v>
      </c>
      <c r="K3647" s="1" t="s">
        <v>21</v>
      </c>
      <c r="L3647" s="1" t="s">
        <v>29</v>
      </c>
      <c r="M3647" s="1" t="s">
        <v>29</v>
      </c>
      <c r="N3647" s="1" t="s">
        <v>22</v>
      </c>
    </row>
    <row r="3648" spans="1:14" x14ac:dyDescent="0.25">
      <c r="A3648" s="1">
        <v>3647</v>
      </c>
      <c r="B3648" s="2" t="str">
        <f>HYPERLINK("https://leetcode.com/problems/maximum-weight-in-two-bags/", "Maximum Weight in Two Bags")</f>
        <v>Maximum Weight in Two Bags</v>
      </c>
      <c r="C3648" s="1">
        <v>6</v>
      </c>
      <c r="D3648" s="1">
        <v>3</v>
      </c>
      <c r="E3648" s="3">
        <f>IF(INDEX(C:C, ROW())+INDEX(D:D, ROW())=0, 0, INDEX(C:C, ROW())/(INDEX(C:C, ROW())+INDEX(D:D, ROW())))</f>
        <v>0.66666666666666663</v>
      </c>
      <c r="F3648" s="1" t="s">
        <v>30</v>
      </c>
      <c r="G3648" s="1" t="s">
        <v>24</v>
      </c>
      <c r="H3648" s="1">
        <v>639</v>
      </c>
      <c r="I3648" s="1">
        <v>1106</v>
      </c>
      <c r="J3648" s="7">
        <v>0.57799999999999996</v>
      </c>
      <c r="K3648" s="1" t="s">
        <v>29</v>
      </c>
      <c r="L3648" s="1" t="s">
        <v>29</v>
      </c>
      <c r="M3648" s="1" t="s">
        <v>29</v>
      </c>
      <c r="N3648" s="1" t="s">
        <v>22</v>
      </c>
    </row>
    <row r="3649" spans="1:14" x14ac:dyDescent="0.25">
      <c r="A3649" s="1">
        <v>3648</v>
      </c>
      <c r="B3649" s="2" t="str">
        <f>HYPERLINK("https://leetcode.com/problems/minimum-sensors-to-cover-grid/", "Minimum Sensors to Cover Grid")</f>
        <v>Minimum Sensors to Cover Grid</v>
      </c>
      <c r="C3649" s="1">
        <v>52</v>
      </c>
      <c r="D3649" s="1">
        <v>9</v>
      </c>
      <c r="E3649" s="3">
        <f>IF(INDEX(C:C, ROW())+INDEX(D:D, ROW())=0, 0, INDEX(C:C, ROW())/(INDEX(C:C, ROW())+INDEX(D:D, ROW())))</f>
        <v>0.85245901639344257</v>
      </c>
      <c r="F3649" s="1" t="s">
        <v>84</v>
      </c>
      <c r="G3649" s="1" t="s">
        <v>24</v>
      </c>
      <c r="H3649" s="1">
        <v>29076</v>
      </c>
      <c r="I3649" s="1">
        <v>42338</v>
      </c>
      <c r="J3649" s="7">
        <v>0.68700000000000006</v>
      </c>
      <c r="K3649" s="1" t="s">
        <v>21</v>
      </c>
      <c r="L3649" s="1" t="s">
        <v>29</v>
      </c>
      <c r="M3649" s="1" t="s">
        <v>29</v>
      </c>
      <c r="N3649" s="1" t="s">
        <v>22</v>
      </c>
    </row>
    <row r="3650" spans="1:14" x14ac:dyDescent="0.25">
      <c r="A3650" s="1">
        <v>3649</v>
      </c>
      <c r="B3650" s="2" t="str">
        <f>HYPERLINK("https://leetcode.com/problems/number-of-perfect-pairs/", "Number of Perfect Pairs")</f>
        <v>Number of Perfect Pairs</v>
      </c>
      <c r="C3650" s="1">
        <v>94</v>
      </c>
      <c r="D3650" s="1">
        <v>8</v>
      </c>
      <c r="E3650" s="3">
        <f>IF(INDEX(C:C, ROW())+INDEX(D:D, ROW())=0, 0, INDEX(C:C, ROW())/(INDEX(C:C, ROW())+INDEX(D:D, ROW())))</f>
        <v>0.92156862745098034</v>
      </c>
      <c r="F3650" s="1" t="s">
        <v>803</v>
      </c>
      <c r="G3650" s="1" t="s">
        <v>24</v>
      </c>
      <c r="H3650" s="1">
        <v>21215</v>
      </c>
      <c r="I3650" s="1">
        <v>63580</v>
      </c>
      <c r="J3650" s="7">
        <v>0.33400000000000002</v>
      </c>
      <c r="K3650" s="1" t="s">
        <v>21</v>
      </c>
      <c r="L3650" s="1" t="s">
        <v>29</v>
      </c>
      <c r="M3650" s="1" t="s">
        <v>29</v>
      </c>
      <c r="N3650" s="1" t="s">
        <v>22</v>
      </c>
    </row>
    <row r="3651" spans="1:14" x14ac:dyDescent="0.25">
      <c r="A3651" s="1">
        <v>3650</v>
      </c>
      <c r="B3651" s="2" t="str">
        <f>HYPERLINK("https://leetcode.com/problems/minimum-cost-path-with-edge-reversals/", "Minimum Cost Path with Edge Reversals")</f>
        <v>Minimum Cost Path with Edge Reversals</v>
      </c>
      <c r="C3651" s="1">
        <v>455</v>
      </c>
      <c r="D3651" s="1">
        <v>22</v>
      </c>
      <c r="E3651" s="3">
        <f>IF(INDEX(C:C, ROW())+INDEX(D:D, ROW())=0, 0, INDEX(C:C, ROW())/(INDEX(C:C, ROW())+INDEX(D:D, ROW())))</f>
        <v>0.95387840670859536</v>
      </c>
      <c r="F3651" s="1" t="s">
        <v>737</v>
      </c>
      <c r="G3651" s="1" t="s">
        <v>24</v>
      </c>
      <c r="H3651" s="1">
        <v>101606</v>
      </c>
      <c r="I3651" s="1">
        <v>164358</v>
      </c>
      <c r="J3651" s="7">
        <v>0.61799999999999999</v>
      </c>
      <c r="K3651" s="1" t="s">
        <v>21</v>
      </c>
      <c r="L3651" s="1" t="s">
        <v>21</v>
      </c>
      <c r="M3651" s="1" t="s">
        <v>29</v>
      </c>
      <c r="N3651" s="1" t="s">
        <v>22</v>
      </c>
    </row>
    <row r="3652" spans="1:14" x14ac:dyDescent="0.25">
      <c r="A3652" s="1">
        <v>3651</v>
      </c>
      <c r="B3652" s="2" t="str">
        <f>HYPERLINK("https://leetcode.com/problems/minimum-cost-path-with-teleportations/", "Minimum Cost Path with Teleportations")</f>
        <v>Minimum Cost Path with Teleportations</v>
      </c>
      <c r="C3652" s="1">
        <v>418</v>
      </c>
      <c r="D3652" s="1">
        <v>34</v>
      </c>
      <c r="E3652" s="3">
        <f>IF(INDEX(C:C, ROW())+INDEX(D:D, ROW())=0, 0, INDEX(C:C, ROW())/(INDEX(C:C, ROW())+INDEX(D:D, ROW())))</f>
        <v>0.9247787610619469</v>
      </c>
      <c r="F3652" s="1" t="s">
        <v>94</v>
      </c>
      <c r="G3652" s="1" t="s">
        <v>28</v>
      </c>
      <c r="H3652" s="1">
        <v>64852</v>
      </c>
      <c r="I3652" s="1">
        <v>141780</v>
      </c>
      <c r="J3652" s="7">
        <v>0.45700000000000002</v>
      </c>
      <c r="K3652" s="1" t="s">
        <v>21</v>
      </c>
      <c r="L3652" s="1" t="s">
        <v>21</v>
      </c>
      <c r="M3652" s="1" t="s">
        <v>29</v>
      </c>
      <c r="N3652" s="1" t="s">
        <v>22</v>
      </c>
    </row>
    <row r="3653" spans="1:14" x14ac:dyDescent="0.25">
      <c r="A3653" s="1">
        <v>3652</v>
      </c>
      <c r="B3653" s="2" t="str">
        <f>HYPERLINK("https://leetcode.com/problems/best-time-to-buy-and-sell-stock-using-strategy/", "Best Time to Buy and Sell Stock using Strategy")</f>
        <v>Best Time to Buy and Sell Stock using Strategy</v>
      </c>
      <c r="C3653" s="1">
        <v>351</v>
      </c>
      <c r="D3653" s="1">
        <v>40</v>
      </c>
      <c r="E3653" s="3">
        <f>IF(INDEX(C:C, ROW())+INDEX(D:D, ROW())=0, 0, INDEX(C:C, ROW())/(INDEX(C:C, ROW())+INDEX(D:D, ROW())))</f>
        <v>0.89769820971867009</v>
      </c>
      <c r="F3653" s="1" t="s">
        <v>197</v>
      </c>
      <c r="G3653" s="1" t="s">
        <v>24</v>
      </c>
      <c r="H3653" s="1">
        <v>111368</v>
      </c>
      <c r="I3653" s="1">
        <v>186085</v>
      </c>
      <c r="J3653" s="7">
        <v>0.59799999999999998</v>
      </c>
      <c r="K3653" s="1" t="s">
        <v>21</v>
      </c>
      <c r="L3653" s="1" t="s">
        <v>21</v>
      </c>
      <c r="M3653" s="1" t="s">
        <v>29</v>
      </c>
      <c r="N3653" s="1" t="s">
        <v>22</v>
      </c>
    </row>
    <row r="3654" spans="1:14" x14ac:dyDescent="0.25">
      <c r="A3654" s="1">
        <v>3653</v>
      </c>
      <c r="B3654" s="2" t="str">
        <f>HYPERLINK("https://leetcode.com/problems/xor-after-range-multiplication-queries-i/", "XOR After Range Multiplication Queries I")</f>
        <v>XOR After Range Multiplication Queries I</v>
      </c>
      <c r="C3654" s="1">
        <v>31</v>
      </c>
      <c r="D3654" s="1">
        <v>13</v>
      </c>
      <c r="E3654" s="3">
        <f>IF(INDEX(C:C, ROW())+INDEX(D:D, ROW())=0, 0, INDEX(C:C, ROW())/(INDEX(C:C, ROW())+INDEX(D:D, ROW())))</f>
        <v>0.70454545454545459</v>
      </c>
      <c r="F3654" s="1" t="s">
        <v>1302</v>
      </c>
      <c r="G3654" s="1" t="s">
        <v>24</v>
      </c>
      <c r="H3654" s="1">
        <v>47058</v>
      </c>
      <c r="I3654" s="1">
        <v>63706</v>
      </c>
      <c r="J3654" s="7">
        <v>0.73899999999999999</v>
      </c>
      <c r="K3654" s="1" t="s">
        <v>21</v>
      </c>
      <c r="L3654" s="1" t="s">
        <v>29</v>
      </c>
      <c r="M3654" s="1" t="s">
        <v>29</v>
      </c>
      <c r="N3654" s="1" t="s">
        <v>22</v>
      </c>
    </row>
    <row r="3655" spans="1:14" x14ac:dyDescent="0.25">
      <c r="A3655" s="1">
        <v>3654</v>
      </c>
      <c r="B3655" s="2" t="str">
        <f>HYPERLINK("https://leetcode.com/problems/minimum-sum-after-divisible-sum-deletions/", "Minimum Sum After Divisible Sum Deletions")</f>
        <v>Minimum Sum After Divisible Sum Deletions</v>
      </c>
      <c r="C3655" s="1">
        <v>148</v>
      </c>
      <c r="D3655" s="1">
        <v>10</v>
      </c>
      <c r="E3655" s="3">
        <f>IF(INDEX(C:C, ROW())+INDEX(D:D, ROW())=0, 0, INDEX(C:C, ROW())/(INDEX(C:C, ROW())+INDEX(D:D, ROW())))</f>
        <v>0.93670886075949367</v>
      </c>
      <c r="F3655" s="1" t="s">
        <v>1136</v>
      </c>
      <c r="G3655" s="1" t="s">
        <v>24</v>
      </c>
      <c r="H3655" s="1">
        <v>29011</v>
      </c>
      <c r="I3655" s="1">
        <v>62392</v>
      </c>
      <c r="J3655" s="7">
        <v>0.46500000000000002</v>
      </c>
      <c r="K3655" s="1" t="s">
        <v>21</v>
      </c>
      <c r="L3655" s="1" t="s">
        <v>29</v>
      </c>
      <c r="M3655" s="1" t="s">
        <v>29</v>
      </c>
      <c r="N3655" s="1" t="s">
        <v>22</v>
      </c>
    </row>
    <row r="3656" spans="1:14" x14ac:dyDescent="0.25">
      <c r="A3656" s="1">
        <v>3655</v>
      </c>
      <c r="B3656" s="2" t="str">
        <f>HYPERLINK("https://leetcode.com/problems/xor-after-range-multiplication-queries-ii/", "XOR After Range Multiplication Queries II")</f>
        <v>XOR After Range Multiplication Queries II</v>
      </c>
      <c r="C3656" s="1">
        <v>35</v>
      </c>
      <c r="D3656" s="1">
        <v>4</v>
      </c>
      <c r="E3656" s="3">
        <f>IF(INDEX(C:C, ROW())+INDEX(D:D, ROW())=0, 0, INDEX(C:C, ROW())/(INDEX(C:C, ROW())+INDEX(D:D, ROW())))</f>
        <v>0.89743589743589747</v>
      </c>
      <c r="F3656" s="1" t="s">
        <v>830</v>
      </c>
      <c r="G3656" s="1" t="s">
        <v>28</v>
      </c>
      <c r="H3656" s="1">
        <v>14889</v>
      </c>
      <c r="I3656" s="1">
        <v>40056</v>
      </c>
      <c r="J3656" s="7">
        <v>0.372</v>
      </c>
      <c r="K3656" s="1" t="s">
        <v>21</v>
      </c>
      <c r="L3656" s="1" t="s">
        <v>29</v>
      </c>
      <c r="M3656" s="1" t="s">
        <v>29</v>
      </c>
      <c r="N3656" s="1" t="s">
        <v>22</v>
      </c>
    </row>
    <row r="3657" spans="1:14" x14ac:dyDescent="0.25">
      <c r="A3657" s="1">
        <v>3656</v>
      </c>
      <c r="B3657" s="2" t="str">
        <f>HYPERLINK("https://leetcode.com/problems/determine-if-a-simple-graph-exists/", "Determine if a Simple Graph Exists")</f>
        <v>Determine if a Simple Graph Exists</v>
      </c>
      <c r="C3657" s="1">
        <v>8</v>
      </c>
      <c r="D3657" s="1">
        <v>5</v>
      </c>
      <c r="E3657" s="3">
        <f>IF(INDEX(C:C, ROW())+INDEX(D:D, ROW())=0, 0, INDEX(C:C, ROW())/(INDEX(C:C, ROW())+INDEX(D:D, ROW())))</f>
        <v>0.61538461538461542</v>
      </c>
      <c r="F3657" s="1" t="s">
        <v>1336</v>
      </c>
      <c r="G3657" s="1" t="s">
        <v>24</v>
      </c>
      <c r="H3657" s="1">
        <v>361</v>
      </c>
      <c r="I3657" s="1">
        <v>747</v>
      </c>
      <c r="J3657" s="7">
        <v>0.48299999999999998</v>
      </c>
      <c r="K3657" s="1" t="s">
        <v>29</v>
      </c>
      <c r="L3657" s="1" t="s">
        <v>29</v>
      </c>
      <c r="M3657" s="1" t="s">
        <v>29</v>
      </c>
      <c r="N3657" s="1" t="s">
        <v>22</v>
      </c>
    </row>
    <row r="3658" spans="1:14" x14ac:dyDescent="0.25">
      <c r="A3658" s="1">
        <v>3657</v>
      </c>
      <c r="B3658" s="2" t="str">
        <f>HYPERLINK("https://leetcode.com/problems/find-loyal-customers/", "Find Loyal Customers")</f>
        <v>Find Loyal Customers</v>
      </c>
      <c r="C3658" s="1">
        <v>42</v>
      </c>
      <c r="D3658" s="1">
        <v>1</v>
      </c>
      <c r="E3658" s="3">
        <f>IF(INDEX(C:C, ROW())+INDEX(D:D, ROW())=0, 0, INDEX(C:C, ROW())/(INDEX(C:C, ROW())+INDEX(D:D, ROW())))</f>
        <v>0.97674418604651159</v>
      </c>
      <c r="G3658" s="1" t="s">
        <v>24</v>
      </c>
      <c r="H3658" s="1">
        <v>8581</v>
      </c>
      <c r="I3658" s="1">
        <v>13990</v>
      </c>
      <c r="J3658" s="7">
        <v>0.61299999999999999</v>
      </c>
      <c r="K3658" s="1" t="s">
        <v>21</v>
      </c>
      <c r="L3658" s="1" t="s">
        <v>29</v>
      </c>
      <c r="M3658" s="1" t="s">
        <v>29</v>
      </c>
      <c r="N3658" s="1" t="s">
        <v>297</v>
      </c>
    </row>
    <row r="3659" spans="1:14" x14ac:dyDescent="0.25">
      <c r="A3659" s="1">
        <v>3658</v>
      </c>
      <c r="B3659" s="2" t="str">
        <f>HYPERLINK("https://leetcode.com/problems/gcd-of-odd-and-even-sums/", "GCD of Odd and Even Sums")</f>
        <v>GCD of Odd and Even Sums</v>
      </c>
      <c r="C3659" s="1">
        <v>93</v>
      </c>
      <c r="D3659" s="1">
        <v>12</v>
      </c>
      <c r="E3659" s="3">
        <f>IF(INDEX(C:C, ROW())+INDEX(D:D, ROW())=0, 0, INDEX(C:C, ROW())/(INDEX(C:C, ROW())+INDEX(D:D, ROW())))</f>
        <v>0.88571428571428568</v>
      </c>
      <c r="F3659" s="1" t="s">
        <v>513</v>
      </c>
      <c r="G3659" s="1" t="s">
        <v>20</v>
      </c>
      <c r="H3659" s="1">
        <v>87827</v>
      </c>
      <c r="I3659" s="1">
        <v>103646</v>
      </c>
      <c r="J3659" s="7">
        <v>0.84699999999999998</v>
      </c>
      <c r="K3659" s="1" t="s">
        <v>21</v>
      </c>
      <c r="L3659" s="1" t="s">
        <v>29</v>
      </c>
      <c r="M3659" s="1" t="s">
        <v>29</v>
      </c>
      <c r="N3659" s="1" t="s">
        <v>22</v>
      </c>
    </row>
    <row r="3660" spans="1:14" x14ac:dyDescent="0.25">
      <c r="A3660" s="1">
        <v>3659</v>
      </c>
      <c r="B3660" s="2" t="str">
        <f>HYPERLINK("https://leetcode.com/problems/partition-array-into-k-distinct-groups/", "Partition Array Into K-Distinct Groups")</f>
        <v>Partition Array Into K-Distinct Groups</v>
      </c>
      <c r="C3660" s="1">
        <v>111</v>
      </c>
      <c r="D3660" s="1">
        <v>72</v>
      </c>
      <c r="E3660" s="3">
        <f>IF(INDEX(C:C, ROW())+INDEX(D:D, ROW())=0, 0, INDEX(C:C, ROW())/(INDEX(C:C, ROW())+INDEX(D:D, ROW())))</f>
        <v>0.60655737704918034</v>
      </c>
      <c r="F3660" s="1" t="s">
        <v>294</v>
      </c>
      <c r="G3660" s="1" t="s">
        <v>24</v>
      </c>
      <c r="H3660" s="1">
        <v>53699</v>
      </c>
      <c r="I3660" s="1">
        <v>114150</v>
      </c>
      <c r="J3660" s="7">
        <v>0.47</v>
      </c>
      <c r="K3660" s="1" t="s">
        <v>21</v>
      </c>
      <c r="L3660" s="1" t="s">
        <v>29</v>
      </c>
      <c r="M3660" s="1" t="s">
        <v>29</v>
      </c>
      <c r="N3660" s="1" t="s">
        <v>22</v>
      </c>
    </row>
    <row r="3661" spans="1:14" x14ac:dyDescent="0.25">
      <c r="A3661" s="1">
        <v>3660</v>
      </c>
      <c r="B3661" s="2" t="str">
        <f>HYPERLINK("https://leetcode.com/problems/jump-game-ix/", "Jump Game IX")</f>
        <v>Jump Game IX</v>
      </c>
      <c r="C3661" s="1">
        <v>179</v>
      </c>
      <c r="D3661" s="1">
        <v>13</v>
      </c>
      <c r="E3661" s="3">
        <f>IF(INDEX(C:C, ROW())+INDEX(D:D, ROW())=0, 0, INDEX(C:C, ROW())/(INDEX(C:C, ROW())+INDEX(D:D, ROW())))</f>
        <v>0.93229166666666663</v>
      </c>
      <c r="F3661" s="1" t="s">
        <v>30</v>
      </c>
      <c r="G3661" s="1" t="s">
        <v>24</v>
      </c>
      <c r="H3661" s="1">
        <v>16708</v>
      </c>
      <c r="I3661" s="1">
        <v>70138</v>
      </c>
      <c r="J3661" s="7">
        <v>0.23799999999999999</v>
      </c>
      <c r="K3661" s="1" t="s">
        <v>21</v>
      </c>
      <c r="L3661" s="1" t="s">
        <v>29</v>
      </c>
      <c r="M3661" s="1" t="s">
        <v>29</v>
      </c>
      <c r="N3661" s="1" t="s">
        <v>22</v>
      </c>
    </row>
    <row r="3662" spans="1:14" x14ac:dyDescent="0.25">
      <c r="A3662" s="1">
        <v>3661</v>
      </c>
      <c r="B3662" s="2" t="str">
        <f>HYPERLINK("https://leetcode.com/problems/maximum-walls-destroyed-by-robots/", "Maximum Walls Destroyed by Robots")</f>
        <v>Maximum Walls Destroyed by Robots</v>
      </c>
      <c r="C3662" s="1">
        <v>53</v>
      </c>
      <c r="D3662" s="1">
        <v>7</v>
      </c>
      <c r="E3662" s="3">
        <f>IF(INDEX(C:C, ROW())+INDEX(D:D, ROW())=0, 0, INDEX(C:C, ROW())/(INDEX(C:C, ROW())+INDEX(D:D, ROW())))</f>
        <v>0.8833333333333333</v>
      </c>
      <c r="F3662" s="1" t="s">
        <v>188</v>
      </c>
      <c r="G3662" s="1" t="s">
        <v>28</v>
      </c>
      <c r="H3662" s="1">
        <v>8012</v>
      </c>
      <c r="I3662" s="1">
        <v>30384</v>
      </c>
      <c r="J3662" s="7">
        <v>0.26400000000000001</v>
      </c>
      <c r="K3662" s="1" t="s">
        <v>21</v>
      </c>
      <c r="L3662" s="1" t="s">
        <v>29</v>
      </c>
      <c r="M3662" s="1" t="s">
        <v>29</v>
      </c>
      <c r="N3662" s="1" t="s">
        <v>22</v>
      </c>
    </row>
    <row r="3663" spans="1:14" x14ac:dyDescent="0.25">
      <c r="A3663" s="1">
        <v>3662</v>
      </c>
      <c r="B3663" s="2" t="str">
        <f>HYPERLINK("https://leetcode.com/problems/filter-characters-by-frequency/", "Filter Characters by Frequency")</f>
        <v>Filter Characters by Frequency</v>
      </c>
      <c r="C3663" s="1">
        <v>9</v>
      </c>
      <c r="D3663" s="1">
        <v>0</v>
      </c>
      <c r="E3663" s="3">
        <f>IF(INDEX(C:C, ROW())+INDEX(D:D, ROW())=0, 0, INDEX(C:C, ROW())/(INDEX(C:C, ROW())+INDEX(D:D, ROW())))</f>
        <v>1</v>
      </c>
      <c r="F3663" s="1" t="s">
        <v>237</v>
      </c>
      <c r="G3663" s="1" t="s">
        <v>20</v>
      </c>
      <c r="H3663" s="1">
        <v>1294</v>
      </c>
      <c r="I3663" s="1">
        <v>1485</v>
      </c>
      <c r="J3663" s="7">
        <v>0.871</v>
      </c>
      <c r="K3663" s="1" t="s">
        <v>29</v>
      </c>
      <c r="L3663" s="1" t="s">
        <v>29</v>
      </c>
      <c r="M3663" s="1" t="s">
        <v>29</v>
      </c>
      <c r="N3663" s="1" t="s">
        <v>22</v>
      </c>
    </row>
    <row r="3664" spans="1:14" x14ac:dyDescent="0.25">
      <c r="A3664" s="1">
        <v>3663</v>
      </c>
      <c r="B3664" s="2" t="str">
        <f>HYPERLINK("https://leetcode.com/problems/find-the-least-frequent-digit/", "Find The Least Frequent Digit")</f>
        <v>Find The Least Frequent Digit</v>
      </c>
      <c r="C3664" s="1">
        <v>45</v>
      </c>
      <c r="D3664" s="1">
        <v>2</v>
      </c>
      <c r="E3664" s="3">
        <f>IF(INDEX(C:C, ROW())+INDEX(D:D, ROW())=0, 0, INDEX(C:C, ROW())/(INDEX(C:C, ROW())+INDEX(D:D, ROW())))</f>
        <v>0.95744680851063835</v>
      </c>
      <c r="F3664" s="1" t="s">
        <v>233</v>
      </c>
      <c r="G3664" s="1" t="s">
        <v>20</v>
      </c>
      <c r="H3664" s="1">
        <v>41686</v>
      </c>
      <c r="I3664" s="1">
        <v>59805</v>
      </c>
      <c r="J3664" s="7">
        <v>0.69699999999999995</v>
      </c>
      <c r="K3664" s="1" t="s">
        <v>21</v>
      </c>
      <c r="L3664" s="1" t="s">
        <v>29</v>
      </c>
      <c r="M3664" s="1" t="s">
        <v>29</v>
      </c>
      <c r="N3664" s="1" t="s">
        <v>22</v>
      </c>
    </row>
    <row r="3665" spans="1:14" x14ac:dyDescent="0.25">
      <c r="A3665" s="1">
        <v>3664</v>
      </c>
      <c r="B3665" s="2" t="str">
        <f>HYPERLINK("https://leetcode.com/problems/two-letter-card-game/", "Two-Letter Card Game")</f>
        <v>Two-Letter Card Game</v>
      </c>
      <c r="C3665" s="1">
        <v>119</v>
      </c>
      <c r="D3665" s="1">
        <v>58</v>
      </c>
      <c r="E3665" s="3">
        <f>IF(INDEX(C:C, ROW())+INDEX(D:D, ROW())=0, 0, INDEX(C:C, ROW())/(INDEX(C:C, ROW())+INDEX(D:D, ROW())))</f>
        <v>0.67231638418079098</v>
      </c>
      <c r="F3665" s="1" t="s">
        <v>1165</v>
      </c>
      <c r="G3665" s="1" t="s">
        <v>24</v>
      </c>
      <c r="H3665" s="1">
        <v>10102</v>
      </c>
      <c r="I3665" s="1">
        <v>82897</v>
      </c>
      <c r="J3665" s="7">
        <v>0.122</v>
      </c>
      <c r="K3665" s="1" t="s">
        <v>21</v>
      </c>
      <c r="L3665" s="1" t="s">
        <v>29</v>
      </c>
      <c r="M3665" s="1" t="s">
        <v>29</v>
      </c>
      <c r="N3665" s="1" t="s">
        <v>22</v>
      </c>
    </row>
    <row r="3666" spans="1:14" x14ac:dyDescent="0.25">
      <c r="A3666" s="1">
        <v>3665</v>
      </c>
      <c r="B3666" s="2" t="str">
        <f>HYPERLINK("https://leetcode.com/problems/twisted-mirror-path-count/", "Twisted Mirror Path Count")</f>
        <v>Twisted Mirror Path Count</v>
      </c>
      <c r="C3666" s="1">
        <v>83</v>
      </c>
      <c r="D3666" s="1">
        <v>4</v>
      </c>
      <c r="E3666" s="3">
        <f>IF(INDEX(C:C, ROW())+INDEX(D:D, ROW())=0, 0, INDEX(C:C, ROW())/(INDEX(C:C, ROW())+INDEX(D:D, ROW())))</f>
        <v>0.95402298850574707</v>
      </c>
      <c r="F3666" s="1" t="s">
        <v>94</v>
      </c>
      <c r="G3666" s="1" t="s">
        <v>24</v>
      </c>
      <c r="H3666" s="1">
        <v>14407</v>
      </c>
      <c r="I3666" s="1">
        <v>29984</v>
      </c>
      <c r="J3666" s="7">
        <v>0.48</v>
      </c>
      <c r="K3666" s="1" t="s">
        <v>21</v>
      </c>
      <c r="L3666" s="1" t="s">
        <v>29</v>
      </c>
      <c r="M3666" s="1" t="s">
        <v>29</v>
      </c>
      <c r="N3666" s="1" t="s">
        <v>22</v>
      </c>
    </row>
    <row r="3667" spans="1:14" x14ac:dyDescent="0.25">
      <c r="A3667" s="1">
        <v>3666</v>
      </c>
      <c r="B3667" s="2" t="str">
        <f>HYPERLINK("https://leetcode.com/problems/minimum-operations-to-equalize-binary-string/", "Minimum Operations to Equalize Binary String")</f>
        <v>Minimum Operations to Equalize Binary String</v>
      </c>
      <c r="C3667" s="1">
        <v>38</v>
      </c>
      <c r="D3667" s="1">
        <v>9</v>
      </c>
      <c r="E3667" s="3">
        <f>IF(INDEX(C:C, ROW())+INDEX(D:D, ROW())=0, 0, INDEX(C:C, ROW())/(INDEX(C:C, ROW())+INDEX(D:D, ROW())))</f>
        <v>0.80851063829787229</v>
      </c>
      <c r="F3667" s="1" t="s">
        <v>1290</v>
      </c>
      <c r="G3667" s="1" t="s">
        <v>28</v>
      </c>
      <c r="H3667" s="1">
        <v>3173</v>
      </c>
      <c r="I3667" s="1">
        <v>15593</v>
      </c>
      <c r="J3667" s="7">
        <v>0.20300000000000001</v>
      </c>
      <c r="K3667" s="1" t="s">
        <v>21</v>
      </c>
      <c r="L3667" s="1" t="s">
        <v>21</v>
      </c>
      <c r="M3667" s="1" t="s">
        <v>29</v>
      </c>
      <c r="N3667" s="1" t="s">
        <v>22</v>
      </c>
    </row>
    <row r="3668" spans="1:14" x14ac:dyDescent="0.25">
      <c r="A3668" s="1">
        <v>3667</v>
      </c>
      <c r="B3668" s="2" t="str">
        <f>HYPERLINK("https://leetcode.com/problems/sort-array-by-absolute-value/", "Sort Array By Absolute Value")</f>
        <v>Sort Array By Absolute Value</v>
      </c>
      <c r="C3668" s="1">
        <v>7</v>
      </c>
      <c r="D3668" s="1">
        <v>0</v>
      </c>
      <c r="E3668" s="3">
        <f>IF(INDEX(C:C, ROW())+INDEX(D:D, ROW())=0, 0, INDEX(C:C, ROW())/(INDEX(C:C, ROW())+INDEX(D:D, ROW())))</f>
        <v>1</v>
      </c>
      <c r="F3668" s="1" t="s">
        <v>803</v>
      </c>
      <c r="G3668" s="1" t="s">
        <v>20</v>
      </c>
      <c r="H3668" s="1">
        <v>1392</v>
      </c>
      <c r="I3668" s="1">
        <v>1608</v>
      </c>
      <c r="J3668" s="7">
        <v>0.86599999999999999</v>
      </c>
      <c r="K3668" s="1" t="s">
        <v>29</v>
      </c>
      <c r="L3668" s="1" t="s">
        <v>29</v>
      </c>
      <c r="M3668" s="1" t="s">
        <v>29</v>
      </c>
      <c r="N3668" s="1" t="s">
        <v>22</v>
      </c>
    </row>
    <row r="3669" spans="1:14" x14ac:dyDescent="0.25">
      <c r="A3669" s="1">
        <v>3668</v>
      </c>
      <c r="B3669" s="2" t="str">
        <f>HYPERLINK("https://leetcode.com/problems/restore-finishing-order/", "Restore Finishing Order")</f>
        <v>Restore Finishing Order</v>
      </c>
      <c r="C3669" s="1">
        <v>109</v>
      </c>
      <c r="D3669" s="1">
        <v>4</v>
      </c>
      <c r="E3669" s="3">
        <f>IF(INDEX(C:C, ROW())+INDEX(D:D, ROW())=0, 0, INDEX(C:C, ROW())/(INDEX(C:C, ROW())+INDEX(D:D, ROW())))</f>
        <v>0.96460176991150437</v>
      </c>
      <c r="F3669" s="1" t="s">
        <v>19</v>
      </c>
      <c r="G3669" s="1" t="s">
        <v>20</v>
      </c>
      <c r="H3669" s="1">
        <v>91864</v>
      </c>
      <c r="I3669" s="1">
        <v>100861</v>
      </c>
      <c r="J3669" s="7">
        <v>0.91100000000000003</v>
      </c>
      <c r="K3669" s="1" t="s">
        <v>21</v>
      </c>
      <c r="L3669" s="1" t="s">
        <v>29</v>
      </c>
      <c r="M3669" s="1" t="s">
        <v>29</v>
      </c>
      <c r="N3669" s="1" t="s">
        <v>22</v>
      </c>
    </row>
    <row r="3670" spans="1:14" x14ac:dyDescent="0.25">
      <c r="A3670" s="1">
        <v>3669</v>
      </c>
      <c r="B3670" s="2" t="str">
        <f>HYPERLINK("https://leetcode.com/problems/balanced-k-factor-decomposition/", "Balanced K-Factor Decomposition")</f>
        <v>Balanced K-Factor Decomposition</v>
      </c>
      <c r="C3670" s="1">
        <v>116</v>
      </c>
      <c r="D3670" s="1">
        <v>11</v>
      </c>
      <c r="E3670" s="3">
        <f>IF(INDEX(C:C, ROW())+INDEX(D:D, ROW())=0, 0, INDEX(C:C, ROW())/(INDEX(C:C, ROW())+INDEX(D:D, ROW())))</f>
        <v>0.91338582677165359</v>
      </c>
      <c r="F3670" s="1" t="s">
        <v>1167</v>
      </c>
      <c r="G3670" s="1" t="s">
        <v>24</v>
      </c>
      <c r="H3670" s="1">
        <v>27169</v>
      </c>
      <c r="I3670" s="1">
        <v>67939</v>
      </c>
      <c r="J3670" s="7">
        <v>0.4</v>
      </c>
      <c r="K3670" s="1" t="s">
        <v>21</v>
      </c>
      <c r="L3670" s="1" t="s">
        <v>29</v>
      </c>
      <c r="M3670" s="1" t="s">
        <v>29</v>
      </c>
      <c r="N3670" s="1" t="s">
        <v>22</v>
      </c>
    </row>
    <row r="3671" spans="1:14" x14ac:dyDescent="0.25">
      <c r="A3671" s="1">
        <v>3670</v>
      </c>
      <c r="B3671" s="2" t="str">
        <f>HYPERLINK("https://leetcode.com/problems/maximum-product-of-two-integers-with-no-common-bits/", "Maximum Product of Two Integers With No Common Bits")</f>
        <v>Maximum Product of Two Integers With No Common Bits</v>
      </c>
      <c r="C3671" s="1">
        <v>96</v>
      </c>
      <c r="D3671" s="1">
        <v>19</v>
      </c>
      <c r="E3671" s="3">
        <f>IF(INDEX(C:C, ROW())+INDEX(D:D, ROW())=0, 0, INDEX(C:C, ROW())/(INDEX(C:C, ROW())+INDEX(D:D, ROW())))</f>
        <v>0.83478260869565213</v>
      </c>
      <c r="F3671" s="1" t="s">
        <v>508</v>
      </c>
      <c r="G3671" s="1" t="s">
        <v>24</v>
      </c>
      <c r="H3671" s="1">
        <v>11301</v>
      </c>
      <c r="I3671" s="1">
        <v>74946</v>
      </c>
      <c r="J3671" s="7">
        <v>0.151</v>
      </c>
      <c r="K3671" s="1" t="s">
        <v>21</v>
      </c>
      <c r="L3671" s="1" t="s">
        <v>29</v>
      </c>
      <c r="M3671" s="1" t="s">
        <v>29</v>
      </c>
      <c r="N3671" s="1" t="s">
        <v>22</v>
      </c>
    </row>
    <row r="3672" spans="1:14" x14ac:dyDescent="0.25">
      <c r="A3672" s="1">
        <v>3671</v>
      </c>
      <c r="B3672" s="2" t="str">
        <f>HYPERLINK("https://leetcode.com/problems/sum-of-beautiful-subsequences/", "Sum of Beautiful Subsequences")</f>
        <v>Sum of Beautiful Subsequences</v>
      </c>
      <c r="C3672" s="1">
        <v>35</v>
      </c>
      <c r="D3672" s="1">
        <v>4</v>
      </c>
      <c r="E3672" s="3">
        <f>IF(INDEX(C:C, ROW())+INDEX(D:D, ROW())=0, 0, INDEX(C:C, ROW())/(INDEX(C:C, ROW())+INDEX(D:D, ROW())))</f>
        <v>0.89743589743589747</v>
      </c>
      <c r="F3672" s="1" t="s">
        <v>1295</v>
      </c>
      <c r="G3672" s="1" t="s">
        <v>28</v>
      </c>
      <c r="H3672" s="1">
        <v>8886</v>
      </c>
      <c r="I3672" s="1">
        <v>28438</v>
      </c>
      <c r="J3672" s="7">
        <v>0.312</v>
      </c>
      <c r="K3672" s="1" t="s">
        <v>21</v>
      </c>
      <c r="L3672" s="1" t="s">
        <v>29</v>
      </c>
      <c r="M3672" s="1" t="s">
        <v>29</v>
      </c>
      <c r="N3672" s="1" t="s">
        <v>22</v>
      </c>
    </row>
    <row r="3673" spans="1:14" x14ac:dyDescent="0.25">
      <c r="A3673" s="1">
        <v>3672</v>
      </c>
      <c r="B3673" s="2" t="str">
        <f>HYPERLINK("https://leetcode.com/problems/sum-of-weighted-modes-in-subarrays/", "Sum of Weighted Modes in Subarrays")</f>
        <v>Sum of Weighted Modes in Subarrays</v>
      </c>
      <c r="C3673" s="1">
        <v>7</v>
      </c>
      <c r="D3673" s="1">
        <v>1</v>
      </c>
      <c r="E3673" s="3">
        <f>IF(INDEX(C:C, ROW())+INDEX(D:D, ROW())=0, 0, INDEX(C:C, ROW())/(INDEX(C:C, ROW())+INDEX(D:D, ROW())))</f>
        <v>0.875</v>
      </c>
      <c r="F3673" s="1" t="s">
        <v>1338</v>
      </c>
      <c r="G3673" s="1" t="s">
        <v>24</v>
      </c>
      <c r="H3673" s="1">
        <v>450</v>
      </c>
      <c r="I3673" s="1">
        <v>828</v>
      </c>
      <c r="J3673" s="7">
        <v>0.54300000000000004</v>
      </c>
      <c r="K3673" s="1" t="s">
        <v>29</v>
      </c>
      <c r="L3673" s="1" t="s">
        <v>29</v>
      </c>
      <c r="M3673" s="1" t="s">
        <v>29</v>
      </c>
      <c r="N3673" s="1" t="s">
        <v>22</v>
      </c>
    </row>
    <row r="3674" spans="1:14" x14ac:dyDescent="0.25">
      <c r="A3674" s="1">
        <v>3673</v>
      </c>
      <c r="B3674" s="2" t="str">
        <f>HYPERLINK("https://leetcode.com/problems/find-zombie-sessions/", "Find Zombie Sessions")</f>
        <v>Find Zombie Sessions</v>
      </c>
      <c r="C3674" s="1">
        <v>27</v>
      </c>
      <c r="D3674" s="1">
        <v>2</v>
      </c>
      <c r="E3674" s="3">
        <f>IF(INDEX(C:C, ROW())+INDEX(D:D, ROW())=0, 0, INDEX(C:C, ROW())/(INDEX(C:C, ROW())+INDEX(D:D, ROW())))</f>
        <v>0.93103448275862066</v>
      </c>
      <c r="G3674" s="1" t="s">
        <v>28</v>
      </c>
      <c r="H3674" s="1">
        <v>4899</v>
      </c>
      <c r="I3674" s="1">
        <v>10171</v>
      </c>
      <c r="J3674" s="7">
        <v>0.48199999999999998</v>
      </c>
      <c r="K3674" s="1" t="s">
        <v>21</v>
      </c>
      <c r="L3674" s="1" t="s">
        <v>29</v>
      </c>
      <c r="M3674" s="1" t="s">
        <v>29</v>
      </c>
      <c r="N3674" s="1" t="s">
        <v>297</v>
      </c>
    </row>
    <row r="3675" spans="1:14" x14ac:dyDescent="0.25">
      <c r="A3675" s="1">
        <v>3674</v>
      </c>
      <c r="B3675" s="2" t="str">
        <f>HYPERLINK("https://leetcode.com/problems/minimum-operations-to-equalize-array/", "Minimum Operations to Equalize Array")</f>
        <v>Minimum Operations to Equalize Array</v>
      </c>
      <c r="C3675" s="1">
        <v>57</v>
      </c>
      <c r="D3675" s="1">
        <v>12</v>
      </c>
      <c r="E3675" s="3">
        <f>IF(INDEX(C:C, ROW())+INDEX(D:D, ROW())=0, 0, INDEX(C:C, ROW())/(INDEX(C:C, ROW())+INDEX(D:D, ROW())))</f>
        <v>0.82608695652173914</v>
      </c>
      <c r="F3675" s="1" t="s">
        <v>634</v>
      </c>
      <c r="G3675" s="1" t="s">
        <v>20</v>
      </c>
      <c r="H3675" s="1">
        <v>53767</v>
      </c>
      <c r="I3675" s="1">
        <v>89494</v>
      </c>
      <c r="J3675" s="7">
        <v>0.60099999999999998</v>
      </c>
      <c r="K3675" s="1" t="s">
        <v>21</v>
      </c>
      <c r="L3675" s="1" t="s">
        <v>29</v>
      </c>
      <c r="M3675" s="1" t="s">
        <v>29</v>
      </c>
      <c r="N3675" s="1" t="s">
        <v>22</v>
      </c>
    </row>
    <row r="3676" spans="1:14" x14ac:dyDescent="0.25">
      <c r="A3676" s="1">
        <v>3675</v>
      </c>
      <c r="B3676" s="2" t="str">
        <f>HYPERLINK("https://leetcode.com/problems/minimum-operations-to-transform-string/", "Minimum Operations to Transform String")</f>
        <v>Minimum Operations to Transform String</v>
      </c>
      <c r="C3676" s="1">
        <v>73</v>
      </c>
      <c r="D3676" s="1">
        <v>7</v>
      </c>
      <c r="E3676" s="3">
        <f>IF(INDEX(C:C, ROW())+INDEX(D:D, ROW())=0, 0, INDEX(C:C, ROW())/(INDEX(C:C, ROW())+INDEX(D:D, ROW())))</f>
        <v>0.91249999999999998</v>
      </c>
      <c r="F3676" s="1" t="s">
        <v>424</v>
      </c>
      <c r="G3676" s="1" t="s">
        <v>24</v>
      </c>
      <c r="H3676" s="1">
        <v>50329</v>
      </c>
      <c r="I3676" s="1">
        <v>81364</v>
      </c>
      <c r="J3676" s="7">
        <v>0.61899999999999999</v>
      </c>
      <c r="K3676" s="1" t="s">
        <v>21</v>
      </c>
      <c r="L3676" s="1" t="s">
        <v>29</v>
      </c>
      <c r="M3676" s="1" t="s">
        <v>29</v>
      </c>
      <c r="N3676" s="1" t="s">
        <v>22</v>
      </c>
    </row>
    <row r="3677" spans="1:14" x14ac:dyDescent="0.25">
      <c r="A3677" s="1">
        <v>3676</v>
      </c>
      <c r="B3677" s="2" t="str">
        <f>HYPERLINK("https://leetcode.com/problems/count-bowl-subarrays/", "Count Bowl Subarrays")</f>
        <v>Count Bowl Subarrays</v>
      </c>
      <c r="C3677" s="1">
        <v>181</v>
      </c>
      <c r="D3677" s="1">
        <v>5</v>
      </c>
      <c r="E3677" s="3">
        <f>IF(INDEX(C:C, ROW())+INDEX(D:D, ROW())=0, 0, INDEX(C:C, ROW())/(INDEX(C:C, ROW())+INDEX(D:D, ROW())))</f>
        <v>0.9731182795698925</v>
      </c>
      <c r="F3677" s="1" t="s">
        <v>61</v>
      </c>
      <c r="G3677" s="1" t="s">
        <v>24</v>
      </c>
      <c r="H3677" s="1">
        <v>29660</v>
      </c>
      <c r="I3677" s="1">
        <v>61901</v>
      </c>
      <c r="J3677" s="7">
        <v>0.47899999999999998</v>
      </c>
      <c r="K3677" s="1" t="s">
        <v>21</v>
      </c>
      <c r="L3677" s="1" t="s">
        <v>29</v>
      </c>
      <c r="M3677" s="1" t="s">
        <v>29</v>
      </c>
      <c r="N3677" s="1" t="s">
        <v>22</v>
      </c>
    </row>
    <row r="3678" spans="1:14" x14ac:dyDescent="0.25">
      <c r="A3678" s="1">
        <v>3677</v>
      </c>
      <c r="B3678" s="2" t="str">
        <f>HYPERLINK("https://leetcode.com/problems/count-binary-palindromic-numbers/", "Count Binary Palindromic Numbers")</f>
        <v>Count Binary Palindromic Numbers</v>
      </c>
      <c r="C3678" s="1">
        <v>78</v>
      </c>
      <c r="D3678" s="1">
        <v>3</v>
      </c>
      <c r="E3678" s="3">
        <f>IF(INDEX(C:C, ROW())+INDEX(D:D, ROW())=0, 0, INDEX(C:C, ROW())/(INDEX(C:C, ROW())+INDEX(D:D, ROW())))</f>
        <v>0.96296296296296291</v>
      </c>
      <c r="F3678" s="1" t="s">
        <v>227</v>
      </c>
      <c r="G3678" s="1" t="s">
        <v>28</v>
      </c>
      <c r="H3678" s="1">
        <v>15771</v>
      </c>
      <c r="I3678" s="1">
        <v>46725</v>
      </c>
      <c r="J3678" s="7">
        <v>0.33800000000000002</v>
      </c>
      <c r="K3678" s="1" t="s">
        <v>21</v>
      </c>
      <c r="L3678" s="1" t="s">
        <v>29</v>
      </c>
      <c r="M3678" s="1" t="s">
        <v>29</v>
      </c>
      <c r="N3678" s="1" t="s">
        <v>22</v>
      </c>
    </row>
    <row r="3679" spans="1:14" x14ac:dyDescent="0.25">
      <c r="A3679" s="1">
        <v>3678</v>
      </c>
      <c r="B3679" s="2" t="str">
        <f>HYPERLINK("https://leetcode.com/problems/smallest-absent-positive-greater-than-average/", "Smallest Absent Positive Greater Than Average")</f>
        <v>Smallest Absent Positive Greater Than Average</v>
      </c>
      <c r="C3679" s="1">
        <v>60</v>
      </c>
      <c r="D3679" s="1">
        <v>5</v>
      </c>
      <c r="E3679" s="3">
        <f>IF(INDEX(C:C, ROW())+INDEX(D:D, ROW())=0, 0, INDEX(C:C, ROW())/(INDEX(C:C, ROW())+INDEX(D:D, ROW())))</f>
        <v>0.92307692307692313</v>
      </c>
      <c r="F3679" s="1" t="s">
        <v>19</v>
      </c>
      <c r="G3679" s="1" t="s">
        <v>20</v>
      </c>
      <c r="H3679" s="1">
        <v>35964</v>
      </c>
      <c r="I3679" s="1">
        <v>105552</v>
      </c>
      <c r="J3679" s="7">
        <v>0.34100000000000003</v>
      </c>
      <c r="K3679" s="1" t="s">
        <v>21</v>
      </c>
      <c r="L3679" s="1" t="s">
        <v>29</v>
      </c>
      <c r="M3679" s="1" t="s">
        <v>29</v>
      </c>
      <c r="N3679" s="1" t="s">
        <v>22</v>
      </c>
    </row>
    <row r="3680" spans="1:14" x14ac:dyDescent="0.25">
      <c r="A3680" s="1">
        <v>3679</v>
      </c>
      <c r="B3680" s="2" t="str">
        <f>HYPERLINK("https://leetcode.com/problems/minimum-discards-to-balance-inventory/", " Minimum Discards to Balance Inventory")</f>
        <v xml:space="preserve"> Minimum Discards to Balance Inventory</v>
      </c>
      <c r="C3680" s="1">
        <v>77</v>
      </c>
      <c r="D3680" s="1">
        <v>16</v>
      </c>
      <c r="E3680" s="3">
        <f>IF(INDEX(C:C, ROW())+INDEX(D:D, ROW())=0, 0, INDEX(C:C, ROW())/(INDEX(C:C, ROW())+INDEX(D:D, ROW())))</f>
        <v>0.82795698924731187</v>
      </c>
      <c r="F3680" s="1" t="s">
        <v>1214</v>
      </c>
      <c r="G3680" s="1" t="s">
        <v>24</v>
      </c>
      <c r="H3680" s="1">
        <v>19332</v>
      </c>
      <c r="I3680" s="1">
        <v>55597</v>
      </c>
      <c r="J3680" s="7">
        <v>0.34799999999999998</v>
      </c>
      <c r="K3680" s="1" t="s">
        <v>21</v>
      </c>
      <c r="L3680" s="1" t="s">
        <v>29</v>
      </c>
      <c r="M3680" s="1" t="s">
        <v>29</v>
      </c>
      <c r="N3680" s="1" t="s">
        <v>22</v>
      </c>
    </row>
    <row r="3681" spans="1:14" x14ac:dyDescent="0.25">
      <c r="A3681" s="1">
        <v>3680</v>
      </c>
      <c r="B3681" s="2" t="str">
        <f>HYPERLINK("https://leetcode.com/problems/generate-schedule/", "Generate Schedule")</f>
        <v>Generate Schedule</v>
      </c>
      <c r="C3681" s="1">
        <v>48</v>
      </c>
      <c r="D3681" s="1">
        <v>24</v>
      </c>
      <c r="E3681" s="3">
        <f>IF(INDEX(C:C, ROW())+INDEX(D:D, ROW())=0, 0, INDEX(C:C, ROW())/(INDEX(C:C, ROW())+INDEX(D:D, ROW())))</f>
        <v>0.66666666666666663</v>
      </c>
      <c r="F3681" s="1" t="s">
        <v>435</v>
      </c>
      <c r="G3681" s="1" t="s">
        <v>24</v>
      </c>
      <c r="H3681" s="1">
        <v>4517</v>
      </c>
      <c r="I3681" s="1">
        <v>18924</v>
      </c>
      <c r="J3681" s="7">
        <v>0.23899999999999999</v>
      </c>
      <c r="K3681" s="1" t="s">
        <v>21</v>
      </c>
      <c r="L3681" s="1" t="s">
        <v>29</v>
      </c>
      <c r="M3681" s="1" t="s">
        <v>29</v>
      </c>
      <c r="N3681" s="1" t="s">
        <v>22</v>
      </c>
    </row>
    <row r="3682" spans="1:14" x14ac:dyDescent="0.25">
      <c r="A3682" s="1">
        <v>3681</v>
      </c>
      <c r="B3682" s="2" t="str">
        <f>HYPERLINK("https://leetcode.com/problems/maximum-xor-of-subsequences/", "Maximum XOR of Subsequences")</f>
        <v>Maximum XOR of Subsequences</v>
      </c>
      <c r="C3682" s="1">
        <v>59</v>
      </c>
      <c r="D3682" s="1">
        <v>10</v>
      </c>
      <c r="E3682" s="3">
        <f>IF(INDEX(C:C, ROW())+INDEX(D:D, ROW())=0, 0, INDEX(C:C, ROW())/(INDEX(C:C, ROW())+INDEX(D:D, ROW())))</f>
        <v>0.85507246376811596</v>
      </c>
      <c r="F3682" s="1" t="s">
        <v>1243</v>
      </c>
      <c r="G3682" s="1" t="s">
        <v>28</v>
      </c>
      <c r="H3682" s="1">
        <v>7445</v>
      </c>
      <c r="I3682" s="1">
        <v>14522</v>
      </c>
      <c r="J3682" s="7">
        <v>0.51300000000000001</v>
      </c>
      <c r="K3682" s="1" t="s">
        <v>21</v>
      </c>
      <c r="L3682" s="1" t="s">
        <v>29</v>
      </c>
      <c r="M3682" s="1" t="s">
        <v>29</v>
      </c>
      <c r="N3682" s="1" t="s">
        <v>22</v>
      </c>
    </row>
    <row r="3683" spans="1:14" x14ac:dyDescent="0.25">
      <c r="A3683" s="1">
        <v>3682</v>
      </c>
      <c r="B3683" s="2" t="str">
        <f>HYPERLINK("https://leetcode.com/problems/minimum-index-sum-of-common-elements/", "Minimum Index Sum of Common Elements")</f>
        <v>Minimum Index Sum of Common Elements</v>
      </c>
      <c r="C3683" s="1">
        <v>6</v>
      </c>
      <c r="D3683" s="1">
        <v>1</v>
      </c>
      <c r="E3683" s="3">
        <f>IF(INDEX(C:C, ROW())+INDEX(D:D, ROW())=0, 0, INDEX(C:C, ROW())/(INDEX(C:C, ROW())+INDEX(D:D, ROW())))</f>
        <v>0.8571428571428571</v>
      </c>
      <c r="F3683" s="1" t="s">
        <v>19</v>
      </c>
      <c r="G3683" s="1" t="s">
        <v>24</v>
      </c>
      <c r="H3683" s="1">
        <v>670</v>
      </c>
      <c r="I3683" s="1">
        <v>858</v>
      </c>
      <c r="J3683" s="7">
        <v>0.78100000000000003</v>
      </c>
      <c r="K3683" s="1" t="s">
        <v>29</v>
      </c>
      <c r="L3683" s="1" t="s">
        <v>29</v>
      </c>
      <c r="M3683" s="1" t="s">
        <v>29</v>
      </c>
      <c r="N3683" s="1" t="s">
        <v>22</v>
      </c>
    </row>
    <row r="3684" spans="1:14" x14ac:dyDescent="0.25">
      <c r="A3684" s="1">
        <v>3683</v>
      </c>
      <c r="B3684" s="2" t="str">
        <f>HYPERLINK("https://leetcode.com/problems/earliest-time-to-finish-one-task/", "Earliest Time to Finish One Task")</f>
        <v>Earliest Time to Finish One Task</v>
      </c>
      <c r="C3684" s="1">
        <v>45</v>
      </c>
      <c r="D3684" s="1">
        <v>2</v>
      </c>
      <c r="E3684" s="3">
        <f>IF(INDEX(C:C, ROW())+INDEX(D:D, ROW())=0, 0, INDEX(C:C, ROW())/(INDEX(C:C, ROW())+INDEX(D:D, ROW())))</f>
        <v>0.95744680851063835</v>
      </c>
      <c r="F3684" s="1" t="s">
        <v>113</v>
      </c>
      <c r="G3684" s="1" t="s">
        <v>20</v>
      </c>
      <c r="H3684" s="1">
        <v>69081</v>
      </c>
      <c r="I3684" s="1">
        <v>81898</v>
      </c>
      <c r="J3684" s="7">
        <v>0.84399999999999997</v>
      </c>
      <c r="K3684" s="1" t="s">
        <v>21</v>
      </c>
      <c r="L3684" s="1" t="s">
        <v>29</v>
      </c>
      <c r="M3684" s="1" t="s">
        <v>29</v>
      </c>
      <c r="N3684" s="1" t="s">
        <v>22</v>
      </c>
    </row>
    <row r="3685" spans="1:14" x14ac:dyDescent="0.25">
      <c r="A3685" s="1">
        <v>3684</v>
      </c>
      <c r="B3685" s="2" t="str">
        <f>HYPERLINK("https://leetcode.com/problems/maximize-sum-of-at-most-k-distinct-elements/", "Maximize Sum of At Most K Distinct Elements")</f>
        <v>Maximize Sum of At Most K Distinct Elements</v>
      </c>
      <c r="C3685" s="1">
        <v>51</v>
      </c>
      <c r="D3685" s="1">
        <v>4</v>
      </c>
      <c r="E3685" s="3">
        <f>IF(INDEX(C:C, ROW())+INDEX(D:D, ROW())=0, 0, INDEX(C:C, ROW())/(INDEX(C:C, ROW())+INDEX(D:D, ROW())))</f>
        <v>0.92727272727272725</v>
      </c>
      <c r="F3685" s="1" t="s">
        <v>333</v>
      </c>
      <c r="G3685" s="1" t="s">
        <v>20</v>
      </c>
      <c r="H3685" s="1">
        <v>61433</v>
      </c>
      <c r="I3685" s="1">
        <v>80218</v>
      </c>
      <c r="J3685" s="7">
        <v>0.76600000000000001</v>
      </c>
      <c r="K3685" s="1" t="s">
        <v>21</v>
      </c>
      <c r="L3685" s="1" t="s">
        <v>29</v>
      </c>
      <c r="M3685" s="1" t="s">
        <v>29</v>
      </c>
      <c r="N3685" s="1" t="s">
        <v>22</v>
      </c>
    </row>
    <row r="3686" spans="1:14" x14ac:dyDescent="0.25">
      <c r="A3686" s="1">
        <v>3685</v>
      </c>
      <c r="B3686" s="2" t="str">
        <f>HYPERLINK("https://leetcode.com/problems/subsequence-sum-after-capping-elements/", "Subsequence Sum After Capping Elements")</f>
        <v>Subsequence Sum After Capping Elements</v>
      </c>
      <c r="C3686" s="1">
        <v>160</v>
      </c>
      <c r="D3686" s="1">
        <v>15</v>
      </c>
      <c r="E3686" s="3">
        <f>IF(INDEX(C:C, ROW())+INDEX(D:D, ROW())=0, 0, INDEX(C:C, ROW())/(INDEX(C:C, ROW())+INDEX(D:D, ROW())))</f>
        <v>0.91428571428571426</v>
      </c>
      <c r="F3686" s="1" t="s">
        <v>1127</v>
      </c>
      <c r="G3686" s="1" t="s">
        <v>24</v>
      </c>
      <c r="H3686" s="1">
        <v>19920</v>
      </c>
      <c r="I3686" s="1">
        <v>79274</v>
      </c>
      <c r="J3686" s="7">
        <v>0.251</v>
      </c>
      <c r="K3686" s="1" t="s">
        <v>21</v>
      </c>
      <c r="L3686" s="1" t="s">
        <v>29</v>
      </c>
      <c r="M3686" s="1" t="s">
        <v>29</v>
      </c>
      <c r="N3686" s="1" t="s">
        <v>22</v>
      </c>
    </row>
    <row r="3687" spans="1:14" x14ac:dyDescent="0.25">
      <c r="A3687" s="1">
        <v>3686</v>
      </c>
      <c r="B3687" s="2" t="str">
        <f>HYPERLINK("https://leetcode.com/problems/number-of-stable-subsequences/", "Number of Stable Subsequences")</f>
        <v>Number of Stable Subsequences</v>
      </c>
      <c r="C3687" s="1">
        <v>83</v>
      </c>
      <c r="D3687" s="1">
        <v>3</v>
      </c>
      <c r="E3687" s="3">
        <f>IF(INDEX(C:C, ROW())+INDEX(D:D, ROW())=0, 0, INDEX(C:C, ROW())/(INDEX(C:C, ROW())+INDEX(D:D, ROW())))</f>
        <v>0.96511627906976749</v>
      </c>
      <c r="F3687" s="1" t="s">
        <v>30</v>
      </c>
      <c r="G3687" s="1" t="s">
        <v>28</v>
      </c>
      <c r="H3687" s="1">
        <v>24101</v>
      </c>
      <c r="I3687" s="1">
        <v>40076</v>
      </c>
      <c r="J3687" s="7">
        <v>0.60099999999999998</v>
      </c>
      <c r="K3687" s="1" t="s">
        <v>21</v>
      </c>
      <c r="L3687" s="1" t="s">
        <v>29</v>
      </c>
      <c r="M3687" s="1" t="s">
        <v>29</v>
      </c>
      <c r="N3687" s="1" t="s">
        <v>22</v>
      </c>
    </row>
    <row r="3688" spans="1:14" x14ac:dyDescent="0.25">
      <c r="A3688" s="1">
        <v>3687</v>
      </c>
      <c r="B3688" s="2" t="str">
        <f>HYPERLINK("https://leetcode.com/problems/library-late-fee-calculator/", "Library Late Fee Calculator")</f>
        <v>Library Late Fee Calculator</v>
      </c>
      <c r="C3688" s="1">
        <v>5</v>
      </c>
      <c r="D3688" s="1">
        <v>3</v>
      </c>
      <c r="E3688" s="3">
        <f>IF(INDEX(C:C, ROW())+INDEX(D:D, ROW())=0, 0, INDEX(C:C, ROW())/(INDEX(C:C, ROW())+INDEX(D:D, ROW())))</f>
        <v>0.625</v>
      </c>
      <c r="F3688" s="1" t="s">
        <v>306</v>
      </c>
      <c r="G3688" s="1" t="s">
        <v>20</v>
      </c>
      <c r="H3688" s="1">
        <v>1795</v>
      </c>
      <c r="I3688" s="1">
        <v>1907</v>
      </c>
      <c r="J3688" s="7">
        <v>0.94099999999999995</v>
      </c>
      <c r="K3688" s="1" t="s">
        <v>29</v>
      </c>
      <c r="L3688" s="1" t="s">
        <v>29</v>
      </c>
      <c r="M3688" s="1" t="s">
        <v>29</v>
      </c>
      <c r="N3688" s="1" t="s">
        <v>22</v>
      </c>
    </row>
    <row r="3689" spans="1:14" x14ac:dyDescent="0.25">
      <c r="A3689" s="1">
        <v>3688</v>
      </c>
      <c r="B3689" s="2" t="str">
        <f>HYPERLINK("https://leetcode.com/problems/bitwise-or-of-even-numbers-in-an-array/", "Bitwise OR of Even Numbers in an Array")</f>
        <v>Bitwise OR of Even Numbers in an Array</v>
      </c>
      <c r="C3689" s="1">
        <v>34</v>
      </c>
      <c r="D3689" s="1">
        <v>4</v>
      </c>
      <c r="E3689" s="3">
        <f>IF(INDEX(C:C, ROW())+INDEX(D:D, ROW())=0, 0, INDEX(C:C, ROW())/(INDEX(C:C, ROW())+INDEX(D:D, ROW())))</f>
        <v>0.89473684210526316</v>
      </c>
      <c r="F3689" s="1" t="s">
        <v>1298</v>
      </c>
      <c r="G3689" s="1" t="s">
        <v>20</v>
      </c>
      <c r="H3689" s="1">
        <v>70312</v>
      </c>
      <c r="I3689" s="1">
        <v>82988</v>
      </c>
      <c r="J3689" s="7">
        <v>0.84699999999999998</v>
      </c>
      <c r="K3689" s="1" t="s">
        <v>21</v>
      </c>
      <c r="L3689" s="1" t="s">
        <v>29</v>
      </c>
      <c r="M3689" s="1" t="s">
        <v>29</v>
      </c>
      <c r="N3689" s="1" t="s">
        <v>22</v>
      </c>
    </row>
    <row r="3690" spans="1:14" x14ac:dyDescent="0.25">
      <c r="A3690" s="1">
        <v>3689</v>
      </c>
      <c r="B3690" s="2" t="str">
        <f>HYPERLINK("https://leetcode.com/problems/maximum-total-subarray-value-i/", "Maximum Total Subarray Value I")</f>
        <v>Maximum Total Subarray Value I</v>
      </c>
      <c r="C3690" s="1">
        <v>52</v>
      </c>
      <c r="D3690" s="1">
        <v>20</v>
      </c>
      <c r="E3690" s="3">
        <f>IF(INDEX(C:C, ROW())+INDEX(D:D, ROW())=0, 0, INDEX(C:C, ROW())/(INDEX(C:C, ROW())+INDEX(D:D, ROW())))</f>
        <v>0.72222222222222221</v>
      </c>
      <c r="F3690" s="1" t="s">
        <v>96</v>
      </c>
      <c r="G3690" s="1" t="s">
        <v>24</v>
      </c>
      <c r="H3690" s="1">
        <v>53002</v>
      </c>
      <c r="I3690" s="1">
        <v>82416</v>
      </c>
      <c r="J3690" s="7">
        <v>0.64300000000000002</v>
      </c>
      <c r="K3690" s="1" t="s">
        <v>21</v>
      </c>
      <c r="L3690" s="1" t="s">
        <v>29</v>
      </c>
      <c r="M3690" s="1" t="s">
        <v>29</v>
      </c>
      <c r="N3690" s="1" t="s">
        <v>22</v>
      </c>
    </row>
    <row r="3691" spans="1:14" x14ac:dyDescent="0.25">
      <c r="A3691" s="1">
        <v>3690</v>
      </c>
      <c r="B3691" s="2" t="str">
        <f>HYPERLINK("https://leetcode.com/problems/split-and-merge-array-transformation/", "Split and Merge Array Transformation")</f>
        <v>Split and Merge Array Transformation</v>
      </c>
      <c r="C3691" s="1">
        <v>95</v>
      </c>
      <c r="D3691" s="1">
        <v>11</v>
      </c>
      <c r="E3691" s="3">
        <f>IF(INDEX(C:C, ROW())+INDEX(D:D, ROW())=0, 0, INDEX(C:C, ROW())/(INDEX(C:C, ROW())+INDEX(D:D, ROW())))</f>
        <v>0.89622641509433965</v>
      </c>
      <c r="F3691" s="1" t="s">
        <v>276</v>
      </c>
      <c r="G3691" s="1" t="s">
        <v>24</v>
      </c>
      <c r="H3691" s="1">
        <v>24739</v>
      </c>
      <c r="I3691" s="1">
        <v>42234</v>
      </c>
      <c r="J3691" s="7">
        <v>0.58599999999999997</v>
      </c>
      <c r="K3691" s="1" t="s">
        <v>21</v>
      </c>
      <c r="L3691" s="1" t="s">
        <v>29</v>
      </c>
      <c r="M3691" s="1" t="s">
        <v>29</v>
      </c>
      <c r="N3691" s="1" t="s">
        <v>22</v>
      </c>
    </row>
    <row r="3692" spans="1:14" x14ac:dyDescent="0.25">
      <c r="A3692" s="1">
        <v>3691</v>
      </c>
      <c r="B3692" s="2" t="str">
        <f>HYPERLINK("https://leetcode.com/problems/maximum-total-subarray-value-ii/", "Maximum Total Subarray Value II")</f>
        <v>Maximum Total Subarray Value II</v>
      </c>
      <c r="C3692" s="1">
        <v>79</v>
      </c>
      <c r="D3692" s="1">
        <v>4</v>
      </c>
      <c r="E3692" s="3">
        <f>IF(INDEX(C:C, ROW())+INDEX(D:D, ROW())=0, 0, INDEX(C:C, ROW())/(INDEX(C:C, ROW())+INDEX(D:D, ROW())))</f>
        <v>0.95180722891566261</v>
      </c>
      <c r="F3692" s="1" t="s">
        <v>1208</v>
      </c>
      <c r="G3692" s="1" t="s">
        <v>28</v>
      </c>
      <c r="H3692" s="1">
        <v>11624</v>
      </c>
      <c r="I3692" s="1">
        <v>52994</v>
      </c>
      <c r="J3692" s="7">
        <v>0.219</v>
      </c>
      <c r="K3692" s="1" t="s">
        <v>21</v>
      </c>
      <c r="L3692" s="1" t="s">
        <v>29</v>
      </c>
      <c r="M3692" s="1" t="s">
        <v>29</v>
      </c>
      <c r="N3692" s="1" t="s">
        <v>22</v>
      </c>
    </row>
    <row r="3693" spans="1:14" x14ac:dyDescent="0.25">
      <c r="A3693" s="1">
        <v>3692</v>
      </c>
      <c r="B3693" s="2" t="str">
        <f>HYPERLINK("https://leetcode.com/problems/majority-frequency-characters/", "Majority Frequency Characters")</f>
        <v>Majority Frequency Characters</v>
      </c>
      <c r="C3693" s="1">
        <v>49</v>
      </c>
      <c r="D3693" s="1">
        <v>12</v>
      </c>
      <c r="E3693" s="3">
        <f>IF(INDEX(C:C, ROW())+INDEX(D:D, ROW())=0, 0, INDEX(C:C, ROW())/(INDEX(C:C, ROW())+INDEX(D:D, ROW())))</f>
        <v>0.80327868852459017</v>
      </c>
      <c r="F3693" s="1" t="s">
        <v>237</v>
      </c>
      <c r="G3693" s="1" t="s">
        <v>20</v>
      </c>
      <c r="H3693" s="1">
        <v>29506</v>
      </c>
      <c r="I3693" s="1">
        <v>43995</v>
      </c>
      <c r="J3693" s="7">
        <v>0.67100000000000004</v>
      </c>
      <c r="K3693" s="1" t="s">
        <v>21</v>
      </c>
      <c r="L3693" s="1" t="s">
        <v>29</v>
      </c>
      <c r="M3693" s="1" t="s">
        <v>29</v>
      </c>
      <c r="N3693" s="1" t="s">
        <v>22</v>
      </c>
    </row>
    <row r="3694" spans="1:14" x14ac:dyDescent="0.25">
      <c r="A3694" s="1">
        <v>3693</v>
      </c>
      <c r="B3694" s="2" t="str">
        <f>HYPERLINK("https://leetcode.com/problems/climbing-stairs-ii/", "Climbing Stairs II")</f>
        <v>Climbing Stairs II</v>
      </c>
      <c r="C3694" s="1">
        <v>78</v>
      </c>
      <c r="D3694" s="1">
        <v>9</v>
      </c>
      <c r="E3694" s="3">
        <f>IF(INDEX(C:C, ROW())+INDEX(D:D, ROW())=0, 0, INDEX(C:C, ROW())/(INDEX(C:C, ROW())+INDEX(D:D, ROW())))</f>
        <v>0.89655172413793105</v>
      </c>
      <c r="F3694" s="1" t="s">
        <v>30</v>
      </c>
      <c r="G3694" s="1" t="s">
        <v>24</v>
      </c>
      <c r="H3694" s="1">
        <v>27307</v>
      </c>
      <c r="I3694" s="1">
        <v>42691</v>
      </c>
      <c r="J3694" s="7">
        <v>0.64</v>
      </c>
      <c r="K3694" s="1" t="s">
        <v>21</v>
      </c>
      <c r="L3694" s="1" t="s">
        <v>29</v>
      </c>
      <c r="M3694" s="1" t="s">
        <v>29</v>
      </c>
      <c r="N3694" s="1" t="s">
        <v>22</v>
      </c>
    </row>
    <row r="3695" spans="1:14" x14ac:dyDescent="0.25">
      <c r="A3695" s="1">
        <v>3694</v>
      </c>
      <c r="B3695" s="2" t="str">
        <f>HYPERLINK("https://leetcode.com/problems/distinct-points-reachable-after-substring-removal/", "Distinct Points Reachable After Substring Removal")</f>
        <v>Distinct Points Reachable After Substring Removal</v>
      </c>
      <c r="C3695" s="1">
        <v>65</v>
      </c>
      <c r="D3695" s="1">
        <v>1</v>
      </c>
      <c r="E3695" s="3">
        <f>IF(INDEX(C:C, ROW())+INDEX(D:D, ROW())=0, 0, INDEX(C:C, ROW())/(INDEX(C:C, ROW())+INDEX(D:D, ROW())))</f>
        <v>0.98484848484848486</v>
      </c>
      <c r="F3695" s="1" t="s">
        <v>1231</v>
      </c>
      <c r="G3695" s="1" t="s">
        <v>24</v>
      </c>
      <c r="H3695" s="1">
        <v>16015</v>
      </c>
      <c r="I3695" s="1">
        <v>29767</v>
      </c>
      <c r="J3695" s="7">
        <v>0.53800000000000003</v>
      </c>
      <c r="K3695" s="1" t="s">
        <v>21</v>
      </c>
      <c r="L3695" s="1" t="s">
        <v>29</v>
      </c>
      <c r="M3695" s="1" t="s">
        <v>29</v>
      </c>
      <c r="N3695" s="1" t="s">
        <v>22</v>
      </c>
    </row>
    <row r="3696" spans="1:14" x14ac:dyDescent="0.25">
      <c r="A3696" s="1">
        <v>3695</v>
      </c>
      <c r="B3696" s="2" t="str">
        <f>HYPERLINK("https://leetcode.com/problems/maximize-alternating-sum-using-swaps/", "Maximize Alternating Sum Using Swaps")</f>
        <v>Maximize Alternating Sum Using Swaps</v>
      </c>
      <c r="C3696" s="1">
        <v>55</v>
      </c>
      <c r="D3696" s="1">
        <v>4</v>
      </c>
      <c r="E3696" s="3">
        <f>IF(INDEX(C:C, ROW())+INDEX(D:D, ROW())=0, 0, INDEX(C:C, ROW())/(INDEX(C:C, ROW())+INDEX(D:D, ROW())))</f>
        <v>0.93220338983050843</v>
      </c>
      <c r="F3696" s="1" t="s">
        <v>1256</v>
      </c>
      <c r="G3696" s="1" t="s">
        <v>28</v>
      </c>
      <c r="H3696" s="1">
        <v>8857</v>
      </c>
      <c r="I3696" s="1">
        <v>13818</v>
      </c>
      <c r="J3696" s="7">
        <v>0.64100000000000001</v>
      </c>
      <c r="K3696" s="1" t="s">
        <v>21</v>
      </c>
      <c r="L3696" s="1" t="s">
        <v>29</v>
      </c>
      <c r="M3696" s="1" t="s">
        <v>29</v>
      </c>
      <c r="N3696" s="1" t="s">
        <v>22</v>
      </c>
    </row>
    <row r="3697" spans="1:14" x14ac:dyDescent="0.25">
      <c r="A3697" s="1">
        <v>3696</v>
      </c>
      <c r="B3697" s="2" t="str">
        <f>HYPERLINK("https://leetcode.com/problems/maximum-distance-between-unequal-words-in-array-i/", "Maximum Distance Between Unequal Words in Array I")</f>
        <v>Maximum Distance Between Unequal Words in Array I</v>
      </c>
      <c r="C3697" s="1">
        <v>6</v>
      </c>
      <c r="D3697" s="1">
        <v>0</v>
      </c>
      <c r="E3697" s="3">
        <f>IF(INDEX(C:C, ROW())+INDEX(D:D, ROW())=0, 0, INDEX(C:C, ROW())/(INDEX(C:C, ROW())+INDEX(D:D, ROW())))</f>
        <v>1</v>
      </c>
      <c r="F3697" s="1" t="s">
        <v>369</v>
      </c>
      <c r="G3697" s="1" t="s">
        <v>20</v>
      </c>
      <c r="H3697" s="1">
        <v>921</v>
      </c>
      <c r="I3697" s="1">
        <v>1116</v>
      </c>
      <c r="J3697" s="7">
        <v>0.82499999999999996</v>
      </c>
      <c r="K3697" s="1" t="s">
        <v>29</v>
      </c>
      <c r="L3697" s="1" t="s">
        <v>29</v>
      </c>
      <c r="M3697" s="1" t="s">
        <v>29</v>
      </c>
      <c r="N3697" s="1" t="s">
        <v>22</v>
      </c>
    </row>
    <row r="3698" spans="1:14" x14ac:dyDescent="0.25">
      <c r="A3698" s="1">
        <v>3697</v>
      </c>
      <c r="B3698" s="2" t="str">
        <f>HYPERLINK("https://leetcode.com/problems/compute-decimal-representation/", "Compute Decimal Representation")</f>
        <v>Compute Decimal Representation</v>
      </c>
      <c r="C3698" s="1">
        <v>46</v>
      </c>
      <c r="D3698" s="1">
        <v>1</v>
      </c>
      <c r="E3698" s="3">
        <f>IF(INDEX(C:C, ROW())+INDEX(D:D, ROW())=0, 0, INDEX(C:C, ROW())/(INDEX(C:C, ROW())+INDEX(D:D, ROW())))</f>
        <v>0.97872340425531912</v>
      </c>
      <c r="F3698" s="1" t="s">
        <v>115</v>
      </c>
      <c r="G3698" s="1" t="s">
        <v>20</v>
      </c>
      <c r="H3698" s="1">
        <v>60052</v>
      </c>
      <c r="I3698" s="1">
        <v>92951</v>
      </c>
      <c r="J3698" s="7">
        <v>0.64600000000000002</v>
      </c>
      <c r="K3698" s="1" t="s">
        <v>21</v>
      </c>
      <c r="L3698" s="1" t="s">
        <v>29</v>
      </c>
      <c r="M3698" s="1" t="s">
        <v>29</v>
      </c>
      <c r="N3698" s="1" t="s">
        <v>22</v>
      </c>
    </row>
    <row r="3699" spans="1:14" x14ac:dyDescent="0.25">
      <c r="A3699" s="1">
        <v>3698</v>
      </c>
      <c r="B3699" s="2" t="str">
        <f>HYPERLINK("https://leetcode.com/problems/split-array-with-minimum-difference/", "Split Array With Minimum Difference")</f>
        <v>Split Array With Minimum Difference</v>
      </c>
      <c r="C3699" s="1">
        <v>99</v>
      </c>
      <c r="D3699" s="1">
        <v>15</v>
      </c>
      <c r="E3699" s="3">
        <f>IF(INDEX(C:C, ROW())+INDEX(D:D, ROW())=0, 0, INDEX(C:C, ROW())/(INDEX(C:C, ROW())+INDEX(D:D, ROW())))</f>
        <v>0.86842105263157898</v>
      </c>
      <c r="F3699" s="1" t="s">
        <v>37</v>
      </c>
      <c r="G3699" s="1" t="s">
        <v>24</v>
      </c>
      <c r="H3699" s="1">
        <v>40235</v>
      </c>
      <c r="I3699" s="1">
        <v>119855</v>
      </c>
      <c r="J3699" s="7">
        <v>0.33600000000000002</v>
      </c>
      <c r="K3699" s="1" t="s">
        <v>21</v>
      </c>
      <c r="L3699" s="1" t="s">
        <v>29</v>
      </c>
      <c r="M3699" s="1" t="s">
        <v>29</v>
      </c>
      <c r="N3699" s="1" t="s">
        <v>22</v>
      </c>
    </row>
    <row r="3700" spans="1:14" x14ac:dyDescent="0.25">
      <c r="A3700" s="1">
        <v>3699</v>
      </c>
      <c r="B3700" s="2" t="str">
        <f>HYPERLINK("https://leetcode.com/problems/number-of-zigzag-arrays-i/", "Number of ZigZag Arrays I")</f>
        <v>Number of ZigZag Arrays I</v>
      </c>
      <c r="C3700" s="1">
        <v>82</v>
      </c>
      <c r="D3700" s="1">
        <v>6</v>
      </c>
      <c r="E3700" s="3">
        <f>IF(INDEX(C:C, ROW())+INDEX(D:D, ROW())=0, 0, INDEX(C:C, ROW())/(INDEX(C:C, ROW())+INDEX(D:D, ROW())))</f>
        <v>0.93181818181818177</v>
      </c>
      <c r="F3700" s="1" t="s">
        <v>599</v>
      </c>
      <c r="G3700" s="1" t="s">
        <v>28</v>
      </c>
      <c r="H3700" s="1">
        <v>15812</v>
      </c>
      <c r="I3700" s="1">
        <v>48053</v>
      </c>
      <c r="J3700" s="7">
        <v>0.32900000000000001</v>
      </c>
      <c r="K3700" s="1" t="s">
        <v>21</v>
      </c>
      <c r="L3700" s="1" t="s">
        <v>29</v>
      </c>
      <c r="M3700" s="1" t="s">
        <v>29</v>
      </c>
      <c r="N3700" s="1" t="s">
        <v>22</v>
      </c>
    </row>
    <row r="3701" spans="1:14" x14ac:dyDescent="0.25">
      <c r="A3701" s="1">
        <v>3700</v>
      </c>
      <c r="B3701" s="2" t="str">
        <f>HYPERLINK("https://leetcode.com/problems/number-of-zigzag-arrays-ii/", "Number of ZigZag Arrays II")</f>
        <v>Number of ZigZag Arrays II</v>
      </c>
      <c r="C3701" s="1">
        <v>27</v>
      </c>
      <c r="D3701" s="1">
        <v>4</v>
      </c>
      <c r="E3701" s="3">
        <f>IF(INDEX(C:C, ROW())+INDEX(D:D, ROW())=0, 0, INDEX(C:C, ROW())/(INDEX(C:C, ROW())+INDEX(D:D, ROW())))</f>
        <v>0.87096774193548387</v>
      </c>
      <c r="F3701" s="1" t="s">
        <v>250</v>
      </c>
      <c r="G3701" s="1" t="s">
        <v>28</v>
      </c>
      <c r="H3701" s="1">
        <v>14582</v>
      </c>
      <c r="I3701" s="1">
        <v>25357</v>
      </c>
      <c r="J3701" s="7">
        <v>0.57499999999999996</v>
      </c>
      <c r="K3701" s="1" t="s">
        <v>21</v>
      </c>
      <c r="L3701" s="1" t="s">
        <v>29</v>
      </c>
      <c r="M3701" s="1" t="s">
        <v>29</v>
      </c>
      <c r="N3701" s="1" t="s">
        <v>22</v>
      </c>
    </row>
    <row r="3702" spans="1:14" x14ac:dyDescent="0.25">
      <c r="A3702" s="1">
        <v>3701</v>
      </c>
      <c r="B3702" s="2" t="str">
        <f>HYPERLINK("https://leetcode.com/problems/compute-alternating-sum/", "Compute Alternating Sum")</f>
        <v>Compute Alternating Sum</v>
      </c>
      <c r="C3702" s="1">
        <v>63</v>
      </c>
      <c r="D3702" s="1">
        <v>2</v>
      </c>
      <c r="E3702" s="3">
        <f>IF(INDEX(C:C, ROW())+INDEX(D:D, ROW())=0, 0, INDEX(C:C, ROW())/(INDEX(C:C, ROW())+INDEX(D:D, ROW())))</f>
        <v>0.96923076923076923</v>
      </c>
      <c r="F3702" s="1" t="s">
        <v>306</v>
      </c>
      <c r="G3702" s="1" t="s">
        <v>20</v>
      </c>
      <c r="H3702" s="1">
        <v>66522</v>
      </c>
      <c r="I3702" s="1">
        <v>74157</v>
      </c>
      <c r="J3702" s="7">
        <v>0.89700000000000002</v>
      </c>
      <c r="K3702" s="1" t="s">
        <v>21</v>
      </c>
      <c r="L3702" s="1" t="s">
        <v>29</v>
      </c>
      <c r="M3702" s="1" t="s">
        <v>29</v>
      </c>
      <c r="N3702" s="1" t="s">
        <v>22</v>
      </c>
    </row>
    <row r="3703" spans="1:14" x14ac:dyDescent="0.25">
      <c r="A3703" s="1">
        <v>3702</v>
      </c>
      <c r="B3703" s="2" t="str">
        <f>HYPERLINK("https://leetcode.com/problems/longest-subsequence-with-non-zero-bitwise-xor/", "Longest Subsequence With Non-Zero Bitwise XOR")</f>
        <v>Longest Subsequence With Non-Zero Bitwise XOR</v>
      </c>
      <c r="C3703" s="1">
        <v>94</v>
      </c>
      <c r="D3703" s="1">
        <v>9</v>
      </c>
      <c r="E3703" s="3">
        <f>IF(INDEX(C:C, ROW())+INDEX(D:D, ROW())=0, 0, INDEX(C:C, ROW())/(INDEX(C:C, ROW())+INDEX(D:D, ROW())))</f>
        <v>0.91262135922330101</v>
      </c>
      <c r="F3703" s="1" t="s">
        <v>65</v>
      </c>
      <c r="G3703" s="1" t="s">
        <v>24</v>
      </c>
      <c r="H3703" s="1">
        <v>31853</v>
      </c>
      <c r="I3703" s="1">
        <v>85788</v>
      </c>
      <c r="J3703" s="7">
        <v>0.371</v>
      </c>
      <c r="K3703" s="1" t="s">
        <v>21</v>
      </c>
      <c r="L3703" s="1" t="s">
        <v>29</v>
      </c>
      <c r="M3703" s="1" t="s">
        <v>29</v>
      </c>
      <c r="N3703" s="1" t="s">
        <v>22</v>
      </c>
    </row>
    <row r="3704" spans="1:14" x14ac:dyDescent="0.25">
      <c r="A3704" s="1">
        <v>3703</v>
      </c>
      <c r="B3704" s="2" t="str">
        <f>HYPERLINK("https://leetcode.com/problems/remove-k-balanced-substrings/", "Remove K-Balanced Substrings")</f>
        <v>Remove K-Balanced Substrings</v>
      </c>
      <c r="C3704" s="1">
        <v>128</v>
      </c>
      <c r="D3704" s="1">
        <v>11</v>
      </c>
      <c r="E3704" s="3">
        <f>IF(INDEX(C:C, ROW())+INDEX(D:D, ROW())=0, 0, INDEX(C:C, ROW())/(INDEX(C:C, ROW())+INDEX(D:D, ROW())))</f>
        <v>0.92086330935251803</v>
      </c>
      <c r="F3704" s="1" t="s">
        <v>365</v>
      </c>
      <c r="G3704" s="1" t="s">
        <v>24</v>
      </c>
      <c r="H3704" s="1">
        <v>19288</v>
      </c>
      <c r="I3704" s="1">
        <v>59555</v>
      </c>
      <c r="J3704" s="7">
        <v>0.32400000000000001</v>
      </c>
      <c r="K3704" s="1" t="s">
        <v>21</v>
      </c>
      <c r="L3704" s="1" t="s">
        <v>29</v>
      </c>
      <c r="M3704" s="1" t="s">
        <v>29</v>
      </c>
      <c r="N3704" s="1" t="s">
        <v>22</v>
      </c>
    </row>
    <row r="3705" spans="1:14" x14ac:dyDescent="0.25">
      <c r="A3705" s="1">
        <v>3704</v>
      </c>
      <c r="B3705" s="2" t="str">
        <f>HYPERLINK("https://leetcode.com/problems/count-no-zero-pairs-that-sum-to-n/", "Count No-Zero Pairs That Sum to N")</f>
        <v>Count No-Zero Pairs That Sum to N</v>
      </c>
      <c r="C3705" s="1">
        <v>52</v>
      </c>
      <c r="D3705" s="1">
        <v>3</v>
      </c>
      <c r="E3705" s="3">
        <f>IF(INDEX(C:C, ROW())+INDEX(D:D, ROW())=0, 0, INDEX(C:C, ROW())/(INDEX(C:C, ROW())+INDEX(D:D, ROW())))</f>
        <v>0.94545454545454544</v>
      </c>
      <c r="F3705" s="1" t="s">
        <v>250</v>
      </c>
      <c r="G3705" s="1" t="s">
        <v>28</v>
      </c>
      <c r="H3705" s="1">
        <v>5072</v>
      </c>
      <c r="I3705" s="1">
        <v>35656</v>
      </c>
      <c r="J3705" s="7">
        <v>0.14199999999999999</v>
      </c>
      <c r="K3705" s="1" t="s">
        <v>21</v>
      </c>
      <c r="L3705" s="1" t="s">
        <v>29</v>
      </c>
      <c r="M3705" s="1" t="s">
        <v>29</v>
      </c>
      <c r="N3705" s="1" t="s">
        <v>22</v>
      </c>
    </row>
    <row r="3706" spans="1:14" x14ac:dyDescent="0.25">
      <c r="A3706" s="1">
        <v>3705</v>
      </c>
      <c r="B3706" s="2" t="str">
        <f>HYPERLINK("https://leetcode.com/problems/find-golden-hour-customers/", "Find Golden Hour Customers")</f>
        <v>Find Golden Hour Customers</v>
      </c>
      <c r="C3706" s="1">
        <v>32</v>
      </c>
      <c r="D3706" s="1">
        <v>3</v>
      </c>
      <c r="E3706" s="3">
        <f>IF(INDEX(C:C, ROW())+INDEX(D:D, ROW())=0, 0, INDEX(C:C, ROW())/(INDEX(C:C, ROW())+INDEX(D:D, ROW())))</f>
        <v>0.91428571428571426</v>
      </c>
      <c r="G3706" s="1" t="s">
        <v>24</v>
      </c>
      <c r="H3706" s="1">
        <v>4989</v>
      </c>
      <c r="I3706" s="1">
        <v>14273</v>
      </c>
      <c r="J3706" s="7">
        <v>0.35</v>
      </c>
      <c r="K3706" s="1" t="s">
        <v>21</v>
      </c>
      <c r="L3706" s="1" t="s">
        <v>29</v>
      </c>
      <c r="M3706" s="1" t="s">
        <v>29</v>
      </c>
      <c r="N3706" s="1" t="s">
        <v>297</v>
      </c>
    </row>
    <row r="3707" spans="1:14" x14ac:dyDescent="0.25">
      <c r="A3707" s="1">
        <v>3706</v>
      </c>
      <c r="B3707" s="2" t="str">
        <f>HYPERLINK("https://leetcode.com/problems/maximum-distance-between-unequal-words-in-array-ii/", "Maximum Distance Between Unequal Words in Array II")</f>
        <v>Maximum Distance Between Unequal Words in Array II</v>
      </c>
      <c r="C3707" s="1">
        <v>5</v>
      </c>
      <c r="D3707" s="1">
        <v>2</v>
      </c>
      <c r="E3707" s="3">
        <f>IF(INDEX(C:C, ROW())+INDEX(D:D, ROW())=0, 0, INDEX(C:C, ROW())/(INDEX(C:C, ROW())+INDEX(D:D, ROW())))</f>
        <v>0.7142857142857143</v>
      </c>
      <c r="F3707" s="1" t="s">
        <v>369</v>
      </c>
      <c r="G3707" s="1" t="s">
        <v>24</v>
      </c>
      <c r="H3707" s="1">
        <v>553</v>
      </c>
      <c r="I3707" s="1">
        <v>770</v>
      </c>
      <c r="J3707" s="7">
        <v>0.71799999999999997</v>
      </c>
      <c r="K3707" s="1" t="s">
        <v>29</v>
      </c>
      <c r="L3707" s="1" t="s">
        <v>29</v>
      </c>
      <c r="M3707" s="1" t="s">
        <v>29</v>
      </c>
      <c r="N3707" s="1" t="s">
        <v>22</v>
      </c>
    </row>
    <row r="3708" spans="1:14" x14ac:dyDescent="0.25">
      <c r="A3708" s="1">
        <v>3707</v>
      </c>
      <c r="B3708" s="2" t="str">
        <f>HYPERLINK("https://leetcode.com/problems/equal-score-substrings/", "Equal Score Substrings")</f>
        <v>Equal Score Substrings</v>
      </c>
      <c r="C3708" s="1">
        <v>39</v>
      </c>
      <c r="D3708" s="1">
        <v>2</v>
      </c>
      <c r="E3708" s="3">
        <f>IF(INDEX(C:C, ROW())+INDEX(D:D, ROW())=0, 0, INDEX(C:C, ROW())/(INDEX(C:C, ROW())+INDEX(D:D, ROW())))</f>
        <v>0.95121951219512191</v>
      </c>
      <c r="F3708" s="1" t="s">
        <v>438</v>
      </c>
      <c r="G3708" s="1" t="s">
        <v>20</v>
      </c>
      <c r="H3708" s="1">
        <v>35869</v>
      </c>
      <c r="I3708" s="1">
        <v>63269</v>
      </c>
      <c r="J3708" s="7">
        <v>0.56699999999999995</v>
      </c>
      <c r="K3708" s="1" t="s">
        <v>21</v>
      </c>
      <c r="L3708" s="1" t="s">
        <v>29</v>
      </c>
      <c r="M3708" s="1" t="s">
        <v>29</v>
      </c>
      <c r="N3708" s="1" t="s">
        <v>22</v>
      </c>
    </row>
    <row r="3709" spans="1:14" x14ac:dyDescent="0.25">
      <c r="A3709" s="1">
        <v>3708</v>
      </c>
      <c r="B3709" s="2" t="str">
        <f>HYPERLINK("https://leetcode.com/problems/longest-fibonacci-subarray/", "Longest Fibonacci Subarray")</f>
        <v>Longest Fibonacci Subarray</v>
      </c>
      <c r="C3709" s="1">
        <v>53</v>
      </c>
      <c r="D3709" s="1">
        <v>2</v>
      </c>
      <c r="E3709" s="3">
        <f>IF(INDEX(C:C, ROW())+INDEX(D:D, ROW())=0, 0, INDEX(C:C, ROW())/(INDEX(C:C, ROW())+INDEX(D:D, ROW())))</f>
        <v>0.96363636363636362</v>
      </c>
      <c r="F3709" s="1" t="s">
        <v>113</v>
      </c>
      <c r="G3709" s="1" t="s">
        <v>24</v>
      </c>
      <c r="H3709" s="1">
        <v>31724</v>
      </c>
      <c r="I3709" s="1">
        <v>45678</v>
      </c>
      <c r="J3709" s="7">
        <v>0.69499999999999995</v>
      </c>
      <c r="K3709" s="1" t="s">
        <v>21</v>
      </c>
      <c r="L3709" s="1" t="s">
        <v>29</v>
      </c>
      <c r="M3709" s="1" t="s">
        <v>29</v>
      </c>
      <c r="N3709" s="1" t="s">
        <v>22</v>
      </c>
    </row>
    <row r="3710" spans="1:14" x14ac:dyDescent="0.25">
      <c r="A3710" s="1">
        <v>3709</v>
      </c>
      <c r="B3710" s="2" t="str">
        <f>HYPERLINK("https://leetcode.com/problems/design-exam-scores-tracker/", "Design Exam Scores Tracker")</f>
        <v>Design Exam Scores Tracker</v>
      </c>
      <c r="C3710" s="1">
        <v>58</v>
      </c>
      <c r="D3710" s="1">
        <v>1</v>
      </c>
      <c r="E3710" s="3">
        <f>IF(INDEX(C:C, ROW())+INDEX(D:D, ROW())=0, 0, INDEX(C:C, ROW())/(INDEX(C:C, ROW())+INDEX(D:D, ROW())))</f>
        <v>0.98305084745762716</v>
      </c>
      <c r="F3710" s="1" t="s">
        <v>1249</v>
      </c>
      <c r="G3710" s="1" t="s">
        <v>24</v>
      </c>
      <c r="H3710" s="1">
        <v>18726</v>
      </c>
      <c r="I3710" s="1">
        <v>42648</v>
      </c>
      <c r="J3710" s="7">
        <v>0.439</v>
      </c>
      <c r="K3710" s="1" t="s">
        <v>21</v>
      </c>
      <c r="L3710" s="1" t="s">
        <v>29</v>
      </c>
      <c r="M3710" s="1" t="s">
        <v>29</v>
      </c>
      <c r="N3710" s="1" t="s">
        <v>22</v>
      </c>
    </row>
    <row r="3711" spans="1:14" x14ac:dyDescent="0.25">
      <c r="A3711" s="1">
        <v>3710</v>
      </c>
      <c r="B3711" s="2" t="str">
        <f>HYPERLINK("https://leetcode.com/problems/maximum-partition-factor/", "Maximum Partition Factor")</f>
        <v>Maximum Partition Factor</v>
      </c>
      <c r="C3711" s="1">
        <v>77</v>
      </c>
      <c r="D3711" s="1">
        <v>7</v>
      </c>
      <c r="E3711" s="3">
        <f>IF(INDEX(C:C, ROW())+INDEX(D:D, ROW())=0, 0, INDEX(C:C, ROW())/(INDEX(C:C, ROW())+INDEX(D:D, ROW())))</f>
        <v>0.91666666666666663</v>
      </c>
      <c r="F3711" s="1" t="s">
        <v>1215</v>
      </c>
      <c r="G3711" s="1" t="s">
        <v>28</v>
      </c>
      <c r="H3711" s="1">
        <v>6493</v>
      </c>
      <c r="I3711" s="1">
        <v>20940</v>
      </c>
      <c r="J3711" s="7">
        <v>0.31</v>
      </c>
      <c r="K3711" s="1" t="s">
        <v>21</v>
      </c>
      <c r="L3711" s="1" t="s">
        <v>29</v>
      </c>
      <c r="M3711" s="1" t="s">
        <v>29</v>
      </c>
      <c r="N3711" s="1" t="s">
        <v>22</v>
      </c>
    </row>
    <row r="3712" spans="1:14" x14ac:dyDescent="0.25">
      <c r="A3712" s="1">
        <v>3711</v>
      </c>
      <c r="B3712" s="2" t="str">
        <f>HYPERLINK("https://leetcode.com/problems/maximum-transactions-without-negative-balance/", "Maximum Transactions Without Negative Balance")</f>
        <v>Maximum Transactions Without Negative Balance</v>
      </c>
      <c r="C3712" s="1">
        <v>8</v>
      </c>
      <c r="D3712" s="1">
        <v>1</v>
      </c>
      <c r="E3712" s="3">
        <f>IF(INDEX(C:C, ROW())+INDEX(D:D, ROW())=0, 0, INDEX(C:C, ROW())/(INDEX(C:C, ROW())+INDEX(D:D, ROW())))</f>
        <v>0.88888888888888884</v>
      </c>
      <c r="F3712" s="1" t="s">
        <v>221</v>
      </c>
      <c r="G3712" s="1" t="s">
        <v>24</v>
      </c>
      <c r="H3712" s="1">
        <v>579</v>
      </c>
      <c r="I3712" s="1">
        <v>1198</v>
      </c>
      <c r="J3712" s="7">
        <v>0.48299999999999998</v>
      </c>
      <c r="K3712" s="1" t="s">
        <v>29</v>
      </c>
      <c r="L3712" s="1" t="s">
        <v>29</v>
      </c>
      <c r="M3712" s="1" t="s">
        <v>29</v>
      </c>
      <c r="N3712" s="1" t="s">
        <v>22</v>
      </c>
    </row>
    <row r="3713" spans="1:14" x14ac:dyDescent="0.25">
      <c r="A3713" s="1">
        <v>3712</v>
      </c>
      <c r="B3713" s="2" t="str">
        <f>HYPERLINK("https://leetcode.com/problems/sum-of-elements-with-frequency-divisible-by-k/", "Sum of Elements With Frequency Divisible by K")</f>
        <v>Sum of Elements With Frequency Divisible by K</v>
      </c>
      <c r="C3713" s="1">
        <v>54</v>
      </c>
      <c r="D3713" s="1">
        <v>3</v>
      </c>
      <c r="E3713" s="3">
        <f>IF(INDEX(C:C, ROW())+INDEX(D:D, ROW())=0, 0, INDEX(C:C, ROW())/(INDEX(C:C, ROW())+INDEX(D:D, ROW())))</f>
        <v>0.94736842105263153</v>
      </c>
      <c r="F3713" s="1" t="s">
        <v>294</v>
      </c>
      <c r="G3713" s="1" t="s">
        <v>20</v>
      </c>
      <c r="H3713" s="1">
        <v>50231</v>
      </c>
      <c r="I3713" s="1">
        <v>64791</v>
      </c>
      <c r="J3713" s="7">
        <v>0.77500000000000002</v>
      </c>
      <c r="K3713" s="1" t="s">
        <v>21</v>
      </c>
      <c r="L3713" s="1" t="s">
        <v>29</v>
      </c>
      <c r="M3713" s="1" t="s">
        <v>29</v>
      </c>
      <c r="N3713" s="1" t="s">
        <v>22</v>
      </c>
    </row>
    <row r="3714" spans="1:14" x14ac:dyDescent="0.25">
      <c r="A3714" s="1">
        <v>3713</v>
      </c>
      <c r="B3714" s="2" t="str">
        <f>HYPERLINK("https://leetcode.com/problems/longest-balanced-substring-i/", "Longest Balanced Substring I")</f>
        <v>Longest Balanced Substring I</v>
      </c>
      <c r="C3714" s="1">
        <v>414</v>
      </c>
      <c r="D3714" s="1">
        <v>32</v>
      </c>
      <c r="E3714" s="3">
        <f>IF(INDEX(C:C, ROW())+INDEX(D:D, ROW())=0, 0, INDEX(C:C, ROW())/(INDEX(C:C, ROW())+INDEX(D:D, ROW())))</f>
        <v>0.9282511210762332</v>
      </c>
      <c r="F3714" s="1" t="s">
        <v>971</v>
      </c>
      <c r="G3714" s="1" t="s">
        <v>24</v>
      </c>
      <c r="H3714" s="1">
        <v>131328</v>
      </c>
      <c r="I3714" s="1">
        <v>188426</v>
      </c>
      <c r="J3714" s="7">
        <v>0.69699999999999995</v>
      </c>
      <c r="K3714" s="1" t="s">
        <v>21</v>
      </c>
      <c r="L3714" s="1" t="s">
        <v>21</v>
      </c>
      <c r="M3714" s="1" t="s">
        <v>29</v>
      </c>
      <c r="N3714" s="1" t="s">
        <v>22</v>
      </c>
    </row>
    <row r="3715" spans="1:14" x14ac:dyDescent="0.25">
      <c r="A3715" s="1">
        <v>3714</v>
      </c>
      <c r="B3715" s="2" t="str">
        <f>HYPERLINK("https://leetcode.com/problems/longest-balanced-substring-ii/", "Longest Balanced Substring II")</f>
        <v>Longest Balanced Substring II</v>
      </c>
      <c r="C3715" s="1">
        <v>547</v>
      </c>
      <c r="D3715" s="1">
        <v>130</v>
      </c>
      <c r="E3715" s="3">
        <f>IF(INDEX(C:C, ROW())+INDEX(D:D, ROW())=0, 0, INDEX(C:C, ROW())/(INDEX(C:C, ROW())+INDEX(D:D, ROW())))</f>
        <v>0.80797636632200887</v>
      </c>
      <c r="F3715" s="1" t="s">
        <v>883</v>
      </c>
      <c r="G3715" s="1" t="s">
        <v>24</v>
      </c>
      <c r="H3715" s="1">
        <v>72838</v>
      </c>
      <c r="I3715" s="1">
        <v>173263</v>
      </c>
      <c r="J3715" s="7">
        <v>0.42</v>
      </c>
      <c r="K3715" s="1" t="s">
        <v>21</v>
      </c>
      <c r="L3715" s="1" t="s">
        <v>29</v>
      </c>
      <c r="M3715" s="1" t="s">
        <v>29</v>
      </c>
      <c r="N3715" s="1" t="s">
        <v>22</v>
      </c>
    </row>
    <row r="3716" spans="1:14" x14ac:dyDescent="0.25">
      <c r="A3716" s="1">
        <v>3715</v>
      </c>
      <c r="B3716" s="2" t="str">
        <f>HYPERLINK("https://leetcode.com/problems/sum-of-perfect-square-ancestors/", "Sum of Perfect Square Ancestors")</f>
        <v>Sum of Perfect Square Ancestors</v>
      </c>
      <c r="C3716" s="1">
        <v>67</v>
      </c>
      <c r="D3716" s="1">
        <v>3</v>
      </c>
      <c r="E3716" s="3">
        <f>IF(INDEX(C:C, ROW())+INDEX(D:D, ROW())=0, 0, INDEX(C:C, ROW())/(INDEX(C:C, ROW())+INDEX(D:D, ROW())))</f>
        <v>0.95714285714285718</v>
      </c>
      <c r="F3716" s="1" t="s">
        <v>1228</v>
      </c>
      <c r="G3716" s="1" t="s">
        <v>28</v>
      </c>
      <c r="H3716" s="1">
        <v>6986</v>
      </c>
      <c r="I3716" s="1">
        <v>16476</v>
      </c>
      <c r="J3716" s="7">
        <v>0.42399999999999999</v>
      </c>
      <c r="K3716" s="1" t="s">
        <v>21</v>
      </c>
      <c r="L3716" s="1" t="s">
        <v>29</v>
      </c>
      <c r="M3716" s="1" t="s">
        <v>29</v>
      </c>
      <c r="N3716" s="1" t="s">
        <v>22</v>
      </c>
    </row>
    <row r="3717" spans="1:14" x14ac:dyDescent="0.25">
      <c r="A3717" s="1">
        <v>3716</v>
      </c>
      <c r="B3717" s="2" t="str">
        <f>HYPERLINK("https://leetcode.com/problems/find-churn-risk-customers/", "Find Churn Risk Customers")</f>
        <v>Find Churn Risk Customers</v>
      </c>
      <c r="C3717" s="1">
        <v>28</v>
      </c>
      <c r="D3717" s="1">
        <v>0</v>
      </c>
      <c r="E3717" s="3">
        <f>IF(INDEX(C:C, ROW())+INDEX(D:D, ROW())=0, 0, INDEX(C:C, ROW())/(INDEX(C:C, ROW())+INDEX(D:D, ROW())))</f>
        <v>1</v>
      </c>
      <c r="G3717" s="1" t="s">
        <v>24</v>
      </c>
      <c r="H3717" s="1">
        <v>4689</v>
      </c>
      <c r="I3717" s="1">
        <v>9752</v>
      </c>
      <c r="J3717" s="7">
        <v>0.48099999999999998</v>
      </c>
      <c r="K3717" s="1" t="s">
        <v>21</v>
      </c>
      <c r="L3717" s="1" t="s">
        <v>29</v>
      </c>
      <c r="M3717" s="1" t="s">
        <v>29</v>
      </c>
      <c r="N3717" s="1" t="s">
        <v>297</v>
      </c>
    </row>
    <row r="3718" spans="1:14" x14ac:dyDescent="0.25">
      <c r="A3718" s="1">
        <v>3717</v>
      </c>
      <c r="B3718" s="2" t="str">
        <f>HYPERLINK("https://leetcode.com/problems/minimum-operations-to-make-the-array-beautiful/", "Minimum Operations to Make the Array Beautiful")</f>
        <v>Minimum Operations to Make the Array Beautiful</v>
      </c>
      <c r="C3718" s="1">
        <v>7</v>
      </c>
      <c r="D3718" s="1">
        <v>2</v>
      </c>
      <c r="E3718" s="3">
        <f>IF(INDEX(C:C, ROW())+INDEX(D:D, ROW())=0, 0, INDEX(C:C, ROW())/(INDEX(C:C, ROW())+INDEX(D:D, ROW())))</f>
        <v>0.77777777777777779</v>
      </c>
      <c r="F3718" s="1" t="s">
        <v>30</v>
      </c>
      <c r="G3718" s="1" t="s">
        <v>24</v>
      </c>
      <c r="H3718" s="1">
        <v>309</v>
      </c>
      <c r="I3718" s="1">
        <v>791</v>
      </c>
      <c r="J3718" s="7">
        <v>0.39100000000000001</v>
      </c>
      <c r="K3718" s="1" t="s">
        <v>29</v>
      </c>
      <c r="L3718" s="1" t="s">
        <v>29</v>
      </c>
      <c r="M3718" s="1" t="s">
        <v>29</v>
      </c>
      <c r="N3718" s="1" t="s">
        <v>22</v>
      </c>
    </row>
    <row r="3719" spans="1:14" x14ac:dyDescent="0.25">
      <c r="A3719" s="1">
        <v>3718</v>
      </c>
      <c r="B3719" s="2" t="str">
        <f>HYPERLINK("https://leetcode.com/problems/smallest-missing-multiple-of-k/", "Smallest Missing Multiple of K")</f>
        <v>Smallest Missing Multiple of K</v>
      </c>
      <c r="C3719" s="1">
        <v>54</v>
      </c>
      <c r="D3719" s="1">
        <v>3</v>
      </c>
      <c r="E3719" s="3">
        <f>IF(INDEX(C:C, ROW())+INDEX(D:D, ROW())=0, 0, INDEX(C:C, ROW())/(INDEX(C:C, ROW())+INDEX(D:D, ROW())))</f>
        <v>0.94736842105263153</v>
      </c>
      <c r="F3719" s="1" t="s">
        <v>19</v>
      </c>
      <c r="G3719" s="1" t="s">
        <v>20</v>
      </c>
      <c r="H3719" s="1">
        <v>46063</v>
      </c>
      <c r="I3719" s="1">
        <v>73047</v>
      </c>
      <c r="J3719" s="7">
        <v>0.63100000000000001</v>
      </c>
      <c r="K3719" s="1" t="s">
        <v>21</v>
      </c>
      <c r="L3719" s="1" t="s">
        <v>29</v>
      </c>
      <c r="M3719" s="1" t="s">
        <v>29</v>
      </c>
      <c r="N3719" s="1" t="s">
        <v>22</v>
      </c>
    </row>
    <row r="3720" spans="1:14" x14ac:dyDescent="0.25">
      <c r="A3720" s="1">
        <v>3719</v>
      </c>
      <c r="B3720" s="2" t="str">
        <f>HYPERLINK("https://leetcode.com/problems/longest-balanced-subarray-i/", "Longest Balanced Subarray I")</f>
        <v>Longest Balanced Subarray I</v>
      </c>
      <c r="C3720" s="1">
        <v>475</v>
      </c>
      <c r="D3720" s="1">
        <v>41</v>
      </c>
      <c r="E3720" s="3">
        <f>IF(INDEX(C:C, ROW())+INDEX(D:D, ROW())=0, 0, INDEX(C:C, ROW())/(INDEX(C:C, ROW())+INDEX(D:D, ROW())))</f>
        <v>0.9205426356589147</v>
      </c>
      <c r="F3720" s="1" t="s">
        <v>940</v>
      </c>
      <c r="G3720" s="1" t="s">
        <v>24</v>
      </c>
      <c r="H3720" s="1">
        <v>140076</v>
      </c>
      <c r="I3720" s="1">
        <v>213343</v>
      </c>
      <c r="J3720" s="7">
        <v>0.65700000000000003</v>
      </c>
      <c r="K3720" s="1" t="s">
        <v>21</v>
      </c>
      <c r="L3720" s="1" t="s">
        <v>21</v>
      </c>
      <c r="M3720" s="1" t="s">
        <v>29</v>
      </c>
      <c r="N3720" s="1" t="s">
        <v>22</v>
      </c>
    </row>
    <row r="3721" spans="1:14" x14ac:dyDescent="0.25">
      <c r="A3721" s="1">
        <v>3720</v>
      </c>
      <c r="B3721" s="2" t="str">
        <f>HYPERLINK("https://leetcode.com/problems/lexicographically-smallest-permutation-greater-than-target/", "Lexicographically Smallest Permutation Greater Than Target")</f>
        <v>Lexicographically Smallest Permutation Greater Than Target</v>
      </c>
      <c r="C3721" s="1">
        <v>113</v>
      </c>
      <c r="D3721" s="1">
        <v>7</v>
      </c>
      <c r="E3721" s="3">
        <f>IF(INDEX(C:C, ROW())+INDEX(D:D, ROW())=0, 0, INDEX(C:C, ROW())/(INDEX(C:C, ROW())+INDEX(D:D, ROW())))</f>
        <v>0.94166666666666665</v>
      </c>
      <c r="F3721" s="1" t="s">
        <v>1169</v>
      </c>
      <c r="G3721" s="1" t="s">
        <v>24</v>
      </c>
      <c r="H3721" s="1">
        <v>12558</v>
      </c>
      <c r="I3721" s="1">
        <v>47321</v>
      </c>
      <c r="J3721" s="7">
        <v>0.26500000000000001</v>
      </c>
      <c r="K3721" s="1" t="s">
        <v>21</v>
      </c>
      <c r="L3721" s="1" t="s">
        <v>29</v>
      </c>
      <c r="M3721" s="1" t="s">
        <v>29</v>
      </c>
      <c r="N3721" s="1" t="s">
        <v>22</v>
      </c>
    </row>
    <row r="3722" spans="1:14" x14ac:dyDescent="0.25">
      <c r="A3722" s="1">
        <v>3721</v>
      </c>
      <c r="B3722" s="2" t="str">
        <f>HYPERLINK("https://leetcode.com/problems/longest-balanced-subarray-ii/", "Longest Balanced Subarray II")</f>
        <v>Longest Balanced Subarray II</v>
      </c>
      <c r="C3722" s="1">
        <v>329</v>
      </c>
      <c r="D3722" s="1">
        <v>63</v>
      </c>
      <c r="E3722" s="3">
        <f>IF(INDEX(C:C, ROW())+INDEX(D:D, ROW())=0, 0, INDEX(C:C, ROW())/(INDEX(C:C, ROW())+INDEX(D:D, ROW())))</f>
        <v>0.8392857142857143</v>
      </c>
      <c r="F3722" s="1" t="s">
        <v>940</v>
      </c>
      <c r="G3722" s="1" t="s">
        <v>28</v>
      </c>
      <c r="H3722" s="1">
        <v>58666</v>
      </c>
      <c r="I3722" s="1">
        <v>173939</v>
      </c>
      <c r="J3722" s="7">
        <v>0.33700000000000002</v>
      </c>
      <c r="K3722" s="1" t="s">
        <v>21</v>
      </c>
      <c r="L3722" s="1" t="s">
        <v>21</v>
      </c>
      <c r="M3722" s="1" t="s">
        <v>29</v>
      </c>
      <c r="N3722" s="1" t="s">
        <v>22</v>
      </c>
    </row>
    <row r="3723" spans="1:14" x14ac:dyDescent="0.25">
      <c r="A3723" s="1">
        <v>3722</v>
      </c>
      <c r="B3723" s="2" t="str">
        <f>HYPERLINK("https://leetcode.com/problems/lexicographically-smallest-string-after-reverse/", "Lexicographically Smallest String After Reverse")</f>
        <v>Lexicographically Smallest String After Reverse</v>
      </c>
      <c r="C3723" s="1">
        <v>36</v>
      </c>
      <c r="D3723" s="1">
        <v>7</v>
      </c>
      <c r="E3723" s="3">
        <f>IF(INDEX(C:C, ROW())+INDEX(D:D, ROW())=0, 0, INDEX(C:C, ROW())/(INDEX(C:C, ROW())+INDEX(D:D, ROW())))</f>
        <v>0.83720930232558144</v>
      </c>
      <c r="F3723" s="1" t="s">
        <v>1292</v>
      </c>
      <c r="G3723" s="1" t="s">
        <v>24</v>
      </c>
      <c r="H3723" s="1">
        <v>24540</v>
      </c>
      <c r="I3723" s="1">
        <v>44886</v>
      </c>
      <c r="J3723" s="7">
        <v>0.54700000000000004</v>
      </c>
      <c r="K3723" s="1" t="s">
        <v>21</v>
      </c>
      <c r="L3723" s="1" t="s">
        <v>29</v>
      </c>
      <c r="M3723" s="1" t="s">
        <v>29</v>
      </c>
      <c r="N3723" s="1" t="s">
        <v>22</v>
      </c>
    </row>
    <row r="3724" spans="1:14" x14ac:dyDescent="0.25">
      <c r="A3724" s="1">
        <v>3723</v>
      </c>
      <c r="B3724" s="2" t="str">
        <f>HYPERLINK("https://leetcode.com/problems/maximize-sum-of-squares-of-digits/", "Maximize Sum of Squares of Digits")</f>
        <v>Maximize Sum of Squares of Digits</v>
      </c>
      <c r="C3724" s="1">
        <v>61</v>
      </c>
      <c r="D3724" s="1">
        <v>2</v>
      </c>
      <c r="E3724" s="3">
        <f>IF(INDEX(C:C, ROW())+INDEX(D:D, ROW())=0, 0, INDEX(C:C, ROW())/(INDEX(C:C, ROW())+INDEX(D:D, ROW())))</f>
        <v>0.96825396825396826</v>
      </c>
      <c r="F3724" s="1" t="s">
        <v>296</v>
      </c>
      <c r="G3724" s="1" t="s">
        <v>24</v>
      </c>
      <c r="H3724" s="1">
        <v>22646</v>
      </c>
      <c r="I3724" s="1">
        <v>38411</v>
      </c>
      <c r="J3724" s="7">
        <v>0.59</v>
      </c>
      <c r="K3724" s="1" t="s">
        <v>21</v>
      </c>
      <c r="L3724" s="1" t="s">
        <v>29</v>
      </c>
      <c r="M3724" s="1" t="s">
        <v>29</v>
      </c>
      <c r="N3724" s="1" t="s">
        <v>22</v>
      </c>
    </row>
    <row r="3725" spans="1:14" x14ac:dyDescent="0.25">
      <c r="A3725" s="1">
        <v>3724</v>
      </c>
      <c r="B3725" s="2" t="str">
        <f>HYPERLINK("https://leetcode.com/problems/minimum-operations-to-transform-array/", "Minimum Operations to Transform Array")</f>
        <v>Minimum Operations to Transform Array</v>
      </c>
      <c r="C3725" s="1">
        <v>84</v>
      </c>
      <c r="D3725" s="1">
        <v>7</v>
      </c>
      <c r="E3725" s="3">
        <f>IF(INDEX(C:C, ROW())+INDEX(D:D, ROW())=0, 0, INDEX(C:C, ROW())/(INDEX(C:C, ROW())+INDEX(D:D, ROW())))</f>
        <v>0.92307692307692313</v>
      </c>
      <c r="F3725" s="1" t="s">
        <v>96</v>
      </c>
      <c r="G3725" s="1" t="s">
        <v>24</v>
      </c>
      <c r="H3725" s="1">
        <v>13820</v>
      </c>
      <c r="I3725" s="1">
        <v>35119</v>
      </c>
      <c r="J3725" s="7">
        <v>0.39400000000000002</v>
      </c>
      <c r="K3725" s="1" t="s">
        <v>21</v>
      </c>
      <c r="L3725" s="1" t="s">
        <v>29</v>
      </c>
      <c r="M3725" s="1" t="s">
        <v>29</v>
      </c>
      <c r="N3725" s="1" t="s">
        <v>22</v>
      </c>
    </row>
    <row r="3726" spans="1:14" x14ac:dyDescent="0.25">
      <c r="A3726" s="1">
        <v>3725</v>
      </c>
      <c r="B3726" s="2" t="str">
        <f>HYPERLINK("https://leetcode.com/problems/count-ways-to-choose-coprime-integers-from-rows/", "Count Ways to Choose Coprime Integers from Rows")</f>
        <v>Count Ways to Choose Coprime Integers from Rows</v>
      </c>
      <c r="C3726" s="1">
        <v>63</v>
      </c>
      <c r="D3726" s="1">
        <v>4</v>
      </c>
      <c r="E3726" s="3">
        <f>IF(INDEX(C:C, ROW())+INDEX(D:D, ROW())=0, 0, INDEX(C:C, ROW())/(INDEX(C:C, ROW())+INDEX(D:D, ROW())))</f>
        <v>0.94029850746268662</v>
      </c>
      <c r="F3726" s="1" t="s">
        <v>1235</v>
      </c>
      <c r="G3726" s="1" t="s">
        <v>28</v>
      </c>
      <c r="H3726" s="1">
        <v>9321</v>
      </c>
      <c r="I3726" s="1">
        <v>19318</v>
      </c>
      <c r="J3726" s="7">
        <v>0.48299999999999998</v>
      </c>
      <c r="K3726" s="1" t="s">
        <v>21</v>
      </c>
      <c r="L3726" s="1" t="s">
        <v>29</v>
      </c>
      <c r="M3726" s="1" t="s">
        <v>29</v>
      </c>
      <c r="N3726" s="1" t="s">
        <v>22</v>
      </c>
    </row>
    <row r="3727" spans="1:14" x14ac:dyDescent="0.25">
      <c r="A3727" s="1">
        <v>3726</v>
      </c>
      <c r="B3727" s="2" t="str">
        <f>HYPERLINK("https://leetcode.com/problems/remove-zeros-in-decimal-representation/", "Remove Zeros in Decimal Representation")</f>
        <v>Remove Zeros in Decimal Representation</v>
      </c>
      <c r="C3727" s="1">
        <v>40</v>
      </c>
      <c r="D3727" s="1">
        <v>2</v>
      </c>
      <c r="E3727" s="3">
        <f>IF(INDEX(C:C, ROW())+INDEX(D:D, ROW())=0, 0, INDEX(C:C, ROW())/(INDEX(C:C, ROW())+INDEX(D:D, ROW())))</f>
        <v>0.95238095238095233</v>
      </c>
      <c r="F3727" s="1" t="s">
        <v>465</v>
      </c>
      <c r="G3727" s="1" t="s">
        <v>20</v>
      </c>
      <c r="H3727" s="1">
        <v>49069</v>
      </c>
      <c r="I3727" s="1">
        <v>64282</v>
      </c>
      <c r="J3727" s="7">
        <v>0.76300000000000001</v>
      </c>
      <c r="K3727" s="1" t="s">
        <v>21</v>
      </c>
      <c r="L3727" s="1" t="s">
        <v>29</v>
      </c>
      <c r="M3727" s="1" t="s">
        <v>29</v>
      </c>
      <c r="N3727" s="1" t="s">
        <v>22</v>
      </c>
    </row>
    <row r="3728" spans="1:14" x14ac:dyDescent="0.25">
      <c r="A3728" s="1">
        <v>3727</v>
      </c>
      <c r="B3728" s="2" t="str">
        <f>HYPERLINK("https://leetcode.com/problems/maximum-alternating-sum-of-squares/", "Maximum Alternating Sum of Squares")</f>
        <v>Maximum Alternating Sum of Squares</v>
      </c>
      <c r="C3728" s="1">
        <v>70</v>
      </c>
      <c r="D3728" s="1">
        <v>1</v>
      </c>
      <c r="E3728" s="3">
        <f>IF(INDEX(C:C, ROW())+INDEX(D:D, ROW())=0, 0, INDEX(C:C, ROW())/(INDEX(C:C, ROW())+INDEX(D:D, ROW())))</f>
        <v>0.9859154929577465</v>
      </c>
      <c r="F3728" s="1" t="s">
        <v>169</v>
      </c>
      <c r="G3728" s="1" t="s">
        <v>24</v>
      </c>
      <c r="H3728" s="1">
        <v>32812</v>
      </c>
      <c r="I3728" s="1">
        <v>53731</v>
      </c>
      <c r="J3728" s="7">
        <v>0.61099999999999999</v>
      </c>
      <c r="K3728" s="1" t="s">
        <v>21</v>
      </c>
      <c r="L3728" s="1" t="s">
        <v>29</v>
      </c>
      <c r="M3728" s="1" t="s">
        <v>29</v>
      </c>
      <c r="N3728" s="1" t="s">
        <v>22</v>
      </c>
    </row>
    <row r="3729" spans="1:14" x14ac:dyDescent="0.25">
      <c r="A3729" s="1">
        <v>3728</v>
      </c>
      <c r="B3729" s="2" t="str">
        <f>HYPERLINK("https://leetcode.com/problems/stable-subarrays-with-equal-boundary-and-interior-sum/", "Stable Subarrays With Equal Boundary and Interior Sum")</f>
        <v>Stable Subarrays With Equal Boundary and Interior Sum</v>
      </c>
      <c r="C3729" s="1">
        <v>167</v>
      </c>
      <c r="D3729" s="1">
        <v>3</v>
      </c>
      <c r="E3729" s="3">
        <f>IF(INDEX(C:C, ROW())+INDEX(D:D, ROW())=0, 0, INDEX(C:C, ROW())/(INDEX(C:C, ROW())+INDEX(D:D, ROW())))</f>
        <v>0.98235294117647054</v>
      </c>
      <c r="F3729" s="1" t="s">
        <v>39</v>
      </c>
      <c r="G3729" s="1" t="s">
        <v>24</v>
      </c>
      <c r="H3729" s="1">
        <v>15588</v>
      </c>
      <c r="I3729" s="1">
        <v>60134</v>
      </c>
      <c r="J3729" s="7">
        <v>0.25900000000000001</v>
      </c>
      <c r="K3729" s="1" t="s">
        <v>21</v>
      </c>
      <c r="L3729" s="1" t="s">
        <v>29</v>
      </c>
      <c r="M3729" s="1" t="s">
        <v>29</v>
      </c>
      <c r="N3729" s="1" t="s">
        <v>22</v>
      </c>
    </row>
    <row r="3730" spans="1:14" x14ac:dyDescent="0.25">
      <c r="A3730" s="1">
        <v>3729</v>
      </c>
      <c r="B3730" s="2" t="str">
        <f>HYPERLINK("https://leetcode.com/problems/count-distinct-subarrays-divisible-by-k-in-sorted-array/", "Count Distinct Subarrays Divisible by K in Sorted Array")</f>
        <v>Count Distinct Subarrays Divisible by K in Sorted Array</v>
      </c>
      <c r="C3730" s="1">
        <v>59</v>
      </c>
      <c r="D3730" s="1">
        <v>3</v>
      </c>
      <c r="E3730" s="3">
        <f>IF(INDEX(C:C, ROW())+INDEX(D:D, ROW())=0, 0, INDEX(C:C, ROW())/(INDEX(C:C, ROW())+INDEX(D:D, ROW())))</f>
        <v>0.95161290322580649</v>
      </c>
      <c r="F3730" s="1" t="s">
        <v>39</v>
      </c>
      <c r="G3730" s="1" t="s">
        <v>28</v>
      </c>
      <c r="H3730" s="1">
        <v>5811</v>
      </c>
      <c r="I3730" s="1">
        <v>21262</v>
      </c>
      <c r="J3730" s="7">
        <v>0.27300000000000002</v>
      </c>
      <c r="K3730" s="1" t="s">
        <v>21</v>
      </c>
      <c r="L3730" s="1" t="s">
        <v>29</v>
      </c>
      <c r="M3730" s="1" t="s">
        <v>29</v>
      </c>
      <c r="N3730" s="1" t="s">
        <v>22</v>
      </c>
    </row>
    <row r="3731" spans="1:14" x14ac:dyDescent="0.25">
      <c r="A3731" s="1">
        <v>3730</v>
      </c>
      <c r="B3731" s="2" t="str">
        <f>HYPERLINK("https://leetcode.com/problems/maximum-calories-burnt-from-jumps/", "Maximum Calories Burnt from Jumps")</f>
        <v>Maximum Calories Burnt from Jumps</v>
      </c>
      <c r="C3731" s="1">
        <v>5</v>
      </c>
      <c r="D3731" s="1">
        <v>1</v>
      </c>
      <c r="E3731" s="3">
        <f>IF(INDEX(C:C, ROW())+INDEX(D:D, ROW())=0, 0, INDEX(C:C, ROW())/(INDEX(C:C, ROW())+INDEX(D:D, ROW())))</f>
        <v>0.83333333333333337</v>
      </c>
      <c r="F3731" s="1" t="s">
        <v>203</v>
      </c>
      <c r="G3731" s="1" t="s">
        <v>24</v>
      </c>
      <c r="H3731" s="1">
        <v>665</v>
      </c>
      <c r="I3731" s="1">
        <v>899</v>
      </c>
      <c r="J3731" s="7">
        <v>0.74</v>
      </c>
      <c r="K3731" s="1" t="s">
        <v>29</v>
      </c>
      <c r="L3731" s="1" t="s">
        <v>29</v>
      </c>
      <c r="M3731" s="1" t="s">
        <v>29</v>
      </c>
      <c r="N3731" s="1" t="s">
        <v>22</v>
      </c>
    </row>
    <row r="3732" spans="1:14" x14ac:dyDescent="0.25">
      <c r="A3732" s="1">
        <v>3731</v>
      </c>
      <c r="B3732" s="2" t="str">
        <f>HYPERLINK("https://leetcode.com/problems/find-missing-elements/", "Find Missing Elements")</f>
        <v>Find Missing Elements</v>
      </c>
      <c r="C3732" s="1">
        <v>69</v>
      </c>
      <c r="D3732" s="1">
        <v>3</v>
      </c>
      <c r="E3732" s="3">
        <f>IF(INDEX(C:C, ROW())+INDEX(D:D, ROW())=0, 0, INDEX(C:C, ROW())/(INDEX(C:C, ROW())+INDEX(D:D, ROW())))</f>
        <v>0.95833333333333337</v>
      </c>
      <c r="F3732" s="1" t="s">
        <v>92</v>
      </c>
      <c r="G3732" s="1" t="s">
        <v>20</v>
      </c>
      <c r="H3732" s="1">
        <v>57329</v>
      </c>
      <c r="I3732" s="1">
        <v>69224</v>
      </c>
      <c r="J3732" s="7">
        <v>0.82799999999999996</v>
      </c>
      <c r="K3732" s="1" t="s">
        <v>21</v>
      </c>
      <c r="L3732" s="1" t="s">
        <v>29</v>
      </c>
      <c r="M3732" s="1" t="s">
        <v>29</v>
      </c>
      <c r="N3732" s="1" t="s">
        <v>22</v>
      </c>
    </row>
    <row r="3733" spans="1:14" x14ac:dyDescent="0.25">
      <c r="A3733" s="1">
        <v>3732</v>
      </c>
      <c r="B3733" s="2" t="str">
        <f>HYPERLINK("https://leetcode.com/problems/maximum-product-of-three-elements-after-one-replacement/", "Maximum Product of Three Elements After One Replacement")</f>
        <v>Maximum Product of Three Elements After One Replacement</v>
      </c>
      <c r="C3733" s="1">
        <v>77</v>
      </c>
      <c r="D3733" s="1">
        <v>8</v>
      </c>
      <c r="E3733" s="3">
        <f>IF(INDEX(C:C, ROW())+INDEX(D:D, ROW())=0, 0, INDEX(C:C, ROW())/(INDEX(C:C, ROW())+INDEX(D:D, ROW())))</f>
        <v>0.90588235294117647</v>
      </c>
      <c r="F3733" s="1" t="s">
        <v>354</v>
      </c>
      <c r="G3733" s="1" t="s">
        <v>24</v>
      </c>
      <c r="H3733" s="1">
        <v>30568</v>
      </c>
      <c r="I3733" s="1">
        <v>64960</v>
      </c>
      <c r="J3733" s="7">
        <v>0.47099999999999997</v>
      </c>
      <c r="K3733" s="1" t="s">
        <v>21</v>
      </c>
      <c r="L3733" s="1" t="s">
        <v>29</v>
      </c>
      <c r="M3733" s="1" t="s">
        <v>29</v>
      </c>
      <c r="N3733" s="1" t="s">
        <v>22</v>
      </c>
    </row>
    <row r="3734" spans="1:14" x14ac:dyDescent="0.25">
      <c r="A3734" s="1">
        <v>3733</v>
      </c>
      <c r="B3734" s="2" t="str">
        <f>HYPERLINK("https://leetcode.com/problems/minimum-time-to-complete-all-deliveries/", "Minimum Time to Complete All Deliveries")</f>
        <v>Minimum Time to Complete All Deliveries</v>
      </c>
      <c r="C3734" s="1">
        <v>168</v>
      </c>
      <c r="D3734" s="1">
        <v>13</v>
      </c>
      <c r="E3734" s="3">
        <f>IF(INDEX(C:C, ROW())+INDEX(D:D, ROW())=0, 0, INDEX(C:C, ROW())/(INDEX(C:C, ROW())+INDEX(D:D, ROW())))</f>
        <v>0.92817679558011046</v>
      </c>
      <c r="F3734" s="1" t="s">
        <v>139</v>
      </c>
      <c r="G3734" s="1" t="s">
        <v>24</v>
      </c>
      <c r="H3734" s="1">
        <v>13885</v>
      </c>
      <c r="I3734" s="1">
        <v>40396</v>
      </c>
      <c r="J3734" s="7">
        <v>0.34399999999999997</v>
      </c>
      <c r="K3734" s="1" t="s">
        <v>21</v>
      </c>
      <c r="L3734" s="1" t="s">
        <v>29</v>
      </c>
      <c r="M3734" s="1" t="s">
        <v>29</v>
      </c>
      <c r="N3734" s="1" t="s">
        <v>22</v>
      </c>
    </row>
    <row r="3735" spans="1:14" x14ac:dyDescent="0.25">
      <c r="A3735" s="1">
        <v>3734</v>
      </c>
      <c r="B3735" s="2" t="str">
        <f>HYPERLINK("https://leetcode.com/problems/lexicographically-smallest-palindromic-permutation-greater-than-target/", "Lexicographically Smallest Palindromic Permutation Greater Than Target")</f>
        <v>Lexicographically Smallest Palindromic Permutation Greater Than Target</v>
      </c>
      <c r="C3735" s="1">
        <v>39</v>
      </c>
      <c r="D3735" s="1">
        <v>4</v>
      </c>
      <c r="E3735" s="3">
        <f>IF(INDEX(C:C, ROW())+INDEX(D:D, ROW())=0, 0, INDEX(C:C, ROW())/(INDEX(C:C, ROW())+INDEX(D:D, ROW())))</f>
        <v>0.90697674418604646</v>
      </c>
      <c r="F3735" s="1" t="s">
        <v>931</v>
      </c>
      <c r="G3735" s="1" t="s">
        <v>28</v>
      </c>
      <c r="H3735" s="1">
        <v>4916</v>
      </c>
      <c r="I3735" s="1">
        <v>19823</v>
      </c>
      <c r="J3735" s="7">
        <v>0.248</v>
      </c>
      <c r="K3735" s="1" t="s">
        <v>21</v>
      </c>
      <c r="L3735" s="1" t="s">
        <v>29</v>
      </c>
      <c r="M3735" s="1" t="s">
        <v>29</v>
      </c>
      <c r="N3735" s="1" t="s">
        <v>22</v>
      </c>
    </row>
    <row r="3736" spans="1:14" x14ac:dyDescent="0.25">
      <c r="A3736" s="1">
        <v>3735</v>
      </c>
      <c r="B3736" s="2" t="str">
        <f>HYPERLINK("https://leetcode.com/problems/lexicographically-smallest-string-after-reverse-ii/", "Lexicographically Smallest String After Reverse II")</f>
        <v>Lexicographically Smallest String After Reverse II</v>
      </c>
      <c r="C3736" s="1">
        <v>2</v>
      </c>
      <c r="D3736" s="1">
        <v>1</v>
      </c>
      <c r="E3736" s="3">
        <f>IF(INDEX(C:C, ROW())+INDEX(D:D, ROW())=0, 0, INDEX(C:C, ROW())/(INDEX(C:C, ROW())+INDEX(D:D, ROW())))</f>
        <v>0.66666666666666663</v>
      </c>
      <c r="F3736" s="1" t="s">
        <v>1348</v>
      </c>
      <c r="G3736" s="1" t="s">
        <v>28</v>
      </c>
      <c r="H3736" s="1">
        <v>271</v>
      </c>
      <c r="I3736" s="1">
        <v>608</v>
      </c>
      <c r="J3736" s="7">
        <v>0.44600000000000001</v>
      </c>
      <c r="K3736" s="1" t="s">
        <v>29</v>
      </c>
      <c r="L3736" s="1" t="s">
        <v>29</v>
      </c>
      <c r="M3736" s="1" t="s">
        <v>29</v>
      </c>
      <c r="N3736" s="1" t="s">
        <v>22</v>
      </c>
    </row>
    <row r="3737" spans="1:14" x14ac:dyDescent="0.25">
      <c r="A3737" s="1">
        <v>3736</v>
      </c>
      <c r="B3737" s="2" t="str">
        <f>HYPERLINK("https://leetcode.com/problems/minimum-moves-to-equal-array-elements-iii/", "Minimum Moves to Equal Array Elements III")</f>
        <v>Minimum Moves to Equal Array Elements III</v>
      </c>
      <c r="C3737" s="1">
        <v>35</v>
      </c>
      <c r="D3737" s="1">
        <v>2</v>
      </c>
      <c r="E3737" s="3">
        <f>IF(INDEX(C:C, ROW())+INDEX(D:D, ROW())=0, 0, INDEX(C:C, ROW())/(INDEX(C:C, ROW())+INDEX(D:D, ROW())))</f>
        <v>0.94594594594594594</v>
      </c>
      <c r="F3737" s="1" t="s">
        <v>115</v>
      </c>
      <c r="G3737" s="1" t="s">
        <v>20</v>
      </c>
      <c r="H3737" s="1">
        <v>35419</v>
      </c>
      <c r="I3737" s="1">
        <v>43621</v>
      </c>
      <c r="J3737" s="7">
        <v>0.81200000000000006</v>
      </c>
      <c r="K3737" s="1" t="s">
        <v>21</v>
      </c>
      <c r="L3737" s="1" t="s">
        <v>29</v>
      </c>
      <c r="M3737" s="1" t="s">
        <v>29</v>
      </c>
      <c r="N3737" s="1" t="s">
        <v>22</v>
      </c>
    </row>
    <row r="3738" spans="1:14" x14ac:dyDescent="0.25">
      <c r="A3738" s="1">
        <v>3737</v>
      </c>
      <c r="B3738" s="2" t="str">
        <f>HYPERLINK("https://leetcode.com/problems/count-subarrays-with-majority-element-i/", "Count Subarrays With Majority Element I")</f>
        <v>Count Subarrays With Majority Element I</v>
      </c>
      <c r="C3738" s="1">
        <v>48</v>
      </c>
      <c r="D3738" s="1">
        <v>4</v>
      </c>
      <c r="E3738" s="3">
        <f>IF(INDEX(C:C, ROW())+INDEX(D:D, ROW())=0, 0, INDEX(C:C, ROW())/(INDEX(C:C, ROW())+INDEX(D:D, ROW())))</f>
        <v>0.92307692307692313</v>
      </c>
      <c r="F3738" s="1" t="s">
        <v>1272</v>
      </c>
      <c r="G3738" s="1" t="s">
        <v>24</v>
      </c>
      <c r="H3738" s="1">
        <v>25547</v>
      </c>
      <c r="I3738" s="1">
        <v>39221</v>
      </c>
      <c r="J3738" s="7">
        <v>0.65100000000000002</v>
      </c>
      <c r="K3738" s="1" t="s">
        <v>21</v>
      </c>
      <c r="L3738" s="1" t="s">
        <v>29</v>
      </c>
      <c r="M3738" s="1" t="s">
        <v>29</v>
      </c>
      <c r="N3738" s="1" t="s">
        <v>22</v>
      </c>
    </row>
    <row r="3739" spans="1:14" x14ac:dyDescent="0.25">
      <c r="A3739" s="1">
        <v>3738</v>
      </c>
      <c r="B3739" s="2" t="str">
        <f>HYPERLINK("https://leetcode.com/problems/longest-non-decreasing-subarray-after-replacing-at-most-one-element/", "Longest Non-Decreasing Subarray After Replacing at Most One Element")</f>
        <v>Longest Non-Decreasing Subarray After Replacing at Most One Element</v>
      </c>
      <c r="C3739" s="1">
        <v>89</v>
      </c>
      <c r="D3739" s="1">
        <v>7</v>
      </c>
      <c r="E3739" s="3">
        <f>IF(INDEX(C:C, ROW())+INDEX(D:D, ROW())=0, 0, INDEX(C:C, ROW())/(INDEX(C:C, ROW())+INDEX(D:D, ROW())))</f>
        <v>0.92708333333333337</v>
      </c>
      <c r="F3739" s="1" t="s">
        <v>30</v>
      </c>
      <c r="G3739" s="1" t="s">
        <v>24</v>
      </c>
      <c r="H3739" s="1">
        <v>13843</v>
      </c>
      <c r="I3739" s="1">
        <v>64531</v>
      </c>
      <c r="J3739" s="7">
        <v>0.215</v>
      </c>
      <c r="K3739" s="1" t="s">
        <v>21</v>
      </c>
      <c r="L3739" s="1" t="s">
        <v>29</v>
      </c>
      <c r="M3739" s="1" t="s">
        <v>29</v>
      </c>
      <c r="N3739" s="1" t="s">
        <v>22</v>
      </c>
    </row>
    <row r="3740" spans="1:14" x14ac:dyDescent="0.25">
      <c r="A3740" s="1">
        <v>3739</v>
      </c>
      <c r="B3740" s="2" t="str">
        <f>HYPERLINK("https://leetcode.com/problems/count-subarrays-with-majority-element-ii/", "Count Subarrays With Majority Element II")</f>
        <v>Count Subarrays With Majority Element II</v>
      </c>
      <c r="C3740" s="1">
        <v>60</v>
      </c>
      <c r="D3740" s="1">
        <v>3</v>
      </c>
      <c r="E3740" s="3">
        <f>IF(INDEX(C:C, ROW())+INDEX(D:D, ROW())=0, 0, INDEX(C:C, ROW())/(INDEX(C:C, ROW())+INDEX(D:D, ROW())))</f>
        <v>0.95238095238095233</v>
      </c>
      <c r="F3740" s="1" t="s">
        <v>1241</v>
      </c>
      <c r="G3740" s="1" t="s">
        <v>28</v>
      </c>
      <c r="H3740" s="1">
        <v>6776</v>
      </c>
      <c r="I3740" s="1">
        <v>15269</v>
      </c>
      <c r="J3740" s="7">
        <v>0.44400000000000001</v>
      </c>
      <c r="K3740" s="1" t="s">
        <v>21</v>
      </c>
      <c r="L3740" s="1" t="s">
        <v>29</v>
      </c>
      <c r="M3740" s="1" t="s">
        <v>29</v>
      </c>
      <c r="N3740" s="1" t="s">
        <v>22</v>
      </c>
    </row>
    <row r="3741" spans="1:14" x14ac:dyDescent="0.25">
      <c r="A3741" s="1">
        <v>3740</v>
      </c>
      <c r="B3741" s="2" t="str">
        <f>HYPERLINK("https://leetcode.com/problems/minimum-distance-between-three-equal-elements-i/", "Minimum Distance Between Three Equal Elements I")</f>
        <v>Minimum Distance Between Three Equal Elements I</v>
      </c>
      <c r="C3741" s="1">
        <v>59</v>
      </c>
      <c r="D3741" s="1">
        <v>7</v>
      </c>
      <c r="E3741" s="3">
        <f>IF(INDEX(C:C, ROW())+INDEX(D:D, ROW())=0, 0, INDEX(C:C, ROW())/(INDEX(C:C, ROW())+INDEX(D:D, ROW())))</f>
        <v>0.89393939393939392</v>
      </c>
      <c r="F3741" s="1" t="s">
        <v>19</v>
      </c>
      <c r="G3741" s="1" t="s">
        <v>20</v>
      </c>
      <c r="H3741" s="1">
        <v>37608</v>
      </c>
      <c r="I3741" s="1">
        <v>62169</v>
      </c>
      <c r="J3741" s="7">
        <v>0.60499999999999998</v>
      </c>
      <c r="K3741" s="1" t="s">
        <v>21</v>
      </c>
      <c r="L3741" s="1" t="s">
        <v>29</v>
      </c>
      <c r="M3741" s="1" t="s">
        <v>29</v>
      </c>
      <c r="N3741" s="1" t="s">
        <v>22</v>
      </c>
    </row>
    <row r="3742" spans="1:14" x14ac:dyDescent="0.25">
      <c r="A3742" s="1">
        <v>3741</v>
      </c>
      <c r="B3742" s="2" t="str">
        <f>HYPERLINK("https://leetcode.com/problems/minimum-distance-between-three-equal-elements-ii/", "Minimum Distance Between Three Equal Elements II")</f>
        <v>Minimum Distance Between Three Equal Elements II</v>
      </c>
      <c r="C3742" s="1">
        <v>56</v>
      </c>
      <c r="D3742" s="1">
        <v>3</v>
      </c>
      <c r="E3742" s="3">
        <f>IF(INDEX(C:C, ROW())+INDEX(D:D, ROW())=0, 0, INDEX(C:C, ROW())/(INDEX(C:C, ROW())+INDEX(D:D, ROW())))</f>
        <v>0.94915254237288138</v>
      </c>
      <c r="F3742" s="1" t="s">
        <v>19</v>
      </c>
      <c r="G3742" s="1" t="s">
        <v>24</v>
      </c>
      <c r="H3742" s="1">
        <v>30232</v>
      </c>
      <c r="I3742" s="1">
        <v>46354</v>
      </c>
      <c r="J3742" s="7">
        <v>0.65200000000000002</v>
      </c>
      <c r="K3742" s="1" t="s">
        <v>21</v>
      </c>
      <c r="L3742" s="1" t="s">
        <v>29</v>
      </c>
      <c r="M3742" s="1" t="s">
        <v>29</v>
      </c>
      <c r="N3742" s="1" t="s">
        <v>22</v>
      </c>
    </row>
    <row r="3743" spans="1:14" x14ac:dyDescent="0.25">
      <c r="A3743" s="1">
        <v>3742</v>
      </c>
      <c r="B3743" s="2" t="str">
        <f>HYPERLINK("https://leetcode.com/problems/maximum-path-score-in-a-grid/", "Maximum Path Score in a Grid")</f>
        <v>Maximum Path Score in a Grid</v>
      </c>
      <c r="C3743" s="1">
        <v>103</v>
      </c>
      <c r="D3743" s="1">
        <v>5</v>
      </c>
      <c r="E3743" s="3">
        <f>IF(INDEX(C:C, ROW())+INDEX(D:D, ROW())=0, 0, INDEX(C:C, ROW())/(INDEX(C:C, ROW())+INDEX(D:D, ROW())))</f>
        <v>0.95370370370370372</v>
      </c>
      <c r="F3743" s="1" t="s">
        <v>94</v>
      </c>
      <c r="G3743" s="1" t="s">
        <v>24</v>
      </c>
      <c r="H3743" s="1">
        <v>17978</v>
      </c>
      <c r="I3743" s="1">
        <v>49190</v>
      </c>
      <c r="J3743" s="7">
        <v>0.36499999999999999</v>
      </c>
      <c r="K3743" s="1" t="s">
        <v>21</v>
      </c>
      <c r="L3743" s="1" t="s">
        <v>29</v>
      </c>
      <c r="M3743" s="1" t="s">
        <v>29</v>
      </c>
      <c r="N3743" s="1" t="s">
        <v>22</v>
      </c>
    </row>
    <row r="3744" spans="1:14" x14ac:dyDescent="0.25">
      <c r="A3744" s="1">
        <v>3743</v>
      </c>
      <c r="B3744" s="2" t="str">
        <f>HYPERLINK("https://leetcode.com/problems/maximize-cyclic-partition-score/", "Maximize Cyclic Partition Score")</f>
        <v>Maximize Cyclic Partition Score</v>
      </c>
      <c r="C3744" s="1">
        <v>47</v>
      </c>
      <c r="D3744" s="1">
        <v>7</v>
      </c>
      <c r="E3744" s="3">
        <f>IF(INDEX(C:C, ROW())+INDEX(D:D, ROW())=0, 0, INDEX(C:C, ROW())/(INDEX(C:C, ROW())+INDEX(D:D, ROW())))</f>
        <v>0.87037037037037035</v>
      </c>
      <c r="F3744" s="1" t="s">
        <v>30</v>
      </c>
      <c r="G3744" s="1" t="s">
        <v>28</v>
      </c>
      <c r="H3744" s="1">
        <v>2639</v>
      </c>
      <c r="I3744" s="1">
        <v>21376</v>
      </c>
      <c r="J3744" s="7">
        <v>0.123</v>
      </c>
      <c r="K3744" s="1" t="s">
        <v>21</v>
      </c>
      <c r="L3744" s="1" t="s">
        <v>29</v>
      </c>
      <c r="M3744" s="1" t="s">
        <v>29</v>
      </c>
      <c r="N3744" s="1" t="s">
        <v>22</v>
      </c>
    </row>
    <row r="3745" spans="1:14" x14ac:dyDescent="0.25">
      <c r="A3745" s="1">
        <v>3744</v>
      </c>
      <c r="B3745" s="2" t="str">
        <f>HYPERLINK("https://leetcode.com/problems/find-kth-character-in-expanded-string/", "Find Kth Character in Expanded String")</f>
        <v>Find Kth Character in Expanded String</v>
      </c>
      <c r="C3745" s="1">
        <v>5</v>
      </c>
      <c r="D3745" s="1">
        <v>2</v>
      </c>
      <c r="E3745" s="3">
        <f>IF(INDEX(C:C, ROW())+INDEX(D:D, ROW())=0, 0, INDEX(C:C, ROW())/(INDEX(C:C, ROW())+INDEX(D:D, ROW())))</f>
        <v>0.7142857142857143</v>
      </c>
      <c r="F3745" s="1" t="s">
        <v>146</v>
      </c>
      <c r="G3745" s="1" t="s">
        <v>24</v>
      </c>
      <c r="H3745" s="1">
        <v>467</v>
      </c>
      <c r="I3745" s="1">
        <v>796</v>
      </c>
      <c r="J3745" s="7">
        <v>0.58699999999999997</v>
      </c>
      <c r="K3745" s="1" t="s">
        <v>29</v>
      </c>
      <c r="L3745" s="1" t="s">
        <v>29</v>
      </c>
      <c r="M3745" s="1" t="s">
        <v>29</v>
      </c>
      <c r="N3745" s="1" t="s">
        <v>22</v>
      </c>
    </row>
    <row r="3746" spans="1:14" x14ac:dyDescent="0.25">
      <c r="A3746" s="1">
        <v>3745</v>
      </c>
      <c r="B3746" s="2" t="str">
        <f>HYPERLINK("https://leetcode.com/problems/maximize-expression-of-three-elements/", "Maximize Expression of Three Elements")</f>
        <v>Maximize Expression of Three Elements</v>
      </c>
      <c r="C3746" s="1">
        <v>52</v>
      </c>
      <c r="D3746" s="1">
        <v>1</v>
      </c>
      <c r="E3746" s="3">
        <f>IF(INDEX(C:C, ROW())+INDEX(D:D, ROW())=0, 0, INDEX(C:C, ROW())/(INDEX(C:C, ROW())+INDEX(D:D, ROW())))</f>
        <v>0.98113207547169812</v>
      </c>
      <c r="F3746" s="1" t="s">
        <v>1265</v>
      </c>
      <c r="G3746" s="1" t="s">
        <v>20</v>
      </c>
      <c r="H3746" s="1">
        <v>43618</v>
      </c>
      <c r="I3746" s="1">
        <v>60303</v>
      </c>
      <c r="J3746" s="7">
        <v>0.72299999999999998</v>
      </c>
      <c r="K3746" s="1" t="s">
        <v>21</v>
      </c>
      <c r="L3746" s="1" t="s">
        <v>29</v>
      </c>
      <c r="M3746" s="1" t="s">
        <v>29</v>
      </c>
      <c r="N3746" s="1" t="s">
        <v>22</v>
      </c>
    </row>
    <row r="3747" spans="1:14" x14ac:dyDescent="0.25">
      <c r="A3747" s="1">
        <v>3746</v>
      </c>
      <c r="B3747" s="2" t="str">
        <f>HYPERLINK("https://leetcode.com/problems/minimum-string-length-after-balanced-removals/", "Minimum String Length After Balanced Removals")</f>
        <v>Minimum String Length After Balanced Removals</v>
      </c>
      <c r="C3747" s="1">
        <v>59</v>
      </c>
      <c r="D3747" s="1">
        <v>6</v>
      </c>
      <c r="E3747" s="3">
        <f>IF(INDEX(C:C, ROW())+INDEX(D:D, ROW())=0, 0, INDEX(C:C, ROW())/(INDEX(C:C, ROW())+INDEX(D:D, ROW())))</f>
        <v>0.90769230769230769</v>
      </c>
      <c r="F3747" s="1" t="s">
        <v>1244</v>
      </c>
      <c r="G3747" s="1" t="s">
        <v>24</v>
      </c>
      <c r="H3747" s="1">
        <v>38501</v>
      </c>
      <c r="I3747" s="1">
        <v>49141</v>
      </c>
      <c r="J3747" s="7">
        <v>0.78300000000000003</v>
      </c>
      <c r="K3747" s="1" t="s">
        <v>21</v>
      </c>
      <c r="L3747" s="1" t="s">
        <v>29</v>
      </c>
      <c r="M3747" s="1" t="s">
        <v>29</v>
      </c>
      <c r="N3747" s="1" t="s">
        <v>22</v>
      </c>
    </row>
    <row r="3748" spans="1:14" x14ac:dyDescent="0.25">
      <c r="A3748" s="1">
        <v>3747</v>
      </c>
      <c r="B3748" s="2" t="str">
        <f>HYPERLINK("https://leetcode.com/problems/count-distinct-integers-after-removing-zeros/", "Count Distinct Integers After Removing Zeros")</f>
        <v>Count Distinct Integers After Removing Zeros</v>
      </c>
      <c r="C3748" s="1">
        <v>114</v>
      </c>
      <c r="D3748" s="1">
        <v>10</v>
      </c>
      <c r="E3748" s="3">
        <f>IF(INDEX(C:C, ROW())+INDEX(D:D, ROW())=0, 0, INDEX(C:C, ROW())/(INDEX(C:C, ROW())+INDEX(D:D, ROW())))</f>
        <v>0.91935483870967738</v>
      </c>
      <c r="F3748" s="1" t="s">
        <v>250</v>
      </c>
      <c r="G3748" s="1" t="s">
        <v>24</v>
      </c>
      <c r="H3748" s="1">
        <v>14878</v>
      </c>
      <c r="I3748" s="1">
        <v>66519</v>
      </c>
      <c r="J3748" s="7">
        <v>0.224</v>
      </c>
      <c r="K3748" s="1" t="s">
        <v>21</v>
      </c>
      <c r="L3748" s="1" t="s">
        <v>29</v>
      </c>
      <c r="M3748" s="1" t="s">
        <v>29</v>
      </c>
      <c r="N3748" s="1" t="s">
        <v>22</v>
      </c>
    </row>
    <row r="3749" spans="1:14" x14ac:dyDescent="0.25">
      <c r="A3749" s="1">
        <v>3748</v>
      </c>
      <c r="B3749" s="2" t="str">
        <f>HYPERLINK("https://leetcode.com/problems/count-stable-subarrays/", "Count Stable Subarrays")</f>
        <v>Count Stable Subarrays</v>
      </c>
      <c r="C3749" s="1">
        <v>61</v>
      </c>
      <c r="D3749" s="1">
        <v>2</v>
      </c>
      <c r="E3749" s="3">
        <f>IF(INDEX(C:C, ROW())+INDEX(D:D, ROW())=0, 0, INDEX(C:C, ROW())/(INDEX(C:C, ROW())+INDEX(D:D, ROW())))</f>
        <v>0.96825396825396826</v>
      </c>
      <c r="F3749" s="1" t="s">
        <v>710</v>
      </c>
      <c r="G3749" s="1" t="s">
        <v>28</v>
      </c>
      <c r="H3749" s="1">
        <v>5843</v>
      </c>
      <c r="I3749" s="1">
        <v>18178</v>
      </c>
      <c r="J3749" s="7">
        <v>0.32100000000000001</v>
      </c>
      <c r="K3749" s="1" t="s">
        <v>21</v>
      </c>
      <c r="L3749" s="1" t="s">
        <v>29</v>
      </c>
      <c r="M3749" s="1" t="s">
        <v>29</v>
      </c>
      <c r="N3749" s="1" t="s">
        <v>22</v>
      </c>
    </row>
    <row r="3750" spans="1:14" x14ac:dyDescent="0.25">
      <c r="A3750" s="1">
        <v>3749</v>
      </c>
      <c r="B3750" s="2" t="str">
        <f>HYPERLINK("https://leetcode.com/problems/evaluate-valid-expressions/", "Evaluate Valid Expressions")</f>
        <v>Evaluate Valid Expressions</v>
      </c>
      <c r="C3750" s="1">
        <v>3</v>
      </c>
      <c r="D3750" s="1">
        <v>1</v>
      </c>
      <c r="E3750" s="3">
        <f>IF(INDEX(C:C, ROW())+INDEX(D:D, ROW())=0, 0, INDEX(C:C, ROW())/(INDEX(C:C, ROW())+INDEX(D:D, ROW())))</f>
        <v>0.75</v>
      </c>
      <c r="F3750" s="1" t="s">
        <v>1347</v>
      </c>
      <c r="G3750" s="1" t="s">
        <v>28</v>
      </c>
      <c r="H3750" s="1">
        <v>402</v>
      </c>
      <c r="I3750" s="1">
        <v>546</v>
      </c>
      <c r="J3750" s="7">
        <v>0.73599999999999999</v>
      </c>
      <c r="K3750" s="1" t="s">
        <v>29</v>
      </c>
      <c r="L3750" s="1" t="s">
        <v>29</v>
      </c>
      <c r="M3750" s="1" t="s">
        <v>29</v>
      </c>
      <c r="N3750" s="1" t="s">
        <v>22</v>
      </c>
    </row>
    <row r="3751" spans="1:14" x14ac:dyDescent="0.25">
      <c r="A3751" s="1">
        <v>3750</v>
      </c>
      <c r="B3751" s="2" t="str">
        <f>HYPERLINK("https://leetcode.com/problems/minimum-number-of-flips-to-reverse-binary-string/", "Minimum Number of Flips to Reverse Binary String")</f>
        <v>Minimum Number of Flips to Reverse Binary String</v>
      </c>
      <c r="C3751" s="1">
        <v>35</v>
      </c>
      <c r="D3751" s="1">
        <v>0</v>
      </c>
      <c r="E3751" s="3">
        <f>IF(INDEX(C:C, ROW())+INDEX(D:D, ROW())=0, 0, INDEX(C:C, ROW())/(INDEX(C:C, ROW())+INDEX(D:D, ROW())))</f>
        <v>1</v>
      </c>
      <c r="F3751" s="1" t="s">
        <v>1296</v>
      </c>
      <c r="G3751" s="1" t="s">
        <v>20</v>
      </c>
      <c r="H3751" s="1">
        <v>30409</v>
      </c>
      <c r="I3751" s="1">
        <v>40118</v>
      </c>
      <c r="J3751" s="7">
        <v>0.75800000000000001</v>
      </c>
      <c r="K3751" s="1" t="s">
        <v>21</v>
      </c>
      <c r="L3751" s="1" t="s">
        <v>29</v>
      </c>
      <c r="M3751" s="1" t="s">
        <v>29</v>
      </c>
      <c r="N3751" s="1" t="s">
        <v>22</v>
      </c>
    </row>
    <row r="3752" spans="1:14" x14ac:dyDescent="0.25">
      <c r="A3752" s="1">
        <v>3751</v>
      </c>
      <c r="B3752" s="2" t="str">
        <f>HYPERLINK("https://leetcode.com/problems/total-waviness-of-numbers-in-range-i/", "Total Waviness of Numbers in Range I")</f>
        <v>Total Waviness of Numbers in Range I</v>
      </c>
      <c r="C3752" s="1">
        <v>44</v>
      </c>
      <c r="D3752" s="1">
        <v>3</v>
      </c>
      <c r="E3752" s="3">
        <f>IF(INDEX(C:C, ROW())+INDEX(D:D, ROW())=0, 0, INDEX(C:C, ROW())/(INDEX(C:C, ROW())+INDEX(D:D, ROW())))</f>
        <v>0.93617021276595747</v>
      </c>
      <c r="F3752" s="1" t="s">
        <v>1280</v>
      </c>
      <c r="G3752" s="1" t="s">
        <v>24</v>
      </c>
      <c r="H3752" s="1">
        <v>25314</v>
      </c>
      <c r="I3752" s="1">
        <v>31457</v>
      </c>
      <c r="J3752" s="7">
        <v>0.80500000000000005</v>
      </c>
      <c r="K3752" s="1" t="s">
        <v>21</v>
      </c>
      <c r="L3752" s="1" t="s">
        <v>29</v>
      </c>
      <c r="M3752" s="1" t="s">
        <v>29</v>
      </c>
      <c r="N3752" s="1" t="s">
        <v>22</v>
      </c>
    </row>
    <row r="3753" spans="1:14" x14ac:dyDescent="0.25">
      <c r="A3753" s="1">
        <v>3752</v>
      </c>
      <c r="B3753" s="2" t="str">
        <f>HYPERLINK("https://leetcode.com/problems/lexicographically-smallest-negated-permutation-that-sums-to-target/", "Lexicographically Smallest Negated Permutation that Sums to Target")</f>
        <v>Lexicographically Smallest Negated Permutation that Sums to Target</v>
      </c>
      <c r="C3753" s="1">
        <v>64</v>
      </c>
      <c r="D3753" s="1">
        <v>6</v>
      </c>
      <c r="E3753" s="3">
        <f>IF(INDEX(C:C, ROW())+INDEX(D:D, ROW())=0, 0, INDEX(C:C, ROW())/(INDEX(C:C, ROW())+INDEX(D:D, ROW())))</f>
        <v>0.91428571428571426</v>
      </c>
      <c r="F3753" s="1" t="s">
        <v>1233</v>
      </c>
      <c r="G3753" s="1" t="s">
        <v>24</v>
      </c>
      <c r="H3753" s="1">
        <v>12720</v>
      </c>
      <c r="I3753" s="1">
        <v>41354</v>
      </c>
      <c r="J3753" s="7">
        <v>0.308</v>
      </c>
      <c r="K3753" s="1" t="s">
        <v>21</v>
      </c>
      <c r="L3753" s="1" t="s">
        <v>29</v>
      </c>
      <c r="M3753" s="1" t="s">
        <v>29</v>
      </c>
      <c r="N3753" s="1" t="s">
        <v>22</v>
      </c>
    </row>
    <row r="3754" spans="1:14" x14ac:dyDescent="0.25">
      <c r="A3754" s="1">
        <v>3753</v>
      </c>
      <c r="B3754" s="2" t="str">
        <f>HYPERLINK("https://leetcode.com/problems/total-waviness-of-numbers-in-range-ii/", "Total Waviness of Numbers in Range II")</f>
        <v>Total Waviness of Numbers in Range II</v>
      </c>
      <c r="C3754" s="1">
        <v>37</v>
      </c>
      <c r="D3754" s="1">
        <v>2</v>
      </c>
      <c r="E3754" s="3">
        <f>IF(INDEX(C:C, ROW())+INDEX(D:D, ROW())=0, 0, INDEX(C:C, ROW())/(INDEX(C:C, ROW())+INDEX(D:D, ROW())))</f>
        <v>0.94871794871794868</v>
      </c>
      <c r="F3754" s="1" t="s">
        <v>250</v>
      </c>
      <c r="G3754" s="1" t="s">
        <v>28</v>
      </c>
      <c r="H3754" s="1">
        <v>3772</v>
      </c>
      <c r="I3754" s="1">
        <v>15102</v>
      </c>
      <c r="J3754" s="7">
        <v>0.25</v>
      </c>
      <c r="K3754" s="1" t="s">
        <v>21</v>
      </c>
      <c r="L3754" s="1" t="s">
        <v>29</v>
      </c>
      <c r="M3754" s="1" t="s">
        <v>29</v>
      </c>
      <c r="N3754" s="1" t="s">
        <v>22</v>
      </c>
    </row>
    <row r="3755" spans="1:14" x14ac:dyDescent="0.25">
      <c r="A3755" s="1">
        <v>3754</v>
      </c>
      <c r="B3755" s="2" t="str">
        <f>HYPERLINK("https://leetcode.com/problems/concatenate-non-zero-digits-and-multiply-by-sum-i/", "Concatenate Non-Zero Digits and Multiply by Sum I")</f>
        <v>Concatenate Non-Zero Digits and Multiply by Sum I</v>
      </c>
      <c r="C3755" s="1">
        <v>36</v>
      </c>
      <c r="D3755" s="1">
        <v>0</v>
      </c>
      <c r="E3755" s="3">
        <f>IF(INDEX(C:C, ROW())+INDEX(D:D, ROW())=0, 0, INDEX(C:C, ROW())/(INDEX(C:C, ROW())+INDEX(D:D, ROW())))</f>
        <v>1</v>
      </c>
      <c r="F3755" s="1" t="s">
        <v>84</v>
      </c>
      <c r="G3755" s="1" t="s">
        <v>20</v>
      </c>
      <c r="H3755" s="1">
        <v>38655</v>
      </c>
      <c r="I3755" s="1">
        <v>69436</v>
      </c>
      <c r="J3755" s="7">
        <v>0.55700000000000005</v>
      </c>
      <c r="K3755" s="1" t="s">
        <v>21</v>
      </c>
      <c r="L3755" s="1" t="s">
        <v>29</v>
      </c>
      <c r="M3755" s="1" t="s">
        <v>29</v>
      </c>
      <c r="N3755" s="1" t="s">
        <v>22</v>
      </c>
    </row>
    <row r="3756" spans="1:14" x14ac:dyDescent="0.25">
      <c r="A3756" s="1">
        <v>3755</v>
      </c>
      <c r="B3756" s="2" t="str">
        <f>HYPERLINK("https://leetcode.com/problems/find-maximum-balanced-xor-subarray-length/", "Find Maximum Balanced XOR Subarray Length")</f>
        <v>Find Maximum Balanced XOR Subarray Length</v>
      </c>
      <c r="C3756" s="1">
        <v>105</v>
      </c>
      <c r="D3756" s="1">
        <v>5</v>
      </c>
      <c r="E3756" s="3">
        <f>IF(INDEX(C:C, ROW())+INDEX(D:D, ROW())=0, 0, INDEX(C:C, ROW())/(INDEX(C:C, ROW())+INDEX(D:D, ROW())))</f>
        <v>0.95454545454545459</v>
      </c>
      <c r="F3756" s="1" t="s">
        <v>870</v>
      </c>
      <c r="G3756" s="1" t="s">
        <v>24</v>
      </c>
      <c r="H3756" s="1">
        <v>18335</v>
      </c>
      <c r="I3756" s="1">
        <v>36159</v>
      </c>
      <c r="J3756" s="7">
        <v>0.50700000000000001</v>
      </c>
      <c r="K3756" s="1" t="s">
        <v>21</v>
      </c>
      <c r="L3756" s="1" t="s">
        <v>29</v>
      </c>
      <c r="M3756" s="1" t="s">
        <v>29</v>
      </c>
      <c r="N3756" s="1" t="s">
        <v>22</v>
      </c>
    </row>
    <row r="3757" spans="1:14" x14ac:dyDescent="0.25">
      <c r="A3757" s="1">
        <v>3756</v>
      </c>
      <c r="B3757" s="2" t="str">
        <f>HYPERLINK("https://leetcode.com/problems/concatenate-non-zero-digits-and-multiply-by-sum-ii/", "Concatenate Non-Zero Digits and Multiply by Sum II")</f>
        <v>Concatenate Non-Zero Digits and Multiply by Sum II</v>
      </c>
      <c r="C3757" s="1">
        <v>68</v>
      </c>
      <c r="D3757" s="1">
        <v>11</v>
      </c>
      <c r="E3757" s="3">
        <f>IF(INDEX(C:C, ROW())+INDEX(D:D, ROW())=0, 0, INDEX(C:C, ROW())/(INDEX(C:C, ROW())+INDEX(D:D, ROW())))</f>
        <v>0.86075949367088611</v>
      </c>
      <c r="F3757" s="1" t="s">
        <v>1227</v>
      </c>
      <c r="G3757" s="1" t="s">
        <v>24</v>
      </c>
      <c r="H3757" s="1">
        <v>10070</v>
      </c>
      <c r="I3757" s="1">
        <v>41881</v>
      </c>
      <c r="J3757" s="7">
        <v>0.24</v>
      </c>
      <c r="K3757" s="1" t="s">
        <v>21</v>
      </c>
      <c r="L3757" s="1" t="s">
        <v>29</v>
      </c>
      <c r="M3757" s="1" t="s">
        <v>29</v>
      </c>
      <c r="N3757" s="1" t="s">
        <v>22</v>
      </c>
    </row>
    <row r="3758" spans="1:14" x14ac:dyDescent="0.25">
      <c r="A3758" s="1">
        <v>3757</v>
      </c>
      <c r="B3758" s="2" t="str">
        <f>HYPERLINK("https://leetcode.com/problems/number-of-effective-subsequences/", "Number of Effective Subsequences")</f>
        <v>Number of Effective Subsequences</v>
      </c>
      <c r="C3758" s="1">
        <v>30</v>
      </c>
      <c r="D3758" s="1">
        <v>2</v>
      </c>
      <c r="E3758" s="3">
        <f>IF(INDEX(C:C, ROW())+INDEX(D:D, ROW())=0, 0, INDEX(C:C, ROW())/(INDEX(C:C, ROW())+INDEX(D:D, ROW())))</f>
        <v>0.9375</v>
      </c>
      <c r="F3758" s="1" t="s">
        <v>1305</v>
      </c>
      <c r="G3758" s="1" t="s">
        <v>28</v>
      </c>
      <c r="H3758" s="1">
        <v>2678</v>
      </c>
      <c r="I3758" s="1">
        <v>8770</v>
      </c>
      <c r="J3758" s="7">
        <v>0.30499999999999999</v>
      </c>
      <c r="K3758" s="1" t="s">
        <v>21</v>
      </c>
      <c r="L3758" s="1" t="s">
        <v>29</v>
      </c>
      <c r="M3758" s="1" t="s">
        <v>29</v>
      </c>
      <c r="N3758" s="1" t="s">
        <v>22</v>
      </c>
    </row>
    <row r="3759" spans="1:14" x14ac:dyDescent="0.25">
      <c r="A3759" s="1">
        <v>3758</v>
      </c>
      <c r="B3759" s="2" t="str">
        <f>HYPERLINK("https://leetcode.com/problems/convert-number-words-to-digits/", "Convert Number Words to Digits")</f>
        <v>Convert Number Words to Digits</v>
      </c>
      <c r="C3759" s="1">
        <v>4</v>
      </c>
      <c r="D3759" s="1">
        <v>1</v>
      </c>
      <c r="E3759" s="3">
        <f>IF(INDEX(C:C, ROW())+INDEX(D:D, ROW())=0, 0, INDEX(C:C, ROW())/(INDEX(C:C, ROW())+INDEX(D:D, ROW())))</f>
        <v>0.8</v>
      </c>
      <c r="F3759" s="1" t="s">
        <v>1344</v>
      </c>
      <c r="G3759" s="1" t="s">
        <v>24</v>
      </c>
      <c r="H3759" s="1">
        <v>484</v>
      </c>
      <c r="I3759" s="1">
        <v>691</v>
      </c>
      <c r="J3759" s="7">
        <v>0.7</v>
      </c>
      <c r="K3759" s="1" t="s">
        <v>29</v>
      </c>
      <c r="L3759" s="1" t="s">
        <v>29</v>
      </c>
      <c r="M3759" s="1" t="s">
        <v>29</v>
      </c>
      <c r="N3759" s="1" t="s">
        <v>22</v>
      </c>
    </row>
    <row r="3760" spans="1:14" x14ac:dyDescent="0.25">
      <c r="A3760" s="1">
        <v>3759</v>
      </c>
      <c r="B3760" s="2" t="str">
        <f>HYPERLINK("https://leetcode.com/problems/count-elements-with-at-least-k-greater-values/", "Count Elements With at Least K Greater Values")</f>
        <v>Count Elements With at Least K Greater Values</v>
      </c>
      <c r="C3760" s="1">
        <v>69</v>
      </c>
      <c r="D3760" s="1">
        <v>7</v>
      </c>
      <c r="E3760" s="3">
        <f>IF(INDEX(C:C, ROW())+INDEX(D:D, ROW())=0, 0, INDEX(C:C, ROW())/(INDEX(C:C, ROW())+INDEX(D:D, ROW())))</f>
        <v>0.90789473684210531</v>
      </c>
      <c r="F3760" s="1" t="s">
        <v>1224</v>
      </c>
      <c r="G3760" s="1" t="s">
        <v>24</v>
      </c>
      <c r="H3760" s="1">
        <v>30578</v>
      </c>
      <c r="I3760" s="1">
        <v>98022</v>
      </c>
      <c r="J3760" s="7">
        <v>0.312</v>
      </c>
      <c r="K3760" s="1" t="s">
        <v>21</v>
      </c>
      <c r="L3760" s="1" t="s">
        <v>29</v>
      </c>
      <c r="M3760" s="1" t="s">
        <v>29</v>
      </c>
      <c r="N3760" s="1" t="s">
        <v>22</v>
      </c>
    </row>
    <row r="3761" spans="1:14" x14ac:dyDescent="0.25">
      <c r="A3761" s="1">
        <v>3760</v>
      </c>
      <c r="B3761" s="2" t="str">
        <f>HYPERLINK("https://leetcode.com/problems/maximum-substrings-with-distinct-start/", "Maximum Substrings With Distinct Start")</f>
        <v>Maximum Substrings With Distinct Start</v>
      </c>
      <c r="C3761" s="1">
        <v>66</v>
      </c>
      <c r="D3761" s="1">
        <v>16</v>
      </c>
      <c r="E3761" s="3">
        <f>IF(INDEX(C:C, ROW())+INDEX(D:D, ROW())=0, 0, INDEX(C:C, ROW())/(INDEX(C:C, ROW())+INDEX(D:D, ROW())))</f>
        <v>0.80487804878048785</v>
      </c>
      <c r="F3761" s="1" t="s">
        <v>131</v>
      </c>
      <c r="G3761" s="1" t="s">
        <v>24</v>
      </c>
      <c r="H3761" s="1">
        <v>45808</v>
      </c>
      <c r="I3761" s="1">
        <v>50132</v>
      </c>
      <c r="J3761" s="7">
        <v>0.91400000000000003</v>
      </c>
      <c r="K3761" s="1" t="s">
        <v>21</v>
      </c>
      <c r="L3761" s="1" t="s">
        <v>29</v>
      </c>
      <c r="M3761" s="1" t="s">
        <v>29</v>
      </c>
      <c r="N3761" s="1" t="s">
        <v>22</v>
      </c>
    </row>
    <row r="3762" spans="1:14" x14ac:dyDescent="0.25">
      <c r="A3762" s="1">
        <v>3761</v>
      </c>
      <c r="B3762" s="2" t="str">
        <f>HYPERLINK("https://leetcode.com/problems/minimum-absolute-distance-between-mirror-pairs/", "Minimum Absolute Distance Between Mirror Pairs")</f>
        <v>Minimum Absolute Distance Between Mirror Pairs</v>
      </c>
      <c r="C3762" s="1">
        <v>77</v>
      </c>
      <c r="D3762" s="1">
        <v>3</v>
      </c>
      <c r="E3762" s="3">
        <f>IF(INDEX(C:C, ROW())+INDEX(D:D, ROW())=0, 0, INDEX(C:C, ROW())/(INDEX(C:C, ROW())+INDEX(D:D, ROW())))</f>
        <v>0.96250000000000002</v>
      </c>
      <c r="F3762" s="1" t="s">
        <v>741</v>
      </c>
      <c r="G3762" s="1" t="s">
        <v>24</v>
      </c>
      <c r="H3762" s="1">
        <v>21608</v>
      </c>
      <c r="I3762" s="1">
        <v>48808</v>
      </c>
      <c r="J3762" s="7">
        <v>0.443</v>
      </c>
      <c r="K3762" s="1" t="s">
        <v>21</v>
      </c>
      <c r="L3762" s="1" t="s">
        <v>29</v>
      </c>
      <c r="M3762" s="1" t="s">
        <v>29</v>
      </c>
      <c r="N3762" s="1" t="s">
        <v>22</v>
      </c>
    </row>
    <row r="3763" spans="1:14" x14ac:dyDescent="0.25">
      <c r="A3763" s="1">
        <v>3762</v>
      </c>
      <c r="B3763" s="2" t="str">
        <f>HYPERLINK("https://leetcode.com/problems/minimum-operations-to-equalize-subarrays/", "Minimum Operations to Equalize Subarrays")</f>
        <v>Minimum Operations to Equalize Subarrays</v>
      </c>
      <c r="C3763" s="1">
        <v>49</v>
      </c>
      <c r="D3763" s="1">
        <v>3</v>
      </c>
      <c r="E3763" s="3">
        <f>IF(INDEX(C:C, ROW())+INDEX(D:D, ROW())=0, 0, INDEX(C:C, ROW())/(INDEX(C:C, ROW())+INDEX(D:D, ROW())))</f>
        <v>0.94230769230769229</v>
      </c>
      <c r="F3763" s="1" t="s">
        <v>1269</v>
      </c>
      <c r="G3763" s="1" t="s">
        <v>28</v>
      </c>
      <c r="H3763" s="1">
        <v>2898</v>
      </c>
      <c r="I3763" s="1">
        <v>14964</v>
      </c>
      <c r="J3763" s="7">
        <v>0.19400000000000001</v>
      </c>
      <c r="K3763" s="1" t="s">
        <v>21</v>
      </c>
      <c r="L3763" s="1" t="s">
        <v>29</v>
      </c>
      <c r="M3763" s="1" t="s">
        <v>29</v>
      </c>
      <c r="N3763" s="1" t="s">
        <v>22</v>
      </c>
    </row>
    <row r="3764" spans="1:14" x14ac:dyDescent="0.25">
      <c r="A3764" s="1">
        <v>3763</v>
      </c>
      <c r="B3764" s="2" t="str">
        <f>HYPERLINK("https://leetcode.com/problems/maximum-total-sum-with-threshold-constraints/", "Maximum Total Sum with Threshold Constraints")</f>
        <v>Maximum Total Sum with Threshold Constraints</v>
      </c>
      <c r="C3764" s="1">
        <v>8</v>
      </c>
      <c r="D3764" s="1">
        <v>1</v>
      </c>
      <c r="E3764" s="3">
        <f>IF(INDEX(C:C, ROW())+INDEX(D:D, ROW())=0, 0, INDEX(C:C, ROW())/(INDEX(C:C, ROW())+INDEX(D:D, ROW())))</f>
        <v>0.88888888888888884</v>
      </c>
      <c r="F3764" s="1" t="s">
        <v>302</v>
      </c>
      <c r="G3764" s="1" t="s">
        <v>24</v>
      </c>
      <c r="H3764" s="1">
        <v>547</v>
      </c>
      <c r="I3764" s="1">
        <v>645</v>
      </c>
      <c r="J3764" s="7">
        <v>0.84799999999999998</v>
      </c>
      <c r="K3764" s="1" t="s">
        <v>29</v>
      </c>
      <c r="L3764" s="1" t="s">
        <v>29</v>
      </c>
      <c r="M3764" s="1" t="s">
        <v>29</v>
      </c>
      <c r="N3764" s="1" t="s">
        <v>22</v>
      </c>
    </row>
    <row r="3765" spans="1:14" x14ac:dyDescent="0.25">
      <c r="A3765" s="1">
        <v>3764</v>
      </c>
      <c r="B3765" s="2" t="str">
        <f>HYPERLINK("https://leetcode.com/problems/most-common-course-pairs/", "Most Common Course Pairs")</f>
        <v>Most Common Course Pairs</v>
      </c>
      <c r="C3765" s="1">
        <v>25</v>
      </c>
      <c r="D3765" s="1">
        <v>1</v>
      </c>
      <c r="E3765" s="3">
        <f>IF(INDEX(C:C, ROW())+INDEX(D:D, ROW())=0, 0, INDEX(C:C, ROW())/(INDEX(C:C, ROW())+INDEX(D:D, ROW())))</f>
        <v>0.96153846153846156</v>
      </c>
      <c r="G3765" s="1" t="s">
        <v>28</v>
      </c>
      <c r="H3765" s="1">
        <v>2416</v>
      </c>
      <c r="I3765" s="1">
        <v>4678</v>
      </c>
      <c r="J3765" s="7">
        <v>0.51600000000000001</v>
      </c>
      <c r="K3765" s="1" t="s">
        <v>21</v>
      </c>
      <c r="L3765" s="1" t="s">
        <v>29</v>
      </c>
      <c r="M3765" s="1" t="s">
        <v>29</v>
      </c>
      <c r="N3765" s="1" t="s">
        <v>297</v>
      </c>
    </row>
    <row r="3766" spans="1:14" x14ac:dyDescent="0.25">
      <c r="A3766" s="1">
        <v>3765</v>
      </c>
      <c r="B3766" s="2" t="str">
        <f>HYPERLINK("https://leetcode.com/problems/complete-prime-number/", "Complete Prime Number")</f>
        <v>Complete Prime Number</v>
      </c>
      <c r="C3766" s="1">
        <v>47</v>
      </c>
      <c r="D3766" s="1">
        <v>3</v>
      </c>
      <c r="E3766" s="3">
        <f>IF(INDEX(C:C, ROW())+INDEX(D:D, ROW())=0, 0, INDEX(C:C, ROW())/(INDEX(C:C, ROW())+INDEX(D:D, ROW())))</f>
        <v>0.94</v>
      </c>
      <c r="F3766" s="1" t="s">
        <v>812</v>
      </c>
      <c r="G3766" s="1" t="s">
        <v>24</v>
      </c>
      <c r="H3766" s="1">
        <v>26237</v>
      </c>
      <c r="I3766" s="1">
        <v>70578</v>
      </c>
      <c r="J3766" s="7">
        <v>0.372</v>
      </c>
      <c r="K3766" s="1" t="s">
        <v>21</v>
      </c>
      <c r="L3766" s="1" t="s">
        <v>29</v>
      </c>
      <c r="M3766" s="1" t="s">
        <v>29</v>
      </c>
      <c r="N3766" s="1" t="s">
        <v>22</v>
      </c>
    </row>
    <row r="3767" spans="1:14" x14ac:dyDescent="0.25">
      <c r="A3767" s="1">
        <v>3766</v>
      </c>
      <c r="B3767" s="2" t="str">
        <f>HYPERLINK("https://leetcode.com/problems/minimum-operations-to-make-binary-palindrome/", "Minimum Operations to Make Binary Palindrome")</f>
        <v>Minimum Operations to Make Binary Palindrome</v>
      </c>
      <c r="C3767" s="1">
        <v>51</v>
      </c>
      <c r="D3767" s="1">
        <v>10</v>
      </c>
      <c r="E3767" s="3">
        <f>IF(INDEX(C:C, ROW())+INDEX(D:D, ROW())=0, 0, INDEX(C:C, ROW())/(INDEX(C:C, ROW())+INDEX(D:D, ROW())))</f>
        <v>0.83606557377049184</v>
      </c>
      <c r="F3767" s="1" t="s">
        <v>38</v>
      </c>
      <c r="G3767" s="1" t="s">
        <v>24</v>
      </c>
      <c r="H3767" s="1">
        <v>16559</v>
      </c>
      <c r="I3767" s="1">
        <v>32080</v>
      </c>
      <c r="J3767" s="7">
        <v>0.51600000000000001</v>
      </c>
      <c r="K3767" s="1" t="s">
        <v>21</v>
      </c>
      <c r="L3767" s="1" t="s">
        <v>29</v>
      </c>
      <c r="M3767" s="1" t="s">
        <v>29</v>
      </c>
      <c r="N3767" s="1" t="s">
        <v>22</v>
      </c>
    </row>
    <row r="3768" spans="1:14" x14ac:dyDescent="0.25">
      <c r="A3768" s="1">
        <v>3767</v>
      </c>
      <c r="B3768" s="2" t="str">
        <f>HYPERLINK("https://leetcode.com/problems/maximize-points-after-choosing-k-tasks/", "Maximize Points After Choosing K Tasks")</f>
        <v>Maximize Points After Choosing K Tasks</v>
      </c>
      <c r="C3768" s="1">
        <v>64</v>
      </c>
      <c r="D3768" s="1">
        <v>5</v>
      </c>
      <c r="E3768" s="3">
        <f>IF(INDEX(C:C, ROW())+INDEX(D:D, ROW())=0, 0, INDEX(C:C, ROW())/(INDEX(C:C, ROW())+INDEX(D:D, ROW())))</f>
        <v>0.92753623188405798</v>
      </c>
      <c r="F3768" s="1" t="s">
        <v>302</v>
      </c>
      <c r="G3768" s="1" t="s">
        <v>24</v>
      </c>
      <c r="H3768" s="1">
        <v>15775</v>
      </c>
      <c r="I3768" s="1">
        <v>26318</v>
      </c>
      <c r="J3768" s="7">
        <v>0.59899999999999998</v>
      </c>
      <c r="K3768" s="1" t="s">
        <v>21</v>
      </c>
      <c r="L3768" s="1" t="s">
        <v>29</v>
      </c>
      <c r="M3768" s="1" t="s">
        <v>29</v>
      </c>
      <c r="N3768" s="1" t="s">
        <v>22</v>
      </c>
    </row>
    <row r="3769" spans="1:14" x14ac:dyDescent="0.25">
      <c r="A3769" s="1">
        <v>3768</v>
      </c>
      <c r="B3769" s="2" t="str">
        <f>HYPERLINK("https://leetcode.com/problems/minimum-inversion-count-in-subarrays-of-fixed-length/", "Minimum Inversion Count in Subarrays of Fixed Length")</f>
        <v>Minimum Inversion Count in Subarrays of Fixed Length</v>
      </c>
      <c r="C3769" s="1">
        <v>48</v>
      </c>
      <c r="D3769" s="1">
        <v>4</v>
      </c>
      <c r="E3769" s="3">
        <f>IF(INDEX(C:C, ROW())+INDEX(D:D, ROW())=0, 0, INDEX(C:C, ROW())/(INDEX(C:C, ROW())+INDEX(D:D, ROW())))</f>
        <v>0.92307692307692313</v>
      </c>
      <c r="F3769" s="1" t="s">
        <v>1273</v>
      </c>
      <c r="G3769" s="1" t="s">
        <v>28</v>
      </c>
      <c r="H3769" s="1">
        <v>4691</v>
      </c>
      <c r="I3769" s="1">
        <v>11053</v>
      </c>
      <c r="J3769" s="7">
        <v>0.42399999999999999</v>
      </c>
      <c r="K3769" s="1" t="s">
        <v>21</v>
      </c>
      <c r="L3769" s="1" t="s">
        <v>29</v>
      </c>
      <c r="M3769" s="1" t="s">
        <v>29</v>
      </c>
      <c r="N3769" s="1" t="s">
        <v>22</v>
      </c>
    </row>
    <row r="3770" spans="1:14" x14ac:dyDescent="0.25">
      <c r="A3770" s="1">
        <v>3769</v>
      </c>
      <c r="B3770" s="2" t="str">
        <f>HYPERLINK("https://leetcode.com/problems/sort-integers-by-binary-reflection/", "Sort Integers by Binary Reflection")</f>
        <v>Sort Integers by Binary Reflection</v>
      </c>
      <c r="C3770" s="1">
        <v>53</v>
      </c>
      <c r="D3770" s="1">
        <v>5</v>
      </c>
      <c r="E3770" s="3">
        <f>IF(INDEX(C:C, ROW())+INDEX(D:D, ROW())=0, 0, INDEX(C:C, ROW())/(INDEX(C:C, ROW())+INDEX(D:D, ROW())))</f>
        <v>0.91379310344827591</v>
      </c>
      <c r="F3770" s="1" t="s">
        <v>42</v>
      </c>
      <c r="G3770" s="1" t="s">
        <v>20</v>
      </c>
      <c r="H3770" s="1">
        <v>29346</v>
      </c>
      <c r="I3770" s="1">
        <v>48358</v>
      </c>
      <c r="J3770" s="7">
        <v>0.60699999999999998</v>
      </c>
      <c r="K3770" s="1" t="s">
        <v>21</v>
      </c>
      <c r="L3770" s="1" t="s">
        <v>29</v>
      </c>
      <c r="M3770" s="1" t="s">
        <v>29</v>
      </c>
      <c r="N3770" s="1" t="s">
        <v>22</v>
      </c>
    </row>
    <row r="3771" spans="1:14" x14ac:dyDescent="0.25">
      <c r="A3771" s="1">
        <v>3770</v>
      </c>
      <c r="B3771" s="2" t="str">
        <f>HYPERLINK("https://leetcode.com/problems/largest-prime-from-consecutive-prime-sum/", "Largest Prime from Consecutive Prime Sum")</f>
        <v>Largest Prime from Consecutive Prime Sum</v>
      </c>
      <c r="C3771" s="1">
        <v>62</v>
      </c>
      <c r="D3771" s="1">
        <v>4</v>
      </c>
      <c r="E3771" s="3">
        <f>IF(INDEX(C:C, ROW())+INDEX(D:D, ROW())=0, 0, INDEX(C:C, ROW())/(INDEX(C:C, ROW())+INDEX(D:D, ROW())))</f>
        <v>0.93939393939393945</v>
      </c>
      <c r="F3771" s="1" t="s">
        <v>640</v>
      </c>
      <c r="G3771" s="1" t="s">
        <v>24</v>
      </c>
      <c r="H3771" s="1">
        <v>24105</v>
      </c>
      <c r="I3771" s="1">
        <v>61946</v>
      </c>
      <c r="J3771" s="7">
        <v>0.38900000000000001</v>
      </c>
      <c r="K3771" s="1" t="s">
        <v>21</v>
      </c>
      <c r="L3771" s="1" t="s">
        <v>29</v>
      </c>
      <c r="M3771" s="1" t="s">
        <v>29</v>
      </c>
      <c r="N3771" s="1" t="s">
        <v>22</v>
      </c>
    </row>
    <row r="3772" spans="1:14" x14ac:dyDescent="0.25">
      <c r="A3772" s="1">
        <v>3771</v>
      </c>
      <c r="B3772" s="2" t="str">
        <f>HYPERLINK("https://leetcode.com/problems/total-score-of-dungeon-runs/", "Total Score of Dungeon Runs")</f>
        <v>Total Score of Dungeon Runs</v>
      </c>
      <c r="C3772" s="1">
        <v>106</v>
      </c>
      <c r="D3772" s="1">
        <v>14</v>
      </c>
      <c r="E3772" s="3">
        <f>IF(INDEX(C:C, ROW())+INDEX(D:D, ROW())=0, 0, INDEX(C:C, ROW())/(INDEX(C:C, ROW())+INDEX(D:D, ROW())))</f>
        <v>0.8833333333333333</v>
      </c>
      <c r="F3772" s="1" t="s">
        <v>710</v>
      </c>
      <c r="G3772" s="1" t="s">
        <v>24</v>
      </c>
      <c r="H3772" s="1">
        <v>9951</v>
      </c>
      <c r="I3772" s="1">
        <v>32755</v>
      </c>
      <c r="J3772" s="7">
        <v>0.30399999999999999</v>
      </c>
      <c r="K3772" s="1" t="s">
        <v>21</v>
      </c>
      <c r="L3772" s="1" t="s">
        <v>29</v>
      </c>
      <c r="M3772" s="1" t="s">
        <v>29</v>
      </c>
      <c r="N3772" s="1" t="s">
        <v>22</v>
      </c>
    </row>
    <row r="3773" spans="1:14" x14ac:dyDescent="0.25">
      <c r="A3773" s="1">
        <v>3772</v>
      </c>
      <c r="B3773" s="2" t="str">
        <f>HYPERLINK("https://leetcode.com/problems/maximum-subgraph-score-in-a-tree/", "Maximum Subgraph Score in a Tree")</f>
        <v>Maximum Subgraph Score in a Tree</v>
      </c>
      <c r="C3773" s="1">
        <v>49</v>
      </c>
      <c r="D3773" s="1">
        <v>1</v>
      </c>
      <c r="E3773" s="3">
        <f>IF(INDEX(C:C, ROW())+INDEX(D:D, ROW())=0, 0, INDEX(C:C, ROW())/(INDEX(C:C, ROW())+INDEX(D:D, ROW())))</f>
        <v>0.98</v>
      </c>
      <c r="F3773" s="1" t="s">
        <v>939</v>
      </c>
      <c r="G3773" s="1" t="s">
        <v>28</v>
      </c>
      <c r="H3773" s="1">
        <v>5209</v>
      </c>
      <c r="I3773" s="1">
        <v>7384</v>
      </c>
      <c r="J3773" s="7">
        <v>0.70499999999999996</v>
      </c>
      <c r="K3773" s="1" t="s">
        <v>21</v>
      </c>
      <c r="L3773" s="1" t="s">
        <v>29</v>
      </c>
      <c r="M3773" s="1" t="s">
        <v>29</v>
      </c>
      <c r="N3773" s="1" t="s">
        <v>22</v>
      </c>
    </row>
    <row r="3774" spans="1:14" x14ac:dyDescent="0.25">
      <c r="A3774" s="1">
        <v>3773</v>
      </c>
      <c r="B3774" s="2" t="str">
        <f>HYPERLINK("https://leetcode.com/problems/maximum-number-of-equal-length-runs/", "Maximum Number of Equal Length Runs")</f>
        <v>Maximum Number of Equal Length Runs</v>
      </c>
      <c r="C3774" s="1">
        <v>3</v>
      </c>
      <c r="D3774" s="1">
        <v>3</v>
      </c>
      <c r="E3774" s="3">
        <f>IF(INDEX(C:C, ROW())+INDEX(D:D, ROW())=0, 0, INDEX(C:C, ROW())/(INDEX(C:C, ROW())+INDEX(D:D, ROW())))</f>
        <v>0.5</v>
      </c>
      <c r="F3774" s="1" t="s">
        <v>237</v>
      </c>
      <c r="G3774" s="1" t="s">
        <v>24</v>
      </c>
      <c r="H3774" s="1">
        <v>600</v>
      </c>
      <c r="I3774" s="1">
        <v>715</v>
      </c>
      <c r="J3774" s="7">
        <v>0.83899999999999997</v>
      </c>
      <c r="K3774" s="1" t="s">
        <v>29</v>
      </c>
      <c r="L3774" s="1" t="s">
        <v>29</v>
      </c>
      <c r="M3774" s="1" t="s">
        <v>29</v>
      </c>
      <c r="N3774" s="1" t="s">
        <v>22</v>
      </c>
    </row>
    <row r="3775" spans="1:14" x14ac:dyDescent="0.25">
      <c r="A3775" s="1">
        <v>3774</v>
      </c>
      <c r="B3775" s="2" t="str">
        <f>HYPERLINK("https://leetcode.com/problems/absolute-difference-between-maximum-and-minimum-k-elements/", "Absolute Difference Between Maximum and Minimum K Elements")</f>
        <v>Absolute Difference Between Maximum and Minimum K Elements</v>
      </c>
      <c r="C3775" s="1">
        <v>37</v>
      </c>
      <c r="D3775" s="1">
        <v>2</v>
      </c>
      <c r="E3775" s="3">
        <f>IF(INDEX(C:C, ROW())+INDEX(D:D, ROW())=0, 0, INDEX(C:C, ROW())/(INDEX(C:C, ROW())+INDEX(D:D, ROW())))</f>
        <v>0.94871794871794868</v>
      </c>
      <c r="F3775" s="1" t="s">
        <v>42</v>
      </c>
      <c r="G3775" s="1" t="s">
        <v>20</v>
      </c>
      <c r="H3775" s="1">
        <v>44113</v>
      </c>
      <c r="I3775" s="1">
        <v>58555</v>
      </c>
      <c r="J3775" s="7">
        <v>0.753</v>
      </c>
      <c r="K3775" s="1" t="s">
        <v>21</v>
      </c>
      <c r="L3775" s="1" t="s">
        <v>29</v>
      </c>
      <c r="M3775" s="1" t="s">
        <v>29</v>
      </c>
      <c r="N3775" s="1" t="s">
        <v>22</v>
      </c>
    </row>
    <row r="3776" spans="1:14" x14ac:dyDescent="0.25">
      <c r="A3776" s="1">
        <v>3775</v>
      </c>
      <c r="B3776" s="2" t="str">
        <f>HYPERLINK("https://leetcode.com/problems/reverse-words-with-same-vowel-count/", "Reverse Words With Same Vowel Count")</f>
        <v>Reverse Words With Same Vowel Count</v>
      </c>
      <c r="C3776" s="1">
        <v>53</v>
      </c>
      <c r="D3776" s="1">
        <v>6</v>
      </c>
      <c r="E3776" s="3">
        <f>IF(INDEX(C:C, ROW())+INDEX(D:D, ROW())=0, 0, INDEX(C:C, ROW())/(INDEX(C:C, ROW())+INDEX(D:D, ROW())))</f>
        <v>0.89830508474576276</v>
      </c>
      <c r="F3776" s="1" t="s">
        <v>1260</v>
      </c>
      <c r="G3776" s="1" t="s">
        <v>24</v>
      </c>
      <c r="H3776" s="1">
        <v>34533</v>
      </c>
      <c r="I3776" s="1">
        <v>51899</v>
      </c>
      <c r="J3776" s="7">
        <v>0.66500000000000004</v>
      </c>
      <c r="K3776" s="1" t="s">
        <v>21</v>
      </c>
      <c r="L3776" s="1" t="s">
        <v>29</v>
      </c>
      <c r="M3776" s="1" t="s">
        <v>29</v>
      </c>
      <c r="N3776" s="1" t="s">
        <v>22</v>
      </c>
    </row>
    <row r="3777" spans="1:14" x14ac:dyDescent="0.25">
      <c r="A3777" s="1">
        <v>3776</v>
      </c>
      <c r="B3777" s="2" t="str">
        <f>HYPERLINK("https://leetcode.com/problems/minimum-moves-to-balance-circular-array/", "Minimum Moves to Balance Circular Array")</f>
        <v>Minimum Moves to Balance Circular Array</v>
      </c>
      <c r="C3777" s="1">
        <v>110</v>
      </c>
      <c r="D3777" s="1">
        <v>8</v>
      </c>
      <c r="E3777" s="3">
        <f>IF(INDEX(C:C, ROW())+INDEX(D:D, ROW())=0, 0, INDEX(C:C, ROW())/(INDEX(C:C, ROW())+INDEX(D:D, ROW())))</f>
        <v>0.93220338983050843</v>
      </c>
      <c r="F3777" s="1" t="s">
        <v>169</v>
      </c>
      <c r="G3777" s="1" t="s">
        <v>24</v>
      </c>
      <c r="H3777" s="1">
        <v>20350</v>
      </c>
      <c r="I3777" s="1">
        <v>50710</v>
      </c>
      <c r="J3777" s="7">
        <v>0.40100000000000002</v>
      </c>
      <c r="K3777" s="1" t="s">
        <v>21</v>
      </c>
      <c r="L3777" s="1" t="s">
        <v>29</v>
      </c>
      <c r="M3777" s="1" t="s">
        <v>29</v>
      </c>
      <c r="N3777" s="1" t="s">
        <v>22</v>
      </c>
    </row>
    <row r="3778" spans="1:14" x14ac:dyDescent="0.25">
      <c r="A3778" s="1">
        <v>3777</v>
      </c>
      <c r="B3778" s="2" t="str">
        <f>HYPERLINK("https://leetcode.com/problems/minimum-deletions-to-make-alternating-substring/", "Minimum Deletions to Make Alternating Substring")</f>
        <v>Minimum Deletions to Make Alternating Substring</v>
      </c>
      <c r="C3778" s="1">
        <v>47</v>
      </c>
      <c r="D3778" s="1">
        <v>1</v>
      </c>
      <c r="E3778" s="3">
        <f>IF(INDEX(C:C, ROW())+INDEX(D:D, ROW())=0, 0, INDEX(C:C, ROW())/(INDEX(C:C, ROW())+INDEX(D:D, ROW())))</f>
        <v>0.97916666666666663</v>
      </c>
      <c r="F3778" s="1" t="s">
        <v>1275</v>
      </c>
      <c r="G3778" s="1" t="s">
        <v>28</v>
      </c>
      <c r="H3778" s="1">
        <v>5707</v>
      </c>
      <c r="I3778" s="1">
        <v>12760</v>
      </c>
      <c r="J3778" s="7">
        <v>0.44700000000000001</v>
      </c>
      <c r="K3778" s="1" t="s">
        <v>21</v>
      </c>
      <c r="L3778" s="1" t="s">
        <v>29</v>
      </c>
      <c r="M3778" s="1" t="s">
        <v>29</v>
      </c>
      <c r="N3778" s="1" t="s">
        <v>22</v>
      </c>
    </row>
    <row r="3779" spans="1:14" x14ac:dyDescent="0.25">
      <c r="A3779" s="1">
        <v>3778</v>
      </c>
      <c r="B3779" s="2" t="str">
        <f>HYPERLINK("https://leetcode.com/problems/minimum-distance-excluding-one-maximum-weighted-edge/", "Minimum Distance Excluding One Maximum Weighted Edge")</f>
        <v>Minimum Distance Excluding One Maximum Weighted Edge</v>
      </c>
      <c r="C3779" s="1">
        <v>3</v>
      </c>
      <c r="D3779" s="1">
        <v>3</v>
      </c>
      <c r="E3779" s="3">
        <f>IF(INDEX(C:C, ROW())+INDEX(D:D, ROW())=0, 0, INDEX(C:C, ROW())/(INDEX(C:C, ROW())+INDEX(D:D, ROW())))</f>
        <v>0.5</v>
      </c>
      <c r="G3779" s="1" t="s">
        <v>24</v>
      </c>
      <c r="H3779" s="1">
        <v>283</v>
      </c>
      <c r="I3779" s="1">
        <v>612</v>
      </c>
      <c r="J3779" s="7">
        <v>0.46200000000000002</v>
      </c>
      <c r="K3779" s="1" t="s">
        <v>29</v>
      </c>
      <c r="L3779" s="1" t="s">
        <v>29</v>
      </c>
      <c r="M3779" s="1" t="s">
        <v>29</v>
      </c>
      <c r="N3779" s="1" t="s">
        <v>22</v>
      </c>
    </row>
    <row r="3780" spans="1:14" x14ac:dyDescent="0.25">
      <c r="A3780" s="1">
        <v>3779</v>
      </c>
      <c r="B3780" s="2" t="str">
        <f>HYPERLINK("https://leetcode.com/problems/minimum-number-of-operations-to-have-distinct-elements/", "Minimum Number of Operations to Have Distinct Elements")</f>
        <v>Minimum Number of Operations to Have Distinct Elements</v>
      </c>
      <c r="C3780" s="1">
        <v>44</v>
      </c>
      <c r="D3780" s="1">
        <v>2</v>
      </c>
      <c r="E3780" s="3">
        <f>IF(INDEX(C:C, ROW())+INDEX(D:D, ROW())=0, 0, INDEX(C:C, ROW())/(INDEX(C:C, ROW())+INDEX(D:D, ROW())))</f>
        <v>0.95652173913043481</v>
      </c>
      <c r="F3780" s="1" t="s">
        <v>19</v>
      </c>
      <c r="G3780" s="1" t="s">
        <v>24</v>
      </c>
      <c r="H3780" s="1">
        <v>27140</v>
      </c>
      <c r="I3780" s="1">
        <v>64582</v>
      </c>
      <c r="J3780" s="7">
        <v>0.42</v>
      </c>
      <c r="K3780" s="1" t="s">
        <v>21</v>
      </c>
      <c r="L3780" s="1" t="s">
        <v>29</v>
      </c>
      <c r="M3780" s="1" t="s">
        <v>29</v>
      </c>
      <c r="N3780" s="1" t="s">
        <v>22</v>
      </c>
    </row>
    <row r="3781" spans="1:14" x14ac:dyDescent="0.25">
      <c r="A3781" s="1">
        <v>3780</v>
      </c>
      <c r="B3781" s="2" t="str">
        <f>HYPERLINK("https://leetcode.com/problems/maximum-sum-of-three-numbers-divisible-by-three/", "Maximum Sum of Three Numbers Divisible by Three")</f>
        <v>Maximum Sum of Three Numbers Divisible by Three</v>
      </c>
      <c r="C3781" s="1">
        <v>58</v>
      </c>
      <c r="D3781" s="1">
        <v>1</v>
      </c>
      <c r="E3781" s="3">
        <f>IF(INDEX(C:C, ROW())+INDEX(D:D, ROW())=0, 0, INDEX(C:C, ROW())/(INDEX(C:C, ROW())+INDEX(D:D, ROW())))</f>
        <v>0.98305084745762716</v>
      </c>
      <c r="F3781" s="1" t="s">
        <v>302</v>
      </c>
      <c r="G3781" s="1" t="s">
        <v>24</v>
      </c>
      <c r="H3781" s="1">
        <v>21813</v>
      </c>
      <c r="I3781" s="1">
        <v>45687</v>
      </c>
      <c r="J3781" s="7">
        <v>0.47699999999999998</v>
      </c>
      <c r="K3781" s="1" t="s">
        <v>21</v>
      </c>
      <c r="L3781" s="1" t="s">
        <v>29</v>
      </c>
      <c r="M3781" s="1" t="s">
        <v>29</v>
      </c>
      <c r="N3781" s="1" t="s">
        <v>22</v>
      </c>
    </row>
    <row r="3782" spans="1:14" x14ac:dyDescent="0.25">
      <c r="A3782" s="1">
        <v>3781</v>
      </c>
      <c r="B3782" s="2" t="str">
        <f>HYPERLINK("https://leetcode.com/problems/maximum-score-after-binary-swaps/", "Maximum Score After Binary Swaps")</f>
        <v>Maximum Score After Binary Swaps</v>
      </c>
      <c r="C3782" s="1">
        <v>74</v>
      </c>
      <c r="D3782" s="1">
        <v>2</v>
      </c>
      <c r="E3782" s="3">
        <f>IF(INDEX(C:C, ROW())+INDEX(D:D, ROW())=0, 0, INDEX(C:C, ROW())/(INDEX(C:C, ROW())+INDEX(D:D, ROW())))</f>
        <v>0.97368421052631582</v>
      </c>
      <c r="F3782" s="1" t="s">
        <v>1221</v>
      </c>
      <c r="G3782" s="1" t="s">
        <v>24</v>
      </c>
      <c r="H3782" s="1">
        <v>13857</v>
      </c>
      <c r="I3782" s="1">
        <v>39594</v>
      </c>
      <c r="J3782" s="7">
        <v>0.35</v>
      </c>
      <c r="K3782" s="1" t="s">
        <v>21</v>
      </c>
      <c r="L3782" s="1" t="s">
        <v>29</v>
      </c>
      <c r="M3782" s="1" t="s">
        <v>29</v>
      </c>
      <c r="N3782" s="1" t="s">
        <v>22</v>
      </c>
    </row>
    <row r="3783" spans="1:14" x14ac:dyDescent="0.25">
      <c r="A3783" s="1">
        <v>3782</v>
      </c>
      <c r="B3783" s="2" t="str">
        <f>HYPERLINK("https://leetcode.com/problems/last-remaining-integer-after-alternating-deletion-operations/", "Last Remaining Integer After Alternating Deletion Operations")</f>
        <v>Last Remaining Integer After Alternating Deletion Operations</v>
      </c>
      <c r="C3783" s="1">
        <v>38</v>
      </c>
      <c r="D3783" s="1">
        <v>4</v>
      </c>
      <c r="E3783" s="3">
        <f>IF(INDEX(C:C, ROW())+INDEX(D:D, ROW())=0, 0, INDEX(C:C, ROW())/(INDEX(C:C, ROW())+INDEX(D:D, ROW())))</f>
        <v>0.90476190476190477</v>
      </c>
      <c r="F3783" s="1" t="s">
        <v>116</v>
      </c>
      <c r="G3783" s="1" t="s">
        <v>28</v>
      </c>
      <c r="H3783" s="1">
        <v>7385</v>
      </c>
      <c r="I3783" s="1">
        <v>15191</v>
      </c>
      <c r="J3783" s="7">
        <v>0.48599999999999999</v>
      </c>
      <c r="K3783" s="1" t="s">
        <v>21</v>
      </c>
      <c r="L3783" s="1" t="s">
        <v>29</v>
      </c>
      <c r="M3783" s="1" t="s">
        <v>29</v>
      </c>
      <c r="N3783" s="1" t="s">
        <v>22</v>
      </c>
    </row>
    <row r="3784" spans="1:14" x14ac:dyDescent="0.25">
      <c r="A3784" s="1">
        <v>3783</v>
      </c>
      <c r="B3784" s="2" t="str">
        <f>HYPERLINK("https://leetcode.com/problems/mirror-distance-of-an-integer/", "Mirror Distance of an Integer")</f>
        <v>Mirror Distance of an Integer</v>
      </c>
      <c r="C3784" s="1">
        <v>54</v>
      </c>
      <c r="D3784" s="1">
        <v>2</v>
      </c>
      <c r="E3784" s="3">
        <f>IF(INDEX(C:C, ROW())+INDEX(D:D, ROW())=0, 0, INDEX(C:C, ROW())/(INDEX(C:C, ROW())+INDEX(D:D, ROW())))</f>
        <v>0.9642857142857143</v>
      </c>
      <c r="F3784" s="1" t="s">
        <v>84</v>
      </c>
      <c r="G3784" s="1" t="s">
        <v>20</v>
      </c>
      <c r="H3784" s="1">
        <v>51398</v>
      </c>
      <c r="I3784" s="1">
        <v>58779</v>
      </c>
      <c r="J3784" s="7">
        <v>0.874</v>
      </c>
      <c r="K3784" s="1" t="s">
        <v>21</v>
      </c>
      <c r="L3784" s="1" t="s">
        <v>29</v>
      </c>
      <c r="M3784" s="1" t="s">
        <v>29</v>
      </c>
      <c r="N3784" s="1" t="s">
        <v>22</v>
      </c>
    </row>
    <row r="3785" spans="1:14" x14ac:dyDescent="0.25">
      <c r="A3785" s="1">
        <v>3784</v>
      </c>
      <c r="B3785" s="2" t="str">
        <f>HYPERLINK("https://leetcode.com/problems/minimum-deletion-cost-to-make-all-characters-equal/", "Minimum Deletion Cost to Make All Characters Equal")</f>
        <v>Minimum Deletion Cost to Make All Characters Equal</v>
      </c>
      <c r="C3785" s="1">
        <v>87</v>
      </c>
      <c r="D3785" s="1">
        <v>9</v>
      </c>
      <c r="E3785" s="3">
        <f>IF(INDEX(C:C, ROW())+INDEX(D:D, ROW())=0, 0, INDEX(C:C, ROW())/(INDEX(C:C, ROW())+INDEX(D:D, ROW())))</f>
        <v>0.90625</v>
      </c>
      <c r="F3785" s="1" t="s">
        <v>1195</v>
      </c>
      <c r="G3785" s="1" t="s">
        <v>24</v>
      </c>
      <c r="H3785" s="1">
        <v>35239</v>
      </c>
      <c r="I3785" s="1">
        <v>64138</v>
      </c>
      <c r="J3785" s="7">
        <v>0.54900000000000004</v>
      </c>
      <c r="K3785" s="1" t="s">
        <v>21</v>
      </c>
      <c r="L3785" s="1" t="s">
        <v>29</v>
      </c>
      <c r="M3785" s="1" t="s">
        <v>29</v>
      </c>
      <c r="N3785" s="1" t="s">
        <v>22</v>
      </c>
    </row>
    <row r="3786" spans="1:14" x14ac:dyDescent="0.25">
      <c r="A3786" s="1">
        <v>3785</v>
      </c>
      <c r="B3786" s="2" t="str">
        <f>HYPERLINK("https://leetcode.com/problems/minimum-swaps-to-avoid-forbidden-values/", "Minimum Swaps to Avoid Forbidden Values")</f>
        <v>Minimum Swaps to Avoid Forbidden Values</v>
      </c>
      <c r="C3786" s="1">
        <v>107</v>
      </c>
      <c r="D3786" s="1">
        <v>7</v>
      </c>
      <c r="E3786" s="3">
        <f>IF(INDEX(C:C, ROW())+INDEX(D:D, ROW())=0, 0, INDEX(C:C, ROW())/(INDEX(C:C, ROW())+INDEX(D:D, ROW())))</f>
        <v>0.93859649122807021</v>
      </c>
      <c r="F3786" s="1" t="s">
        <v>389</v>
      </c>
      <c r="G3786" s="1" t="s">
        <v>28</v>
      </c>
      <c r="H3786" s="1">
        <v>11063</v>
      </c>
      <c r="I3786" s="1">
        <v>36623</v>
      </c>
      <c r="J3786" s="7">
        <v>0.30199999999999999</v>
      </c>
      <c r="K3786" s="1" t="s">
        <v>21</v>
      </c>
      <c r="L3786" s="1" t="s">
        <v>29</v>
      </c>
      <c r="M3786" s="1" t="s">
        <v>29</v>
      </c>
      <c r="N3786" s="1" t="s">
        <v>22</v>
      </c>
    </row>
    <row r="3787" spans="1:14" x14ac:dyDescent="0.25">
      <c r="A3787" s="1">
        <v>3786</v>
      </c>
      <c r="B3787" s="2" t="str">
        <f>HYPERLINK("https://leetcode.com/problems/total-sum-of-interaction-cost-in-tree-groups/", "Total Sum of Interaction Cost in Tree Groups")</f>
        <v>Total Sum of Interaction Cost in Tree Groups</v>
      </c>
      <c r="C3787" s="1">
        <v>68</v>
      </c>
      <c r="D3787" s="1">
        <v>3</v>
      </c>
      <c r="E3787" s="3">
        <f>IF(INDEX(C:C, ROW())+INDEX(D:D, ROW())=0, 0, INDEX(C:C, ROW())/(INDEX(C:C, ROW())+INDEX(D:D, ROW())))</f>
        <v>0.95774647887323938</v>
      </c>
      <c r="F3787" s="1" t="s">
        <v>1073</v>
      </c>
      <c r="G3787" s="1" t="s">
        <v>28</v>
      </c>
      <c r="H3787" s="1">
        <v>6973</v>
      </c>
      <c r="I3787" s="1">
        <v>13024</v>
      </c>
      <c r="J3787" s="7">
        <v>0.53500000000000003</v>
      </c>
      <c r="K3787" s="1" t="s">
        <v>21</v>
      </c>
      <c r="L3787" s="1" t="s">
        <v>29</v>
      </c>
      <c r="M3787" s="1" t="s">
        <v>29</v>
      </c>
      <c r="N3787" s="1" t="s">
        <v>22</v>
      </c>
    </row>
    <row r="3788" spans="1:14" x14ac:dyDescent="0.25">
      <c r="A3788" s="1">
        <v>3787</v>
      </c>
      <c r="B3788" s="2" t="str">
        <f>HYPERLINK("https://leetcode.com/problems/find-diameter-endpoints-of-a-tree/", "Find Diameter Endpoints of a Tree")</f>
        <v>Find Diameter Endpoints of a Tree</v>
      </c>
      <c r="C3788" s="1">
        <v>4</v>
      </c>
      <c r="D3788" s="1">
        <v>2</v>
      </c>
      <c r="E3788" s="3">
        <f>IF(INDEX(C:C, ROW())+INDEX(D:D, ROW())=0, 0, INDEX(C:C, ROW())/(INDEX(C:C, ROW())+INDEX(D:D, ROW())))</f>
        <v>0.66666666666666663</v>
      </c>
      <c r="F3788" s="1" t="s">
        <v>1345</v>
      </c>
      <c r="G3788" s="1" t="s">
        <v>24</v>
      </c>
      <c r="H3788" s="1">
        <v>525</v>
      </c>
      <c r="I3788" s="1">
        <v>747</v>
      </c>
      <c r="J3788" s="7">
        <v>0.70299999999999996</v>
      </c>
      <c r="K3788" s="1" t="s">
        <v>29</v>
      </c>
      <c r="L3788" s="1" t="s">
        <v>29</v>
      </c>
      <c r="M3788" s="1" t="s">
        <v>29</v>
      </c>
      <c r="N3788" s="1" t="s">
        <v>22</v>
      </c>
    </row>
    <row r="3789" spans="1:14" x14ac:dyDescent="0.25">
      <c r="A3789" s="1">
        <v>3788</v>
      </c>
      <c r="B3789" s="2" t="str">
        <f>HYPERLINK("https://leetcode.com/problems/maximum-score-of-a-split/", "Maximum Score of a Split")</f>
        <v>Maximum Score of a Split</v>
      </c>
      <c r="C3789" s="1">
        <v>69</v>
      </c>
      <c r="D3789" s="1">
        <v>6</v>
      </c>
      <c r="E3789" s="3">
        <f>IF(INDEX(C:C, ROW())+INDEX(D:D, ROW())=0, 0, INDEX(C:C, ROW())/(INDEX(C:C, ROW())+INDEX(D:D, ROW())))</f>
        <v>0.92</v>
      </c>
      <c r="F3789" s="1" t="s">
        <v>37</v>
      </c>
      <c r="G3789" s="1" t="s">
        <v>24</v>
      </c>
      <c r="H3789" s="1">
        <v>36870</v>
      </c>
      <c r="I3789" s="1">
        <v>71570</v>
      </c>
      <c r="J3789" s="7">
        <v>0.51500000000000001</v>
      </c>
      <c r="K3789" s="1" t="s">
        <v>21</v>
      </c>
      <c r="L3789" s="1" t="s">
        <v>29</v>
      </c>
      <c r="M3789" s="1" t="s">
        <v>29</v>
      </c>
      <c r="N3789" s="1" t="s">
        <v>22</v>
      </c>
    </row>
    <row r="3790" spans="1:14" x14ac:dyDescent="0.25">
      <c r="A3790" s="1">
        <v>3789</v>
      </c>
      <c r="B3790" s="2" t="str">
        <f>HYPERLINK("https://leetcode.com/problems/minimum-cost-to-acquire-required-items/", "Minimum Cost to Acquire Required Items")</f>
        <v>Minimum Cost to Acquire Required Items</v>
      </c>
      <c r="C3790" s="1">
        <v>67</v>
      </c>
      <c r="D3790" s="1">
        <v>5</v>
      </c>
      <c r="E3790" s="3">
        <f>IF(INDEX(C:C, ROW())+INDEX(D:D, ROW())=0, 0, INDEX(C:C, ROW())/(INDEX(C:C, ROW())+INDEX(D:D, ROW())))</f>
        <v>0.93055555555555558</v>
      </c>
      <c r="F3790" s="1" t="s">
        <v>296</v>
      </c>
      <c r="G3790" s="1" t="s">
        <v>24</v>
      </c>
      <c r="H3790" s="1">
        <v>23334</v>
      </c>
      <c r="I3790" s="1">
        <v>67188</v>
      </c>
      <c r="J3790" s="7">
        <v>0.34699999999999998</v>
      </c>
      <c r="K3790" s="1" t="s">
        <v>21</v>
      </c>
      <c r="L3790" s="1" t="s">
        <v>29</v>
      </c>
      <c r="M3790" s="1" t="s">
        <v>29</v>
      </c>
      <c r="N3790" s="1" t="s">
        <v>22</v>
      </c>
    </row>
    <row r="3791" spans="1:14" x14ac:dyDescent="0.25">
      <c r="A3791" s="1">
        <v>3790</v>
      </c>
      <c r="B3791" s="2" t="str">
        <f>HYPERLINK("https://leetcode.com/problems/smallest-all-ones-multiple/", "Smallest All-Ones Multiple")</f>
        <v>Smallest All-Ones Multiple</v>
      </c>
      <c r="C3791" s="1">
        <v>92</v>
      </c>
      <c r="D3791" s="1">
        <v>6</v>
      </c>
      <c r="E3791" s="3">
        <f>IF(INDEX(C:C, ROW())+INDEX(D:D, ROW())=0, 0, INDEX(C:C, ROW())/(INDEX(C:C, ROW())+INDEX(D:D, ROW())))</f>
        <v>0.93877551020408168</v>
      </c>
      <c r="F3791" s="1" t="s">
        <v>557</v>
      </c>
      <c r="G3791" s="1" t="s">
        <v>24</v>
      </c>
      <c r="H3791" s="1">
        <v>26019</v>
      </c>
      <c r="I3791" s="1">
        <v>55484</v>
      </c>
      <c r="J3791" s="7">
        <v>0.46899999999999997</v>
      </c>
      <c r="K3791" s="1" t="s">
        <v>21</v>
      </c>
      <c r="L3791" s="1" t="s">
        <v>29</v>
      </c>
      <c r="M3791" s="1" t="s">
        <v>29</v>
      </c>
      <c r="N3791" s="1" t="s">
        <v>22</v>
      </c>
    </row>
    <row r="3792" spans="1:14" x14ac:dyDescent="0.25">
      <c r="A3792" s="1">
        <v>3791</v>
      </c>
      <c r="B3792" s="2" t="str">
        <f>HYPERLINK("https://leetcode.com/problems/number-of-balanced-integers-in-a-range/", "Number of Balanced Integers in a Range")</f>
        <v>Number of Balanced Integers in a Range</v>
      </c>
      <c r="C3792" s="1">
        <v>43</v>
      </c>
      <c r="D3792" s="1">
        <v>3</v>
      </c>
      <c r="E3792" s="3">
        <f>IF(INDEX(C:C, ROW())+INDEX(D:D, ROW())=0, 0, INDEX(C:C, ROW())/(INDEX(C:C, ROW())+INDEX(D:D, ROW())))</f>
        <v>0.93478260869565222</v>
      </c>
      <c r="F3792" s="1" t="s">
        <v>251</v>
      </c>
      <c r="G3792" s="1" t="s">
        <v>28</v>
      </c>
      <c r="H3792" s="1">
        <v>7294</v>
      </c>
      <c r="I3792" s="1">
        <v>20980</v>
      </c>
      <c r="J3792" s="7">
        <v>0.34799999999999998</v>
      </c>
      <c r="K3792" s="1" t="s">
        <v>21</v>
      </c>
      <c r="L3792" s="1" t="s">
        <v>29</v>
      </c>
      <c r="M3792" s="1" t="s">
        <v>29</v>
      </c>
      <c r="N3792" s="1" t="s">
        <v>22</v>
      </c>
    </row>
    <row r="3793" spans="1:14" x14ac:dyDescent="0.25">
      <c r="A3793" s="1">
        <v>3792</v>
      </c>
      <c r="B3793" s="2" t="str">
        <f>HYPERLINK("https://leetcode.com/problems/sum-of-increasing-product-blocks/", "Sum of Increasing Product Blocks")</f>
        <v>Sum of Increasing Product Blocks</v>
      </c>
      <c r="C3793" s="1">
        <v>4</v>
      </c>
      <c r="D3793" s="1">
        <v>1</v>
      </c>
      <c r="E3793" s="3">
        <f>IF(INDEX(C:C, ROW())+INDEX(D:D, ROW())=0, 0, INDEX(C:C, ROW())/(INDEX(C:C, ROW())+INDEX(D:D, ROW())))</f>
        <v>0.8</v>
      </c>
      <c r="F3793" s="1" t="s">
        <v>465</v>
      </c>
      <c r="G3793" s="1" t="s">
        <v>24</v>
      </c>
      <c r="H3793" s="1">
        <v>455</v>
      </c>
      <c r="I3793" s="1">
        <v>641</v>
      </c>
      <c r="J3793" s="7">
        <v>0.71</v>
      </c>
      <c r="K3793" s="1" t="s">
        <v>29</v>
      </c>
      <c r="L3793" s="1" t="s">
        <v>29</v>
      </c>
      <c r="M3793" s="1" t="s">
        <v>29</v>
      </c>
      <c r="N3793" s="1" t="s">
        <v>22</v>
      </c>
    </row>
    <row r="3794" spans="1:14" x14ac:dyDescent="0.25">
      <c r="A3794" s="1">
        <v>3793</v>
      </c>
      <c r="B3794" s="2" t="str">
        <f>HYPERLINK("https://leetcode.com/problems/find-users-with-high-token-usage/", "Find Users with High Token Usage")</f>
        <v>Find Users with High Token Usage</v>
      </c>
      <c r="C3794" s="1">
        <v>21</v>
      </c>
      <c r="D3794" s="1">
        <v>2</v>
      </c>
      <c r="E3794" s="3">
        <f>IF(INDEX(C:C, ROW())+INDEX(D:D, ROW())=0, 0, INDEX(C:C, ROW())/(INDEX(C:C, ROW())+INDEX(D:D, ROW())))</f>
        <v>0.91304347826086951</v>
      </c>
      <c r="G3794" s="1" t="s">
        <v>20</v>
      </c>
      <c r="H3794" s="1">
        <v>5283</v>
      </c>
      <c r="I3794" s="1">
        <v>9146</v>
      </c>
      <c r="J3794" s="7">
        <v>0.57799999999999996</v>
      </c>
      <c r="K3794" s="1" t="s">
        <v>21</v>
      </c>
      <c r="L3794" s="1" t="s">
        <v>29</v>
      </c>
      <c r="M3794" s="1" t="s">
        <v>29</v>
      </c>
      <c r="N3794" s="1" t="s">
        <v>297</v>
      </c>
    </row>
    <row r="3795" spans="1:14" x14ac:dyDescent="0.25">
      <c r="A3795" s="1">
        <v>3794</v>
      </c>
      <c r="B3795" s="2" t="str">
        <f>HYPERLINK("https://leetcode.com/problems/reverse-string-prefix/", "Reverse String Prefix")</f>
        <v>Reverse String Prefix</v>
      </c>
      <c r="C3795" s="1">
        <v>36</v>
      </c>
      <c r="D3795" s="1">
        <v>1</v>
      </c>
      <c r="E3795" s="3">
        <f>IF(INDEX(C:C, ROW())+INDEX(D:D, ROW())=0, 0, INDEX(C:C, ROW())/(INDEX(C:C, ROW())+INDEX(D:D, ROW())))</f>
        <v>0.97297297297297303</v>
      </c>
      <c r="F3795" s="1" t="s">
        <v>117</v>
      </c>
      <c r="G3795" s="1" t="s">
        <v>20</v>
      </c>
      <c r="H3795" s="1">
        <v>52482</v>
      </c>
      <c r="I3795" s="1">
        <v>58726</v>
      </c>
      <c r="J3795" s="7">
        <v>0.89400000000000002</v>
      </c>
      <c r="K3795" s="1" t="s">
        <v>21</v>
      </c>
      <c r="L3795" s="1" t="s">
        <v>29</v>
      </c>
      <c r="M3795" s="1" t="s">
        <v>29</v>
      </c>
      <c r="N3795" s="1" t="s">
        <v>22</v>
      </c>
    </row>
    <row r="3796" spans="1:14" x14ac:dyDescent="0.25">
      <c r="A3796" s="1">
        <v>3795</v>
      </c>
      <c r="B3796" s="2" t="str">
        <f>HYPERLINK("https://leetcode.com/problems/minimum-subarray-length-with-distinct-sum-at-least-k/", "Minimum Subarray Length With Distinct Sum At Least K")</f>
        <v>Minimum Subarray Length With Distinct Sum At Least K</v>
      </c>
      <c r="C3796" s="1">
        <v>76</v>
      </c>
      <c r="D3796" s="1">
        <v>8</v>
      </c>
      <c r="E3796" s="3">
        <f>IF(INDEX(C:C, ROW())+INDEX(D:D, ROW())=0, 0, INDEX(C:C, ROW())/(INDEX(C:C, ROW())+INDEX(D:D, ROW())))</f>
        <v>0.90476190476190477</v>
      </c>
      <c r="F3796" s="1" t="s">
        <v>185</v>
      </c>
      <c r="G3796" s="1" t="s">
        <v>24</v>
      </c>
      <c r="H3796" s="1">
        <v>28027</v>
      </c>
      <c r="I3796" s="1">
        <v>88779</v>
      </c>
      <c r="J3796" s="7">
        <v>0.316</v>
      </c>
      <c r="K3796" s="1" t="s">
        <v>21</v>
      </c>
      <c r="L3796" s="1" t="s">
        <v>29</v>
      </c>
      <c r="M3796" s="1" t="s">
        <v>29</v>
      </c>
      <c r="N3796" s="1" t="s">
        <v>22</v>
      </c>
    </row>
    <row r="3797" spans="1:14" x14ac:dyDescent="0.25">
      <c r="A3797" s="1">
        <v>3796</v>
      </c>
      <c r="B3797" s="2" t="str">
        <f>HYPERLINK("https://leetcode.com/problems/find-maximum-value-in-a-constrained-sequence/", "Find Maximum Value in a Constrained Sequence")</f>
        <v>Find Maximum Value in a Constrained Sequence</v>
      </c>
      <c r="C3797" s="1">
        <v>76</v>
      </c>
      <c r="D3797" s="1">
        <v>9</v>
      </c>
      <c r="E3797" s="3">
        <f>IF(INDEX(C:C, ROW())+INDEX(D:D, ROW())=0, 0, INDEX(C:C, ROW())/(INDEX(C:C, ROW())+INDEX(D:D, ROW())))</f>
        <v>0.89411764705882357</v>
      </c>
      <c r="F3797" s="1" t="s">
        <v>96</v>
      </c>
      <c r="G3797" s="1" t="s">
        <v>24</v>
      </c>
      <c r="H3797" s="1">
        <v>12756</v>
      </c>
      <c r="I3797" s="1">
        <v>20484</v>
      </c>
      <c r="J3797" s="7">
        <v>0.623</v>
      </c>
      <c r="K3797" s="1" t="s">
        <v>21</v>
      </c>
      <c r="L3797" s="1" t="s">
        <v>29</v>
      </c>
      <c r="M3797" s="1" t="s">
        <v>29</v>
      </c>
      <c r="N3797" s="1" t="s">
        <v>22</v>
      </c>
    </row>
    <row r="3798" spans="1:14" x14ac:dyDescent="0.25">
      <c r="A3798" s="1">
        <v>3797</v>
      </c>
      <c r="B3798" s="2" t="str">
        <f>HYPERLINK("https://leetcode.com/problems/count-routes-to-climb-a-rectangular-grid/", "Count Routes to Climb a Rectangular Grid")</f>
        <v>Count Routes to Climb a Rectangular Grid</v>
      </c>
      <c r="C3798" s="1">
        <v>35</v>
      </c>
      <c r="D3798" s="1">
        <v>1</v>
      </c>
      <c r="E3798" s="3">
        <f>IF(INDEX(C:C, ROW())+INDEX(D:D, ROW())=0, 0, INDEX(C:C, ROW())/(INDEX(C:C, ROW())+INDEX(D:D, ROW())))</f>
        <v>0.97222222222222221</v>
      </c>
      <c r="F3798" s="1" t="s">
        <v>1203</v>
      </c>
      <c r="G3798" s="1" t="s">
        <v>28</v>
      </c>
      <c r="H3798" s="1">
        <v>3415</v>
      </c>
      <c r="I3798" s="1">
        <v>14441</v>
      </c>
      <c r="J3798" s="7">
        <v>0.23599999999999999</v>
      </c>
      <c r="K3798" s="1" t="s">
        <v>21</v>
      </c>
      <c r="L3798" s="1" t="s">
        <v>29</v>
      </c>
      <c r="M3798" s="1" t="s">
        <v>29</v>
      </c>
      <c r="N3798" s="1" t="s">
        <v>22</v>
      </c>
    </row>
    <row r="3799" spans="1:14" x14ac:dyDescent="0.25">
      <c r="A3799" s="1">
        <v>3798</v>
      </c>
      <c r="B3799" s="2" t="str">
        <f>HYPERLINK("https://leetcode.com/problems/largest-even-number/", "Largest Even Number")</f>
        <v>Largest Even Number</v>
      </c>
      <c r="C3799" s="1">
        <v>63</v>
      </c>
      <c r="D3799" s="1">
        <v>1</v>
      </c>
      <c r="E3799" s="3">
        <f>IF(INDEX(C:C, ROW())+INDEX(D:D, ROW())=0, 0, INDEX(C:C, ROW())/(INDEX(C:C, ROW())+INDEX(D:D, ROW())))</f>
        <v>0.984375</v>
      </c>
      <c r="F3799" s="1" t="s">
        <v>146</v>
      </c>
      <c r="G3799" s="1" t="s">
        <v>20</v>
      </c>
      <c r="H3799" s="1">
        <v>42274</v>
      </c>
      <c r="I3799" s="1">
        <v>61118</v>
      </c>
      <c r="J3799" s="7">
        <v>0.69199999999999995</v>
      </c>
      <c r="K3799" s="1" t="s">
        <v>21</v>
      </c>
      <c r="L3799" s="1" t="s">
        <v>29</v>
      </c>
      <c r="M3799" s="1" t="s">
        <v>29</v>
      </c>
      <c r="N3799" s="1" t="s">
        <v>22</v>
      </c>
    </row>
    <row r="3800" spans="1:14" x14ac:dyDescent="0.25">
      <c r="A3800" s="1">
        <v>3799</v>
      </c>
      <c r="B3800" s="2" t="str">
        <f>HYPERLINK("https://leetcode.com/problems/word-squares-ii/", "Word Squares II")</f>
        <v>Word Squares II</v>
      </c>
      <c r="C3800" s="1">
        <v>55</v>
      </c>
      <c r="D3800" s="1">
        <v>24</v>
      </c>
      <c r="E3800" s="3">
        <f>IF(INDEX(C:C, ROW())+INDEX(D:D, ROW())=0, 0, INDEX(C:C, ROW())/(INDEX(C:C, ROW())+INDEX(D:D, ROW())))</f>
        <v>0.69620253164556967</v>
      </c>
      <c r="F3800" s="1" t="s">
        <v>1257</v>
      </c>
      <c r="G3800" s="1" t="s">
        <v>24</v>
      </c>
      <c r="H3800" s="1">
        <v>18406</v>
      </c>
      <c r="I3800" s="1">
        <v>33566</v>
      </c>
      <c r="J3800" s="7">
        <v>0.54800000000000004</v>
      </c>
      <c r="K3800" s="1" t="s">
        <v>21</v>
      </c>
      <c r="L3800" s="1" t="s">
        <v>29</v>
      </c>
      <c r="M3800" s="1" t="s">
        <v>29</v>
      </c>
      <c r="N3800" s="1" t="s">
        <v>22</v>
      </c>
    </row>
    <row r="3801" spans="1:14" x14ac:dyDescent="0.25">
      <c r="A3801" s="1">
        <v>3800</v>
      </c>
      <c r="B3801" s="2" t="str">
        <f>HYPERLINK("https://leetcode.com/problems/minimum-cost-to-make-two-binary-strings-equal/", "Minimum Cost to Make Two Binary Strings Equal")</f>
        <v>Minimum Cost to Make Two Binary Strings Equal</v>
      </c>
      <c r="C3801" s="1">
        <v>92</v>
      </c>
      <c r="D3801" s="1">
        <v>4</v>
      </c>
      <c r="E3801" s="3">
        <f>IF(INDEX(C:C, ROW())+INDEX(D:D, ROW())=0, 0, INDEX(C:C, ROW())/(INDEX(C:C, ROW())+INDEX(D:D, ROW())))</f>
        <v>0.95833333333333337</v>
      </c>
      <c r="F3801" s="1" t="s">
        <v>424</v>
      </c>
      <c r="G3801" s="1" t="s">
        <v>24</v>
      </c>
      <c r="H3801" s="1">
        <v>8749</v>
      </c>
      <c r="I3801" s="1">
        <v>22628</v>
      </c>
      <c r="J3801" s="7">
        <v>0.38700000000000001</v>
      </c>
      <c r="K3801" s="1" t="s">
        <v>21</v>
      </c>
      <c r="L3801" s="1" t="s">
        <v>29</v>
      </c>
      <c r="M3801" s="1" t="s">
        <v>29</v>
      </c>
      <c r="N3801" s="1" t="s">
        <v>22</v>
      </c>
    </row>
    <row r="3802" spans="1:14" x14ac:dyDescent="0.25">
      <c r="A3802" s="1">
        <v>3801</v>
      </c>
      <c r="B3802" s="2" t="str">
        <f>HYPERLINK("https://leetcode.com/problems/minimum-cost-to-merge-sorted-lists/", "Minimum Cost to Merge Sorted Lists")</f>
        <v>Minimum Cost to Merge Sorted Lists</v>
      </c>
      <c r="C3802" s="1">
        <v>41</v>
      </c>
      <c r="D3802" s="1">
        <v>3</v>
      </c>
      <c r="E3802" s="3">
        <f>IF(INDEX(C:C, ROW())+INDEX(D:D, ROW())=0, 0, INDEX(C:C, ROW())/(INDEX(C:C, ROW())+INDEX(D:D, ROW())))</f>
        <v>0.93181818181818177</v>
      </c>
      <c r="F3802" s="1" t="s">
        <v>1286</v>
      </c>
      <c r="G3802" s="1" t="s">
        <v>28</v>
      </c>
      <c r="H3802" s="1">
        <v>3791</v>
      </c>
      <c r="I3802" s="1">
        <v>11233</v>
      </c>
      <c r="J3802" s="7">
        <v>0.33700000000000002</v>
      </c>
      <c r="K3802" s="1" t="s">
        <v>21</v>
      </c>
      <c r="L3802" s="1" t="s">
        <v>29</v>
      </c>
      <c r="M3802" s="1" t="s">
        <v>29</v>
      </c>
      <c r="N3802" s="1" t="s">
        <v>22</v>
      </c>
    </row>
    <row r="3803" spans="1:14" x14ac:dyDescent="0.25">
      <c r="A3803" s="1">
        <v>3802</v>
      </c>
      <c r="B3803" s="2" t="str">
        <f>HYPERLINK("https://leetcode.com/problems/number-of-ways-to-paint-sheets/", "Number of Ways to Paint Sheets")</f>
        <v>Number of Ways to Paint Sheets</v>
      </c>
      <c r="C3803" s="1">
        <v>4</v>
      </c>
      <c r="D3803" s="1">
        <v>2</v>
      </c>
      <c r="E3803" s="3">
        <f>IF(INDEX(C:C, ROW())+INDEX(D:D, ROW())=0, 0, INDEX(C:C, ROW())/(INDEX(C:C, ROW())+INDEX(D:D, ROW())))</f>
        <v>0.66666666666666663</v>
      </c>
      <c r="G3803" s="1" t="s">
        <v>28</v>
      </c>
      <c r="H3803" s="1">
        <v>403</v>
      </c>
      <c r="I3803" s="1">
        <v>595</v>
      </c>
      <c r="J3803" s="7">
        <v>0.67700000000000005</v>
      </c>
      <c r="K3803" s="1" t="s">
        <v>29</v>
      </c>
      <c r="L3803" s="1" t="s">
        <v>29</v>
      </c>
      <c r="M3803" s="1" t="s">
        <v>29</v>
      </c>
      <c r="N3803" s="1" t="s">
        <v>22</v>
      </c>
    </row>
    <row r="3804" spans="1:14" x14ac:dyDescent="0.25">
      <c r="A3804" s="1">
        <v>3803</v>
      </c>
      <c r="B3804" s="2" t="str">
        <f>HYPERLINK("https://leetcode.com/problems/count-residue-prefixes/", "Count Residue Prefixes")</f>
        <v>Count Residue Prefixes</v>
      </c>
      <c r="C3804" s="1">
        <v>61</v>
      </c>
      <c r="D3804" s="1">
        <v>1</v>
      </c>
      <c r="E3804" s="3">
        <f>IF(INDEX(C:C, ROW())+INDEX(D:D, ROW())=0, 0, INDEX(C:C, ROW())/(INDEX(C:C, ROW())+INDEX(D:D, ROW())))</f>
        <v>0.9838709677419355</v>
      </c>
      <c r="F3804" s="1" t="s">
        <v>131</v>
      </c>
      <c r="G3804" s="1" t="s">
        <v>20</v>
      </c>
      <c r="H3804" s="1">
        <v>44565</v>
      </c>
      <c r="I3804" s="1">
        <v>68213</v>
      </c>
      <c r="J3804" s="7">
        <v>0.65300000000000002</v>
      </c>
      <c r="K3804" s="1" t="s">
        <v>21</v>
      </c>
      <c r="L3804" s="1" t="s">
        <v>29</v>
      </c>
      <c r="M3804" s="1" t="s">
        <v>29</v>
      </c>
      <c r="N3804" s="1" t="s">
        <v>22</v>
      </c>
    </row>
    <row r="3805" spans="1:14" x14ac:dyDescent="0.25">
      <c r="A3805" s="1">
        <v>3804</v>
      </c>
      <c r="B3805" s="2" t="str">
        <f>HYPERLINK("https://leetcode.com/problems/number-of-centered-subarrays/", "Number of Centered Subarrays")</f>
        <v>Number of Centered Subarrays</v>
      </c>
      <c r="C3805" s="1">
        <v>72</v>
      </c>
      <c r="D3805" s="1">
        <v>1</v>
      </c>
      <c r="E3805" s="3">
        <f>IF(INDEX(C:C, ROW())+INDEX(D:D, ROW())=0, 0, INDEX(C:C, ROW())/(INDEX(C:C, ROW())+INDEX(D:D, ROW())))</f>
        <v>0.98630136986301364</v>
      </c>
      <c r="F3805" s="1" t="s">
        <v>804</v>
      </c>
      <c r="G3805" s="1" t="s">
        <v>24</v>
      </c>
      <c r="H3805" s="1">
        <v>36740</v>
      </c>
      <c r="I3805" s="1">
        <v>54934</v>
      </c>
      <c r="J3805" s="7">
        <v>0.66900000000000004</v>
      </c>
      <c r="K3805" s="1" t="s">
        <v>21</v>
      </c>
      <c r="L3805" s="1" t="s">
        <v>29</v>
      </c>
      <c r="M3805" s="1" t="s">
        <v>29</v>
      </c>
      <c r="N3805" s="1" t="s">
        <v>22</v>
      </c>
    </row>
    <row r="3806" spans="1:14" x14ac:dyDescent="0.25">
      <c r="A3806" s="1">
        <v>3805</v>
      </c>
      <c r="B3806" s="2" t="str">
        <f>HYPERLINK("https://leetcode.com/problems/count-caesar-cipher-pairs/", "Count Caesar Cipher Pairs")</f>
        <v>Count Caesar Cipher Pairs</v>
      </c>
      <c r="C3806" s="1">
        <v>104</v>
      </c>
      <c r="D3806" s="1">
        <v>1</v>
      </c>
      <c r="E3806" s="3">
        <f>IF(INDEX(C:C, ROW())+INDEX(D:D, ROW())=0, 0, INDEX(C:C, ROW())/(INDEX(C:C, ROW())+INDEX(D:D, ROW())))</f>
        <v>0.99047619047619051</v>
      </c>
      <c r="F3806" s="1" t="s">
        <v>1181</v>
      </c>
      <c r="G3806" s="1" t="s">
        <v>24</v>
      </c>
      <c r="H3806" s="1">
        <v>25103</v>
      </c>
      <c r="I3806" s="1">
        <v>49427</v>
      </c>
      <c r="J3806" s="7">
        <v>0.50800000000000001</v>
      </c>
      <c r="K3806" s="1" t="s">
        <v>21</v>
      </c>
      <c r="L3806" s="1" t="s">
        <v>29</v>
      </c>
      <c r="M3806" s="1" t="s">
        <v>29</v>
      </c>
      <c r="N3806" s="1" t="s">
        <v>22</v>
      </c>
    </row>
    <row r="3807" spans="1:14" x14ac:dyDescent="0.25">
      <c r="A3807" s="1">
        <v>3806</v>
      </c>
      <c r="B3807" s="2" t="str">
        <f>HYPERLINK("https://leetcode.com/problems/maximum-bitwise-and-after-increment-operations/", "Maximum Bitwise AND After Increment Operations")</f>
        <v>Maximum Bitwise AND After Increment Operations</v>
      </c>
      <c r="C3807" s="1">
        <v>75</v>
      </c>
      <c r="D3807" s="1">
        <v>3</v>
      </c>
      <c r="E3807" s="3">
        <f>IF(INDEX(C:C, ROW())+INDEX(D:D, ROW())=0, 0, INDEX(C:C, ROW())/(INDEX(C:C, ROW())+INDEX(D:D, ROW())))</f>
        <v>0.96153846153846156</v>
      </c>
      <c r="F3807" s="1" t="s">
        <v>1220</v>
      </c>
      <c r="G3807" s="1" t="s">
        <v>28</v>
      </c>
      <c r="H3807" s="1">
        <v>6347</v>
      </c>
      <c r="I3807" s="1">
        <v>20525</v>
      </c>
      <c r="J3807" s="7">
        <v>0.309</v>
      </c>
      <c r="K3807" s="1" t="s">
        <v>21</v>
      </c>
      <c r="L3807" s="1" t="s">
        <v>29</v>
      </c>
      <c r="M3807" s="1" t="s">
        <v>29</v>
      </c>
      <c r="N3807" s="1" t="s">
        <v>22</v>
      </c>
    </row>
    <row r="3808" spans="1:14" x14ac:dyDescent="0.25">
      <c r="A3808" s="1">
        <v>3807</v>
      </c>
      <c r="B3808" s="2" t="str">
        <f>HYPERLINK("https://leetcode.com/problems/minimum-cost-to-repair-edges-to-traverse-a-graph/", "Minimum Cost to Repair Edges to Traverse a Graph")</f>
        <v>Minimum Cost to Repair Edges to Traverse a Graph</v>
      </c>
      <c r="C3808" s="1">
        <v>4</v>
      </c>
      <c r="D3808" s="1">
        <v>1</v>
      </c>
      <c r="E3808" s="3">
        <f>IF(INDEX(C:C, ROW())+INDEX(D:D, ROW())=0, 0, INDEX(C:C, ROW())/(INDEX(C:C, ROW())+INDEX(D:D, ROW())))</f>
        <v>0.8</v>
      </c>
      <c r="F3808" s="1" t="s">
        <v>1346</v>
      </c>
      <c r="G3808" s="1" t="s">
        <v>24</v>
      </c>
      <c r="H3808" s="1">
        <v>375</v>
      </c>
      <c r="I3808" s="1">
        <v>630</v>
      </c>
      <c r="J3808" s="7">
        <v>0.59499999999999997</v>
      </c>
      <c r="K3808" s="1" t="s">
        <v>29</v>
      </c>
      <c r="L3808" s="1" t="s">
        <v>29</v>
      </c>
      <c r="M3808" s="1" t="s">
        <v>29</v>
      </c>
      <c r="N3808" s="1" t="s">
        <v>22</v>
      </c>
    </row>
    <row r="3809" spans="1:14" x14ac:dyDescent="0.25">
      <c r="A3809" s="1">
        <v>3808</v>
      </c>
      <c r="B3809" s="2" t="str">
        <f>HYPERLINK("https://leetcode.com/problems/find-emotionally-consistent-users/", "Find Emotionally Consistent Users")</f>
        <v>Find Emotionally Consistent Users</v>
      </c>
      <c r="C3809" s="1">
        <v>26</v>
      </c>
      <c r="D3809" s="1">
        <v>1</v>
      </c>
      <c r="E3809" s="3">
        <f>IF(INDEX(C:C, ROW())+INDEX(D:D, ROW())=0, 0, INDEX(C:C, ROW())/(INDEX(C:C, ROW())+INDEX(D:D, ROW())))</f>
        <v>0.96296296296296291</v>
      </c>
      <c r="G3809" s="1" t="s">
        <v>24</v>
      </c>
      <c r="H3809" s="1">
        <v>2490</v>
      </c>
      <c r="I3809" s="1">
        <v>4801</v>
      </c>
      <c r="J3809" s="7">
        <v>0.51900000000000002</v>
      </c>
      <c r="K3809" s="1" t="s">
        <v>21</v>
      </c>
      <c r="L3809" s="1" t="s">
        <v>29</v>
      </c>
      <c r="M3809" s="1" t="s">
        <v>29</v>
      </c>
      <c r="N3809" s="1" t="s">
        <v>297</v>
      </c>
    </row>
    <row r="3810" spans="1:14" x14ac:dyDescent="0.25">
      <c r="A3810" s="1">
        <v>3809</v>
      </c>
      <c r="B3810" s="2" t="str">
        <f>HYPERLINK("https://leetcode.com/problems/best-reachable-tower/", "Best Reachable Tower")</f>
        <v>Best Reachable Tower</v>
      </c>
      <c r="C3810" s="1">
        <v>56</v>
      </c>
      <c r="D3810" s="1">
        <v>5</v>
      </c>
      <c r="E3810" s="3">
        <f>IF(INDEX(C:C, ROW())+INDEX(D:D, ROW())=0, 0, INDEX(C:C, ROW())/(INDEX(C:C, ROW())+INDEX(D:D, ROW())))</f>
        <v>0.91803278688524592</v>
      </c>
      <c r="F3810" s="1" t="s">
        <v>113</v>
      </c>
      <c r="G3810" s="1" t="s">
        <v>24</v>
      </c>
      <c r="H3810" s="1">
        <v>30715</v>
      </c>
      <c r="I3810" s="1">
        <v>55135</v>
      </c>
      <c r="J3810" s="7">
        <v>0.55700000000000005</v>
      </c>
      <c r="K3810" s="1" t="s">
        <v>21</v>
      </c>
      <c r="L3810" s="1" t="s">
        <v>29</v>
      </c>
      <c r="M3810" s="1" t="s">
        <v>29</v>
      </c>
      <c r="N3810" s="1" t="s">
        <v>22</v>
      </c>
    </row>
    <row r="3811" spans="1:14" x14ac:dyDescent="0.25">
      <c r="A3811" s="1">
        <v>3810</v>
      </c>
      <c r="B3811" s="2" t="str">
        <f>HYPERLINK("https://leetcode.com/problems/minimum-operations-to-reach-target-array/", "Minimum Operations to Reach Target Array")</f>
        <v>Minimum Operations to Reach Target Array</v>
      </c>
      <c r="C3811" s="1">
        <v>56</v>
      </c>
      <c r="D3811" s="1">
        <v>21</v>
      </c>
      <c r="E3811" s="3">
        <f>IF(INDEX(C:C, ROW())+INDEX(D:D, ROW())=0, 0, INDEX(C:C, ROW())/(INDEX(C:C, ROW())+INDEX(D:D, ROW())))</f>
        <v>0.72727272727272729</v>
      </c>
      <c r="F3811" s="1" t="s">
        <v>368</v>
      </c>
      <c r="G3811" s="1" t="s">
        <v>24</v>
      </c>
      <c r="H3811" s="1">
        <v>24384</v>
      </c>
      <c r="I3811" s="1">
        <v>38528</v>
      </c>
      <c r="J3811" s="7">
        <v>0.63300000000000001</v>
      </c>
      <c r="K3811" s="1" t="s">
        <v>21</v>
      </c>
      <c r="L3811" s="1" t="s">
        <v>29</v>
      </c>
      <c r="M3811" s="1" t="s">
        <v>29</v>
      </c>
      <c r="N3811" s="1" t="s">
        <v>22</v>
      </c>
    </row>
    <row r="3812" spans="1:14" x14ac:dyDescent="0.25">
      <c r="A3812" s="1">
        <v>3811</v>
      </c>
      <c r="B3812" s="2" t="str">
        <f>HYPERLINK("https://leetcode.com/problems/number-of-alternating-xor-partitions/", "Number of Alternating XOR Partitions")</f>
        <v>Number of Alternating XOR Partitions</v>
      </c>
      <c r="C3812" s="1">
        <v>86</v>
      </c>
      <c r="D3812" s="1">
        <v>8</v>
      </c>
      <c r="E3812" s="3">
        <f>IF(INDEX(C:C, ROW())+INDEX(D:D, ROW())=0, 0, INDEX(C:C, ROW())/(INDEX(C:C, ROW())+INDEX(D:D, ROW())))</f>
        <v>0.91489361702127658</v>
      </c>
      <c r="F3812" s="1" t="s">
        <v>1197</v>
      </c>
      <c r="G3812" s="1" t="s">
        <v>24</v>
      </c>
      <c r="H3812" s="1">
        <v>8197</v>
      </c>
      <c r="I3812" s="1">
        <v>30816</v>
      </c>
      <c r="J3812" s="7">
        <v>0.26600000000000001</v>
      </c>
      <c r="K3812" s="1" t="s">
        <v>21</v>
      </c>
      <c r="L3812" s="1" t="s">
        <v>29</v>
      </c>
      <c r="M3812" s="1" t="s">
        <v>29</v>
      </c>
      <c r="N3812" s="1" t="s">
        <v>22</v>
      </c>
    </row>
    <row r="3813" spans="1:14" x14ac:dyDescent="0.25">
      <c r="A3813" s="1">
        <v>3812</v>
      </c>
      <c r="B3813" s="2" t="str">
        <f>HYPERLINK("https://leetcode.com/problems/minimum-edge-toggles-on-a-tree/", "Minimum Edge Toggles on a Tree")</f>
        <v>Minimum Edge Toggles on a Tree</v>
      </c>
      <c r="C3813" s="1">
        <v>40</v>
      </c>
      <c r="D3813" s="1">
        <v>4</v>
      </c>
      <c r="E3813" s="3">
        <f>IF(INDEX(C:C, ROW())+INDEX(D:D, ROW())=0, 0, INDEX(C:C, ROW())/(INDEX(C:C, ROW())+INDEX(D:D, ROW())))</f>
        <v>0.90909090909090906</v>
      </c>
      <c r="F3813" s="1" t="s">
        <v>1288</v>
      </c>
      <c r="G3813" s="1" t="s">
        <v>28</v>
      </c>
      <c r="H3813" s="1">
        <v>5377</v>
      </c>
      <c r="I3813" s="1">
        <v>7809</v>
      </c>
      <c r="J3813" s="7">
        <v>0.68899999999999995</v>
      </c>
      <c r="K3813" s="1" t="s">
        <v>21</v>
      </c>
      <c r="L3813" s="1" t="s">
        <v>29</v>
      </c>
      <c r="M3813" s="1" t="s">
        <v>29</v>
      </c>
      <c r="N3813" s="1" t="s">
        <v>22</v>
      </c>
    </row>
    <row r="3814" spans="1:14" x14ac:dyDescent="0.25">
      <c r="A3814" s="1">
        <v>3813</v>
      </c>
      <c r="B3814" s="2" t="str">
        <f>HYPERLINK("https://leetcode.com/problems/vowel-consonant-score/", "Vowel-Consonant Score")</f>
        <v>Vowel-Consonant Score</v>
      </c>
      <c r="C3814" s="1">
        <v>46</v>
      </c>
      <c r="D3814" s="1">
        <v>4</v>
      </c>
      <c r="E3814" s="3">
        <f>IF(INDEX(C:C, ROW())+INDEX(D:D, ROW())=0, 0, INDEX(C:C, ROW())/(INDEX(C:C, ROW())+INDEX(D:D, ROW())))</f>
        <v>0.92</v>
      </c>
      <c r="F3814" s="1" t="s">
        <v>414</v>
      </c>
      <c r="G3814" s="1" t="s">
        <v>20</v>
      </c>
      <c r="H3814" s="1">
        <v>45999</v>
      </c>
      <c r="I3814" s="1">
        <v>85215</v>
      </c>
      <c r="J3814" s="7">
        <v>0.54</v>
      </c>
      <c r="K3814" s="1" t="s">
        <v>21</v>
      </c>
      <c r="L3814" s="1" t="s">
        <v>29</v>
      </c>
      <c r="M3814" s="1" t="s">
        <v>29</v>
      </c>
      <c r="N3814" s="1" t="s">
        <v>22</v>
      </c>
    </row>
    <row r="3815" spans="1:14" x14ac:dyDescent="0.25">
      <c r="A3815" s="1">
        <v>3814</v>
      </c>
      <c r="B3815" s="2" t="str">
        <f>HYPERLINK("https://leetcode.com/problems/maximum-capacity-within-budget/", "Maximum Capacity Within Budget")</f>
        <v>Maximum Capacity Within Budget</v>
      </c>
      <c r="C3815" s="1">
        <v>178</v>
      </c>
      <c r="D3815" s="1">
        <v>14</v>
      </c>
      <c r="E3815" s="3">
        <f>IF(INDEX(C:C, ROW())+INDEX(D:D, ROW())=0, 0, INDEX(C:C, ROW())/(INDEX(C:C, ROW())+INDEX(D:D, ROW())))</f>
        <v>0.92708333333333337</v>
      </c>
      <c r="F3815" s="1" t="s">
        <v>277</v>
      </c>
      <c r="G3815" s="1" t="s">
        <v>24</v>
      </c>
      <c r="H3815" s="1">
        <v>18390</v>
      </c>
      <c r="I3815" s="1">
        <v>92394</v>
      </c>
      <c r="J3815" s="7">
        <v>0.19900000000000001</v>
      </c>
      <c r="K3815" s="1" t="s">
        <v>21</v>
      </c>
      <c r="L3815" s="1" t="s">
        <v>29</v>
      </c>
      <c r="M3815" s="1" t="s">
        <v>29</v>
      </c>
      <c r="N3815" s="1" t="s">
        <v>22</v>
      </c>
    </row>
    <row r="3816" spans="1:14" x14ac:dyDescent="0.25">
      <c r="A3816" s="1">
        <v>3815</v>
      </c>
      <c r="B3816" s="2" t="str">
        <f>HYPERLINK("https://leetcode.com/problems/design-auction-system/", "Design Auction System")</f>
        <v>Design Auction System</v>
      </c>
      <c r="C3816" s="1">
        <v>74</v>
      </c>
      <c r="D3816" s="1">
        <v>5</v>
      </c>
      <c r="E3816" s="3">
        <f>IF(INDEX(C:C, ROW())+INDEX(D:D, ROW())=0, 0, INDEX(C:C, ROW())/(INDEX(C:C, ROW())+INDEX(D:D, ROW())))</f>
        <v>0.93670886075949367</v>
      </c>
      <c r="F3816" s="1" t="s">
        <v>530</v>
      </c>
      <c r="G3816" s="1" t="s">
        <v>24</v>
      </c>
      <c r="H3816" s="1">
        <v>14574</v>
      </c>
      <c r="I3816" s="1">
        <v>34877</v>
      </c>
      <c r="J3816" s="7">
        <v>0.41799999999999998</v>
      </c>
      <c r="K3816" s="1" t="s">
        <v>21</v>
      </c>
      <c r="L3816" s="1" t="s">
        <v>29</v>
      </c>
      <c r="M3816" s="1" t="s">
        <v>29</v>
      </c>
      <c r="N3816" s="1" t="s">
        <v>22</v>
      </c>
    </row>
    <row r="3817" spans="1:14" x14ac:dyDescent="0.25">
      <c r="A3817" s="1">
        <v>3816</v>
      </c>
      <c r="B3817" s="2" t="str">
        <f>HYPERLINK("https://leetcode.com/problems/lexicographically-smallest-string-after-deleting-duplicate-characters/", "Lexicographically Smallest String After Deleting Duplicate Characters")</f>
        <v>Lexicographically Smallest String After Deleting Duplicate Characters</v>
      </c>
      <c r="C3817" s="1">
        <v>41</v>
      </c>
      <c r="D3817" s="1">
        <v>4</v>
      </c>
      <c r="E3817" s="3">
        <f>IF(INDEX(C:C, ROW())+INDEX(D:D, ROW())=0, 0, INDEX(C:C, ROW())/(INDEX(C:C, ROW())+INDEX(D:D, ROW())))</f>
        <v>0.91111111111111109</v>
      </c>
      <c r="F3817" s="1" t="s">
        <v>1287</v>
      </c>
      <c r="G3817" s="1" t="s">
        <v>28</v>
      </c>
      <c r="H3817" s="1">
        <v>4959</v>
      </c>
      <c r="I3817" s="1">
        <v>25890</v>
      </c>
      <c r="J3817" s="7">
        <v>0.192</v>
      </c>
      <c r="K3817" s="1" t="s">
        <v>21</v>
      </c>
      <c r="L3817" s="1" t="s">
        <v>29</v>
      </c>
      <c r="M3817" s="1" t="s">
        <v>29</v>
      </c>
      <c r="N3817" s="1" t="s">
        <v>22</v>
      </c>
    </row>
    <row r="3818" spans="1:14" x14ac:dyDescent="0.25">
      <c r="A3818" s="1">
        <v>3817</v>
      </c>
      <c r="B3818" s="2" t="str">
        <f>HYPERLINK("https://leetcode.com/problems/good-indices-in-a-digit-string/", "Good Indices in a Digit String")</f>
        <v>Good Indices in a Digit String</v>
      </c>
      <c r="C3818" s="1">
        <v>3</v>
      </c>
      <c r="D3818" s="1">
        <v>1</v>
      </c>
      <c r="E3818" s="3">
        <f>IF(INDEX(C:C, ROW())+INDEX(D:D, ROW())=0, 0, INDEX(C:C, ROW())/(INDEX(C:C, ROW())+INDEX(D:D, ROW())))</f>
        <v>0.75</v>
      </c>
      <c r="F3818" s="1" t="s">
        <v>228</v>
      </c>
      <c r="G3818" s="1" t="s">
        <v>24</v>
      </c>
      <c r="H3818" s="1">
        <v>542</v>
      </c>
      <c r="I3818" s="1">
        <v>612</v>
      </c>
      <c r="J3818" s="7">
        <v>0.88600000000000001</v>
      </c>
      <c r="K3818" s="1" t="s">
        <v>29</v>
      </c>
      <c r="L3818" s="1" t="s">
        <v>29</v>
      </c>
      <c r="M3818" s="1" t="s">
        <v>29</v>
      </c>
      <c r="N3818" s="1" t="s">
        <v>22</v>
      </c>
    </row>
    <row r="3819" spans="1:14" x14ac:dyDescent="0.25">
      <c r="A3819" s="1">
        <v>3818</v>
      </c>
      <c r="B3819" s="2" t="str">
        <f>HYPERLINK("https://leetcode.com/problems/minimum-prefix-removal-to-make-array-strictly-increasing/", "Minimum Prefix Removal to Make Array Strictly Increasing")</f>
        <v>Minimum Prefix Removal to Make Array Strictly Increasing</v>
      </c>
      <c r="C3819" s="1">
        <v>50</v>
      </c>
      <c r="D3819" s="1">
        <v>6</v>
      </c>
      <c r="E3819" s="3">
        <f>IF(INDEX(C:C, ROW())+INDEX(D:D, ROW())=0, 0, INDEX(C:C, ROW())/(INDEX(C:C, ROW())+INDEX(D:D, ROW())))</f>
        <v>0.8928571428571429</v>
      </c>
      <c r="F3819" s="1" t="s">
        <v>113</v>
      </c>
      <c r="G3819" s="1" t="s">
        <v>24</v>
      </c>
      <c r="H3819" s="1">
        <v>49733</v>
      </c>
      <c r="I3819" s="1">
        <v>67564</v>
      </c>
      <c r="J3819" s="7">
        <v>0.73599999999999999</v>
      </c>
      <c r="K3819" s="1" t="s">
        <v>21</v>
      </c>
      <c r="L3819" s="1" t="s">
        <v>29</v>
      </c>
      <c r="M3819" s="1" t="s">
        <v>29</v>
      </c>
      <c r="N3819" s="1" t="s">
        <v>22</v>
      </c>
    </row>
    <row r="3820" spans="1:14" x14ac:dyDescent="0.25">
      <c r="A3820" s="1">
        <v>3819</v>
      </c>
      <c r="B3820" s="2" t="str">
        <f>HYPERLINK("https://leetcode.com/problems/rotate-non-negative-elements/", "Rotate Non Negative Elements")</f>
        <v>Rotate Non Negative Elements</v>
      </c>
      <c r="C3820" s="1">
        <v>74</v>
      </c>
      <c r="D3820" s="1">
        <v>9</v>
      </c>
      <c r="E3820" s="3">
        <f>IF(INDEX(C:C, ROW())+INDEX(D:D, ROW())=0, 0, INDEX(C:C, ROW())/(INDEX(C:C, ROW())+INDEX(D:D, ROW())))</f>
        <v>0.89156626506024095</v>
      </c>
      <c r="F3820" s="1" t="s">
        <v>306</v>
      </c>
      <c r="G3820" s="1" t="s">
        <v>24</v>
      </c>
      <c r="H3820" s="1">
        <v>40867</v>
      </c>
      <c r="I3820" s="1">
        <v>85545</v>
      </c>
      <c r="J3820" s="7">
        <v>0.47799999999999998</v>
      </c>
      <c r="K3820" s="1" t="s">
        <v>21</v>
      </c>
      <c r="L3820" s="1" t="s">
        <v>29</v>
      </c>
      <c r="M3820" s="1" t="s">
        <v>29</v>
      </c>
      <c r="N3820" s="1" t="s">
        <v>22</v>
      </c>
    </row>
    <row r="3821" spans="1:14" x14ac:dyDescent="0.25">
      <c r="A3821" s="1">
        <v>3820</v>
      </c>
      <c r="B3821" s="2" t="str">
        <f>HYPERLINK("https://leetcode.com/problems/pythagorean-distance-nodes-in-a-tree/", "Pythagorean Distance Nodes in a Tree")</f>
        <v>Pythagorean Distance Nodes in a Tree</v>
      </c>
      <c r="C3821" s="1">
        <v>85</v>
      </c>
      <c r="D3821" s="1">
        <v>3</v>
      </c>
      <c r="E3821" s="3">
        <f>IF(INDEX(C:C, ROW())+INDEX(D:D, ROW())=0, 0, INDEX(C:C, ROW())/(INDEX(C:C, ROW())+INDEX(D:D, ROW())))</f>
        <v>0.96590909090909094</v>
      </c>
      <c r="F3821" s="1" t="s">
        <v>329</v>
      </c>
      <c r="G3821" s="1" t="s">
        <v>24</v>
      </c>
      <c r="H3821" s="1">
        <v>20052</v>
      </c>
      <c r="I3821" s="1">
        <v>34763</v>
      </c>
      <c r="J3821" s="7">
        <v>0.57699999999999996</v>
      </c>
      <c r="K3821" s="1" t="s">
        <v>21</v>
      </c>
      <c r="L3821" s="1" t="s">
        <v>29</v>
      </c>
      <c r="M3821" s="1" t="s">
        <v>29</v>
      </c>
      <c r="N3821" s="1" t="s">
        <v>22</v>
      </c>
    </row>
    <row r="3822" spans="1:14" x14ac:dyDescent="0.25">
      <c r="A3822" s="1">
        <v>3821</v>
      </c>
      <c r="B3822" s="2" t="str">
        <f>HYPERLINK("https://leetcode.com/problems/find-nth-smallest-integer-with-k-one-bits/", "Find Nth Smallest Integer With K One Bits")</f>
        <v>Find Nth Smallest Integer With K One Bits</v>
      </c>
      <c r="C3822" s="1">
        <v>65</v>
      </c>
      <c r="D3822" s="1">
        <v>2</v>
      </c>
      <c r="E3822" s="3">
        <f>IF(INDEX(C:C, ROW())+INDEX(D:D, ROW())=0, 0, INDEX(C:C, ROW())/(INDEX(C:C, ROW())+INDEX(D:D, ROW())))</f>
        <v>0.97014925373134331</v>
      </c>
      <c r="F3822" s="1" t="s">
        <v>1232</v>
      </c>
      <c r="G3822" s="1" t="s">
        <v>28</v>
      </c>
      <c r="H3822" s="1">
        <v>9040</v>
      </c>
      <c r="I3822" s="1">
        <v>26634</v>
      </c>
      <c r="J3822" s="7">
        <v>0.33900000000000002</v>
      </c>
      <c r="K3822" s="1" t="s">
        <v>21</v>
      </c>
      <c r="L3822" s="1" t="s">
        <v>29</v>
      </c>
      <c r="M3822" s="1" t="s">
        <v>29</v>
      </c>
      <c r="N3822" s="1" t="s">
        <v>22</v>
      </c>
    </row>
    <row r="3823" spans="1:14" x14ac:dyDescent="0.25">
      <c r="A3823" s="1">
        <v>3822</v>
      </c>
      <c r="B3823" s="2" t="str">
        <f>HYPERLINK("https://leetcode.com/problems/design-order-management-system/", "Design Order Management System")</f>
        <v>Design Order Management System</v>
      </c>
      <c r="C3823" s="1">
        <v>6</v>
      </c>
      <c r="D3823" s="1">
        <v>1</v>
      </c>
      <c r="E3823" s="3">
        <f>IF(INDEX(C:C, ROW())+INDEX(D:D, ROW())=0, 0, INDEX(C:C, ROW())/(INDEX(C:C, ROW())+INDEX(D:D, ROW())))</f>
        <v>0.8571428571428571</v>
      </c>
      <c r="F3823" s="1" t="s">
        <v>1020</v>
      </c>
      <c r="G3823" s="1" t="s">
        <v>24</v>
      </c>
      <c r="H3823" s="1">
        <v>542</v>
      </c>
      <c r="I3823" s="1">
        <v>670</v>
      </c>
      <c r="J3823" s="7">
        <v>0.80900000000000005</v>
      </c>
      <c r="K3823" s="1" t="s">
        <v>29</v>
      </c>
      <c r="L3823" s="1" t="s">
        <v>29</v>
      </c>
      <c r="M3823" s="1" t="s">
        <v>29</v>
      </c>
      <c r="N3823" s="1" t="s">
        <v>22</v>
      </c>
    </row>
    <row r="3824" spans="1:14" x14ac:dyDescent="0.25">
      <c r="A3824" s="1">
        <v>3823</v>
      </c>
      <c r="B3824" s="2" t="str">
        <f>HYPERLINK("https://leetcode.com/problems/reverse-letters-then-special-characters-in-a-string/", "Reverse Letters Then Special Characters in a String")</f>
        <v>Reverse Letters Then Special Characters in a String</v>
      </c>
      <c r="C3824" s="1">
        <v>44</v>
      </c>
      <c r="D3824" s="1">
        <v>3</v>
      </c>
      <c r="E3824" s="3">
        <f>IF(INDEX(C:C, ROW())+INDEX(D:D, ROW())=0, 0, INDEX(C:C, ROW())/(INDEX(C:C, ROW())+INDEX(D:D, ROW())))</f>
        <v>0.93617021276595747</v>
      </c>
      <c r="F3824" s="1" t="s">
        <v>1260</v>
      </c>
      <c r="G3824" s="1" t="s">
        <v>20</v>
      </c>
      <c r="H3824" s="1">
        <v>48568</v>
      </c>
      <c r="I3824" s="1">
        <v>59567</v>
      </c>
      <c r="J3824" s="7">
        <v>0.81499999999999995</v>
      </c>
      <c r="K3824" s="1" t="s">
        <v>21</v>
      </c>
      <c r="L3824" s="1" t="s">
        <v>29</v>
      </c>
      <c r="M3824" s="1" t="s">
        <v>29</v>
      </c>
      <c r="N3824" s="1" t="s">
        <v>22</v>
      </c>
    </row>
    <row r="3825" spans="1:14" x14ac:dyDescent="0.25">
      <c r="A3825" s="1">
        <v>3824</v>
      </c>
      <c r="B3825" s="2" t="str">
        <f>HYPERLINK("https://leetcode.com/problems/minimum-k-to-reduce-array-within-limit/", "Minimum K to Reduce Array Within Limit")</f>
        <v>Minimum K to Reduce Array Within Limit</v>
      </c>
      <c r="C3825" s="1">
        <v>59</v>
      </c>
      <c r="D3825" s="1">
        <v>2</v>
      </c>
      <c r="E3825" s="3">
        <f>IF(INDEX(C:C, ROW())+INDEX(D:D, ROW())=0, 0, INDEX(C:C, ROW())/(INDEX(C:C, ROW())+INDEX(D:D, ROW())))</f>
        <v>0.96721311475409832</v>
      </c>
      <c r="F3825" s="1" t="s">
        <v>35</v>
      </c>
      <c r="G3825" s="1" t="s">
        <v>24</v>
      </c>
      <c r="H3825" s="1">
        <v>45404</v>
      </c>
      <c r="I3825" s="1">
        <v>110375</v>
      </c>
      <c r="J3825" s="7">
        <v>0.41099999999999998</v>
      </c>
      <c r="K3825" s="1" t="s">
        <v>21</v>
      </c>
      <c r="L3825" s="1" t="s">
        <v>29</v>
      </c>
      <c r="M3825" s="1" t="s">
        <v>29</v>
      </c>
      <c r="N3825" s="1" t="s">
        <v>22</v>
      </c>
    </row>
    <row r="3826" spans="1:14" x14ac:dyDescent="0.25">
      <c r="A3826" s="1">
        <v>3825</v>
      </c>
      <c r="B3826" s="2" t="str">
        <f>HYPERLINK("https://leetcode.com/problems/longest-strictly-increasing-subsequence-with-non-zero-bitwise-and/", "Longest Strictly Increasing Subsequence With Non-Zero Bitwise AND")</f>
        <v>Longest Strictly Increasing Subsequence With Non-Zero Bitwise AND</v>
      </c>
      <c r="C3826" s="1">
        <v>93</v>
      </c>
      <c r="D3826" s="1">
        <v>2</v>
      </c>
      <c r="E3826" s="3">
        <f>IF(INDEX(C:C, ROW())+INDEX(D:D, ROW())=0, 0, INDEX(C:C, ROW())/(INDEX(C:C, ROW())+INDEX(D:D, ROW())))</f>
        <v>0.97894736842105268</v>
      </c>
      <c r="F3826" s="1" t="s">
        <v>1190</v>
      </c>
      <c r="G3826" s="1" t="s">
        <v>24</v>
      </c>
      <c r="H3826" s="1">
        <v>21719</v>
      </c>
      <c r="I3826" s="1">
        <v>42773</v>
      </c>
      <c r="J3826" s="7">
        <v>0.50800000000000001</v>
      </c>
      <c r="K3826" s="1" t="s">
        <v>21</v>
      </c>
      <c r="L3826" s="1" t="s">
        <v>29</v>
      </c>
      <c r="M3826" s="1" t="s">
        <v>29</v>
      </c>
      <c r="N3826" s="1" t="s">
        <v>22</v>
      </c>
    </row>
    <row r="3827" spans="1:14" x14ac:dyDescent="0.25">
      <c r="A3827" s="1">
        <v>3826</v>
      </c>
      <c r="B3827" s="2" t="str">
        <f>HYPERLINK("https://leetcode.com/problems/minimum-partition-score/", "Minimum Partition Score")</f>
        <v>Minimum Partition Score</v>
      </c>
      <c r="C3827" s="1">
        <v>42</v>
      </c>
      <c r="D3827" s="1">
        <v>2</v>
      </c>
      <c r="E3827" s="3">
        <f>IF(INDEX(C:C, ROW())+INDEX(D:D, ROW())=0, 0, INDEX(C:C, ROW())/(INDEX(C:C, ROW())+INDEX(D:D, ROW())))</f>
        <v>0.95454545454545459</v>
      </c>
      <c r="F3827" s="1" t="s">
        <v>1282</v>
      </c>
      <c r="G3827" s="1" t="s">
        <v>28</v>
      </c>
      <c r="H3827" s="1">
        <v>6199</v>
      </c>
      <c r="I3827" s="1">
        <v>18336</v>
      </c>
      <c r="J3827" s="7">
        <v>0.33800000000000002</v>
      </c>
      <c r="K3827" s="1" t="s">
        <v>21</v>
      </c>
      <c r="L3827" s="1" t="s">
        <v>29</v>
      </c>
      <c r="M3827" s="1" t="s">
        <v>29</v>
      </c>
      <c r="N3827" s="1" t="s">
        <v>22</v>
      </c>
    </row>
    <row r="3828" spans="1:14" x14ac:dyDescent="0.25">
      <c r="A3828" s="1">
        <v>3827</v>
      </c>
      <c r="B3828" s="2" t="str">
        <f>HYPERLINK("https://leetcode.com/problems/count-monobit-integers/", "Count Monobit Integers")</f>
        <v>Count Monobit Integers</v>
      </c>
      <c r="C3828" s="1">
        <v>49</v>
      </c>
      <c r="D3828" s="1">
        <v>1</v>
      </c>
      <c r="E3828" s="3">
        <f>IF(INDEX(C:C, ROW())+INDEX(D:D, ROW())=0, 0, INDEX(C:C, ROW())/(INDEX(C:C, ROW())+INDEX(D:D, ROW())))</f>
        <v>0.98</v>
      </c>
      <c r="F3828" s="1" t="s">
        <v>1270</v>
      </c>
      <c r="G3828" s="1" t="s">
        <v>20</v>
      </c>
      <c r="H3828" s="1">
        <v>49046</v>
      </c>
      <c r="I3828" s="1">
        <v>74278</v>
      </c>
      <c r="J3828" s="7">
        <v>0.66</v>
      </c>
      <c r="K3828" s="1" t="s">
        <v>21</v>
      </c>
      <c r="L3828" s="1" t="s">
        <v>29</v>
      </c>
      <c r="M3828" s="1" t="s">
        <v>29</v>
      </c>
      <c r="N3828" s="1" t="s">
        <v>22</v>
      </c>
    </row>
    <row r="3829" spans="1:14" x14ac:dyDescent="0.25">
      <c r="A3829" s="1">
        <v>3828</v>
      </c>
      <c r="B3829" s="2" t="str">
        <f>HYPERLINK("https://leetcode.com/problems/final-element-after-subarray-deletions/", "Final Element After Subarray Deletions")</f>
        <v>Final Element After Subarray Deletions</v>
      </c>
      <c r="C3829" s="1">
        <v>103</v>
      </c>
      <c r="D3829" s="1">
        <v>20</v>
      </c>
      <c r="E3829" s="3">
        <f>IF(INDEX(C:C, ROW())+INDEX(D:D, ROW())=0, 0, INDEX(C:C, ROW())/(INDEX(C:C, ROW())+INDEX(D:D, ROW())))</f>
        <v>0.83739837398373984</v>
      </c>
      <c r="F3829" s="1" t="s">
        <v>1182</v>
      </c>
      <c r="G3829" s="1" t="s">
        <v>24</v>
      </c>
      <c r="H3829" s="1">
        <v>30437</v>
      </c>
      <c r="I3829" s="1">
        <v>76186</v>
      </c>
      <c r="J3829" s="7">
        <v>0.4</v>
      </c>
      <c r="K3829" s="1" t="s">
        <v>21</v>
      </c>
      <c r="L3829" s="1" t="s">
        <v>29</v>
      </c>
      <c r="M3829" s="1" t="s">
        <v>29</v>
      </c>
      <c r="N3829" s="1" t="s">
        <v>22</v>
      </c>
    </row>
    <row r="3830" spans="1:14" x14ac:dyDescent="0.25">
      <c r="A3830" s="1">
        <v>3829</v>
      </c>
      <c r="B3830" s="2" t="str">
        <f>HYPERLINK("https://leetcode.com/problems/design-ride-sharing-system/", "Design Ride Sharing System")</f>
        <v>Design Ride Sharing System</v>
      </c>
      <c r="C3830" s="1">
        <v>45</v>
      </c>
      <c r="D3830" s="1">
        <v>4</v>
      </c>
      <c r="E3830" s="3">
        <f>IF(INDEX(C:C, ROW())+INDEX(D:D, ROW())=0, 0, INDEX(C:C, ROW())/(INDEX(C:C, ROW())+INDEX(D:D, ROW())))</f>
        <v>0.91836734693877553</v>
      </c>
      <c r="F3830" s="1" t="s">
        <v>1278</v>
      </c>
      <c r="G3830" s="1" t="s">
        <v>24</v>
      </c>
      <c r="H3830" s="1">
        <v>26237</v>
      </c>
      <c r="I3830" s="1">
        <v>41478</v>
      </c>
      <c r="J3830" s="7">
        <v>0.63300000000000001</v>
      </c>
      <c r="K3830" s="1" t="s">
        <v>21</v>
      </c>
      <c r="L3830" s="1" t="s">
        <v>29</v>
      </c>
      <c r="M3830" s="1" t="s">
        <v>29</v>
      </c>
      <c r="N3830" s="1" t="s">
        <v>22</v>
      </c>
    </row>
    <row r="3831" spans="1:14" x14ac:dyDescent="0.25">
      <c r="A3831" s="1">
        <v>3830</v>
      </c>
      <c r="B3831" s="2" t="str">
        <f>HYPERLINK("https://leetcode.com/problems/longest-alternating-subarray-after-removing-at-most-one-element/", "Longest Alternating Subarray After Removing At Most One Element")</f>
        <v>Longest Alternating Subarray After Removing At Most One Element</v>
      </c>
      <c r="C3831" s="1">
        <v>67</v>
      </c>
      <c r="D3831" s="1">
        <v>1</v>
      </c>
      <c r="E3831" s="3">
        <f>IF(INDEX(C:C, ROW())+INDEX(D:D, ROW())=0, 0, INDEX(C:C, ROW())/(INDEX(C:C, ROW())+INDEX(D:D, ROW())))</f>
        <v>0.98529411764705888</v>
      </c>
      <c r="F3831" s="1" t="s">
        <v>1229</v>
      </c>
      <c r="G3831" s="1" t="s">
        <v>28</v>
      </c>
      <c r="H3831" s="1">
        <v>7398</v>
      </c>
      <c r="I3831" s="1">
        <v>24506</v>
      </c>
      <c r="J3831" s="7">
        <v>0.30199999999999999</v>
      </c>
      <c r="K3831" s="1" t="s">
        <v>21</v>
      </c>
      <c r="L3831" s="1" t="s">
        <v>29</v>
      </c>
      <c r="M3831" s="1" t="s">
        <v>29</v>
      </c>
      <c r="N3831" s="1" t="s">
        <v>22</v>
      </c>
    </row>
    <row r="3832" spans="1:14" x14ac:dyDescent="0.25">
      <c r="A3832" s="1">
        <v>3831</v>
      </c>
      <c r="B3832" s="2" t="str">
        <f>HYPERLINK("https://leetcode.com/problems/median-of-a-binary-search-tree-level/", "Median of a Binary Search Tree Level")</f>
        <v>Median of a Binary Search Tree Level</v>
      </c>
      <c r="C3832" s="1">
        <v>4</v>
      </c>
      <c r="D3832" s="1">
        <v>1</v>
      </c>
      <c r="E3832" s="3">
        <f>IF(INDEX(C:C, ROW())+INDEX(D:D, ROW())=0, 0, INDEX(C:C, ROW())/(INDEX(C:C, ROW())+INDEX(D:D, ROW())))</f>
        <v>0.8</v>
      </c>
      <c r="F3832" s="1" t="s">
        <v>273</v>
      </c>
      <c r="G3832" s="1" t="s">
        <v>24</v>
      </c>
      <c r="H3832" s="1">
        <v>655</v>
      </c>
      <c r="I3832" s="1">
        <v>711</v>
      </c>
      <c r="J3832" s="7">
        <v>0.92100000000000004</v>
      </c>
      <c r="K3832" s="1" t="s">
        <v>29</v>
      </c>
      <c r="L3832" s="1" t="s">
        <v>29</v>
      </c>
      <c r="M3832" s="1" t="s">
        <v>29</v>
      </c>
      <c r="N3832" s="1" t="s">
        <v>22</v>
      </c>
    </row>
    <row r="3833" spans="1:14" x14ac:dyDescent="0.25">
      <c r="A3833" s="1">
        <v>3832</v>
      </c>
      <c r="B3833" s="2" t="str">
        <f>HYPERLINK("https://leetcode.com/problems/find-users-with-persistent-behavior-patterns/", "Find Users with Persistent Behavior Patterns")</f>
        <v>Find Users with Persistent Behavior Patterns</v>
      </c>
      <c r="C3833" s="1">
        <v>21</v>
      </c>
      <c r="D3833" s="1">
        <v>0</v>
      </c>
      <c r="E3833" s="3">
        <f>IF(INDEX(C:C, ROW())+INDEX(D:D, ROW())=0, 0, INDEX(C:C, ROW())/(INDEX(C:C, ROW())+INDEX(D:D, ROW())))</f>
        <v>1</v>
      </c>
      <c r="G3833" s="1" t="s">
        <v>28</v>
      </c>
      <c r="H3833" s="1">
        <v>1361</v>
      </c>
      <c r="I3833" s="1">
        <v>2097</v>
      </c>
      <c r="J3833" s="7">
        <v>0.64900000000000002</v>
      </c>
      <c r="K3833" s="1" t="s">
        <v>21</v>
      </c>
      <c r="L3833" s="1" t="s">
        <v>29</v>
      </c>
      <c r="M3833" s="1" t="s">
        <v>29</v>
      </c>
      <c r="N3833" s="1" t="s">
        <v>297</v>
      </c>
    </row>
    <row r="3834" spans="1:14" x14ac:dyDescent="0.25">
      <c r="A3834" s="1">
        <v>3833</v>
      </c>
      <c r="B3834" s="2" t="str">
        <f>HYPERLINK("https://leetcode.com/problems/count-dominant-indices/", "Count Dominant Indices")</f>
        <v>Count Dominant Indices</v>
      </c>
      <c r="C3834" s="1">
        <v>45</v>
      </c>
      <c r="D3834" s="1">
        <v>1</v>
      </c>
      <c r="E3834" s="3">
        <f>IF(INDEX(C:C, ROW())+INDEX(D:D, ROW())=0, 0, INDEX(C:C, ROW())/(INDEX(C:C, ROW())+INDEX(D:D, ROW())))</f>
        <v>0.97826086956521741</v>
      </c>
      <c r="G3834" s="1" t="s">
        <v>20</v>
      </c>
      <c r="H3834" s="1">
        <v>53109</v>
      </c>
      <c r="I3834" s="1">
        <v>80948</v>
      </c>
      <c r="J3834" s="7">
        <v>0.65600000000000003</v>
      </c>
      <c r="K3834" s="1" t="s">
        <v>21</v>
      </c>
      <c r="L3834" s="1" t="s">
        <v>29</v>
      </c>
      <c r="M3834" s="1" t="s">
        <v>29</v>
      </c>
      <c r="N3834" s="1" t="s">
        <v>22</v>
      </c>
    </row>
    <row r="3835" spans="1:14" x14ac:dyDescent="0.25">
      <c r="A3835" s="1">
        <v>3834</v>
      </c>
      <c r="B3835" s="2" t="str">
        <f>HYPERLINK("https://leetcode.com/problems/merge-adjacent-equal-elements/", "Merge Adjacent Equal Elements")</f>
        <v>Merge Adjacent Equal Elements</v>
      </c>
      <c r="C3835" s="1">
        <v>83</v>
      </c>
      <c r="D3835" s="1">
        <v>2</v>
      </c>
      <c r="E3835" s="3">
        <f>IF(INDEX(C:C, ROW())+INDEX(D:D, ROW())=0, 0, INDEX(C:C, ROW())/(INDEX(C:C, ROW())+INDEX(D:D, ROW())))</f>
        <v>0.97647058823529409</v>
      </c>
      <c r="G3835" s="1" t="s">
        <v>24</v>
      </c>
      <c r="H3835" s="1">
        <v>41153</v>
      </c>
      <c r="I3835" s="1">
        <v>98602</v>
      </c>
      <c r="J3835" s="7">
        <v>0.41699999999999998</v>
      </c>
      <c r="K3835" s="1" t="s">
        <v>21</v>
      </c>
      <c r="L3835" s="1" t="s">
        <v>29</v>
      </c>
      <c r="M3835" s="1" t="s">
        <v>29</v>
      </c>
      <c r="N3835" s="1" t="s">
        <v>22</v>
      </c>
    </row>
    <row r="3836" spans="1:14" x14ac:dyDescent="0.25">
      <c r="A3836" s="1">
        <v>3835</v>
      </c>
      <c r="B3836" s="2" t="str">
        <f>HYPERLINK("https://leetcode.com/problems/count-subarrays-with-cost-less-than-or-equal-to-k/", "Count Subarrays With Cost Less Than or Equal to K")</f>
        <v>Count Subarrays With Cost Less Than or Equal to K</v>
      </c>
      <c r="C3836" s="1">
        <v>140</v>
      </c>
      <c r="D3836" s="1">
        <v>5</v>
      </c>
      <c r="E3836" s="3">
        <f>IF(INDEX(C:C, ROW())+INDEX(D:D, ROW())=0, 0, INDEX(C:C, ROW())/(INDEX(C:C, ROW())+INDEX(D:D, ROW())))</f>
        <v>0.96551724137931039</v>
      </c>
      <c r="G3836" s="1" t="s">
        <v>24</v>
      </c>
      <c r="H3836" s="1">
        <v>20865</v>
      </c>
      <c r="I3836" s="1">
        <v>46056</v>
      </c>
      <c r="J3836" s="7">
        <v>0.45300000000000001</v>
      </c>
      <c r="K3836" s="1" t="s">
        <v>21</v>
      </c>
      <c r="L3836" s="1" t="s">
        <v>29</v>
      </c>
      <c r="M3836" s="1" t="s">
        <v>29</v>
      </c>
      <c r="N3836" s="1" t="s">
        <v>22</v>
      </c>
    </row>
    <row r="3837" spans="1:14" x14ac:dyDescent="0.25">
      <c r="A3837" s="1">
        <v>3836</v>
      </c>
      <c r="B3837" s="2" t="str">
        <f>HYPERLINK("https://leetcode.com/problems/maximum-score-using-exactly-k-pairs/", "Maximum Score Using Exactly K Pairs")</f>
        <v>Maximum Score Using Exactly K Pairs</v>
      </c>
      <c r="C3837" s="1">
        <v>61</v>
      </c>
      <c r="D3837" s="1">
        <v>4</v>
      </c>
      <c r="E3837" s="3">
        <f>IF(INDEX(C:C, ROW())+INDEX(D:D, ROW())=0, 0, INDEX(C:C, ROW())/(INDEX(C:C, ROW())+INDEX(D:D, ROW())))</f>
        <v>0.93846153846153846</v>
      </c>
      <c r="G3837" s="1" t="s">
        <v>28</v>
      </c>
      <c r="H3837" s="1">
        <v>13527</v>
      </c>
      <c r="I3837" s="1">
        <v>32685</v>
      </c>
      <c r="J3837" s="7">
        <v>0.41399999999999998</v>
      </c>
      <c r="K3837" s="1" t="s">
        <v>21</v>
      </c>
      <c r="L3837" s="1" t="s">
        <v>29</v>
      </c>
      <c r="M3837" s="1" t="s">
        <v>29</v>
      </c>
      <c r="N3837" s="1" t="s">
        <v>22</v>
      </c>
    </row>
    <row r="3838" spans="1:14" x14ac:dyDescent="0.25">
      <c r="A3838" s="1">
        <v>3837</v>
      </c>
      <c r="B3838" s="2" t="str">
        <f>HYPERLINK("https://leetcode.com/problems/delayed-count-of-equal-elements/", "Delayed Count of Equal Elements")</f>
        <v>Delayed Count of Equal Elements</v>
      </c>
      <c r="C3838" s="1">
        <v>5</v>
      </c>
      <c r="D3838" s="1">
        <v>2</v>
      </c>
      <c r="E3838" s="3">
        <f>IF(INDEX(C:C, ROW())+INDEX(D:D, ROW())=0, 0, INDEX(C:C, ROW())/(INDEX(C:C, ROW())+INDEX(D:D, ROW())))</f>
        <v>0.7142857142857143</v>
      </c>
      <c r="G3838" s="1" t="s">
        <v>24</v>
      </c>
      <c r="H3838" s="1">
        <v>335</v>
      </c>
      <c r="I3838" s="1">
        <v>402</v>
      </c>
      <c r="J3838" s="7">
        <v>0.83299999999999996</v>
      </c>
      <c r="K3838" s="1" t="s">
        <v>29</v>
      </c>
      <c r="L3838" s="1" t="s">
        <v>29</v>
      </c>
      <c r="M3838" s="1" t="s">
        <v>29</v>
      </c>
      <c r="N3838" s="1" t="s">
        <v>22</v>
      </c>
    </row>
    <row r="3839" spans="1:14" x14ac:dyDescent="0.25">
      <c r="A3839" s="1">
        <v>3838</v>
      </c>
      <c r="B3839" s="2" t="str">
        <f>HYPERLINK("https://leetcode.com/problems/weighted-word-mapping/", "Weighted Word Mapping")</f>
        <v>Weighted Word Mapping</v>
      </c>
      <c r="C3839" s="1">
        <v>29</v>
      </c>
      <c r="D3839" s="1">
        <v>1</v>
      </c>
      <c r="E3839" s="3">
        <f>IF(INDEX(C:C, ROW())+INDEX(D:D, ROW())=0, 0, INDEX(C:C, ROW())/(INDEX(C:C, ROW())+INDEX(D:D, ROW())))</f>
        <v>0.96666666666666667</v>
      </c>
      <c r="G3839" s="1" t="s">
        <v>20</v>
      </c>
      <c r="H3839" s="1">
        <v>42931</v>
      </c>
      <c r="I3839" s="1">
        <v>50528</v>
      </c>
      <c r="J3839" s="7">
        <v>0.85</v>
      </c>
      <c r="K3839" s="1" t="s">
        <v>21</v>
      </c>
      <c r="L3839" s="1" t="s">
        <v>29</v>
      </c>
      <c r="M3839" s="1" t="s">
        <v>29</v>
      </c>
      <c r="N3839" s="1" t="s">
        <v>22</v>
      </c>
    </row>
    <row r="3840" spans="1:14" x14ac:dyDescent="0.25">
      <c r="A3840" s="1">
        <v>3839</v>
      </c>
      <c r="B3840" s="2" t="str">
        <f>HYPERLINK("https://leetcode.com/problems/number-of-prefix-connected-groups/", "Number of Prefix Connected Groups")</f>
        <v>Number of Prefix Connected Groups</v>
      </c>
      <c r="C3840" s="1">
        <v>43</v>
      </c>
      <c r="D3840" s="1">
        <v>2</v>
      </c>
      <c r="E3840" s="3">
        <f>IF(INDEX(C:C, ROW())+INDEX(D:D, ROW())=0, 0, INDEX(C:C, ROW())/(INDEX(C:C, ROW())+INDEX(D:D, ROW())))</f>
        <v>0.9555555555555556</v>
      </c>
      <c r="G3840" s="1" t="s">
        <v>24</v>
      </c>
      <c r="H3840" s="1">
        <v>35967</v>
      </c>
      <c r="I3840" s="1">
        <v>59356</v>
      </c>
      <c r="J3840" s="7">
        <v>0.60599999999999998</v>
      </c>
      <c r="K3840" s="1" t="s">
        <v>21</v>
      </c>
      <c r="L3840" s="1" t="s">
        <v>29</v>
      </c>
      <c r="M3840" s="1" t="s">
        <v>29</v>
      </c>
      <c r="N3840" s="1" t="s">
        <v>22</v>
      </c>
    </row>
    <row r="3841" spans="1:14" x14ac:dyDescent="0.25">
      <c r="A3841" s="1">
        <v>3840</v>
      </c>
      <c r="B3841" s="2" t="str">
        <f>HYPERLINK("https://leetcode.com/problems/house-robber-v/", "House Robber V")</f>
        <v>House Robber V</v>
      </c>
      <c r="C3841" s="1">
        <v>65</v>
      </c>
      <c r="D3841" s="1">
        <v>2</v>
      </c>
      <c r="E3841" s="3">
        <f>IF(INDEX(C:C, ROW())+INDEX(D:D, ROW())=0, 0, INDEX(C:C, ROW())/(INDEX(C:C, ROW())+INDEX(D:D, ROW())))</f>
        <v>0.97014925373134331</v>
      </c>
      <c r="G3841" s="1" t="s">
        <v>24</v>
      </c>
      <c r="H3841" s="1">
        <v>27716</v>
      </c>
      <c r="I3841" s="1">
        <v>51169</v>
      </c>
      <c r="J3841" s="7">
        <v>0.54200000000000004</v>
      </c>
      <c r="K3841" s="1" t="s">
        <v>21</v>
      </c>
      <c r="L3841" s="1" t="s">
        <v>29</v>
      </c>
      <c r="M3841" s="1" t="s">
        <v>29</v>
      </c>
      <c r="N3841" s="1" t="s">
        <v>22</v>
      </c>
    </row>
    <row r="3842" spans="1:14" x14ac:dyDescent="0.25">
      <c r="A3842" s="1">
        <v>3841</v>
      </c>
      <c r="B3842" s="2" t="str">
        <f>HYPERLINK("https://leetcode.com/problems/palindromic-path-queries-in-a-tree/", "Palindromic Path Queries in a Tree")</f>
        <v>Palindromic Path Queries in a Tree</v>
      </c>
      <c r="C3842" s="1">
        <v>47</v>
      </c>
      <c r="D3842" s="1">
        <v>1</v>
      </c>
      <c r="E3842" s="3">
        <f>IF(INDEX(C:C, ROW())+INDEX(D:D, ROW())=0, 0, INDEX(C:C, ROW())/(INDEX(C:C, ROW())+INDEX(D:D, ROW())))</f>
        <v>0.97916666666666663</v>
      </c>
      <c r="G3842" s="1" t="s">
        <v>28</v>
      </c>
      <c r="H3842" s="1">
        <v>3141</v>
      </c>
      <c r="I3842" s="1">
        <v>9145</v>
      </c>
      <c r="J3842" s="7">
        <v>0.34300000000000003</v>
      </c>
      <c r="K3842" s="1" t="s">
        <v>21</v>
      </c>
      <c r="L3842" s="1" t="s">
        <v>29</v>
      </c>
      <c r="M3842" s="1" t="s">
        <v>29</v>
      </c>
      <c r="N3842" s="1" t="s">
        <v>22</v>
      </c>
    </row>
    <row r="3843" spans="1:14" x14ac:dyDescent="0.25">
      <c r="A3843" s="1">
        <v>3842</v>
      </c>
      <c r="B3843" s="2" t="str">
        <f>HYPERLINK("https://leetcode.com/problems/toggle-light-bulbs/", "Toggle Light Bulbs")</f>
        <v>Toggle Light Bulbs</v>
      </c>
      <c r="C3843" s="1">
        <v>50</v>
      </c>
      <c r="D3843" s="1">
        <v>2</v>
      </c>
      <c r="E3843" s="3">
        <f>IF(INDEX(C:C, ROW())+INDEX(D:D, ROW())=0, 0, INDEX(C:C, ROW())/(INDEX(C:C, ROW())+INDEX(D:D, ROW())))</f>
        <v>0.96153846153846156</v>
      </c>
      <c r="G3843" s="1" t="s">
        <v>20</v>
      </c>
      <c r="H3843" s="1">
        <v>52320</v>
      </c>
      <c r="I3843" s="1">
        <v>72971</v>
      </c>
      <c r="J3843" s="7">
        <v>0.71699999999999997</v>
      </c>
      <c r="K3843" s="1" t="s">
        <v>21</v>
      </c>
      <c r="L3843" s="1" t="s">
        <v>29</v>
      </c>
      <c r="M3843" s="1" t="s">
        <v>29</v>
      </c>
      <c r="N3843" s="1" t="s">
        <v>22</v>
      </c>
    </row>
    <row r="3844" spans="1:14" x14ac:dyDescent="0.25">
      <c r="A3844" s="1">
        <v>3843</v>
      </c>
      <c r="B3844" s="2" t="str">
        <f>HYPERLINK("https://leetcode.com/problems/first-element-with-unique-frequency/", "First Element with Unique Frequency")</f>
        <v>First Element with Unique Frequency</v>
      </c>
      <c r="C3844" s="1">
        <v>67</v>
      </c>
      <c r="D3844" s="1">
        <v>5</v>
      </c>
      <c r="E3844" s="3">
        <f>IF(INDEX(C:C, ROW())+INDEX(D:D, ROW())=0, 0, INDEX(C:C, ROW())/(INDEX(C:C, ROW())+INDEX(D:D, ROW())))</f>
        <v>0.93055555555555558</v>
      </c>
      <c r="G3844" s="1" t="s">
        <v>24</v>
      </c>
      <c r="H3844" s="1">
        <v>43388</v>
      </c>
      <c r="I3844" s="1">
        <v>62385</v>
      </c>
      <c r="J3844" s="7">
        <v>0.69499999999999995</v>
      </c>
      <c r="K3844" s="1" t="s">
        <v>21</v>
      </c>
      <c r="L3844" s="1" t="s">
        <v>29</v>
      </c>
      <c r="M3844" s="1" t="s">
        <v>29</v>
      </c>
      <c r="N3844" s="1" t="s">
        <v>22</v>
      </c>
    </row>
    <row r="3845" spans="1:14" x14ac:dyDescent="0.25">
      <c r="A3845" s="1">
        <v>3844</v>
      </c>
      <c r="B3845" s="2" t="str">
        <f>HYPERLINK("https://leetcode.com/problems/longest-almost-palindromic-substring/", "Longest Almost-Palindromic Substring")</f>
        <v>Longest Almost-Palindromic Substring</v>
      </c>
      <c r="C3845" s="1">
        <v>126</v>
      </c>
      <c r="D3845" s="1">
        <v>11</v>
      </c>
      <c r="E3845" s="3">
        <f>IF(INDEX(C:C, ROW())+INDEX(D:D, ROW())=0, 0, INDEX(C:C, ROW())/(INDEX(C:C, ROW())+INDEX(D:D, ROW())))</f>
        <v>0.91970802919708028</v>
      </c>
      <c r="G3845" s="1" t="s">
        <v>24</v>
      </c>
      <c r="H3845" s="1">
        <v>12763</v>
      </c>
      <c r="I3845" s="1">
        <v>59071</v>
      </c>
      <c r="J3845" s="7">
        <v>0.216</v>
      </c>
      <c r="K3845" s="1" t="s">
        <v>21</v>
      </c>
      <c r="L3845" s="1" t="s">
        <v>29</v>
      </c>
      <c r="M3845" s="1" t="s">
        <v>29</v>
      </c>
      <c r="N3845" s="1" t="s">
        <v>22</v>
      </c>
    </row>
    <row r="3846" spans="1:14" x14ac:dyDescent="0.25">
      <c r="A3846" s="1">
        <v>3845</v>
      </c>
      <c r="B3846" s="2" t="str">
        <f>HYPERLINK("https://leetcode.com/problems/maximum-subarray-xor-with-bounded-range/", "Maximum Subarray XOR with Bounded Range")</f>
        <v>Maximum Subarray XOR with Bounded Range</v>
      </c>
      <c r="C3846" s="1">
        <v>55</v>
      </c>
      <c r="D3846" s="1">
        <v>1</v>
      </c>
      <c r="E3846" s="3">
        <f>IF(INDEX(C:C, ROW())+INDEX(D:D, ROW())=0, 0, INDEX(C:C, ROW())/(INDEX(C:C, ROW())+INDEX(D:D, ROW())))</f>
        <v>0.9821428571428571</v>
      </c>
      <c r="G3846" s="1" t="s">
        <v>28</v>
      </c>
      <c r="H3846" s="1">
        <v>4176</v>
      </c>
      <c r="I3846" s="1">
        <v>13605</v>
      </c>
      <c r="J3846" s="7">
        <v>0.307</v>
      </c>
      <c r="K3846" s="1" t="s">
        <v>21</v>
      </c>
      <c r="L3846" s="1" t="s">
        <v>29</v>
      </c>
      <c r="M3846" s="1" t="s">
        <v>29</v>
      </c>
      <c r="N3846" s="1" t="s">
        <v>22</v>
      </c>
    </row>
    <row r="3847" spans="1:14" x14ac:dyDescent="0.25">
      <c r="A3847" s="1">
        <v>3846</v>
      </c>
      <c r="B3847" s="2" t="str">
        <f>HYPERLINK("https://leetcode.com/problems/total-distance-to-type-a-string-using-one-finger/", "Total Distance to Type a String Using One Finger")</f>
        <v>Total Distance to Type a String Using One Finger</v>
      </c>
      <c r="C3847" s="1">
        <v>4</v>
      </c>
      <c r="D3847" s="1">
        <v>1</v>
      </c>
      <c r="E3847" s="3">
        <f>IF(INDEX(C:C, ROW())+INDEX(D:D, ROW())=0, 0, INDEX(C:C, ROW())/(INDEX(C:C, ROW())+INDEX(D:D, ROW())))</f>
        <v>0.8</v>
      </c>
      <c r="G3847" s="1" t="s">
        <v>24</v>
      </c>
      <c r="H3847" s="1">
        <v>422</v>
      </c>
      <c r="I3847" s="1">
        <v>452</v>
      </c>
      <c r="J3847" s="7">
        <v>0.93400000000000005</v>
      </c>
      <c r="K3847" s="1" t="s">
        <v>29</v>
      </c>
      <c r="L3847" s="1" t="s">
        <v>29</v>
      </c>
      <c r="M3847" s="1" t="s">
        <v>29</v>
      </c>
      <c r="N3847" s="1" t="s">
        <v>22</v>
      </c>
    </row>
    <row r="3848" spans="1:14" x14ac:dyDescent="0.25">
      <c r="A3848" s="1">
        <v>3847</v>
      </c>
      <c r="B3848" s="2" t="str">
        <f>HYPERLINK("https://leetcode.com/problems/find-the-score-difference-in-a-game/", "Find the Score Difference in a Game")</f>
        <v>Find the Score Difference in a Game</v>
      </c>
      <c r="C3848" s="1">
        <v>29</v>
      </c>
      <c r="D3848" s="1">
        <v>4</v>
      </c>
      <c r="E3848" s="3">
        <f>IF(INDEX(C:C, ROW())+INDEX(D:D, ROW())=0, 0, INDEX(C:C, ROW())/(INDEX(C:C, ROW())+INDEX(D:D, ROW())))</f>
        <v>0.87878787878787878</v>
      </c>
      <c r="G3848" s="1" t="s">
        <v>24</v>
      </c>
      <c r="H3848" s="1">
        <v>42874</v>
      </c>
      <c r="I3848" s="1">
        <v>60204</v>
      </c>
      <c r="J3848" s="7">
        <v>0.71199999999999997</v>
      </c>
      <c r="K3848" s="1" t="s">
        <v>21</v>
      </c>
      <c r="L3848" s="1" t="s">
        <v>29</v>
      </c>
      <c r="M3848" s="1" t="s">
        <v>29</v>
      </c>
      <c r="N3848" s="1" t="s">
        <v>22</v>
      </c>
    </row>
    <row r="3849" spans="1:14" x14ac:dyDescent="0.25">
      <c r="A3849" s="1">
        <v>3848</v>
      </c>
      <c r="B3849" s="2" t="str">
        <f>HYPERLINK("https://leetcode.com/problems/check-digitorial-permutation/", "Check Digitorial Permutation")</f>
        <v>Check Digitorial Permutation</v>
      </c>
      <c r="C3849" s="1">
        <v>33</v>
      </c>
      <c r="D3849" s="1">
        <v>2</v>
      </c>
      <c r="E3849" s="3">
        <f>IF(INDEX(C:C, ROW())+INDEX(D:D, ROW())=0, 0, INDEX(C:C, ROW())/(INDEX(C:C, ROW())+INDEX(D:D, ROW())))</f>
        <v>0.94285714285714284</v>
      </c>
      <c r="G3849" s="1" t="s">
        <v>24</v>
      </c>
      <c r="H3849" s="1">
        <v>34209</v>
      </c>
      <c r="I3849" s="1">
        <v>74577</v>
      </c>
      <c r="J3849" s="7">
        <v>0.45900000000000002</v>
      </c>
      <c r="K3849" s="1" t="s">
        <v>21</v>
      </c>
      <c r="L3849" s="1" t="s">
        <v>29</v>
      </c>
      <c r="M3849" s="1" t="s">
        <v>29</v>
      </c>
      <c r="N3849" s="1" t="s">
        <v>22</v>
      </c>
    </row>
    <row r="3850" spans="1:14" x14ac:dyDescent="0.25">
      <c r="A3850" s="1">
        <v>3849</v>
      </c>
      <c r="B3850" s="2" t="str">
        <f>HYPERLINK("https://leetcode.com/problems/maximum-bitwise-xor-after-rearrangement/", "Maximum Bitwise XOR After Rearrangement")</f>
        <v>Maximum Bitwise XOR After Rearrangement</v>
      </c>
      <c r="C3850" s="1">
        <v>31</v>
      </c>
      <c r="D3850" s="1">
        <v>1</v>
      </c>
      <c r="E3850" s="3">
        <f>IF(INDEX(C:C, ROW())+INDEX(D:D, ROW())=0, 0, INDEX(C:C, ROW())/(INDEX(C:C, ROW())+INDEX(D:D, ROW())))</f>
        <v>0.96875</v>
      </c>
      <c r="G3850" s="1" t="s">
        <v>24</v>
      </c>
      <c r="H3850" s="1">
        <v>26188</v>
      </c>
      <c r="I3850" s="1">
        <v>37203</v>
      </c>
      <c r="J3850" s="7">
        <v>0.70399999999999996</v>
      </c>
      <c r="K3850" s="1" t="s">
        <v>21</v>
      </c>
      <c r="L3850" s="1" t="s">
        <v>29</v>
      </c>
      <c r="M3850" s="1" t="s">
        <v>29</v>
      </c>
      <c r="N3850" s="1" t="s">
        <v>22</v>
      </c>
    </row>
    <row r="3851" spans="1:14" x14ac:dyDescent="0.25">
      <c r="A3851" s="1">
        <v>3850</v>
      </c>
      <c r="B3851" s="2" t="str">
        <f>HYPERLINK("https://leetcode.com/problems/count-sequences-to-k/", "Count Sequences to K")</f>
        <v>Count Sequences to K</v>
      </c>
      <c r="C3851" s="1">
        <v>65</v>
      </c>
      <c r="D3851" s="1">
        <v>6</v>
      </c>
      <c r="E3851" s="3">
        <f>IF(INDEX(C:C, ROW())+INDEX(D:D, ROW())=0, 0, INDEX(C:C, ROW())/(INDEX(C:C, ROW())+INDEX(D:D, ROW())))</f>
        <v>0.91549295774647887</v>
      </c>
      <c r="G3851" s="1" t="s">
        <v>28</v>
      </c>
      <c r="H3851" s="1">
        <v>11176</v>
      </c>
      <c r="I3851" s="1">
        <v>32373</v>
      </c>
      <c r="J3851" s="7">
        <v>0.34499999999999997</v>
      </c>
      <c r="K3851" s="1" t="s">
        <v>21</v>
      </c>
      <c r="L3851" s="1" t="s">
        <v>29</v>
      </c>
      <c r="M3851" s="1" t="s">
        <v>29</v>
      </c>
      <c r="N3851" s="1" t="s">
        <v>22</v>
      </c>
    </row>
    <row r="3852" spans="1:14" x14ac:dyDescent="0.25">
      <c r="A3852" s="1">
        <v>3851</v>
      </c>
      <c r="B3852" s="2" t="str">
        <f>HYPERLINK("https://leetcode.com/problems/maximum-requests-without-violating-the-limit/", "Maximum Requests Without Violating the Limit")</f>
        <v>Maximum Requests Without Violating the Limit</v>
      </c>
      <c r="C3852" s="1">
        <v>1</v>
      </c>
      <c r="D3852" s="1">
        <v>0</v>
      </c>
      <c r="E3852" s="3">
        <f>IF(INDEX(C:C, ROW())+INDEX(D:D, ROW())=0, 0, INDEX(C:C, ROW())/(INDEX(C:C, ROW())+INDEX(D:D, ROW())))</f>
        <v>1</v>
      </c>
      <c r="G3852" s="1" t="s">
        <v>24</v>
      </c>
      <c r="H3852" s="1">
        <v>24</v>
      </c>
      <c r="I3852" s="1">
        <v>41</v>
      </c>
      <c r="J3852" s="7">
        <v>0.58499999999999996</v>
      </c>
      <c r="K3852" s="1" t="s">
        <v>29</v>
      </c>
      <c r="L3852" s="1" t="s">
        <v>29</v>
      </c>
      <c r="M3852" s="1" t="s">
        <v>29</v>
      </c>
      <c r="N3852" s="1" t="s">
        <v>22</v>
      </c>
    </row>
  </sheetData>
  <autoFilter ref="A1:N3852" xr:uid="{00000000-0009-0000-0000-000000000000}">
    <sortState xmlns:xlrd2="http://schemas.microsoft.com/office/spreadsheetml/2017/richdata2" ref="A2:N3852">
      <sortCondition ref="A1:A3852"/>
    </sortState>
  </autoFilter>
  <customSheetViews>
    <customSheetView guid="{313A068B-4C18-4BE4-8EFF-F8FE2E4ABD50}" filter="1" showAutoFilter="1">
      <pageMargins left="0.7" right="0.7" top="0.75" bottom="0.75" header="0.3" footer="0.3"/>
      <autoFilter ref="A2:N4" xr:uid="{84157531-0CBF-4BAA-B598-C23F65A9450E}">
        <sortState xmlns:xlrd2="http://schemas.microsoft.com/office/spreadsheetml/2017/richdata2" ref="A2:N4">
          <sortCondition descending="1" ref="C2:C4"/>
        </sortState>
      </autoFilter>
    </customSheetView>
  </customSheetViews>
  <conditionalFormatting sqref="F1:N3852">
    <cfRule type="cellIs" dxfId="734" priority="1" stopIfTrue="1" operator="equal">
      <formula>"Hard"</formula>
    </cfRule>
    <cfRule type="cellIs" dxfId="733" priority="2" stopIfTrue="1" operator="equal">
      <formula>"Medium"</formula>
    </cfRule>
    <cfRule type="cellIs" dxfId="732" priority="3" stopIfTrue="1" operator="equal">
      <formula>"Easy"</formula>
    </cfRule>
  </conditionalFormatting>
  <conditionalFormatting sqref="J1:N3852">
    <cfRule type="cellIs" dxfId="731" priority="8" stopIfTrue="1" operator="equal">
      <formula>"No"</formula>
    </cfRule>
    <cfRule type="cellIs" dxfId="730" priority="9" stopIfTrue="1" operator="equal">
      <formula>"Yes"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3815"/>
  <sheetViews>
    <sheetView workbookViewId="0">
      <pane ySplit="3" topLeftCell="A4" activePane="bottomLeft" state="frozen"/>
      <selection pane="bottomLeft" activeCell="B5" sqref="B5"/>
    </sheetView>
  </sheetViews>
  <sheetFormatPr defaultColWidth="12.6640625" defaultRowHeight="15.75" customHeight="1" x14ac:dyDescent="0.25"/>
  <cols>
    <col min="1" max="1" width="6.33203125" customWidth="1"/>
    <col min="2" max="2" width="27.6640625" customWidth="1"/>
    <col min="3" max="4" width="11.33203125" customWidth="1"/>
    <col min="5" max="5" width="12.6640625" customWidth="1"/>
    <col min="6" max="6" width="22.6640625" customWidth="1"/>
    <col min="7" max="7" width="12.6640625" customWidth="1"/>
    <col min="8" max="9" width="17.6640625" customWidth="1"/>
    <col min="10" max="14" width="12.6640625" customWidth="1"/>
    <col min="15" max="15" width="25.109375" customWidth="1"/>
  </cols>
  <sheetData>
    <row r="1" spans="1:15" x14ac:dyDescent="0.25">
      <c r="A1" s="1" t="s">
        <v>1349</v>
      </c>
      <c r="D1" s="2" t="str">
        <f>HYPERLINK("https://github.com/noworneverev/leetcode-api", "⭐ Star me on GitHub")</f>
        <v>⭐ Star me on GitHub</v>
      </c>
      <c r="E1" s="3"/>
      <c r="N1" s="4" t="s">
        <v>0</v>
      </c>
      <c r="O1" s="1" t="s">
        <v>1</v>
      </c>
    </row>
    <row r="2" spans="1:15" x14ac:dyDescent="0.25">
      <c r="A2" s="1" t="s">
        <v>1350</v>
      </c>
      <c r="D2" s="2" t="str">
        <f>HYPERLINK("https://www.linkedin.com/in/yan-ying-liao/", "🦙 Follow/Connect with me on LinkedIn")</f>
        <v>🦙 Follow/Connect with me on LinkedIn</v>
      </c>
      <c r="E2" s="3"/>
      <c r="N2" s="4" t="s">
        <v>2</v>
      </c>
      <c r="O2" s="1" t="s">
        <v>3</v>
      </c>
    </row>
    <row r="3" spans="1:15" x14ac:dyDescent="0.25">
      <c r="A3" s="5" t="s">
        <v>4</v>
      </c>
      <c r="B3" s="5" t="s">
        <v>5</v>
      </c>
      <c r="C3" s="5" t="s">
        <v>6</v>
      </c>
      <c r="D3" s="5" t="s">
        <v>7</v>
      </c>
      <c r="E3" s="6" t="s">
        <v>8</v>
      </c>
      <c r="F3" s="5" t="s">
        <v>9</v>
      </c>
      <c r="G3" s="5" t="s">
        <v>10</v>
      </c>
      <c r="H3" s="5" t="s">
        <v>11</v>
      </c>
      <c r="I3" s="5" t="s">
        <v>12</v>
      </c>
      <c r="J3" s="5" t="s">
        <v>13</v>
      </c>
      <c r="K3" s="5" t="s">
        <v>14</v>
      </c>
      <c r="L3" s="5" t="s">
        <v>15</v>
      </c>
      <c r="M3" s="5" t="s">
        <v>16</v>
      </c>
      <c r="N3" s="5" t="s">
        <v>17</v>
      </c>
      <c r="O3" s="5" t="s">
        <v>18</v>
      </c>
    </row>
    <row r="4" spans="1:15" x14ac:dyDescent="0.25">
      <c r="A4" s="1">
        <v>1</v>
      </c>
      <c r="B4" s="2" t="str">
        <f>HYPERLINK("https://leetcode.com/problems/two-sum/", "Two Sum")</f>
        <v>Two Sum</v>
      </c>
      <c r="C4" s="1">
        <v>66758</v>
      </c>
      <c r="D4" s="1">
        <v>2484</v>
      </c>
      <c r="E4" s="3">
        <f t="shared" ref="E4:E258" si="0">IF(INDEX(C:C, ROW())+INDEX(D:D, ROW())=0, 0, INDEX(C:C, ROW())/(INDEX(C:C, ROW())+INDEX(D:D, ROW())))</f>
        <v>0.96412581958926657</v>
      </c>
      <c r="F4" s="1" t="s">
        <v>19</v>
      </c>
      <c r="G4" s="1" t="s">
        <v>20</v>
      </c>
      <c r="H4" s="1">
        <v>20247382</v>
      </c>
      <c r="I4" s="1">
        <v>35615119</v>
      </c>
      <c r="J4" s="7">
        <v>0.56899999999999995</v>
      </c>
      <c r="K4" s="1" t="s">
        <v>21</v>
      </c>
      <c r="L4" s="1" t="s">
        <v>21</v>
      </c>
      <c r="M4" s="1" t="s">
        <v>21</v>
      </c>
      <c r="N4" s="1" t="s">
        <v>22</v>
      </c>
      <c r="O4" s="1" t="str">
        <f t="shared" ref="O4:O258" ca="1" si="1"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>Please solve the LeetCode problem '1. Two Sum'.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" spans="1:15" x14ac:dyDescent="0.25">
      <c r="A5" s="1">
        <v>3</v>
      </c>
      <c r="B5" s="2" t="str">
        <f>HYPERLINK("https://leetcode.com/problems/longest-substring-without-repeating-characters/", "Longest Substring Without Repeating Characters")</f>
        <v>Longest Substring Without Repeating Characters</v>
      </c>
      <c r="C5" s="1">
        <v>44099</v>
      </c>
      <c r="D5" s="1">
        <v>2161</v>
      </c>
      <c r="E5" s="3">
        <f t="shared" si="0"/>
        <v>0.95328577604842202</v>
      </c>
      <c r="F5" s="1" t="s">
        <v>23</v>
      </c>
      <c r="G5" s="1" t="s">
        <v>24</v>
      </c>
      <c r="H5" s="1">
        <v>8782782</v>
      </c>
      <c r="I5" s="1">
        <v>22976320</v>
      </c>
      <c r="J5" s="7">
        <v>0.38200000000000001</v>
      </c>
      <c r="K5" s="1" t="s">
        <v>21</v>
      </c>
      <c r="L5" s="1" t="s">
        <v>21</v>
      </c>
      <c r="M5" s="1" t="s">
        <v>21</v>
      </c>
      <c r="N5" s="1" t="s">
        <v>22</v>
      </c>
      <c r="O5" s="1" t="str">
        <f t="shared" ca="1" si="1"/>
        <v>Please solve the LeetCode problem '3. Longest Substring Without Repeating Characters'.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" spans="1:15" x14ac:dyDescent="0.25">
      <c r="A6" s="1">
        <v>53</v>
      </c>
      <c r="B6" s="2" t="str">
        <f>HYPERLINK("https://leetcode.com/problems/maximum-subarray/", "Maximum Subarray")</f>
        <v>Maximum Subarray</v>
      </c>
      <c r="C6" s="1">
        <v>37261</v>
      </c>
      <c r="D6" s="1">
        <v>1580</v>
      </c>
      <c r="E6" s="3">
        <f t="shared" si="0"/>
        <v>0.95932133570196443</v>
      </c>
      <c r="F6" s="1" t="s">
        <v>25</v>
      </c>
      <c r="G6" s="1" t="s">
        <v>24</v>
      </c>
      <c r="H6" s="1">
        <v>5730370</v>
      </c>
      <c r="I6" s="1">
        <v>10848630</v>
      </c>
      <c r="J6" s="7">
        <v>0.52800000000000002</v>
      </c>
      <c r="K6" s="1" t="s">
        <v>21</v>
      </c>
      <c r="L6" s="1" t="s">
        <v>21</v>
      </c>
      <c r="M6" s="1" t="s">
        <v>21</v>
      </c>
      <c r="N6" s="1" t="s">
        <v>22</v>
      </c>
      <c r="O6" s="1" t="str">
        <f t="shared" ca="1" si="1"/>
        <v>Please solve the LeetCode problem '53. Maximum Subarray'.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" spans="1:15" x14ac:dyDescent="0.25">
      <c r="A7" s="1">
        <v>2</v>
      </c>
      <c r="B7" s="2" t="str">
        <f>HYPERLINK("https://leetcode.com/problems/add-two-numbers/", "Add Two Numbers")</f>
        <v>Add Two Numbers</v>
      </c>
      <c r="C7" s="1">
        <v>35933</v>
      </c>
      <c r="D7" s="1">
        <v>7123</v>
      </c>
      <c r="E7" s="3">
        <f t="shared" si="0"/>
        <v>0.83456428836863616</v>
      </c>
      <c r="F7" s="1" t="s">
        <v>26</v>
      </c>
      <c r="G7" s="1" t="s">
        <v>24</v>
      </c>
      <c r="H7" s="1">
        <v>6617816</v>
      </c>
      <c r="I7" s="1">
        <v>13883238</v>
      </c>
      <c r="J7" s="7">
        <v>0.47699999999999998</v>
      </c>
      <c r="K7" s="1" t="s">
        <v>21</v>
      </c>
      <c r="L7" s="1" t="s">
        <v>21</v>
      </c>
      <c r="M7" s="1" t="s">
        <v>21</v>
      </c>
      <c r="N7" s="1" t="s">
        <v>22</v>
      </c>
      <c r="O7" s="1" t="str">
        <f t="shared" ca="1" si="1"/>
        <v>Please solve the LeetCode problem '2. Add Two Numbers'.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" spans="1:15" x14ac:dyDescent="0.25">
      <c r="A8" s="1">
        <v>42</v>
      </c>
      <c r="B8" s="2" t="str">
        <f>HYPERLINK("https://leetcode.com/problems/trapping-rain-water/", "Trapping Rain Water")</f>
        <v>Trapping Rain Water</v>
      </c>
      <c r="C8" s="1">
        <v>35776</v>
      </c>
      <c r="D8" s="1">
        <v>672</v>
      </c>
      <c r="E8" s="3">
        <f t="shared" si="0"/>
        <v>0.98156277436347672</v>
      </c>
      <c r="F8" s="1" t="s">
        <v>27</v>
      </c>
      <c r="G8" s="1" t="s">
        <v>28</v>
      </c>
      <c r="H8" s="1">
        <v>3305733</v>
      </c>
      <c r="I8" s="1">
        <v>4969741</v>
      </c>
      <c r="J8" s="7">
        <v>0.66500000000000004</v>
      </c>
      <c r="K8" s="1" t="s">
        <v>21</v>
      </c>
      <c r="L8" s="1" t="s">
        <v>21</v>
      </c>
      <c r="M8" s="1" t="s">
        <v>29</v>
      </c>
      <c r="N8" s="1" t="s">
        <v>22</v>
      </c>
      <c r="O8" s="1" t="str">
        <f t="shared" ca="1" si="1"/>
        <v>Please solve the LeetCode problem '42. Trapping Rain Water'.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" spans="1:15" x14ac:dyDescent="0.25">
      <c r="A9" s="1">
        <v>121</v>
      </c>
      <c r="B9" s="2" t="str">
        <f>HYPERLINK("https://leetcode.com/problems/best-time-to-buy-and-sell-stock/", "Best Time to Buy and Sell Stock")</f>
        <v>Best Time to Buy and Sell Stock</v>
      </c>
      <c r="C9" s="1">
        <v>34990</v>
      </c>
      <c r="D9" s="1">
        <v>1390</v>
      </c>
      <c r="E9" s="3">
        <f t="shared" si="0"/>
        <v>0.96179219351291922</v>
      </c>
      <c r="F9" s="1" t="s">
        <v>30</v>
      </c>
      <c r="G9" s="1" t="s">
        <v>20</v>
      </c>
      <c r="H9" s="1">
        <v>7460036</v>
      </c>
      <c r="I9" s="1">
        <v>13271209</v>
      </c>
      <c r="J9" s="7">
        <v>0.56200000000000006</v>
      </c>
      <c r="K9" s="1" t="s">
        <v>21</v>
      </c>
      <c r="L9" s="1" t="s">
        <v>21</v>
      </c>
      <c r="M9" s="1" t="s">
        <v>21</v>
      </c>
      <c r="N9" s="1" t="s">
        <v>22</v>
      </c>
      <c r="O9" s="1" t="str">
        <f t="shared" ca="1" si="1"/>
        <v>Please solve the LeetCode problem '121. Best Time to Buy and Sell Stock'.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" spans="1:15" x14ac:dyDescent="0.25">
      <c r="A10" s="1">
        <v>15</v>
      </c>
      <c r="B10" s="2" t="str">
        <f>HYPERLINK("https://leetcode.com/problems/3sum/", "3Sum")</f>
        <v>3Sum</v>
      </c>
      <c r="C10" s="1">
        <v>34849</v>
      </c>
      <c r="D10" s="1">
        <v>3236</v>
      </c>
      <c r="E10" s="3">
        <f t="shared" si="0"/>
        <v>0.91503216489431538</v>
      </c>
      <c r="F10" s="1" t="s">
        <v>31</v>
      </c>
      <c r="G10" s="1" t="s">
        <v>24</v>
      </c>
      <c r="H10" s="1">
        <v>5534340</v>
      </c>
      <c r="I10" s="1">
        <v>14440076</v>
      </c>
      <c r="J10" s="7">
        <v>0.38300000000000001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tr">
        <f t="shared" ca="1" si="1"/>
        <v>Please solve the LeetCode problem '15. 3Sum'.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" spans="1:15" x14ac:dyDescent="0.25">
      <c r="A11" s="1">
        <v>11</v>
      </c>
      <c r="B11" s="2" t="str">
        <f>HYPERLINK("https://leetcode.com/problems/container-with-most-water/", "Container With Most Water")</f>
        <v>Container With Most Water</v>
      </c>
      <c r="C11" s="1">
        <v>33460</v>
      </c>
      <c r="D11" s="1">
        <v>2150</v>
      </c>
      <c r="E11" s="3">
        <f t="shared" si="0"/>
        <v>0.93962370120752603</v>
      </c>
      <c r="F11" s="1" t="s">
        <v>32</v>
      </c>
      <c r="G11" s="1" t="s">
        <v>24</v>
      </c>
      <c r="H11" s="1">
        <v>4945287</v>
      </c>
      <c r="I11" s="1">
        <v>8343285</v>
      </c>
      <c r="J11" s="7">
        <v>0.59299999999999997</v>
      </c>
      <c r="K11" s="1" t="s">
        <v>21</v>
      </c>
      <c r="L11" s="1" t="s">
        <v>21</v>
      </c>
      <c r="M11" s="1" t="s">
        <v>21</v>
      </c>
      <c r="N11" s="1" t="s">
        <v>22</v>
      </c>
      <c r="O11" s="1" t="str">
        <f t="shared" ca="1" si="1"/>
        <v>Please solve the LeetCode problem '11. Container With Most Water'.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" spans="1:15" x14ac:dyDescent="0.25">
      <c r="A12" s="1">
        <v>5</v>
      </c>
      <c r="B12" s="2" t="str">
        <f>HYPERLINK("https://leetcode.com/problems/longest-palindromic-substring/", "Longest Palindromic Substring")</f>
        <v>Longest Palindromic Substring</v>
      </c>
      <c r="C12" s="1">
        <v>32117</v>
      </c>
      <c r="D12" s="1">
        <v>1976</v>
      </c>
      <c r="E12" s="3">
        <f t="shared" si="0"/>
        <v>0.94204088815885956</v>
      </c>
      <c r="F12" s="1" t="s">
        <v>33</v>
      </c>
      <c r="G12" s="1" t="s">
        <v>24</v>
      </c>
      <c r="H12" s="1">
        <v>4442235</v>
      </c>
      <c r="I12" s="1">
        <v>11985958</v>
      </c>
      <c r="J12" s="7">
        <v>0.371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tr">
        <f t="shared" ca="1" si="1"/>
        <v>Please solve the LeetCode problem '5. Longest Palindromic Substring'.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" spans="1:15" x14ac:dyDescent="0.25">
      <c r="A13" s="1">
        <v>4</v>
      </c>
      <c r="B13" s="2" t="str">
        <f>HYPERLINK("https://leetcode.com/problems/median-of-two-sorted-arrays/", "Median of Two Sorted Arrays")</f>
        <v>Median of Two Sorted Arrays</v>
      </c>
      <c r="C13" s="1">
        <v>31576</v>
      </c>
      <c r="D13" s="1">
        <v>3536</v>
      </c>
      <c r="E13" s="3">
        <f t="shared" si="0"/>
        <v>0.89929368876737292</v>
      </c>
      <c r="F13" s="1" t="s">
        <v>34</v>
      </c>
      <c r="G13" s="1" t="s">
        <v>28</v>
      </c>
      <c r="H13" s="1">
        <v>3971142</v>
      </c>
      <c r="I13" s="1">
        <v>8708546</v>
      </c>
      <c r="J13" s="7">
        <v>0.45600000000000002</v>
      </c>
      <c r="K13" s="1" t="s">
        <v>21</v>
      </c>
      <c r="L13" s="1" t="s">
        <v>21</v>
      </c>
      <c r="M13" s="1" t="s">
        <v>21</v>
      </c>
      <c r="N13" s="1" t="s">
        <v>22</v>
      </c>
      <c r="O13" s="1" t="str">
        <f t="shared" ca="1" si="1"/>
        <v>Please solve the LeetCode problem '4. Median of Two Sorted Arrays'.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" spans="1:15" x14ac:dyDescent="0.25">
      <c r="A14" s="1">
        <v>33</v>
      </c>
      <c r="B14" s="2" t="str">
        <f>HYPERLINK("https://leetcode.com/problems/search-in-rotated-sorted-array/", "Search in Rotated Sorted Array")</f>
        <v>Search in Rotated Sorted Array</v>
      </c>
      <c r="C14" s="1">
        <v>29458</v>
      </c>
      <c r="D14" s="1">
        <v>1783</v>
      </c>
      <c r="E14" s="3">
        <f t="shared" si="0"/>
        <v>0.94292756313818382</v>
      </c>
      <c r="F14" s="1" t="s">
        <v>35</v>
      </c>
      <c r="G14" s="1" t="s">
        <v>24</v>
      </c>
      <c r="H14" s="1">
        <v>4157031</v>
      </c>
      <c r="I14" s="1">
        <v>9468569</v>
      </c>
      <c r="J14" s="7">
        <v>0.439</v>
      </c>
      <c r="K14" s="1" t="s">
        <v>21</v>
      </c>
      <c r="L14" s="1" t="s">
        <v>21</v>
      </c>
      <c r="M14" s="1" t="s">
        <v>29</v>
      </c>
      <c r="N14" s="1" t="s">
        <v>22</v>
      </c>
      <c r="O14" s="1" t="str">
        <f t="shared" ca="1" si="1"/>
        <v>Please solve the LeetCode problem '33. Search in Rotated Sorted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" spans="1:15" x14ac:dyDescent="0.25">
      <c r="A15" s="1">
        <v>20</v>
      </c>
      <c r="B15" s="2" t="str">
        <f>HYPERLINK("https://leetcode.com/problems/valid-parentheses/", "Valid Parentheses")</f>
        <v>Valid Parentheses</v>
      </c>
      <c r="C15" s="1">
        <v>27298</v>
      </c>
      <c r="D15" s="1">
        <v>1976</v>
      </c>
      <c r="E15" s="3">
        <f t="shared" si="0"/>
        <v>0.93249982919997265</v>
      </c>
      <c r="F15" s="1" t="s">
        <v>36</v>
      </c>
      <c r="G15" s="1" t="s">
        <v>20</v>
      </c>
      <c r="H15" s="1">
        <v>7063192</v>
      </c>
      <c r="I15" s="1">
        <v>16246835</v>
      </c>
      <c r="J15" s="7">
        <v>0.435</v>
      </c>
      <c r="K15" s="1" t="s">
        <v>21</v>
      </c>
      <c r="L15" s="1" t="s">
        <v>21</v>
      </c>
      <c r="M15" s="1" t="s">
        <v>21</v>
      </c>
      <c r="N15" s="1" t="s">
        <v>22</v>
      </c>
      <c r="O15" s="1" t="str">
        <f t="shared" ca="1" si="1"/>
        <v>Please solve the LeetCode problem '20. Valid Parentheses'.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" spans="1:15" x14ac:dyDescent="0.25">
      <c r="A16" s="1">
        <v>238</v>
      </c>
      <c r="B16" s="2" t="str">
        <f>HYPERLINK("https://leetcode.com/problems/product-of-array-except-self/", "Product of Array Except Self")</f>
        <v>Product of Array Except Self</v>
      </c>
      <c r="C16" s="1">
        <v>25442</v>
      </c>
      <c r="D16" s="1">
        <v>1665</v>
      </c>
      <c r="E16" s="3">
        <f t="shared" si="0"/>
        <v>0.93857675139262919</v>
      </c>
      <c r="F16" s="1" t="s">
        <v>37</v>
      </c>
      <c r="G16" s="1" t="s">
        <v>24</v>
      </c>
      <c r="H16" s="1">
        <v>4238963</v>
      </c>
      <c r="I16" s="1">
        <v>6193298</v>
      </c>
      <c r="J16" s="7">
        <v>0.68400000000000005</v>
      </c>
      <c r="K16" s="1" t="s">
        <v>21</v>
      </c>
      <c r="L16" s="1" t="s">
        <v>21</v>
      </c>
      <c r="M16" s="1" t="s">
        <v>21</v>
      </c>
      <c r="N16" s="1" t="s">
        <v>22</v>
      </c>
      <c r="O16" s="1" t="str">
        <f t="shared" ca="1" si="1"/>
        <v>Please solve the LeetCode problem '238. Product of Array Except Self'.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" spans="1:15" x14ac:dyDescent="0.25">
      <c r="A17" s="1">
        <v>287</v>
      </c>
      <c r="B17" s="2" t="str">
        <f>HYPERLINK("https://leetcode.com/problems/find-the-duplicate-number/", "Find the Duplicate Number")</f>
        <v>Find the Duplicate Number</v>
      </c>
      <c r="C17" s="1">
        <v>25164</v>
      </c>
      <c r="D17" s="1">
        <v>5674</v>
      </c>
      <c r="E17" s="3">
        <f t="shared" si="0"/>
        <v>0.81600622608470075</v>
      </c>
      <c r="F17" s="1" t="s">
        <v>38</v>
      </c>
      <c r="G17" s="1" t="s">
        <v>24</v>
      </c>
      <c r="H17" s="1">
        <v>2431253</v>
      </c>
      <c r="I17" s="1">
        <v>3810297</v>
      </c>
      <c r="J17" s="7">
        <v>0.63800000000000001</v>
      </c>
      <c r="K17" s="1" t="s">
        <v>21</v>
      </c>
      <c r="L17" s="1" t="s">
        <v>21</v>
      </c>
      <c r="M17" s="1" t="s">
        <v>29</v>
      </c>
      <c r="N17" s="1" t="s">
        <v>22</v>
      </c>
      <c r="O17" s="1" t="str">
        <f t="shared" ca="1" si="1"/>
        <v>Please solve the LeetCode problem '287. Find the Duplicate Number'.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" spans="1:15" x14ac:dyDescent="0.25">
      <c r="A18" s="1">
        <v>200</v>
      </c>
      <c r="B18" s="2" t="str">
        <f>HYPERLINK("https://leetcode.com/problems/number-of-islands/", "Number of Islands")</f>
        <v>Number of Islands</v>
      </c>
      <c r="C18" s="1">
        <v>24642</v>
      </c>
      <c r="D18" s="1">
        <v>604</v>
      </c>
      <c r="E18" s="3">
        <f t="shared" si="0"/>
        <v>0.97607541788798224</v>
      </c>
      <c r="F18" s="1" t="s">
        <v>40</v>
      </c>
      <c r="G18" s="1" t="s">
        <v>24</v>
      </c>
      <c r="H18" s="1">
        <v>3907468</v>
      </c>
      <c r="I18" s="1">
        <v>6145891</v>
      </c>
      <c r="J18" s="7">
        <v>0.63600000000000001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tr">
        <f t="shared" ca="1" si="1"/>
        <v>Please solve the LeetCode problem '200. Number of Islands'.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" spans="1:15" x14ac:dyDescent="0.25">
      <c r="A19" s="1">
        <v>560</v>
      </c>
      <c r="B19" s="2" t="str">
        <f>HYPERLINK("https://leetcode.com/problems/subarray-sum-equals-k/", "Subarray Sum Equals K")</f>
        <v>Subarray Sum Equals K</v>
      </c>
      <c r="C19" s="1">
        <v>24557</v>
      </c>
      <c r="D19" s="1">
        <v>828</v>
      </c>
      <c r="E19" s="3">
        <f t="shared" si="0"/>
        <v>0.96738231238920624</v>
      </c>
      <c r="F19" s="1" t="s">
        <v>39</v>
      </c>
      <c r="G19" s="1" t="s">
        <v>24</v>
      </c>
      <c r="H19" s="1">
        <v>2201399</v>
      </c>
      <c r="I19" s="1">
        <v>4728953</v>
      </c>
      <c r="J19" s="7">
        <v>0.46600000000000003</v>
      </c>
      <c r="K19" s="1" t="s">
        <v>21</v>
      </c>
      <c r="L19" s="1" t="s">
        <v>21</v>
      </c>
      <c r="M19" s="1" t="s">
        <v>21</v>
      </c>
      <c r="N19" s="1" t="s">
        <v>22</v>
      </c>
      <c r="O19" s="1" t="str">
        <f t="shared" ca="1" si="1"/>
        <v>Please solve the LeetCode problem '560. Subarray Sum Equals K'.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" spans="1:15" x14ac:dyDescent="0.25">
      <c r="A20" s="1">
        <v>21</v>
      </c>
      <c r="B20" s="2" t="str">
        <f>HYPERLINK("https://leetcode.com/problems/merge-two-sorted-lists/", "Merge Two Sorted Lists")</f>
        <v>Merge Two Sorted Lists</v>
      </c>
      <c r="C20" s="1">
        <v>24548</v>
      </c>
      <c r="D20" s="1">
        <v>2411</v>
      </c>
      <c r="E20" s="3">
        <f t="shared" si="0"/>
        <v>0.91056789940279681</v>
      </c>
      <c r="F20" s="1" t="s">
        <v>41</v>
      </c>
      <c r="G20" s="1" t="s">
        <v>20</v>
      </c>
      <c r="H20" s="1">
        <v>5927751</v>
      </c>
      <c r="I20" s="1">
        <v>8749993</v>
      </c>
      <c r="J20" s="7">
        <v>0.67700000000000005</v>
      </c>
      <c r="K20" s="1" t="s">
        <v>21</v>
      </c>
      <c r="L20" s="1" t="s">
        <v>21</v>
      </c>
      <c r="M20" s="1" t="s">
        <v>21</v>
      </c>
      <c r="N20" s="1" t="s">
        <v>22</v>
      </c>
      <c r="O20" s="1" t="str">
        <f t="shared" ca="1" si="1"/>
        <v>Please solve the LeetCode problem '21. Merge Two Sorted Lists'.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" spans="1:15" x14ac:dyDescent="0.25">
      <c r="A21" s="1">
        <v>56</v>
      </c>
      <c r="B21" s="2" t="str">
        <f>HYPERLINK("https://leetcode.com/problems/merge-intervals/", "Merge Intervals")</f>
        <v>Merge Intervals</v>
      </c>
      <c r="C21" s="1">
        <v>24297</v>
      </c>
      <c r="D21" s="1">
        <v>893</v>
      </c>
      <c r="E21" s="3">
        <f t="shared" si="0"/>
        <v>0.96454942437475188</v>
      </c>
      <c r="F21" s="1" t="s">
        <v>42</v>
      </c>
      <c r="G21" s="1" t="s">
        <v>24</v>
      </c>
      <c r="H21" s="1">
        <v>3733513</v>
      </c>
      <c r="I21" s="1">
        <v>7339728</v>
      </c>
      <c r="J21" s="7">
        <v>0.50900000000000001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tr">
        <f t="shared" ca="1" si="1"/>
        <v>Please solve the LeetCode problem '56. Merge Intervals'.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" spans="1:15" x14ac:dyDescent="0.25">
      <c r="A22" s="1">
        <v>70</v>
      </c>
      <c r="B22" s="2" t="str">
        <f>HYPERLINK("https://leetcode.com/problems/climbing-stairs/", "Climbing Stairs")</f>
        <v>Climbing Stairs</v>
      </c>
      <c r="C22" s="1">
        <v>24145</v>
      </c>
      <c r="D22" s="1">
        <v>1022</v>
      </c>
      <c r="E22" s="3">
        <f t="shared" si="0"/>
        <v>0.95939126634084315</v>
      </c>
      <c r="F22" s="1" t="s">
        <v>43</v>
      </c>
      <c r="G22" s="1" t="s">
        <v>20</v>
      </c>
      <c r="H22" s="1">
        <v>4830722</v>
      </c>
      <c r="I22" s="1">
        <v>8971549</v>
      </c>
      <c r="J22" s="7">
        <v>0.53800000000000003</v>
      </c>
      <c r="K22" s="1" t="s">
        <v>21</v>
      </c>
      <c r="L22" s="1" t="s">
        <v>21</v>
      </c>
      <c r="M22" s="1" t="s">
        <v>29</v>
      </c>
      <c r="N22" s="1" t="s">
        <v>22</v>
      </c>
      <c r="O22" s="1" t="str">
        <f t="shared" ca="1" si="1"/>
        <v>Please solve the LeetCode problem '70. Climbing Stairs'.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" spans="1:15" x14ac:dyDescent="0.25">
      <c r="A23" s="1">
        <v>206</v>
      </c>
      <c r="B23" s="2" t="str">
        <f>HYPERLINK("https://leetcode.com/problems/reverse-linked-list/", "Reverse Linked List")</f>
        <v>Reverse Linked List</v>
      </c>
      <c r="C23" s="1">
        <v>24116</v>
      </c>
      <c r="D23" s="1">
        <v>564</v>
      </c>
      <c r="E23" s="3">
        <f t="shared" si="0"/>
        <v>0.97714748784440841</v>
      </c>
      <c r="F23" s="1" t="s">
        <v>41</v>
      </c>
      <c r="G23" s="1" t="s">
        <v>20</v>
      </c>
      <c r="H23" s="1">
        <v>5967589</v>
      </c>
      <c r="I23" s="1">
        <v>7449966</v>
      </c>
      <c r="J23" s="7">
        <v>0.80100000000000005</v>
      </c>
      <c r="K23" s="1" t="s">
        <v>21</v>
      </c>
      <c r="L23" s="1" t="s">
        <v>21</v>
      </c>
      <c r="M23" s="1" t="s">
        <v>21</v>
      </c>
      <c r="N23" s="1" t="s">
        <v>22</v>
      </c>
      <c r="O23" s="1" t="str">
        <f t="shared" ca="1" si="1"/>
        <v>Please solve the LeetCode problem '206. Reverse Linked List'.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" spans="1:15" x14ac:dyDescent="0.25">
      <c r="A24" s="1">
        <v>198</v>
      </c>
      <c r="B24" s="2" t="str">
        <f>HYPERLINK("https://leetcode.com/problems/house-robber/", "House Robber")</f>
        <v>House Robber</v>
      </c>
      <c r="C24" s="1">
        <v>23162</v>
      </c>
      <c r="D24" s="1">
        <v>502</v>
      </c>
      <c r="E24" s="3">
        <f t="shared" si="0"/>
        <v>0.97878634212305615</v>
      </c>
      <c r="F24" s="1" t="s">
        <v>30</v>
      </c>
      <c r="G24" s="1" t="s">
        <v>24</v>
      </c>
      <c r="H24" s="1">
        <v>3340459</v>
      </c>
      <c r="I24" s="1">
        <v>6322246</v>
      </c>
      <c r="J24" s="7">
        <v>0.52800000000000002</v>
      </c>
      <c r="K24" s="1" t="s">
        <v>21</v>
      </c>
      <c r="L24" s="1" t="s">
        <v>21</v>
      </c>
      <c r="M24" s="1" t="s">
        <v>29</v>
      </c>
      <c r="N24" s="1" t="s">
        <v>22</v>
      </c>
      <c r="O24" s="1" t="str">
        <f t="shared" ca="1" si="1"/>
        <v>Please solve the LeetCode problem '198. House Robber'.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" spans="1:15" x14ac:dyDescent="0.25">
      <c r="A25" s="1">
        <v>22</v>
      </c>
      <c r="B25" s="2" t="str">
        <f>HYPERLINK("https://leetcode.com/problems/generate-parentheses/", "Generate Parentheses")</f>
        <v>Generate Parentheses</v>
      </c>
      <c r="C25" s="1">
        <v>22999</v>
      </c>
      <c r="D25" s="1">
        <v>1067</v>
      </c>
      <c r="E25" s="3">
        <f t="shared" si="0"/>
        <v>0.9556635917892462</v>
      </c>
      <c r="F25" s="1" t="s">
        <v>44</v>
      </c>
      <c r="G25" s="1" t="s">
        <v>24</v>
      </c>
      <c r="H25" s="1">
        <v>2714685</v>
      </c>
      <c r="I25" s="1">
        <v>3476358</v>
      </c>
      <c r="J25" s="7">
        <v>0.78100000000000003</v>
      </c>
      <c r="K25" s="1" t="s">
        <v>21</v>
      </c>
      <c r="L25" s="1" t="s">
        <v>21</v>
      </c>
      <c r="M25" s="1" t="s">
        <v>21</v>
      </c>
      <c r="N25" s="1" t="s">
        <v>22</v>
      </c>
      <c r="O25" s="1" t="str">
        <f t="shared" ca="1" si="1"/>
        <v>Please solve the LeetCode problem '22. Generate Parentheses'.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" spans="1:15" x14ac:dyDescent="0.25">
      <c r="A26" s="1">
        <v>34</v>
      </c>
      <c r="B26" s="2" t="str">
        <f>HYPERLINK("https://leetcode.com/problems/find-first-and-last-position-of-element-in-sorted-array/", "Find First and Last Position of Element in Sorted Array")</f>
        <v>Find First and Last Position of Element in Sorted Array</v>
      </c>
      <c r="C26" s="1">
        <v>22897</v>
      </c>
      <c r="D26" s="1">
        <v>623</v>
      </c>
      <c r="E26" s="3">
        <f t="shared" si="0"/>
        <v>0.97351190476190474</v>
      </c>
      <c r="F26" s="1" t="s">
        <v>35</v>
      </c>
      <c r="G26" s="1" t="s">
        <v>24</v>
      </c>
      <c r="H26" s="1">
        <v>3102079</v>
      </c>
      <c r="I26" s="1">
        <v>6450791</v>
      </c>
      <c r="J26" s="7">
        <v>0.48099999999999998</v>
      </c>
      <c r="K26" s="1" t="s">
        <v>21</v>
      </c>
      <c r="L26" s="1" t="s">
        <v>21</v>
      </c>
      <c r="M26" s="1" t="s">
        <v>29</v>
      </c>
      <c r="N26" s="1" t="s">
        <v>22</v>
      </c>
      <c r="O26" s="1" t="str">
        <f t="shared" ca="1" si="1"/>
        <v>Please solve the LeetCode problem '34. Find First and Last Position of Element in Sorted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" spans="1:15" x14ac:dyDescent="0.25">
      <c r="A27" s="1">
        <v>146</v>
      </c>
      <c r="B27" s="2" t="str">
        <f>HYPERLINK("https://leetcode.com/problems/lru-cache/", "LRU Cache")</f>
        <v>LRU Cache</v>
      </c>
      <c r="C27" s="1">
        <v>22789</v>
      </c>
      <c r="D27" s="1">
        <v>1206</v>
      </c>
      <c r="E27" s="3">
        <f t="shared" si="0"/>
        <v>0.94973952906855597</v>
      </c>
      <c r="F27" s="1" t="s">
        <v>45</v>
      </c>
      <c r="G27" s="1" t="s">
        <v>24</v>
      </c>
      <c r="H27" s="1">
        <v>2427783</v>
      </c>
      <c r="I27" s="1">
        <v>5209986</v>
      </c>
      <c r="J27" s="7">
        <v>0.46600000000000003</v>
      </c>
      <c r="K27" s="1" t="s">
        <v>21</v>
      </c>
      <c r="L27" s="1" t="s">
        <v>21</v>
      </c>
      <c r="M27" s="1" t="s">
        <v>29</v>
      </c>
      <c r="N27" s="1" t="s">
        <v>22</v>
      </c>
      <c r="O27" s="1" t="str">
        <f t="shared" ca="1" si="1"/>
        <v>Please solve the LeetCode problem '146. LRU Cache'.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" spans="1:15" x14ac:dyDescent="0.25">
      <c r="A28" s="1">
        <v>300</v>
      </c>
      <c r="B28" s="2" t="str">
        <f>HYPERLINK("https://leetcode.com/problems/longest-increasing-subsequence/", "Longest Increasing Subsequence")</f>
        <v>Longest Increasing Subsequence</v>
      </c>
      <c r="C28" s="1">
        <v>22552</v>
      </c>
      <c r="D28" s="1">
        <v>506</v>
      </c>
      <c r="E28" s="3">
        <f t="shared" si="0"/>
        <v>0.97805533871107642</v>
      </c>
      <c r="F28" s="1" t="s">
        <v>47</v>
      </c>
      <c r="G28" s="1" t="s">
        <v>24</v>
      </c>
      <c r="H28" s="1">
        <v>2493793</v>
      </c>
      <c r="I28" s="1">
        <v>4234865</v>
      </c>
      <c r="J28" s="7">
        <v>0.58899999999999997</v>
      </c>
      <c r="K28" s="1" t="s">
        <v>21</v>
      </c>
      <c r="L28" s="1" t="s">
        <v>21</v>
      </c>
      <c r="M28" s="1" t="s">
        <v>29</v>
      </c>
      <c r="N28" s="1" t="s">
        <v>22</v>
      </c>
      <c r="O28" s="1" t="str">
        <f t="shared" ca="1" si="1"/>
        <v>Please solve the LeetCode problem '300. Longest Increasing Subsequence'.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" spans="1:15" x14ac:dyDescent="0.25">
      <c r="A29" s="1">
        <v>128</v>
      </c>
      <c r="B29" s="2" t="str">
        <f>HYPERLINK("https://leetcode.com/problems/longest-consecutive-sequence/", "Longest Consecutive Sequence")</f>
        <v>Longest Consecutive Sequence</v>
      </c>
      <c r="C29" s="1">
        <v>22523</v>
      </c>
      <c r="D29" s="1">
        <v>1222</v>
      </c>
      <c r="E29" s="3">
        <f t="shared" si="0"/>
        <v>0.94853653400715943</v>
      </c>
      <c r="F29" s="1" t="s">
        <v>46</v>
      </c>
      <c r="G29" s="1" t="s">
        <v>24</v>
      </c>
      <c r="H29" s="1">
        <v>3071427</v>
      </c>
      <c r="I29" s="1">
        <v>6538799</v>
      </c>
      <c r="J29" s="7">
        <v>0.47</v>
      </c>
      <c r="K29" s="1" t="s">
        <v>21</v>
      </c>
      <c r="L29" s="1" t="s">
        <v>21</v>
      </c>
      <c r="M29" s="1" t="s">
        <v>29</v>
      </c>
      <c r="N29" s="1" t="s">
        <v>22</v>
      </c>
      <c r="O29" s="1" t="str">
        <f t="shared" ca="1" si="1"/>
        <v>Please solve the LeetCode problem '128. Longest Consecutive Sequence'.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" spans="1:15" x14ac:dyDescent="0.25">
      <c r="A30" s="1">
        <v>169</v>
      </c>
      <c r="B30" s="2" t="str">
        <f>HYPERLINK("https://leetcode.com/problems/majority-element/", "Majority Element")</f>
        <v>Majority Element</v>
      </c>
      <c r="C30" s="1">
        <v>22297</v>
      </c>
      <c r="D30" s="1">
        <v>792</v>
      </c>
      <c r="E30" s="3">
        <f t="shared" si="0"/>
        <v>0.96569795140543113</v>
      </c>
      <c r="F30" s="1" t="s">
        <v>48</v>
      </c>
      <c r="G30" s="1" t="s">
        <v>20</v>
      </c>
      <c r="H30" s="1">
        <v>5091502</v>
      </c>
      <c r="I30" s="1">
        <v>7709967</v>
      </c>
      <c r="J30" s="7">
        <v>0.66</v>
      </c>
      <c r="K30" s="1" t="s">
        <v>21</v>
      </c>
      <c r="L30" s="1" t="s">
        <v>21</v>
      </c>
      <c r="M30" s="1" t="s">
        <v>29</v>
      </c>
      <c r="N30" s="1" t="s">
        <v>22</v>
      </c>
      <c r="O30" s="1" t="str">
        <f t="shared" ca="1" si="1"/>
        <v>Please solve the LeetCode problem '169. Majority Element'.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" spans="1:15" x14ac:dyDescent="0.25">
      <c r="A31" s="1">
        <v>49</v>
      </c>
      <c r="B31" s="2" t="str">
        <f>HYPERLINK("https://leetcode.com/problems/group-anagrams/", "Group Anagrams")</f>
        <v>Group Anagrams</v>
      </c>
      <c r="C31" s="1">
        <v>21670</v>
      </c>
      <c r="D31" s="1">
        <v>742</v>
      </c>
      <c r="E31" s="3">
        <f t="shared" si="0"/>
        <v>0.9668927360342674</v>
      </c>
      <c r="F31" s="1" t="s">
        <v>49</v>
      </c>
      <c r="G31" s="1" t="s">
        <v>24</v>
      </c>
      <c r="H31" s="1">
        <v>4423600</v>
      </c>
      <c r="I31" s="1">
        <v>6145993</v>
      </c>
      <c r="J31" s="7">
        <v>0.72</v>
      </c>
      <c r="K31" s="1" t="s">
        <v>21</v>
      </c>
      <c r="L31" s="1" t="s">
        <v>21</v>
      </c>
      <c r="M31" s="1" t="s">
        <v>21</v>
      </c>
      <c r="N31" s="1" t="s">
        <v>22</v>
      </c>
      <c r="O31" s="1" t="str">
        <f t="shared" ca="1" si="1"/>
        <v>Please solve the LeetCode problem '49. Group Anagrams'.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" spans="1:15" x14ac:dyDescent="0.25">
      <c r="A32" s="1">
        <v>55</v>
      </c>
      <c r="B32" s="2" t="str">
        <f>HYPERLINK("https://leetcode.com/problems/jump-game/", "Jump Game")</f>
        <v>Jump Game</v>
      </c>
      <c r="C32" s="1">
        <v>21451</v>
      </c>
      <c r="D32" s="1">
        <v>1470</v>
      </c>
      <c r="E32" s="3">
        <f t="shared" si="0"/>
        <v>0.93586667248374855</v>
      </c>
      <c r="F32" s="1" t="s">
        <v>50</v>
      </c>
      <c r="G32" s="1" t="s">
        <v>24</v>
      </c>
      <c r="H32" s="1">
        <v>3008440</v>
      </c>
      <c r="I32" s="1">
        <v>7461204</v>
      </c>
      <c r="J32" s="7">
        <v>0.40300000000000002</v>
      </c>
      <c r="K32" s="1" t="s">
        <v>21</v>
      </c>
      <c r="L32" s="1" t="s">
        <v>21</v>
      </c>
      <c r="M32" s="1" t="s">
        <v>29</v>
      </c>
      <c r="N32" s="1" t="s">
        <v>22</v>
      </c>
      <c r="O32" s="1" t="str">
        <f t="shared" ca="1" si="1"/>
        <v>Please solve the LeetCode problem '55. Jump Game'.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" spans="1:15" x14ac:dyDescent="0.25">
      <c r="A33" s="1">
        <v>75</v>
      </c>
      <c r="B33" s="2" t="str">
        <f>HYPERLINK("https://leetcode.com/problems/sort-colors/", "Sort Colors")</f>
        <v>Sort Colors</v>
      </c>
      <c r="C33" s="1">
        <v>21178</v>
      </c>
      <c r="D33" s="1">
        <v>753</v>
      </c>
      <c r="E33" s="3">
        <f t="shared" si="0"/>
        <v>0.96566504035383705</v>
      </c>
      <c r="F33" s="1" t="s">
        <v>31</v>
      </c>
      <c r="G33" s="1" t="s">
        <v>24</v>
      </c>
      <c r="H33" s="1">
        <v>3470495</v>
      </c>
      <c r="I33" s="1">
        <v>5037341</v>
      </c>
      <c r="J33" s="7">
        <v>0.68899999999999995</v>
      </c>
      <c r="K33" s="1" t="s">
        <v>21</v>
      </c>
      <c r="L33" s="1" t="s">
        <v>21</v>
      </c>
      <c r="M33" s="1" t="s">
        <v>29</v>
      </c>
      <c r="N33" s="1" t="s">
        <v>22</v>
      </c>
      <c r="O33" s="1" t="str">
        <f t="shared" ca="1" si="1"/>
        <v>Please solve the LeetCode problem '75. Sort Colors'.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" spans="1:15" x14ac:dyDescent="0.25">
      <c r="A34" s="1">
        <v>23</v>
      </c>
      <c r="B34" s="2" t="str">
        <f>HYPERLINK("https://leetcode.com/problems/merge-k-sorted-lists/", "Merge k Sorted Lists")</f>
        <v>Merge k Sorted Lists</v>
      </c>
      <c r="C34" s="1">
        <v>21056</v>
      </c>
      <c r="D34" s="1">
        <v>783</v>
      </c>
      <c r="E34" s="3">
        <f t="shared" si="0"/>
        <v>0.96414671001419483</v>
      </c>
      <c r="F34" s="1" t="s">
        <v>52</v>
      </c>
      <c r="G34" s="1" t="s">
        <v>28</v>
      </c>
      <c r="H34" s="1">
        <v>2822665</v>
      </c>
      <c r="I34" s="1">
        <v>4821154</v>
      </c>
      <c r="J34" s="7">
        <v>0.58499999999999996</v>
      </c>
      <c r="K34" s="1" t="s">
        <v>21</v>
      </c>
      <c r="L34" s="1" t="s">
        <v>21</v>
      </c>
      <c r="M34" s="1" t="s">
        <v>21</v>
      </c>
      <c r="N34" s="1" t="s">
        <v>22</v>
      </c>
      <c r="O34" s="1" t="str">
        <f t="shared" ca="1" si="1"/>
        <v>Please solve the LeetCode problem '23. Merge k Sorted Lists'.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" spans="1:15" x14ac:dyDescent="0.25">
      <c r="A35" s="1">
        <v>31</v>
      </c>
      <c r="B35" s="2" t="str">
        <f>HYPERLINK("https://leetcode.com/problems/next-permutation/", "Next Permutation")</f>
        <v>Next Permutation</v>
      </c>
      <c r="C35" s="1">
        <v>21010</v>
      </c>
      <c r="D35" s="1">
        <v>5077</v>
      </c>
      <c r="E35" s="3">
        <f t="shared" si="0"/>
        <v>0.80538199103001495</v>
      </c>
      <c r="F35" s="1" t="s">
        <v>51</v>
      </c>
      <c r="G35" s="1" t="s">
        <v>24</v>
      </c>
      <c r="H35" s="1">
        <v>2128314</v>
      </c>
      <c r="I35" s="1">
        <v>4784474</v>
      </c>
      <c r="J35" s="7">
        <v>0.44500000000000001</v>
      </c>
      <c r="K35" s="1" t="s">
        <v>21</v>
      </c>
      <c r="L35" s="1" t="s">
        <v>21</v>
      </c>
      <c r="M35" s="1" t="s">
        <v>21</v>
      </c>
      <c r="N35" s="1" t="s">
        <v>22</v>
      </c>
      <c r="O35" s="1" t="str">
        <f t="shared" ca="1" si="1"/>
        <v>Please solve the LeetCode problem '31. Next Permutation'.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" spans="1:15" x14ac:dyDescent="0.25">
      <c r="A36" s="1">
        <v>19</v>
      </c>
      <c r="B36" s="2" t="str">
        <f>HYPERLINK("https://leetcode.com/problems/remove-nth-node-from-end-of-list/", "Remove Nth Node From End of List")</f>
        <v>Remove Nth Node From End of List</v>
      </c>
      <c r="C36" s="1">
        <v>20943</v>
      </c>
      <c r="D36" s="1">
        <v>886</v>
      </c>
      <c r="E36" s="3">
        <f t="shared" si="0"/>
        <v>0.95941179165330526</v>
      </c>
      <c r="F36" s="1" t="s">
        <v>53</v>
      </c>
      <c r="G36" s="1" t="s">
        <v>24</v>
      </c>
      <c r="H36" s="1">
        <v>3969631</v>
      </c>
      <c r="I36" s="1">
        <v>7832034</v>
      </c>
      <c r="J36" s="7">
        <v>0.50700000000000001</v>
      </c>
      <c r="K36" s="1" t="s">
        <v>21</v>
      </c>
      <c r="L36" s="1" t="s">
        <v>21</v>
      </c>
      <c r="M36" s="1" t="s">
        <v>21</v>
      </c>
      <c r="N36" s="1" t="s">
        <v>22</v>
      </c>
      <c r="O36" s="1" t="str">
        <f t="shared" ca="1" si="1"/>
        <v>Please solve the LeetCode problem '19. Remove Nth Node From End of List'.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" spans="1:15" x14ac:dyDescent="0.25">
      <c r="A37" s="1">
        <v>14</v>
      </c>
      <c r="B37" s="2" t="str">
        <f>HYPERLINK("https://leetcode.com/problems/longest-common-prefix/", "Longest Common Prefix")</f>
        <v>Longest Common Prefix</v>
      </c>
      <c r="C37" s="1">
        <v>20775</v>
      </c>
      <c r="D37" s="1">
        <v>4878</v>
      </c>
      <c r="E37" s="3">
        <f t="shared" si="0"/>
        <v>0.80984680154367905</v>
      </c>
      <c r="F37" s="1" t="s">
        <v>54</v>
      </c>
      <c r="G37" s="1" t="s">
        <v>20</v>
      </c>
      <c r="H37" s="1">
        <v>5369213</v>
      </c>
      <c r="I37" s="1">
        <v>11464136</v>
      </c>
      <c r="J37" s="7">
        <v>0.46800000000000003</v>
      </c>
      <c r="K37" s="1" t="s">
        <v>21</v>
      </c>
      <c r="L37" s="1" t="s">
        <v>21</v>
      </c>
      <c r="M37" s="1" t="s">
        <v>21</v>
      </c>
      <c r="N37" s="1" t="s">
        <v>22</v>
      </c>
      <c r="O37" s="1" t="str">
        <f t="shared" ca="1" si="1"/>
        <v>Please solve the LeetCode problem '14. Longest Common Prefix'.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8" spans="1:15" x14ac:dyDescent="0.25">
      <c r="A38" s="1">
        <v>322</v>
      </c>
      <c r="B38" s="2" t="str">
        <f>HYPERLINK("https://leetcode.com/problems/coin-change/", "Coin Change")</f>
        <v>Coin Change</v>
      </c>
      <c r="C38" s="1">
        <v>20697</v>
      </c>
      <c r="D38" s="1">
        <v>531</v>
      </c>
      <c r="E38" s="3">
        <f t="shared" si="0"/>
        <v>0.97498586772187679</v>
      </c>
      <c r="F38" s="1" t="s">
        <v>57</v>
      </c>
      <c r="G38" s="1" t="s">
        <v>24</v>
      </c>
      <c r="H38" s="1">
        <v>2688822</v>
      </c>
      <c r="I38" s="1">
        <v>5630030</v>
      </c>
      <c r="J38" s="7">
        <v>0.47799999999999998</v>
      </c>
      <c r="K38" s="1" t="s">
        <v>21</v>
      </c>
      <c r="L38" s="1" t="s">
        <v>21</v>
      </c>
      <c r="M38" s="1" t="s">
        <v>21</v>
      </c>
      <c r="N38" s="1" t="s">
        <v>22</v>
      </c>
      <c r="O38" s="1" t="str">
        <f t="shared" ca="1" si="1"/>
        <v>Please solve the LeetCode problem '322. Coin Change'.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9" spans="1:15" x14ac:dyDescent="0.25">
      <c r="A39" s="1">
        <v>39</v>
      </c>
      <c r="B39" s="2" t="str">
        <f>HYPERLINK("https://leetcode.com/problems/combination-sum/", "Combination Sum")</f>
        <v>Combination Sum</v>
      </c>
      <c r="C39" s="1">
        <v>20694</v>
      </c>
      <c r="D39" s="1">
        <v>525</v>
      </c>
      <c r="E39" s="3">
        <f t="shared" si="0"/>
        <v>0.97525802346953205</v>
      </c>
      <c r="F39" s="1" t="s">
        <v>56</v>
      </c>
      <c r="G39" s="1" t="s">
        <v>24</v>
      </c>
      <c r="H39" s="1">
        <v>2943753</v>
      </c>
      <c r="I39" s="1">
        <v>3879964</v>
      </c>
      <c r="J39" s="7">
        <v>0.75900000000000001</v>
      </c>
      <c r="K39" s="1" t="s">
        <v>21</v>
      </c>
      <c r="L39" s="1" t="s">
        <v>21</v>
      </c>
      <c r="M39" s="1" t="s">
        <v>21</v>
      </c>
      <c r="N39" s="1" t="s">
        <v>22</v>
      </c>
      <c r="O39" s="1" t="str">
        <f t="shared" ca="1" si="1"/>
        <v>Please solve the LeetCode problem '39. Combination Sum'.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0" spans="1:15" x14ac:dyDescent="0.25">
      <c r="A40" s="1">
        <v>17</v>
      </c>
      <c r="B40" s="2" t="str">
        <f>HYPERLINK("https://leetcode.com/problems/letter-combinations-of-a-phone-number/", "Letter Combinations of a Phone Number")</f>
        <v>Letter Combinations of a Phone Number</v>
      </c>
      <c r="C40" s="1">
        <v>20635</v>
      </c>
      <c r="D40" s="1">
        <v>1118</v>
      </c>
      <c r="E40" s="3">
        <f t="shared" si="0"/>
        <v>0.94860479014388821</v>
      </c>
      <c r="F40" s="1" t="s">
        <v>58</v>
      </c>
      <c r="G40" s="1" t="s">
        <v>24</v>
      </c>
      <c r="H40" s="1">
        <v>2861876</v>
      </c>
      <c r="I40" s="1">
        <v>4387340</v>
      </c>
      <c r="J40" s="7">
        <v>0.65200000000000002</v>
      </c>
      <c r="K40" s="1" t="s">
        <v>21</v>
      </c>
      <c r="L40" s="1" t="s">
        <v>21</v>
      </c>
      <c r="M40" s="1" t="s">
        <v>29</v>
      </c>
      <c r="N40" s="1" t="s">
        <v>22</v>
      </c>
      <c r="O40" s="1" t="str">
        <f t="shared" ca="1" si="1"/>
        <v>Please solve the LeetCode problem '17. Letter Combinations of a Phone Number'.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1" spans="1:15" x14ac:dyDescent="0.25">
      <c r="A41" s="1">
        <v>46</v>
      </c>
      <c r="B41" s="2" t="str">
        <f>HYPERLINK("https://leetcode.com/problems/permutations/", "Permutations")</f>
        <v>Permutations</v>
      </c>
      <c r="C41" s="1">
        <v>20633</v>
      </c>
      <c r="D41" s="1">
        <v>379</v>
      </c>
      <c r="E41" s="3">
        <f t="shared" si="0"/>
        <v>0.9819626879878165</v>
      </c>
      <c r="F41" s="1" t="s">
        <v>56</v>
      </c>
      <c r="G41" s="1" t="s">
        <v>24</v>
      </c>
      <c r="H41" s="1">
        <v>2927833</v>
      </c>
      <c r="I41" s="1">
        <v>3592968</v>
      </c>
      <c r="J41" s="7">
        <v>0.81499999999999995</v>
      </c>
      <c r="K41" s="1" t="s">
        <v>21</v>
      </c>
      <c r="L41" s="1" t="s">
        <v>21</v>
      </c>
      <c r="M41" s="1" t="s">
        <v>29</v>
      </c>
      <c r="N41" s="1" t="s">
        <v>22</v>
      </c>
      <c r="O41" s="1" t="str">
        <f t="shared" ca="1" si="1"/>
        <v>Please solve the LeetCode problem '46. Permutations'.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2" spans="1:15" x14ac:dyDescent="0.25">
      <c r="A42" s="1">
        <v>189</v>
      </c>
      <c r="B42" s="2" t="str">
        <f>HYPERLINK("https://leetcode.com/problems/rotate-array/", "Rotate Array")</f>
        <v>Rotate Array</v>
      </c>
      <c r="C42" s="1">
        <v>20611</v>
      </c>
      <c r="D42" s="1">
        <v>2166</v>
      </c>
      <c r="E42" s="3">
        <f t="shared" si="0"/>
        <v>0.90490406989506955</v>
      </c>
      <c r="F42" s="1" t="s">
        <v>55</v>
      </c>
      <c r="G42" s="1" t="s">
        <v>24</v>
      </c>
      <c r="H42" s="1">
        <v>3682940</v>
      </c>
      <c r="I42" s="1">
        <v>8325345</v>
      </c>
      <c r="J42" s="7">
        <v>0.442</v>
      </c>
      <c r="K42" s="1" t="s">
        <v>21</v>
      </c>
      <c r="L42" s="1" t="s">
        <v>21</v>
      </c>
      <c r="M42" s="1" t="s">
        <v>29</v>
      </c>
      <c r="N42" s="1" t="s">
        <v>22</v>
      </c>
      <c r="O42" s="1" t="str">
        <f t="shared" ca="1" si="1"/>
        <v>Please solve the LeetCode problem '189. Rotate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3" spans="1:15" x14ac:dyDescent="0.25">
      <c r="A43" s="1">
        <v>152</v>
      </c>
      <c r="B43" s="2" t="str">
        <f>HYPERLINK("https://leetcode.com/problems/maximum-product-subarray/", "Maximum Product Subarray")</f>
        <v>Maximum Product Subarray</v>
      </c>
      <c r="C43" s="1">
        <v>20153</v>
      </c>
      <c r="D43" s="1">
        <v>815</v>
      </c>
      <c r="E43" s="3">
        <f t="shared" si="0"/>
        <v>0.96113124761541402</v>
      </c>
      <c r="F43" s="1" t="s">
        <v>30</v>
      </c>
      <c r="G43" s="1" t="s">
        <v>24</v>
      </c>
      <c r="H43" s="1">
        <v>1898342</v>
      </c>
      <c r="I43" s="1">
        <v>5299061</v>
      </c>
      <c r="J43" s="7">
        <v>0.35799999999999998</v>
      </c>
      <c r="K43" s="1" t="s">
        <v>21</v>
      </c>
      <c r="L43" s="1" t="s">
        <v>21</v>
      </c>
      <c r="M43" s="1" t="s">
        <v>29</v>
      </c>
      <c r="N43" s="1" t="s">
        <v>22</v>
      </c>
      <c r="O43" s="1" t="str">
        <f t="shared" ca="1" si="1"/>
        <v>Please solve the LeetCode problem '152. Maximum Product Subarray'.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4" spans="1:15" x14ac:dyDescent="0.25">
      <c r="A44" s="1">
        <v>239</v>
      </c>
      <c r="B44" s="2" t="str">
        <f>HYPERLINK("https://leetcode.com/problems/sliding-window-maximum/", "Sliding Window Maximum")</f>
        <v>Sliding Window Maximum</v>
      </c>
      <c r="C44" s="1">
        <v>20082</v>
      </c>
      <c r="D44" s="1">
        <v>818</v>
      </c>
      <c r="E44" s="3">
        <f t="shared" si="0"/>
        <v>0.96086124401913875</v>
      </c>
      <c r="F44" s="1" t="s">
        <v>59</v>
      </c>
      <c r="G44" s="1" t="s">
        <v>28</v>
      </c>
      <c r="H44" s="1">
        <v>1554176</v>
      </c>
      <c r="I44" s="1">
        <v>3217534</v>
      </c>
      <c r="J44" s="7">
        <v>0.48299999999999998</v>
      </c>
      <c r="K44" s="1" t="s">
        <v>21</v>
      </c>
      <c r="L44" s="1" t="s">
        <v>21</v>
      </c>
      <c r="M44" s="1" t="s">
        <v>29</v>
      </c>
      <c r="N44" s="1" t="s">
        <v>22</v>
      </c>
      <c r="O44" s="1" t="str">
        <f t="shared" ca="1" si="1"/>
        <v>Please solve the LeetCode problem '239. Sliding Window Maximum'.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5" spans="1:15" x14ac:dyDescent="0.25">
      <c r="A45" s="1">
        <v>76</v>
      </c>
      <c r="B45" s="2" t="str">
        <f>HYPERLINK("https://leetcode.com/problems/minimum-window-substring/", "Minimum Window Substring")</f>
        <v>Minimum Window Substring</v>
      </c>
      <c r="C45" s="1">
        <v>19819</v>
      </c>
      <c r="D45" s="1">
        <v>838</v>
      </c>
      <c r="E45" s="3">
        <f t="shared" si="0"/>
        <v>0.95943263784673471</v>
      </c>
      <c r="F45" s="1" t="s">
        <v>23</v>
      </c>
      <c r="G45" s="1" t="s">
        <v>28</v>
      </c>
      <c r="H45" s="1">
        <v>2019651</v>
      </c>
      <c r="I45" s="1">
        <v>4325931</v>
      </c>
      <c r="J45" s="7">
        <v>0.46700000000000003</v>
      </c>
      <c r="K45" s="1" t="s">
        <v>21</v>
      </c>
      <c r="L45" s="1" t="s">
        <v>21</v>
      </c>
      <c r="M45" s="1" t="s">
        <v>29</v>
      </c>
      <c r="N45" s="1" t="s">
        <v>22</v>
      </c>
      <c r="O45" s="1" t="str">
        <f t="shared" ca="1" si="1"/>
        <v>Please solve the LeetCode problem '76. Minimum Window Substring'.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6" spans="1:15" x14ac:dyDescent="0.25">
      <c r="A46" s="1">
        <v>48</v>
      </c>
      <c r="B46" s="2" t="str">
        <f>HYPERLINK("https://leetcode.com/problems/rotate-image/", "Rotate Image")</f>
        <v>Rotate Image</v>
      </c>
      <c r="C46" s="1">
        <v>19593</v>
      </c>
      <c r="D46" s="1">
        <v>946</v>
      </c>
      <c r="E46" s="3">
        <f t="shared" si="0"/>
        <v>0.95394128243828813</v>
      </c>
      <c r="F46" s="1" t="s">
        <v>60</v>
      </c>
      <c r="G46" s="1" t="s">
        <v>24</v>
      </c>
      <c r="H46" s="1">
        <v>2655651</v>
      </c>
      <c r="I46" s="1">
        <v>3356059</v>
      </c>
      <c r="J46" s="7">
        <v>0.79100000000000004</v>
      </c>
      <c r="K46" s="1" t="s">
        <v>21</v>
      </c>
      <c r="L46" s="1" t="s">
        <v>21</v>
      </c>
      <c r="M46" s="1" t="s">
        <v>29</v>
      </c>
      <c r="N46" s="1" t="s">
        <v>22</v>
      </c>
      <c r="O46" s="1" t="str">
        <f t="shared" ca="1" si="1"/>
        <v>Please solve the LeetCode problem '48. Rotate Image'.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7" spans="1:15" x14ac:dyDescent="0.25">
      <c r="A47" s="1">
        <v>84</v>
      </c>
      <c r="B47" s="2" t="str">
        <f>HYPERLINK("https://leetcode.com/problems/largest-rectangle-in-histogram/", "Largest Rectangle in Histogram")</f>
        <v>Largest Rectangle in Histogram</v>
      </c>
      <c r="C47" s="1">
        <v>19260</v>
      </c>
      <c r="D47" s="1">
        <v>373</v>
      </c>
      <c r="E47" s="3">
        <f t="shared" si="0"/>
        <v>0.98100137523557274</v>
      </c>
      <c r="F47" s="1" t="s">
        <v>61</v>
      </c>
      <c r="G47" s="1" t="s">
        <v>28</v>
      </c>
      <c r="H47" s="1">
        <v>1437188</v>
      </c>
      <c r="I47" s="1">
        <v>2929268</v>
      </c>
      <c r="J47" s="7">
        <v>0.49099999999999999</v>
      </c>
      <c r="K47" s="1" t="s">
        <v>21</v>
      </c>
      <c r="L47" s="1" t="s">
        <v>21</v>
      </c>
      <c r="M47" s="1" t="s">
        <v>21</v>
      </c>
      <c r="N47" s="1" t="s">
        <v>22</v>
      </c>
      <c r="O47" s="1" t="str">
        <f t="shared" ca="1" si="1"/>
        <v>Please solve the LeetCode problem '84. Largest Rectangle in Histogram'.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8" spans="1:15" x14ac:dyDescent="0.25">
      <c r="A48" s="1">
        <v>347</v>
      </c>
      <c r="B48" s="2" t="str">
        <f>HYPERLINK("https://leetcode.com/problems/top-k-frequent-elements/", "Top K Frequent Elements")</f>
        <v>Top K Frequent Elements</v>
      </c>
      <c r="C48" s="1">
        <v>19159</v>
      </c>
      <c r="D48" s="1">
        <v>846</v>
      </c>
      <c r="E48" s="3">
        <f t="shared" si="0"/>
        <v>0.95771057235691082</v>
      </c>
      <c r="F48" s="1" t="s">
        <v>62</v>
      </c>
      <c r="G48" s="1" t="s">
        <v>24</v>
      </c>
      <c r="H48" s="1">
        <v>3328131</v>
      </c>
      <c r="I48" s="1">
        <v>5074198</v>
      </c>
      <c r="J48" s="7">
        <v>0.65600000000000003</v>
      </c>
      <c r="K48" s="1" t="s">
        <v>21</v>
      </c>
      <c r="L48" s="1" t="s">
        <v>21</v>
      </c>
      <c r="M48" s="1" t="s">
        <v>21</v>
      </c>
      <c r="N48" s="1" t="s">
        <v>22</v>
      </c>
      <c r="O48" s="1" t="str">
        <f t="shared" ca="1" si="1"/>
        <v>Please solve the LeetCode problem '347. Top K Frequent Elements'.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9" spans="1:15" x14ac:dyDescent="0.25">
      <c r="A49" s="1">
        <v>283</v>
      </c>
      <c r="B49" s="2" t="str">
        <f>HYPERLINK("https://leetcode.com/problems/move-zeroes/", "Move Zeroes")</f>
        <v>Move Zeroes</v>
      </c>
      <c r="C49" s="1">
        <v>18982</v>
      </c>
      <c r="D49" s="1">
        <v>569</v>
      </c>
      <c r="E49" s="3">
        <f t="shared" si="0"/>
        <v>0.97089662932842313</v>
      </c>
      <c r="F49" s="1" t="s">
        <v>51</v>
      </c>
      <c r="G49" s="1" t="s">
        <v>20</v>
      </c>
      <c r="H49" s="1">
        <v>4756259</v>
      </c>
      <c r="I49" s="1">
        <v>7503190</v>
      </c>
      <c r="J49" s="7">
        <v>0.63400000000000001</v>
      </c>
      <c r="K49" s="1" t="s">
        <v>21</v>
      </c>
      <c r="L49" s="1" t="s">
        <v>21</v>
      </c>
      <c r="M49" s="1" t="s">
        <v>21</v>
      </c>
      <c r="N49" s="1" t="s">
        <v>22</v>
      </c>
      <c r="O49" s="1" t="str">
        <f t="shared" ca="1" si="1"/>
        <v>Please solve the LeetCode problem '283. Move Zeroes'.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0" spans="1:15" x14ac:dyDescent="0.25">
      <c r="A50" s="1">
        <v>78</v>
      </c>
      <c r="B50" s="2" t="str">
        <f>HYPERLINK("https://leetcode.com/problems/subsets/", "Subsets")</f>
        <v>Subsets</v>
      </c>
      <c r="C50" s="1">
        <v>18963</v>
      </c>
      <c r="D50" s="1">
        <v>334</v>
      </c>
      <c r="E50" s="3">
        <f t="shared" si="0"/>
        <v>0.98269161009483341</v>
      </c>
      <c r="F50" s="1" t="s">
        <v>63</v>
      </c>
      <c r="G50" s="1" t="s">
        <v>24</v>
      </c>
      <c r="H50" s="1">
        <v>2872862</v>
      </c>
      <c r="I50" s="1">
        <v>3509135</v>
      </c>
      <c r="J50" s="7">
        <v>0.81899999999999995</v>
      </c>
      <c r="K50" s="1" t="s">
        <v>21</v>
      </c>
      <c r="L50" s="1" t="s">
        <v>21</v>
      </c>
      <c r="M50" s="1" t="s">
        <v>21</v>
      </c>
      <c r="N50" s="1" t="s">
        <v>22</v>
      </c>
      <c r="O50" s="1" t="str">
        <f t="shared" ca="1" si="1"/>
        <v>Please solve the LeetCode problem '78. Subsets'.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1" spans="1:15" x14ac:dyDescent="0.25">
      <c r="A51" s="1">
        <v>215</v>
      </c>
      <c r="B51" s="2" t="str">
        <f>HYPERLINK("https://leetcode.com/problems/kth-largest-element-in-an-array/", "Kth Largest Element in an Array")</f>
        <v>Kth Largest Element in an Array</v>
      </c>
      <c r="C51" s="1">
        <v>18535</v>
      </c>
      <c r="D51" s="1">
        <v>968</v>
      </c>
      <c r="E51" s="3">
        <f t="shared" si="0"/>
        <v>0.9503666102650874</v>
      </c>
      <c r="F51" s="1" t="s">
        <v>64</v>
      </c>
      <c r="G51" s="1" t="s">
        <v>24</v>
      </c>
      <c r="H51" s="1">
        <v>3422648</v>
      </c>
      <c r="I51" s="1">
        <v>4983080</v>
      </c>
      <c r="J51" s="7">
        <v>0.68700000000000006</v>
      </c>
      <c r="K51" s="1" t="s">
        <v>21</v>
      </c>
      <c r="L51" s="1" t="s">
        <v>21</v>
      </c>
      <c r="M51" s="1" t="s">
        <v>21</v>
      </c>
      <c r="N51" s="1" t="s">
        <v>22</v>
      </c>
      <c r="O51" s="1" t="str">
        <f t="shared" ca="1" si="1"/>
        <v>Please solve the LeetCode problem '215. Kth Largest Element in an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2" spans="1:15" x14ac:dyDescent="0.25">
      <c r="A52" s="1">
        <v>139</v>
      </c>
      <c r="B52" s="2" t="str">
        <f>HYPERLINK("https://leetcode.com/problems/word-break/", "Word Break")</f>
        <v>Word Break</v>
      </c>
      <c r="C52" s="1">
        <v>18509</v>
      </c>
      <c r="D52" s="1">
        <v>890</v>
      </c>
      <c r="E52" s="3">
        <f t="shared" si="0"/>
        <v>0.95412134646115776</v>
      </c>
      <c r="F52" s="1" t="s">
        <v>66</v>
      </c>
      <c r="G52" s="1" t="s">
        <v>24</v>
      </c>
      <c r="H52" s="1">
        <v>2283786</v>
      </c>
      <c r="I52" s="1">
        <v>4659677</v>
      </c>
      <c r="J52" s="7">
        <v>0.49</v>
      </c>
      <c r="K52" s="1" t="s">
        <v>21</v>
      </c>
      <c r="L52" s="1" t="s">
        <v>21</v>
      </c>
      <c r="M52" s="1" t="s">
        <v>21</v>
      </c>
      <c r="N52" s="1" t="s">
        <v>22</v>
      </c>
      <c r="O52" s="1" t="str">
        <f t="shared" ca="1" si="1"/>
        <v>Please solve the LeetCode problem '139. Word Break'.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3" spans="1:15" x14ac:dyDescent="0.25">
      <c r="A53" s="1">
        <v>136</v>
      </c>
      <c r="B53" s="2" t="str">
        <f>HYPERLINK("https://leetcode.com/problems/single-number/", "Single Number")</f>
        <v>Single Number</v>
      </c>
      <c r="C53" s="1">
        <v>18501</v>
      </c>
      <c r="D53" s="1">
        <v>879</v>
      </c>
      <c r="E53" s="3">
        <f t="shared" si="0"/>
        <v>0.95464396284829722</v>
      </c>
      <c r="F53" s="1" t="s">
        <v>65</v>
      </c>
      <c r="G53" s="1" t="s">
        <v>20</v>
      </c>
      <c r="H53" s="1">
        <v>4285845</v>
      </c>
      <c r="I53" s="1">
        <v>5557061</v>
      </c>
      <c r="J53" s="7">
        <v>0.77100000000000002</v>
      </c>
      <c r="K53" s="1" t="s">
        <v>21</v>
      </c>
      <c r="L53" s="1" t="s">
        <v>21</v>
      </c>
      <c r="M53" s="1" t="s">
        <v>29</v>
      </c>
      <c r="N53" s="1" t="s">
        <v>22</v>
      </c>
      <c r="O53" s="1" t="str">
        <f t="shared" ca="1" si="1"/>
        <v>Please solve the LeetCode problem '136. Single Number'.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4" spans="1:15" x14ac:dyDescent="0.25">
      <c r="A54" s="1">
        <v>35</v>
      </c>
      <c r="B54" s="2" t="str">
        <f>HYPERLINK("https://leetcode.com/problems/search-insert-position/", "Search Insert Position")</f>
        <v>Search Insert Position</v>
      </c>
      <c r="C54" s="1">
        <v>18434</v>
      </c>
      <c r="D54" s="1">
        <v>876</v>
      </c>
      <c r="E54" s="3">
        <f t="shared" si="0"/>
        <v>0.95463490419471775</v>
      </c>
      <c r="F54" s="1" t="s">
        <v>35</v>
      </c>
      <c r="G54" s="1" t="s">
        <v>20</v>
      </c>
      <c r="H54" s="1">
        <v>4432514</v>
      </c>
      <c r="I54" s="1">
        <v>8794653</v>
      </c>
      <c r="J54" s="7">
        <v>0.504</v>
      </c>
      <c r="K54" s="1" t="s">
        <v>21</v>
      </c>
      <c r="L54" s="1" t="s">
        <v>21</v>
      </c>
      <c r="M54" s="1" t="s">
        <v>21</v>
      </c>
      <c r="N54" s="1" t="s">
        <v>22</v>
      </c>
      <c r="O54" s="1" t="str">
        <f t="shared" ca="1" si="1"/>
        <v>Please solve the LeetCode problem '35. Search Insert Position'.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5" spans="1:15" x14ac:dyDescent="0.25">
      <c r="A55" s="1">
        <v>88</v>
      </c>
      <c r="B55" s="2" t="str">
        <f>HYPERLINK("https://leetcode.com/problems/merge-sorted-array/", "Merge Sorted Array")</f>
        <v>Merge Sorted Array</v>
      </c>
      <c r="C55" s="1">
        <v>18432</v>
      </c>
      <c r="D55" s="1">
        <v>2577</v>
      </c>
      <c r="E55" s="3">
        <f t="shared" si="0"/>
        <v>0.87733828359274602</v>
      </c>
      <c r="F55" s="1" t="s">
        <v>31</v>
      </c>
      <c r="G55" s="1" t="s">
        <v>20</v>
      </c>
      <c r="H55" s="1">
        <v>5330022</v>
      </c>
      <c r="I55" s="1">
        <v>9846564</v>
      </c>
      <c r="J55" s="7">
        <v>0.54100000000000004</v>
      </c>
      <c r="K55" s="1" t="s">
        <v>21</v>
      </c>
      <c r="L55" s="1" t="s">
        <v>21</v>
      </c>
      <c r="M55" s="1" t="s">
        <v>21</v>
      </c>
      <c r="N55" s="1" t="s">
        <v>22</v>
      </c>
      <c r="O55" s="1" t="str">
        <f t="shared" ca="1" si="1"/>
        <v>Please solve the LeetCode problem '88. Merge Sorted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6" spans="1:15" x14ac:dyDescent="0.25">
      <c r="A56" s="1">
        <v>26</v>
      </c>
      <c r="B56" s="2" t="str">
        <f>HYPERLINK("https://leetcode.com/problems/remove-duplicates-from-sorted-array/", "Remove Duplicates from Sorted Array")</f>
        <v>Remove Duplicates from Sorted Array</v>
      </c>
      <c r="C56" s="1">
        <v>18422</v>
      </c>
      <c r="D56" s="1">
        <v>20378</v>
      </c>
      <c r="E56" s="3">
        <f t="shared" si="0"/>
        <v>0.47479381443298968</v>
      </c>
      <c r="F56" s="1" t="s">
        <v>51</v>
      </c>
      <c r="G56" s="1" t="s">
        <v>20</v>
      </c>
      <c r="H56" s="1">
        <v>7316187</v>
      </c>
      <c r="I56" s="1">
        <v>11810976</v>
      </c>
      <c r="J56" s="7">
        <v>0.61899999999999999</v>
      </c>
      <c r="K56" s="1" t="s">
        <v>21</v>
      </c>
      <c r="L56" s="1" t="s">
        <v>21</v>
      </c>
      <c r="M56" s="1" t="s">
        <v>21</v>
      </c>
      <c r="N56" s="1" t="s">
        <v>22</v>
      </c>
      <c r="O56" s="1" t="str">
        <f t="shared" ca="1" si="1"/>
        <v>Please solve the LeetCode problem '26. Remove Duplicates from Sorted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7" spans="1:15" x14ac:dyDescent="0.25">
      <c r="A57" s="1">
        <v>236</v>
      </c>
      <c r="B57" s="2" t="str">
        <f>HYPERLINK("https://leetcode.com/problems/lowest-common-ancestor-of-a-binary-tree/", "Lowest Common Ancestor of a Binary Tree")</f>
        <v>Lowest Common Ancestor of a Binary Tree</v>
      </c>
      <c r="C57" s="1">
        <v>18399</v>
      </c>
      <c r="D57" s="1">
        <v>484</v>
      </c>
      <c r="E57" s="3">
        <f t="shared" si="0"/>
        <v>0.97436847958481176</v>
      </c>
      <c r="F57" s="1" t="s">
        <v>67</v>
      </c>
      <c r="G57" s="1" t="s">
        <v>24</v>
      </c>
      <c r="H57" s="1">
        <v>2456056</v>
      </c>
      <c r="I57" s="1">
        <v>3587328</v>
      </c>
      <c r="J57" s="7">
        <v>0.68500000000000005</v>
      </c>
      <c r="K57" s="1" t="s">
        <v>21</v>
      </c>
      <c r="L57" s="1" t="s">
        <v>21</v>
      </c>
      <c r="M57" s="1" t="s">
        <v>29</v>
      </c>
      <c r="N57" s="1" t="s">
        <v>22</v>
      </c>
      <c r="O57" s="1" t="str">
        <f t="shared" ca="1" si="1"/>
        <v>Please solve the LeetCode problem '236. Lowest Common Ancestor of a Binary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8" spans="1:15" x14ac:dyDescent="0.25">
      <c r="A58" s="1">
        <v>124</v>
      </c>
      <c r="B58" s="2" t="str">
        <f>HYPERLINK("https://leetcode.com/problems/binary-tree-maximum-path-sum/", "Binary Tree Maximum Path Sum")</f>
        <v>Binary Tree Maximum Path Sum</v>
      </c>
      <c r="C58" s="1">
        <v>18234</v>
      </c>
      <c r="D58" s="1">
        <v>784</v>
      </c>
      <c r="E58" s="3">
        <f t="shared" si="0"/>
        <v>0.95877589651908723</v>
      </c>
      <c r="F58" s="1" t="s">
        <v>68</v>
      </c>
      <c r="G58" s="1" t="s">
        <v>28</v>
      </c>
      <c r="H58" s="1">
        <v>1802788</v>
      </c>
      <c r="I58" s="1">
        <v>4302682</v>
      </c>
      <c r="J58" s="7">
        <v>0.41899999999999998</v>
      </c>
      <c r="K58" s="1" t="s">
        <v>21</v>
      </c>
      <c r="L58" s="1" t="s">
        <v>21</v>
      </c>
      <c r="M58" s="1" t="s">
        <v>29</v>
      </c>
      <c r="N58" s="1" t="s">
        <v>22</v>
      </c>
      <c r="O58" s="1" t="str">
        <f t="shared" ca="1" si="1"/>
        <v>Please solve the LeetCode problem '124. Binary Tree Maximum Path Sum'.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9" spans="1:15" x14ac:dyDescent="0.25">
      <c r="A59" s="1">
        <v>98</v>
      </c>
      <c r="B59" s="2" t="str">
        <f>HYPERLINK("https://leetcode.com/problems/validate-binary-search-tree/", "Validate Binary Search Tree")</f>
        <v>Validate Binary Search Tree</v>
      </c>
      <c r="C59" s="1">
        <v>18176</v>
      </c>
      <c r="D59" s="1">
        <v>1441</v>
      </c>
      <c r="E59" s="3">
        <f t="shared" si="0"/>
        <v>0.92654330427690268</v>
      </c>
      <c r="F59" s="1" t="s">
        <v>69</v>
      </c>
      <c r="G59" s="1" t="s">
        <v>24</v>
      </c>
      <c r="H59" s="1">
        <v>3180470</v>
      </c>
      <c r="I59" s="1">
        <v>9036245</v>
      </c>
      <c r="J59" s="7">
        <v>0.35199999999999998</v>
      </c>
      <c r="K59" s="1" t="s">
        <v>21</v>
      </c>
      <c r="L59" s="1" t="s">
        <v>21</v>
      </c>
      <c r="M59" s="1" t="s">
        <v>21</v>
      </c>
      <c r="N59" s="1" t="s">
        <v>22</v>
      </c>
      <c r="O59" s="1" t="str">
        <f t="shared" ca="1" si="1"/>
        <v>Please solve the LeetCode problem '98. Validate Binary Search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0" spans="1:15" x14ac:dyDescent="0.25">
      <c r="A60" s="1">
        <v>62</v>
      </c>
      <c r="B60" s="2" t="str">
        <f>HYPERLINK("https://leetcode.com/problems/unique-paths/", "Unique Paths")</f>
        <v>Unique Paths</v>
      </c>
      <c r="C60" s="1">
        <v>18160</v>
      </c>
      <c r="D60" s="1">
        <v>491</v>
      </c>
      <c r="E60" s="3">
        <f t="shared" si="0"/>
        <v>0.9736743338158812</v>
      </c>
      <c r="F60" s="1" t="s">
        <v>70</v>
      </c>
      <c r="G60" s="1" t="s">
        <v>24</v>
      </c>
      <c r="H60" s="1">
        <v>2672558</v>
      </c>
      <c r="I60" s="1">
        <v>4022274</v>
      </c>
      <c r="J60" s="7">
        <v>0.66400000000000003</v>
      </c>
      <c r="K60" s="1" t="s">
        <v>21</v>
      </c>
      <c r="L60" s="1" t="s">
        <v>21</v>
      </c>
      <c r="M60" s="1" t="s">
        <v>29</v>
      </c>
      <c r="N60" s="1" t="s">
        <v>22</v>
      </c>
      <c r="O60" s="1" t="str">
        <f t="shared" ca="1" si="1"/>
        <v>Please solve the LeetCode problem '62. Unique Paths'.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1" spans="1:15" x14ac:dyDescent="0.25">
      <c r="A61" s="1">
        <v>41</v>
      </c>
      <c r="B61" s="2" t="str">
        <f>HYPERLINK("https://leetcode.com/problems/first-missing-positive/", "First Missing Positive")</f>
        <v>First Missing Positive</v>
      </c>
      <c r="C61" s="1">
        <v>18155</v>
      </c>
      <c r="D61" s="1">
        <v>1972</v>
      </c>
      <c r="E61" s="3">
        <f t="shared" si="0"/>
        <v>0.90202215928851792</v>
      </c>
      <c r="F61" s="1" t="s">
        <v>19</v>
      </c>
      <c r="G61" s="1" t="s">
        <v>28</v>
      </c>
      <c r="H61" s="1">
        <v>1658722</v>
      </c>
      <c r="I61" s="1">
        <v>3930429</v>
      </c>
      <c r="J61" s="7">
        <v>0.42199999999999999</v>
      </c>
      <c r="K61" s="1" t="s">
        <v>21</v>
      </c>
      <c r="L61" s="1" t="s">
        <v>21</v>
      </c>
      <c r="M61" s="1" t="s">
        <v>29</v>
      </c>
      <c r="N61" s="1" t="s">
        <v>22</v>
      </c>
      <c r="O61" s="1" t="str">
        <f t="shared" ca="1" si="1"/>
        <v>Please solve the LeetCode problem '41. First Missing Positive'.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2" spans="1:15" x14ac:dyDescent="0.25">
      <c r="A62" s="1">
        <v>234</v>
      </c>
      <c r="B62" s="2" t="str">
        <f>HYPERLINK("https://leetcode.com/problems/palindrome-linked-list/", "Palindrome Linked List")</f>
        <v>Palindrome Linked List</v>
      </c>
      <c r="C62" s="1">
        <v>18085</v>
      </c>
      <c r="D62" s="1">
        <v>969</v>
      </c>
      <c r="E62" s="3">
        <f t="shared" si="0"/>
        <v>0.94914453658024567</v>
      </c>
      <c r="F62" s="1" t="s">
        <v>71</v>
      </c>
      <c r="G62" s="1" t="s">
        <v>20</v>
      </c>
      <c r="H62" s="1">
        <v>2738896</v>
      </c>
      <c r="I62" s="1">
        <v>4791716</v>
      </c>
      <c r="J62" s="7">
        <v>0.57199999999999995</v>
      </c>
      <c r="K62" s="1" t="s">
        <v>21</v>
      </c>
      <c r="L62" s="1" t="s">
        <v>21</v>
      </c>
      <c r="M62" s="1" t="s">
        <v>21</v>
      </c>
      <c r="N62" s="1" t="s">
        <v>22</v>
      </c>
      <c r="O62" s="1" t="str">
        <f t="shared" ca="1" si="1"/>
        <v>Please solve the LeetCode problem '234. Palindrome Linked List'.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3" spans="1:15" x14ac:dyDescent="0.25">
      <c r="A63" s="1">
        <v>207</v>
      </c>
      <c r="B63" s="2" t="str">
        <f>HYPERLINK("https://leetcode.com/problems/course-schedule/", "Course Schedule")</f>
        <v>Course Schedule</v>
      </c>
      <c r="C63" s="1">
        <v>17736</v>
      </c>
      <c r="D63" s="1">
        <v>856</v>
      </c>
      <c r="E63" s="3">
        <f t="shared" si="0"/>
        <v>0.95395869191049909</v>
      </c>
      <c r="F63" s="1" t="s">
        <v>72</v>
      </c>
      <c r="G63" s="1" t="s">
        <v>24</v>
      </c>
      <c r="H63" s="1">
        <v>2419924</v>
      </c>
      <c r="I63" s="1">
        <v>4784390</v>
      </c>
      <c r="J63" s="7">
        <v>0.50600000000000001</v>
      </c>
      <c r="K63" s="1" t="s">
        <v>21</v>
      </c>
      <c r="L63" s="1" t="s">
        <v>21</v>
      </c>
      <c r="M63" s="1" t="s">
        <v>29</v>
      </c>
      <c r="N63" s="1" t="s">
        <v>22</v>
      </c>
      <c r="O63" s="1" t="str">
        <f t="shared" ca="1" si="1"/>
        <v>Please solve the LeetCode problem '207. Course Schedule'.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4" spans="1:15" x14ac:dyDescent="0.25">
      <c r="A64" s="1">
        <v>74</v>
      </c>
      <c r="B64" s="2" t="str">
        <f>HYPERLINK("https://leetcode.com/problems/search-a-2d-matrix/", "Search a 2D Matrix")</f>
        <v>Search a 2D Matrix</v>
      </c>
      <c r="C64" s="1">
        <v>17614</v>
      </c>
      <c r="D64" s="1">
        <v>476</v>
      </c>
      <c r="E64" s="3">
        <f t="shared" si="0"/>
        <v>0.97368711995577673</v>
      </c>
      <c r="F64" s="1" t="s">
        <v>73</v>
      </c>
      <c r="G64" s="1" t="s">
        <v>24</v>
      </c>
      <c r="H64" s="1">
        <v>2718971</v>
      </c>
      <c r="I64" s="1">
        <v>5098252</v>
      </c>
      <c r="J64" s="7">
        <v>0.53300000000000003</v>
      </c>
      <c r="K64" s="1" t="s">
        <v>21</v>
      </c>
      <c r="L64" s="1" t="s">
        <v>21</v>
      </c>
      <c r="M64" s="1" t="s">
        <v>29</v>
      </c>
      <c r="N64" s="1" t="s">
        <v>22</v>
      </c>
      <c r="O64" s="1" t="str">
        <f t="shared" ca="1" si="1"/>
        <v>Please solve the LeetCode problem '74. Search a 2D Matrix'.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5" spans="1:15" x14ac:dyDescent="0.25">
      <c r="A65" s="1">
        <v>79</v>
      </c>
      <c r="B65" s="2" t="str">
        <f>HYPERLINK("https://leetcode.com/problems/word-search/", "Word Search")</f>
        <v>Word Search</v>
      </c>
      <c r="C65" s="1">
        <v>17434</v>
      </c>
      <c r="D65" s="1">
        <v>746</v>
      </c>
      <c r="E65" s="3">
        <f t="shared" si="0"/>
        <v>0.95896589658965892</v>
      </c>
      <c r="F65" s="1" t="s">
        <v>74</v>
      </c>
      <c r="G65" s="1" t="s">
        <v>24</v>
      </c>
      <c r="H65" s="1">
        <v>2372171</v>
      </c>
      <c r="I65" s="1">
        <v>5089899</v>
      </c>
      <c r="J65" s="7">
        <v>0.46600000000000003</v>
      </c>
      <c r="K65" s="1" t="s">
        <v>21</v>
      </c>
      <c r="L65" s="1" t="s">
        <v>21</v>
      </c>
      <c r="M65" s="1" t="s">
        <v>29</v>
      </c>
      <c r="N65" s="1" t="s">
        <v>22</v>
      </c>
      <c r="O65" s="1" t="str">
        <f t="shared" ca="1" si="1"/>
        <v>Please solve the LeetCode problem '79. Word Search'.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6" spans="1:15" x14ac:dyDescent="0.25">
      <c r="A66" s="1">
        <v>13</v>
      </c>
      <c r="B66" s="2" t="str">
        <f>HYPERLINK("https://leetcode.com/problems/roman-to-integer/", "Roman to Integer")</f>
        <v>Roman to Integer</v>
      </c>
      <c r="C66" s="1">
        <v>17258</v>
      </c>
      <c r="D66" s="1">
        <v>1197</v>
      </c>
      <c r="E66" s="3">
        <f t="shared" si="0"/>
        <v>0.93513952858303984</v>
      </c>
      <c r="F66" s="1" t="s">
        <v>75</v>
      </c>
      <c r="G66" s="1" t="s">
        <v>20</v>
      </c>
      <c r="H66" s="1">
        <v>5545500</v>
      </c>
      <c r="I66" s="1">
        <v>8397661</v>
      </c>
      <c r="J66" s="7">
        <v>0.66</v>
      </c>
      <c r="K66" s="1" t="s">
        <v>21</v>
      </c>
      <c r="L66" s="1" t="s">
        <v>21</v>
      </c>
      <c r="M66" s="1" t="s">
        <v>21</v>
      </c>
      <c r="N66" s="1" t="s">
        <v>22</v>
      </c>
      <c r="O66" s="1" t="str">
        <f t="shared" ca="1" si="1"/>
        <v>Please solve the LeetCode problem '13. Roman to Integer'.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7" spans="1:15" x14ac:dyDescent="0.25">
      <c r="A67" s="1">
        <v>141</v>
      </c>
      <c r="B67" s="2" t="str">
        <f>HYPERLINK("https://leetcode.com/problems/linked-list-cycle/", "Linked List Cycle")</f>
        <v>Linked List Cycle</v>
      </c>
      <c r="C67" s="1">
        <v>17244</v>
      </c>
      <c r="D67" s="1">
        <v>1564</v>
      </c>
      <c r="E67" s="3">
        <f t="shared" si="0"/>
        <v>0.9168438962143769</v>
      </c>
      <c r="F67" s="1" t="s">
        <v>76</v>
      </c>
      <c r="G67" s="1" t="s">
        <v>20</v>
      </c>
      <c r="H67" s="1">
        <v>4588104</v>
      </c>
      <c r="I67" s="1">
        <v>8546841</v>
      </c>
      <c r="J67" s="7">
        <v>0.53700000000000003</v>
      </c>
      <c r="K67" s="1" t="s">
        <v>21</v>
      </c>
      <c r="L67" s="1" t="s">
        <v>21</v>
      </c>
      <c r="M67" s="1" t="s">
        <v>21</v>
      </c>
      <c r="N67" s="1" t="s">
        <v>22</v>
      </c>
      <c r="O67" s="1" t="str">
        <f t="shared" ca="1" si="1"/>
        <v>Please solve the LeetCode problem '141. Linked List Cycle'.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8" spans="1:15" x14ac:dyDescent="0.25">
      <c r="A68" s="1">
        <v>54</v>
      </c>
      <c r="B68" s="2" t="str">
        <f>HYPERLINK("https://leetcode.com/problems/spiral-matrix/", "Spiral Matrix")</f>
        <v>Spiral Matrix</v>
      </c>
      <c r="C68" s="1">
        <v>17088</v>
      </c>
      <c r="D68" s="1">
        <v>1535</v>
      </c>
      <c r="E68" s="3">
        <f t="shared" si="0"/>
        <v>0.91757504161520698</v>
      </c>
      <c r="F68" s="1" t="s">
        <v>77</v>
      </c>
      <c r="G68" s="1" t="s">
        <v>24</v>
      </c>
      <c r="H68" s="1">
        <v>2240887</v>
      </c>
      <c r="I68" s="1">
        <v>4015168</v>
      </c>
      <c r="J68" s="7">
        <v>0.55800000000000005</v>
      </c>
      <c r="K68" s="1" t="s">
        <v>21</v>
      </c>
      <c r="L68" s="1" t="s">
        <v>21</v>
      </c>
      <c r="M68" s="1" t="s">
        <v>29</v>
      </c>
      <c r="N68" s="1" t="s">
        <v>22</v>
      </c>
      <c r="O68" s="1" t="str">
        <f t="shared" ca="1" si="1"/>
        <v>Please solve the LeetCode problem '54. Spiral Matrix'.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9" spans="1:15" x14ac:dyDescent="0.25">
      <c r="A69" s="1">
        <v>73</v>
      </c>
      <c r="B69" s="2" t="str">
        <f>HYPERLINK("https://leetcode.com/problems/set-matrix-zeroes/", "Set Matrix Zeroes")</f>
        <v>Set Matrix Zeroes</v>
      </c>
      <c r="C69" s="1">
        <v>16825</v>
      </c>
      <c r="D69" s="1">
        <v>848</v>
      </c>
      <c r="E69" s="3">
        <f t="shared" si="0"/>
        <v>0.95201720138063717</v>
      </c>
      <c r="F69" s="1" t="s">
        <v>78</v>
      </c>
      <c r="G69" s="1" t="s">
        <v>24</v>
      </c>
      <c r="H69" s="1">
        <v>2424518</v>
      </c>
      <c r="I69" s="1">
        <v>3899086</v>
      </c>
      <c r="J69" s="7">
        <v>0.622</v>
      </c>
      <c r="K69" s="1" t="s">
        <v>21</v>
      </c>
      <c r="L69" s="1" t="s">
        <v>21</v>
      </c>
      <c r="M69" s="1" t="s">
        <v>29</v>
      </c>
      <c r="N69" s="1" t="s">
        <v>22</v>
      </c>
      <c r="O69" s="1" t="str">
        <f t="shared" ca="1" si="1"/>
        <v>Please solve the LeetCode problem '73. Set Matrix Zeroes'.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0" spans="1:15" x14ac:dyDescent="0.25">
      <c r="A70" s="1">
        <v>102</v>
      </c>
      <c r="B70" s="2" t="str">
        <f>HYPERLINK("https://leetcode.com/problems/binary-tree-level-order-traversal/", "Binary Tree Level Order Traversal")</f>
        <v>Binary Tree Level Order Traversal</v>
      </c>
      <c r="C70" s="1">
        <v>16821</v>
      </c>
      <c r="D70" s="1">
        <v>366</v>
      </c>
      <c r="E70" s="3">
        <f t="shared" si="0"/>
        <v>0.97870483504974692</v>
      </c>
      <c r="F70" s="1" t="s">
        <v>79</v>
      </c>
      <c r="G70" s="1" t="s">
        <v>24</v>
      </c>
      <c r="H70" s="1">
        <v>3216900</v>
      </c>
      <c r="I70" s="1">
        <v>4471635</v>
      </c>
      <c r="J70" s="7">
        <v>0.71899999999999997</v>
      </c>
      <c r="K70" s="1" t="s">
        <v>21</v>
      </c>
      <c r="L70" s="1" t="s">
        <v>21</v>
      </c>
      <c r="M70" s="1" t="s">
        <v>29</v>
      </c>
      <c r="N70" s="1" t="s">
        <v>22</v>
      </c>
      <c r="O70" s="1" t="str">
        <f t="shared" ca="1" si="1"/>
        <v>Please solve the LeetCode problem '102. Binary Tree Level Order Traversal'.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1" spans="1:15" x14ac:dyDescent="0.25">
      <c r="A71" s="1">
        <v>101</v>
      </c>
      <c r="B71" s="2" t="str">
        <f>HYPERLINK("https://leetcode.com/problems/symmetric-tree/", "Symmetric Tree")</f>
        <v>Symmetric Tree</v>
      </c>
      <c r="C71" s="1">
        <v>16649</v>
      </c>
      <c r="D71" s="1">
        <v>448</v>
      </c>
      <c r="E71" s="3">
        <f t="shared" si="0"/>
        <v>0.97379657249809903</v>
      </c>
      <c r="F71" s="1" t="s">
        <v>80</v>
      </c>
      <c r="G71" s="1" t="s">
        <v>20</v>
      </c>
      <c r="H71" s="1">
        <v>2738770</v>
      </c>
      <c r="I71" s="1">
        <v>4527231</v>
      </c>
      <c r="J71" s="7">
        <v>0.60499999999999998</v>
      </c>
      <c r="K71" s="1" t="s">
        <v>21</v>
      </c>
      <c r="L71" s="1" t="s">
        <v>21</v>
      </c>
      <c r="M71" s="1" t="s">
        <v>21</v>
      </c>
      <c r="N71" s="1" t="s">
        <v>22</v>
      </c>
      <c r="O71" s="1" t="str">
        <f t="shared" ca="1" si="1"/>
        <v>Please solve the LeetCode problem '101. Symmetric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2" spans="1:15" x14ac:dyDescent="0.25">
      <c r="A72" s="1">
        <v>105</v>
      </c>
      <c r="B72" s="2" t="str">
        <f>HYPERLINK("https://leetcode.com/problems/construct-binary-tree-from-preorder-and-inorder-traversal/", "Construct Binary Tree from Preorder and Inorder Traversal")</f>
        <v>Construct Binary Tree from Preorder and Inorder Traversal</v>
      </c>
      <c r="C72" s="1">
        <v>16467</v>
      </c>
      <c r="D72" s="1">
        <v>612</v>
      </c>
      <c r="E72" s="3">
        <f t="shared" si="0"/>
        <v>0.96416652028807304</v>
      </c>
      <c r="F72" s="1" t="s">
        <v>81</v>
      </c>
      <c r="G72" s="1" t="s">
        <v>24</v>
      </c>
      <c r="H72" s="1">
        <v>1774936</v>
      </c>
      <c r="I72" s="1">
        <v>2605194</v>
      </c>
      <c r="J72" s="7">
        <v>0.68100000000000005</v>
      </c>
      <c r="K72" s="1" t="s">
        <v>21</v>
      </c>
      <c r="L72" s="1" t="s">
        <v>21</v>
      </c>
      <c r="M72" s="1" t="s">
        <v>29</v>
      </c>
      <c r="N72" s="1" t="s">
        <v>22</v>
      </c>
      <c r="O72" s="1" t="str">
        <f t="shared" ca="1" si="1"/>
        <v>Please solve the LeetCode problem '105. Construct Binary Tree from Preorder and Inorder Traversal'.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3" spans="1:15" x14ac:dyDescent="0.25">
      <c r="A73" s="1">
        <v>160</v>
      </c>
      <c r="B73" s="2" t="str">
        <f>HYPERLINK("https://leetcode.com/problems/intersection-of-two-linked-lists/", "Intersection of Two Linked Lists")</f>
        <v>Intersection of Two Linked Lists</v>
      </c>
      <c r="C73" s="1">
        <v>16384</v>
      </c>
      <c r="D73" s="1">
        <v>1482</v>
      </c>
      <c r="E73" s="3">
        <f t="shared" si="0"/>
        <v>0.91704914362476209</v>
      </c>
      <c r="F73" s="1" t="s">
        <v>76</v>
      </c>
      <c r="G73" s="1" t="s">
        <v>20</v>
      </c>
      <c r="H73" s="1">
        <v>2258079</v>
      </c>
      <c r="I73" s="1">
        <v>3590475</v>
      </c>
      <c r="J73" s="7">
        <v>0.629</v>
      </c>
      <c r="K73" s="1" t="s">
        <v>21</v>
      </c>
      <c r="L73" s="1" t="s">
        <v>21</v>
      </c>
      <c r="M73" s="1" t="s">
        <v>21</v>
      </c>
      <c r="N73" s="1" t="s">
        <v>22</v>
      </c>
      <c r="O73" s="1" t="str">
        <f t="shared" ca="1" si="1"/>
        <v>Please solve the LeetCode problem '160. Intersection of Two Linked Lists'.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4" spans="1:15" x14ac:dyDescent="0.25">
      <c r="A74" s="1">
        <v>45</v>
      </c>
      <c r="B74" s="2" t="str">
        <f>HYPERLINK("https://leetcode.com/problems/jump-game-ii/", "Jump Game II")</f>
        <v>Jump Game II</v>
      </c>
      <c r="C74" s="1">
        <v>16261</v>
      </c>
      <c r="D74" s="1">
        <v>696</v>
      </c>
      <c r="E74" s="3">
        <f t="shared" si="0"/>
        <v>0.95895500383322518</v>
      </c>
      <c r="F74" s="1" t="s">
        <v>50</v>
      </c>
      <c r="G74" s="1" t="s">
        <v>24</v>
      </c>
      <c r="H74" s="1">
        <v>2008785</v>
      </c>
      <c r="I74" s="1">
        <v>4746910</v>
      </c>
      <c r="J74" s="7">
        <v>0.42299999999999999</v>
      </c>
      <c r="K74" s="1" t="s">
        <v>21</v>
      </c>
      <c r="L74" s="1" t="s">
        <v>21</v>
      </c>
      <c r="M74" s="1" t="s">
        <v>29</v>
      </c>
      <c r="N74" s="1" t="s">
        <v>22</v>
      </c>
      <c r="O74" s="1" t="str">
        <f t="shared" ca="1" si="1"/>
        <v>Please solve the LeetCode problem '45. Jump Game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5" spans="1:15" x14ac:dyDescent="0.25">
      <c r="A75" s="1">
        <v>72</v>
      </c>
      <c r="B75" s="2" t="str">
        <f>HYPERLINK("https://leetcode.com/problems/edit-distance/", "Edit Distance")</f>
        <v>Edit Distance</v>
      </c>
      <c r="C75" s="1">
        <v>16238</v>
      </c>
      <c r="D75" s="1">
        <v>319</v>
      </c>
      <c r="E75" s="3">
        <f t="shared" si="0"/>
        <v>0.9807332246179864</v>
      </c>
      <c r="F75" s="1" t="s">
        <v>82</v>
      </c>
      <c r="G75" s="1" t="s">
        <v>24</v>
      </c>
      <c r="H75" s="1">
        <v>1360788</v>
      </c>
      <c r="I75" s="1">
        <v>2269483</v>
      </c>
      <c r="J75" s="7">
        <v>0.6</v>
      </c>
      <c r="K75" s="1" t="s">
        <v>21</v>
      </c>
      <c r="L75" s="1" t="s">
        <v>21</v>
      </c>
      <c r="M75" s="1" t="s">
        <v>29</v>
      </c>
      <c r="N75" s="1" t="s">
        <v>22</v>
      </c>
      <c r="O75" s="1" t="str">
        <f t="shared" ca="1" si="1"/>
        <v>Please solve the LeetCode problem '72. Edit Distance'.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6" spans="1:15" x14ac:dyDescent="0.25">
      <c r="A76" s="1">
        <v>155</v>
      </c>
      <c r="B76" s="2" t="str">
        <f>HYPERLINK("https://leetcode.com/problems/min-stack/", "Min Stack")</f>
        <v>Min Stack</v>
      </c>
      <c r="C76" s="1">
        <v>15756</v>
      </c>
      <c r="D76" s="1">
        <v>985</v>
      </c>
      <c r="E76" s="3">
        <f t="shared" si="0"/>
        <v>0.94116241562630665</v>
      </c>
      <c r="F76" s="1" t="s">
        <v>83</v>
      </c>
      <c r="G76" s="1" t="s">
        <v>24</v>
      </c>
      <c r="H76" s="1">
        <v>2549167</v>
      </c>
      <c r="I76" s="1">
        <v>4431663</v>
      </c>
      <c r="J76" s="7">
        <v>0.57499999999999996</v>
      </c>
      <c r="K76" s="1" t="s">
        <v>21</v>
      </c>
      <c r="L76" s="1" t="s">
        <v>21</v>
      </c>
      <c r="M76" s="1" t="s">
        <v>29</v>
      </c>
      <c r="N76" s="1" t="s">
        <v>22</v>
      </c>
      <c r="O76" s="1" t="str">
        <f t="shared" ca="1" si="1"/>
        <v>Please solve the LeetCode problem '155. Min Stack'.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7" spans="1:15" x14ac:dyDescent="0.25">
      <c r="A77" s="1">
        <v>543</v>
      </c>
      <c r="B77" s="2" t="str">
        <f>HYPERLINK("https://leetcode.com/problems/diameter-of-binary-tree/", "Diameter of Binary Tree")</f>
        <v>Diameter of Binary Tree</v>
      </c>
      <c r="C77" s="1">
        <v>15419</v>
      </c>
      <c r="D77" s="1">
        <v>1221</v>
      </c>
      <c r="E77" s="3">
        <f t="shared" si="0"/>
        <v>0.92662259615384612</v>
      </c>
      <c r="F77" s="1" t="s">
        <v>67</v>
      </c>
      <c r="G77" s="1" t="s">
        <v>20</v>
      </c>
      <c r="H77" s="1">
        <v>2353161</v>
      </c>
      <c r="I77" s="1">
        <v>3629805</v>
      </c>
      <c r="J77" s="7">
        <v>0.64800000000000002</v>
      </c>
      <c r="K77" s="1" t="s">
        <v>21</v>
      </c>
      <c r="L77" s="1" t="s">
        <v>21</v>
      </c>
      <c r="M77" s="1" t="s">
        <v>29</v>
      </c>
      <c r="N77" s="1" t="s">
        <v>22</v>
      </c>
      <c r="O77" s="1" t="str">
        <f t="shared" ca="1" si="1"/>
        <v>Please solve the LeetCode problem '543. Diameter of Binary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8" spans="1:15" x14ac:dyDescent="0.25">
      <c r="A78" s="1">
        <v>25</v>
      </c>
      <c r="B78" s="2" t="str">
        <f>HYPERLINK("https://leetcode.com/problems/reverse-nodes-in-k-group/", "Reverse Nodes in k-Group")</f>
        <v>Reverse Nodes in k-Group</v>
      </c>
      <c r="C78" s="1">
        <v>15412</v>
      </c>
      <c r="D78" s="1">
        <v>795</v>
      </c>
      <c r="E78" s="3">
        <f t="shared" si="0"/>
        <v>0.95094712161411732</v>
      </c>
      <c r="F78" s="1" t="s">
        <v>41</v>
      </c>
      <c r="G78" s="1" t="s">
        <v>28</v>
      </c>
      <c r="H78" s="1">
        <v>1433818</v>
      </c>
      <c r="I78" s="1">
        <v>2206559</v>
      </c>
      <c r="J78" s="7">
        <v>0.65</v>
      </c>
      <c r="K78" s="1" t="s">
        <v>21</v>
      </c>
      <c r="L78" s="1" t="s">
        <v>21</v>
      </c>
      <c r="M78" s="1" t="s">
        <v>29</v>
      </c>
      <c r="N78" s="1" t="s">
        <v>22</v>
      </c>
      <c r="O78" s="1" t="str">
        <f t="shared" ca="1" si="1"/>
        <v>Please solve the LeetCode problem '25. Reverse Nodes in k-Group'.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9" spans="1:15" x14ac:dyDescent="0.25">
      <c r="A79" s="1">
        <v>9</v>
      </c>
      <c r="B79" s="2" t="str">
        <f>HYPERLINK("https://leetcode.com/problems/palindrome-number/", "Palindrome Number")</f>
        <v>Palindrome Number</v>
      </c>
      <c r="C79" s="1">
        <v>15411</v>
      </c>
      <c r="D79" s="1">
        <v>2901</v>
      </c>
      <c r="E79" s="3">
        <f t="shared" si="0"/>
        <v>0.84157929226736561</v>
      </c>
      <c r="F79" s="1" t="s">
        <v>84</v>
      </c>
      <c r="G79" s="1" t="s">
        <v>20</v>
      </c>
      <c r="H79" s="1">
        <v>7557733</v>
      </c>
      <c r="I79" s="1">
        <v>12576946</v>
      </c>
      <c r="J79" s="7">
        <v>0.60099999999999998</v>
      </c>
      <c r="K79" s="1" t="s">
        <v>21</v>
      </c>
      <c r="L79" s="1" t="s">
        <v>21</v>
      </c>
      <c r="M79" s="1" t="s">
        <v>21</v>
      </c>
      <c r="N79" s="1" t="s">
        <v>22</v>
      </c>
      <c r="O79" s="1" t="str">
        <f t="shared" ca="1" si="1"/>
        <v>Please solve the LeetCode problem '9. Palindrome Number'.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0" spans="1:15" x14ac:dyDescent="0.25">
      <c r="A80" s="1">
        <v>138</v>
      </c>
      <c r="B80" s="2" t="str">
        <f>HYPERLINK("https://leetcode.com/problems/copy-list-with-random-pointer/", "Copy List with Random Pointer")</f>
        <v>Copy List with Random Pointer</v>
      </c>
      <c r="C80" s="1">
        <v>15338</v>
      </c>
      <c r="D80" s="1">
        <v>1664</v>
      </c>
      <c r="E80" s="3">
        <f t="shared" si="0"/>
        <v>0.90212916127514409</v>
      </c>
      <c r="F80" s="1" t="s">
        <v>85</v>
      </c>
      <c r="G80" s="1" t="s">
        <v>24</v>
      </c>
      <c r="H80" s="1">
        <v>1816859</v>
      </c>
      <c r="I80" s="1">
        <v>2923672</v>
      </c>
      <c r="J80" s="7">
        <v>0.621</v>
      </c>
      <c r="K80" s="1" t="s">
        <v>21</v>
      </c>
      <c r="L80" s="1" t="s">
        <v>21</v>
      </c>
      <c r="M80" s="1" t="s">
        <v>29</v>
      </c>
      <c r="N80" s="1" t="s">
        <v>22</v>
      </c>
      <c r="O80" s="1" t="str">
        <f t="shared" ca="1" si="1"/>
        <v>Please solve the LeetCode problem '138. Copy List with Random Pointer'.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1" spans="1:15" x14ac:dyDescent="0.25">
      <c r="A81" s="1">
        <v>122</v>
      </c>
      <c r="B81" s="2" t="str">
        <f>HYPERLINK("https://leetcode.com/problems/best-time-to-buy-and-sell-stock-ii/", "Best Time to Buy and Sell Stock II")</f>
        <v>Best Time to Buy and Sell Stock II</v>
      </c>
      <c r="C81" s="1">
        <v>15169</v>
      </c>
      <c r="D81" s="1">
        <v>2805</v>
      </c>
      <c r="E81" s="3">
        <f t="shared" si="0"/>
        <v>0.84394124847001228</v>
      </c>
      <c r="F81" s="1" t="s">
        <v>50</v>
      </c>
      <c r="G81" s="1" t="s">
        <v>24</v>
      </c>
      <c r="H81" s="1">
        <v>2875677</v>
      </c>
      <c r="I81" s="1">
        <v>4076144</v>
      </c>
      <c r="J81" s="7">
        <v>0.70499999999999996</v>
      </c>
      <c r="K81" s="1" t="s">
        <v>21</v>
      </c>
      <c r="L81" s="1" t="s">
        <v>21</v>
      </c>
      <c r="M81" s="1" t="s">
        <v>21</v>
      </c>
      <c r="N81" s="1" t="s">
        <v>22</v>
      </c>
      <c r="O81" s="1" t="str">
        <f t="shared" ca="1" si="1"/>
        <v>Please solve the LeetCode problem '122. Best Time to Buy and Sell Stock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2" spans="1:15" x14ac:dyDescent="0.25">
      <c r="A82" s="1">
        <v>7</v>
      </c>
      <c r="B82" s="2" t="str">
        <f>HYPERLINK("https://leetcode.com/problems/reverse-integer/", "Reverse Integer")</f>
        <v>Reverse Integer</v>
      </c>
      <c r="C82" s="1">
        <v>15145</v>
      </c>
      <c r="D82" s="1">
        <v>13946</v>
      </c>
      <c r="E82" s="3">
        <f t="shared" si="0"/>
        <v>0.52060774810078714</v>
      </c>
      <c r="F82" s="1" t="s">
        <v>84</v>
      </c>
      <c r="G82" s="1" t="s">
        <v>24</v>
      </c>
      <c r="H82" s="1">
        <v>4689807</v>
      </c>
      <c r="I82" s="1">
        <v>14979208</v>
      </c>
      <c r="J82" s="7">
        <v>0.313</v>
      </c>
      <c r="K82" s="1" t="s">
        <v>21</v>
      </c>
      <c r="L82" s="1" t="s">
        <v>21</v>
      </c>
      <c r="M82" s="1" t="s">
        <v>21</v>
      </c>
      <c r="N82" s="1" t="s">
        <v>22</v>
      </c>
      <c r="O82" s="1" t="str">
        <f t="shared" ca="1" si="1"/>
        <v>Please solve the LeetCode problem '7. Reverse Integer'.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3" spans="1:15" x14ac:dyDescent="0.25">
      <c r="A83" s="1">
        <v>226</v>
      </c>
      <c r="B83" s="2" t="str">
        <f>HYPERLINK("https://leetcode.com/problems/invert-binary-tree/", "Invert Binary Tree")</f>
        <v>Invert Binary Tree</v>
      </c>
      <c r="C83" s="1">
        <v>15063</v>
      </c>
      <c r="D83" s="1">
        <v>251</v>
      </c>
      <c r="E83" s="3">
        <f t="shared" si="0"/>
        <v>0.98360976883897089</v>
      </c>
      <c r="F83" s="1" t="s">
        <v>80</v>
      </c>
      <c r="G83" s="1" t="s">
        <v>20</v>
      </c>
      <c r="H83" s="1">
        <v>2898076</v>
      </c>
      <c r="I83" s="1">
        <v>3635996</v>
      </c>
      <c r="J83" s="7">
        <v>0.79700000000000004</v>
      </c>
      <c r="K83" s="1" t="s">
        <v>21</v>
      </c>
      <c r="L83" s="1" t="s">
        <v>21</v>
      </c>
      <c r="M83" s="1" t="s">
        <v>21</v>
      </c>
      <c r="N83" s="1" t="s">
        <v>22</v>
      </c>
      <c r="O83" s="1" t="str">
        <f t="shared" ca="1" si="1"/>
        <v>Please solve the LeetCode problem '226. Invert Binary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4" spans="1:15" x14ac:dyDescent="0.25">
      <c r="A84" s="1">
        <v>153</v>
      </c>
      <c r="B84" s="2" t="str">
        <f>HYPERLINK("https://leetcode.com/problems/find-minimum-in-rotated-sorted-array/", "Find Minimum in Rotated Sorted Array")</f>
        <v>Find Minimum in Rotated Sorted Array</v>
      </c>
      <c r="C84" s="1">
        <v>14980</v>
      </c>
      <c r="D84" s="1">
        <v>653</v>
      </c>
      <c r="E84" s="3">
        <f t="shared" si="0"/>
        <v>0.95822938655408429</v>
      </c>
      <c r="F84" s="1" t="s">
        <v>35</v>
      </c>
      <c r="G84" s="1" t="s">
        <v>24</v>
      </c>
      <c r="H84" s="1">
        <v>2822131</v>
      </c>
      <c r="I84" s="1">
        <v>5264784</v>
      </c>
      <c r="J84" s="7">
        <v>0.53600000000000003</v>
      </c>
      <c r="K84" s="1" t="s">
        <v>21</v>
      </c>
      <c r="L84" s="1" t="s">
        <v>21</v>
      </c>
      <c r="M84" s="1" t="s">
        <v>29</v>
      </c>
      <c r="N84" s="1" t="s">
        <v>22</v>
      </c>
      <c r="O84" s="1" t="str">
        <f t="shared" ca="1" si="1"/>
        <v>Please solve the LeetCode problem '153. Find Minimum in Rotated Sorted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5" spans="1:15" x14ac:dyDescent="0.25">
      <c r="A85" s="1">
        <v>142</v>
      </c>
      <c r="B85" s="2" t="str">
        <f>HYPERLINK("https://leetcode.com/problems/linked-list-cycle-ii/", "Linked List Cycle II")</f>
        <v>Linked List Cycle II</v>
      </c>
      <c r="C85" s="1">
        <v>14961</v>
      </c>
      <c r="D85" s="1">
        <v>1077</v>
      </c>
      <c r="E85" s="3">
        <f t="shared" si="0"/>
        <v>0.93284698840254399</v>
      </c>
      <c r="F85" s="1" t="s">
        <v>76</v>
      </c>
      <c r="G85" s="1" t="s">
        <v>24</v>
      </c>
      <c r="H85" s="1">
        <v>1893691</v>
      </c>
      <c r="I85" s="1">
        <v>3329067</v>
      </c>
      <c r="J85" s="7">
        <v>0.56899999999999995</v>
      </c>
      <c r="K85" s="1" t="s">
        <v>21</v>
      </c>
      <c r="L85" s="1" t="s">
        <v>21</v>
      </c>
      <c r="M85" s="1" t="s">
        <v>29</v>
      </c>
      <c r="N85" s="1" t="s">
        <v>22</v>
      </c>
      <c r="O85" s="1" t="str">
        <f t="shared" ca="1" si="1"/>
        <v>Please solve the LeetCode problem '142. Linked List Cycle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6" spans="1:15" x14ac:dyDescent="0.25">
      <c r="A86" s="1">
        <v>1143</v>
      </c>
      <c r="B86" s="2" t="str">
        <f>HYPERLINK("https://leetcode.com/problems/longest-common-subsequence/", "Longest Common Subsequence")</f>
        <v>Longest Common Subsequence</v>
      </c>
      <c r="C86" s="1">
        <v>14895</v>
      </c>
      <c r="D86" s="1">
        <v>239</v>
      </c>
      <c r="E86" s="3">
        <f t="shared" si="0"/>
        <v>0.98420774415223999</v>
      </c>
      <c r="F86" s="1" t="s">
        <v>82</v>
      </c>
      <c r="G86" s="1" t="s">
        <v>24</v>
      </c>
      <c r="H86" s="1">
        <v>1730584</v>
      </c>
      <c r="I86" s="1">
        <v>2944136</v>
      </c>
      <c r="J86" s="7">
        <v>0.58799999999999997</v>
      </c>
      <c r="K86" s="1" t="s">
        <v>21</v>
      </c>
      <c r="L86" s="1" t="s">
        <v>21</v>
      </c>
      <c r="M86" s="1" t="s">
        <v>29</v>
      </c>
      <c r="N86" s="1" t="s">
        <v>22</v>
      </c>
      <c r="O86" s="1" t="str">
        <f t="shared" ca="1" si="1"/>
        <v>Please solve the LeetCode problem '1143. Longest Common Subsequence'.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7" spans="1:15" x14ac:dyDescent="0.25">
      <c r="A87" s="1">
        <v>994</v>
      </c>
      <c r="B87" s="2" t="str">
        <f>HYPERLINK("https://leetcode.com/problems/rotting-oranges/", "Rotting Oranges")</f>
        <v>Rotting Oranges</v>
      </c>
      <c r="C87" s="1">
        <v>14838</v>
      </c>
      <c r="D87" s="1">
        <v>470</v>
      </c>
      <c r="E87" s="3">
        <f t="shared" si="0"/>
        <v>0.9692970995557878</v>
      </c>
      <c r="F87" s="1" t="s">
        <v>86</v>
      </c>
      <c r="G87" s="1" t="s">
        <v>24</v>
      </c>
      <c r="H87" s="1">
        <v>1511260</v>
      </c>
      <c r="I87" s="1">
        <v>2609967</v>
      </c>
      <c r="J87" s="7">
        <v>0.57899999999999996</v>
      </c>
      <c r="K87" s="1" t="s">
        <v>21</v>
      </c>
      <c r="L87" s="1" t="s">
        <v>21</v>
      </c>
      <c r="M87" s="1" t="s">
        <v>29</v>
      </c>
      <c r="N87" s="1" t="s">
        <v>22</v>
      </c>
      <c r="O87" s="1" t="str">
        <f t="shared" ca="1" si="1"/>
        <v>Please solve the LeetCode problem '994. Rotting Oranges'.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8" spans="1:15" x14ac:dyDescent="0.25">
      <c r="A88" s="1">
        <v>118</v>
      </c>
      <c r="B88" s="2" t="str">
        <f>HYPERLINK("https://leetcode.com/problems/pascals-triangle/", "Pascal's Triangle")</f>
        <v>Pascal's Triangle</v>
      </c>
      <c r="C88" s="1">
        <v>14761</v>
      </c>
      <c r="D88" s="1">
        <v>559</v>
      </c>
      <c r="E88" s="3">
        <f t="shared" si="0"/>
        <v>0.96351174934725847</v>
      </c>
      <c r="F88" s="1" t="s">
        <v>30</v>
      </c>
      <c r="G88" s="1" t="s">
        <v>20</v>
      </c>
      <c r="H88" s="1">
        <v>2539851</v>
      </c>
      <c r="I88" s="1">
        <v>3234166</v>
      </c>
      <c r="J88" s="7">
        <v>0.78500000000000003</v>
      </c>
      <c r="K88" s="1" t="s">
        <v>21</v>
      </c>
      <c r="L88" s="1" t="s">
        <v>21</v>
      </c>
      <c r="M88" s="1" t="s">
        <v>21</v>
      </c>
      <c r="N88" s="1" t="s">
        <v>22</v>
      </c>
      <c r="O88" s="1" t="str">
        <f t="shared" ca="1" si="1"/>
        <v>Please solve the LeetCode problem '118. Pascal's Triangle'.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9" spans="1:15" x14ac:dyDescent="0.25">
      <c r="A89" s="1">
        <v>94</v>
      </c>
      <c r="B89" s="2" t="str">
        <f>HYPERLINK("https://leetcode.com/problems/binary-tree-inorder-traversal/", "Binary Tree Inorder Traversal")</f>
        <v>Binary Tree Inorder Traversal</v>
      </c>
      <c r="C89" s="1">
        <v>14714</v>
      </c>
      <c r="D89" s="1">
        <v>882</v>
      </c>
      <c r="E89" s="3">
        <f t="shared" si="0"/>
        <v>0.94344703770197491</v>
      </c>
      <c r="F89" s="1" t="s">
        <v>87</v>
      </c>
      <c r="G89" s="1" t="s">
        <v>20</v>
      </c>
      <c r="H89" s="1">
        <v>3515579</v>
      </c>
      <c r="I89" s="1">
        <v>4419159</v>
      </c>
      <c r="J89" s="7">
        <v>0.79600000000000004</v>
      </c>
      <c r="K89" s="1" t="s">
        <v>21</v>
      </c>
      <c r="L89" s="1" t="s">
        <v>21</v>
      </c>
      <c r="M89" s="1" t="s">
        <v>29</v>
      </c>
      <c r="N89" s="1" t="s">
        <v>22</v>
      </c>
      <c r="O89" s="1" t="str">
        <f t="shared" ca="1" si="1"/>
        <v>Please solve the LeetCode problem '94. Binary Tree Inorder Traversal'.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0" spans="1:15" x14ac:dyDescent="0.25">
      <c r="A90" s="1">
        <v>739</v>
      </c>
      <c r="B90" s="2" t="str">
        <f>HYPERLINK("https://leetcode.com/problems/daily-temperatures/", "Daily Temperatures")</f>
        <v>Daily Temperatures</v>
      </c>
      <c r="C90" s="1">
        <v>14459</v>
      </c>
      <c r="D90" s="1">
        <v>364</v>
      </c>
      <c r="E90" s="3">
        <f t="shared" si="0"/>
        <v>0.97544356742899552</v>
      </c>
      <c r="F90" s="1" t="s">
        <v>61</v>
      </c>
      <c r="G90" s="1" t="s">
        <v>24</v>
      </c>
      <c r="H90" s="1">
        <v>1567564</v>
      </c>
      <c r="I90" s="1">
        <v>2300229</v>
      </c>
      <c r="J90" s="7">
        <v>0.68100000000000005</v>
      </c>
      <c r="K90" s="1" t="s">
        <v>21</v>
      </c>
      <c r="L90" s="1" t="s">
        <v>21</v>
      </c>
      <c r="M90" s="1" t="s">
        <v>29</v>
      </c>
      <c r="N90" s="1" t="s">
        <v>22</v>
      </c>
      <c r="O90" s="1" t="str">
        <f t="shared" ca="1" si="1"/>
        <v>Please solve the LeetCode problem '739. Daily Temperatures'.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1" spans="1:15" x14ac:dyDescent="0.25">
      <c r="A91" s="1">
        <v>162</v>
      </c>
      <c r="B91" s="2" t="str">
        <f>HYPERLINK("https://leetcode.com/problems/find-peak-element/", "Find Peak Element")</f>
        <v>Find Peak Element</v>
      </c>
      <c r="C91" s="1">
        <v>14279</v>
      </c>
      <c r="D91" s="1">
        <v>4932</v>
      </c>
      <c r="E91" s="3">
        <f t="shared" si="0"/>
        <v>0.74327208370204567</v>
      </c>
      <c r="F91" s="1" t="s">
        <v>35</v>
      </c>
      <c r="G91" s="1" t="s">
        <v>24</v>
      </c>
      <c r="H91" s="1">
        <v>2263643</v>
      </c>
      <c r="I91" s="1">
        <v>4842453</v>
      </c>
      <c r="J91" s="7">
        <v>0.46700000000000003</v>
      </c>
      <c r="K91" s="1" t="s">
        <v>21</v>
      </c>
      <c r="L91" s="1" t="s">
        <v>21</v>
      </c>
      <c r="M91" s="1" t="s">
        <v>21</v>
      </c>
      <c r="N91" s="1" t="s">
        <v>22</v>
      </c>
      <c r="O91" s="1" t="str">
        <f t="shared" ca="1" si="1"/>
        <v>Please solve the LeetCode problem '162. Find Peak Element'.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2" spans="1:15" x14ac:dyDescent="0.25">
      <c r="A92" s="1">
        <v>104</v>
      </c>
      <c r="B92" s="2" t="str">
        <f>HYPERLINK("https://leetcode.com/problems/maximum-depth-of-binary-tree/", "Maximum Depth of Binary Tree")</f>
        <v>Maximum Depth of Binary Tree</v>
      </c>
      <c r="C92" s="1">
        <v>14113</v>
      </c>
      <c r="D92" s="1">
        <v>282</v>
      </c>
      <c r="E92" s="3">
        <f t="shared" si="0"/>
        <v>0.9804098645362973</v>
      </c>
      <c r="F92" s="1" t="s">
        <v>80</v>
      </c>
      <c r="G92" s="1" t="s">
        <v>20</v>
      </c>
      <c r="H92" s="1">
        <v>4522813</v>
      </c>
      <c r="I92" s="1">
        <v>5813562</v>
      </c>
      <c r="J92" s="7">
        <v>0.77800000000000002</v>
      </c>
      <c r="K92" s="1" t="s">
        <v>21</v>
      </c>
      <c r="L92" s="1" t="s">
        <v>21</v>
      </c>
      <c r="M92" s="1" t="s">
        <v>21</v>
      </c>
      <c r="N92" s="1" t="s">
        <v>22</v>
      </c>
      <c r="O92" s="1" t="str">
        <f t="shared" ca="1" si="1"/>
        <v>Please solve the LeetCode problem '104. Maximum Depth of Binary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3" spans="1:15" x14ac:dyDescent="0.25">
      <c r="A93" s="1">
        <v>131</v>
      </c>
      <c r="B93" s="2" t="str">
        <f>HYPERLINK("https://leetcode.com/problems/palindrome-partitioning/", "Palindrome Partitioning")</f>
        <v>Palindrome Partitioning</v>
      </c>
      <c r="C93" s="1">
        <v>14099</v>
      </c>
      <c r="D93" s="1">
        <v>567</v>
      </c>
      <c r="E93" s="3">
        <f t="shared" si="0"/>
        <v>0.96133915177962637</v>
      </c>
      <c r="F93" s="1" t="s">
        <v>44</v>
      </c>
      <c r="G93" s="1" t="s">
        <v>24</v>
      </c>
      <c r="H93" s="1">
        <v>1278545</v>
      </c>
      <c r="I93" s="1">
        <v>1739428</v>
      </c>
      <c r="J93" s="7">
        <v>0.73499999999999999</v>
      </c>
      <c r="K93" s="1" t="s">
        <v>21</v>
      </c>
      <c r="L93" s="1" t="s">
        <v>21</v>
      </c>
      <c r="M93" s="1" t="s">
        <v>29</v>
      </c>
      <c r="N93" s="1" t="s">
        <v>22</v>
      </c>
      <c r="O93" s="1" t="str">
        <f t="shared" ca="1" si="1"/>
        <v>Please solve the LeetCode problem '131. Palindrome Partitioning'.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4" spans="1:15" x14ac:dyDescent="0.25">
      <c r="A94" s="1">
        <v>209</v>
      </c>
      <c r="B94" s="2" t="str">
        <f>HYPERLINK("https://leetcode.com/problems/minimum-size-subarray-sum/", "Minimum Size Subarray Sum")</f>
        <v>Minimum Size Subarray Sum</v>
      </c>
      <c r="C94" s="1">
        <v>14095</v>
      </c>
      <c r="D94" s="1">
        <v>529</v>
      </c>
      <c r="E94" s="3">
        <f t="shared" si="0"/>
        <v>0.96382658643326036</v>
      </c>
      <c r="F94" s="1" t="s">
        <v>88</v>
      </c>
      <c r="G94" s="1" t="s">
        <v>24</v>
      </c>
      <c r="H94" s="1">
        <v>1725128</v>
      </c>
      <c r="I94" s="1">
        <v>3403902</v>
      </c>
      <c r="J94" s="7">
        <v>0.50700000000000001</v>
      </c>
      <c r="K94" s="1" t="s">
        <v>21</v>
      </c>
      <c r="L94" s="1" t="s">
        <v>21</v>
      </c>
      <c r="M94" s="1" t="s">
        <v>29</v>
      </c>
      <c r="N94" s="1" t="s">
        <v>22</v>
      </c>
      <c r="O94" s="1" t="str">
        <f t="shared" ca="1" si="1"/>
        <v>Please solve the LeetCode problem '209. Minimum Size Subarray Sum'.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5" spans="1:15" x14ac:dyDescent="0.25">
      <c r="A95" s="1">
        <v>51</v>
      </c>
      <c r="B95" s="2" t="str">
        <f>HYPERLINK("https://leetcode.com/problems/n-queens/", "N-Queens")</f>
        <v>N-Queens</v>
      </c>
      <c r="C95" s="1">
        <v>14053</v>
      </c>
      <c r="D95" s="1">
        <v>341</v>
      </c>
      <c r="E95" s="3">
        <f t="shared" si="0"/>
        <v>0.97630957343337499</v>
      </c>
      <c r="F95" s="1" t="s">
        <v>56</v>
      </c>
      <c r="G95" s="1" t="s">
        <v>28</v>
      </c>
      <c r="H95" s="1">
        <v>1179863</v>
      </c>
      <c r="I95" s="1">
        <v>1580027</v>
      </c>
      <c r="J95" s="7">
        <v>0.747</v>
      </c>
      <c r="K95" s="1" t="s">
        <v>21</v>
      </c>
      <c r="L95" s="1" t="s">
        <v>21</v>
      </c>
      <c r="M95" s="1" t="s">
        <v>29</v>
      </c>
      <c r="N95" s="1" t="s">
        <v>22</v>
      </c>
      <c r="O95" s="1" t="str">
        <f t="shared" ca="1" si="1"/>
        <v>Please solve the LeetCode problem '51. N-Queens'.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6" spans="1:15" x14ac:dyDescent="0.25">
      <c r="A96" s="1">
        <v>268</v>
      </c>
      <c r="B96" s="2" t="str">
        <f>HYPERLINK("https://leetcode.com/problems/missing-number/", "Missing Number")</f>
        <v>Missing Number</v>
      </c>
      <c r="C96" s="1">
        <v>14004</v>
      </c>
      <c r="D96" s="1">
        <v>3458</v>
      </c>
      <c r="E96" s="3">
        <f t="shared" si="0"/>
        <v>0.80196999198259078</v>
      </c>
      <c r="F96" s="1" t="s">
        <v>89</v>
      </c>
      <c r="G96" s="1" t="s">
        <v>20</v>
      </c>
      <c r="H96" s="1">
        <v>3641137</v>
      </c>
      <c r="I96" s="1">
        <v>5100102</v>
      </c>
      <c r="J96" s="7">
        <v>0.71399999999999997</v>
      </c>
      <c r="K96" s="1" t="s">
        <v>21</v>
      </c>
      <c r="L96" s="1" t="s">
        <v>21</v>
      </c>
      <c r="M96" s="1" t="s">
        <v>21</v>
      </c>
      <c r="N96" s="1" t="s">
        <v>22</v>
      </c>
      <c r="O96" s="1" t="str">
        <f t="shared" ca="1" si="1"/>
        <v>Please solve the LeetCode problem '268. Missing Number'.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7" spans="1:15" x14ac:dyDescent="0.25">
      <c r="A97" s="1">
        <v>242</v>
      </c>
      <c r="B97" s="2" t="str">
        <f>HYPERLINK("https://leetcode.com/problems/valid-anagram/", "Valid Anagram")</f>
        <v>Valid Anagram</v>
      </c>
      <c r="C97" s="1">
        <v>13980</v>
      </c>
      <c r="D97" s="1">
        <v>461</v>
      </c>
      <c r="E97" s="3">
        <f t="shared" si="0"/>
        <v>0.96807700297763311</v>
      </c>
      <c r="F97" s="1" t="s">
        <v>90</v>
      </c>
      <c r="G97" s="1" t="s">
        <v>20</v>
      </c>
      <c r="H97" s="1">
        <v>5692813</v>
      </c>
      <c r="I97" s="1">
        <v>8421620</v>
      </c>
      <c r="J97" s="7">
        <v>0.67600000000000005</v>
      </c>
      <c r="K97" s="1" t="s">
        <v>21</v>
      </c>
      <c r="L97" s="1" t="s">
        <v>21</v>
      </c>
      <c r="M97" s="1" t="s">
        <v>21</v>
      </c>
      <c r="N97" s="1" t="s">
        <v>22</v>
      </c>
      <c r="O97" s="1" t="str">
        <f t="shared" ca="1" si="1"/>
        <v>Please solve the LeetCode problem '242. Valid Anagram'.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8" spans="1:15" x14ac:dyDescent="0.25">
      <c r="A98" s="1">
        <v>394</v>
      </c>
      <c r="B98" s="2" t="str">
        <f>HYPERLINK("https://leetcode.com/problems/decode-string/", "Decode String")</f>
        <v>Decode String</v>
      </c>
      <c r="C98" s="1">
        <v>13831</v>
      </c>
      <c r="D98" s="1">
        <v>689</v>
      </c>
      <c r="E98" s="3">
        <f t="shared" si="0"/>
        <v>0.95254820936639117</v>
      </c>
      <c r="F98" s="1" t="s">
        <v>91</v>
      </c>
      <c r="G98" s="1" t="s">
        <v>24</v>
      </c>
      <c r="H98" s="1">
        <v>1140264</v>
      </c>
      <c r="I98" s="1">
        <v>1836369</v>
      </c>
      <c r="J98" s="7">
        <v>0.621</v>
      </c>
      <c r="K98" s="1" t="s">
        <v>21</v>
      </c>
      <c r="L98" s="1" t="s">
        <v>21</v>
      </c>
      <c r="M98" s="1" t="s">
        <v>29</v>
      </c>
      <c r="N98" s="1" t="s">
        <v>22</v>
      </c>
      <c r="O98" s="1" t="str">
        <f t="shared" ca="1" si="1"/>
        <v>Please solve the LeetCode problem '394. Decode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9" spans="1:15" x14ac:dyDescent="0.25">
      <c r="A99" s="1">
        <v>416</v>
      </c>
      <c r="B99" s="2" t="str">
        <f>HYPERLINK("https://leetcode.com/problems/partition-equal-subset-sum/", "Partition Equal Subset Sum")</f>
        <v>Partition Equal Subset Sum</v>
      </c>
      <c r="C99" s="1">
        <v>13693</v>
      </c>
      <c r="D99" s="1">
        <v>297</v>
      </c>
      <c r="E99" s="3">
        <f t="shared" si="0"/>
        <v>0.97877055039313798</v>
      </c>
      <c r="F99" s="1" t="s">
        <v>30</v>
      </c>
      <c r="G99" s="1" t="s">
        <v>24</v>
      </c>
      <c r="H99" s="1">
        <v>1420635</v>
      </c>
      <c r="I99" s="1">
        <v>2892911</v>
      </c>
      <c r="J99" s="7">
        <v>0.49099999999999999</v>
      </c>
      <c r="K99" s="1" t="s">
        <v>21</v>
      </c>
      <c r="L99" s="1" t="s">
        <v>21</v>
      </c>
      <c r="M99" s="1" t="s">
        <v>21</v>
      </c>
      <c r="N99" s="1" t="s">
        <v>22</v>
      </c>
      <c r="O99" s="1" t="str">
        <f t="shared" ca="1" si="1"/>
        <v>Please solve the LeetCode problem '416. Partition Equal Subset Sum'.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0" spans="1:15" x14ac:dyDescent="0.25">
      <c r="A100" s="1">
        <v>217</v>
      </c>
      <c r="B100" s="2" t="str">
        <f>HYPERLINK("https://leetcode.com/problems/contains-duplicate/", "Contains Duplicate")</f>
        <v>Contains Duplicate</v>
      </c>
      <c r="C100" s="1">
        <v>13647</v>
      </c>
      <c r="D100" s="1">
        <v>1352</v>
      </c>
      <c r="E100" s="3">
        <f t="shared" si="0"/>
        <v>0.90986065737715849</v>
      </c>
      <c r="F100" s="1" t="s">
        <v>92</v>
      </c>
      <c r="G100" s="1" t="s">
        <v>20</v>
      </c>
      <c r="H100" s="1">
        <v>5980440</v>
      </c>
      <c r="I100" s="1">
        <v>9352699</v>
      </c>
      <c r="J100" s="7">
        <v>0.63900000000000001</v>
      </c>
      <c r="K100" s="1" t="s">
        <v>21</v>
      </c>
      <c r="L100" s="1" t="s">
        <v>21</v>
      </c>
      <c r="M100" s="1" t="s">
        <v>29</v>
      </c>
      <c r="N100" s="1" t="s">
        <v>22</v>
      </c>
      <c r="O100" s="1" t="str">
        <f t="shared" ca="1" si="1"/>
        <v>Please solve the LeetCode problem '217. Contains Duplicate'.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1" spans="1:15" x14ac:dyDescent="0.25">
      <c r="A101" s="1">
        <v>64</v>
      </c>
      <c r="B101" s="2" t="str">
        <f>HYPERLINK("https://leetcode.com/problems/minimum-path-sum/", "Minimum Path Sum")</f>
        <v>Minimum Path Sum</v>
      </c>
      <c r="C101" s="1">
        <v>13529</v>
      </c>
      <c r="D101" s="1">
        <v>196</v>
      </c>
      <c r="E101" s="3">
        <f t="shared" si="0"/>
        <v>0.98571948998178505</v>
      </c>
      <c r="F101" s="1" t="s">
        <v>94</v>
      </c>
      <c r="G101" s="1" t="s">
        <v>24</v>
      </c>
      <c r="H101" s="1">
        <v>1745344</v>
      </c>
      <c r="I101" s="1">
        <v>2580603</v>
      </c>
      <c r="J101" s="7">
        <v>0.67600000000000005</v>
      </c>
      <c r="K101" s="1" t="s">
        <v>21</v>
      </c>
      <c r="L101" s="1" t="s">
        <v>21</v>
      </c>
      <c r="M101" s="1" t="s">
        <v>29</v>
      </c>
      <c r="N101" s="1" t="s">
        <v>22</v>
      </c>
      <c r="O101" s="1" t="str">
        <f t="shared" ca="1" si="1"/>
        <v>Please solve the LeetCode problem '64. Minimum Path Sum'.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2" spans="1:15" x14ac:dyDescent="0.25">
      <c r="A102" s="1">
        <v>114</v>
      </c>
      <c r="B102" s="2" t="str">
        <f>HYPERLINK("https://leetcode.com/problems/flatten-binary-tree-to-linked-list/", "Flatten Binary Tree to Linked List")</f>
        <v>Flatten Binary Tree to Linked List</v>
      </c>
      <c r="C102" s="1">
        <v>13510</v>
      </c>
      <c r="D102" s="1">
        <v>598</v>
      </c>
      <c r="E102" s="3">
        <f t="shared" si="0"/>
        <v>0.95761270201304227</v>
      </c>
      <c r="F102" s="1" t="s">
        <v>93</v>
      </c>
      <c r="G102" s="1" t="s">
        <v>24</v>
      </c>
      <c r="H102" s="1">
        <v>1331792</v>
      </c>
      <c r="I102" s="1">
        <v>1903743</v>
      </c>
      <c r="J102" s="7">
        <v>0.7</v>
      </c>
      <c r="K102" s="1" t="s">
        <v>21</v>
      </c>
      <c r="L102" s="1" t="s">
        <v>21</v>
      </c>
      <c r="M102" s="1" t="s">
        <v>29</v>
      </c>
      <c r="N102" s="1" t="s">
        <v>22</v>
      </c>
      <c r="O102" s="1" t="str">
        <f t="shared" ca="1" si="1"/>
        <v>Please solve the LeetCode problem '114. Flatten Binary Tree to Linked List'.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3" spans="1:15" x14ac:dyDescent="0.25">
      <c r="A103" s="1">
        <v>127</v>
      </c>
      <c r="B103" s="2" t="str">
        <f>HYPERLINK("https://leetcode.com/problems/word-ladder/", "Word Ladder")</f>
        <v>Word Ladder</v>
      </c>
      <c r="C103" s="1">
        <v>13334</v>
      </c>
      <c r="D103" s="1">
        <v>1958</v>
      </c>
      <c r="E103" s="3">
        <f t="shared" si="0"/>
        <v>0.87195919434998692</v>
      </c>
      <c r="F103" s="1" t="s">
        <v>95</v>
      </c>
      <c r="G103" s="1" t="s">
        <v>28</v>
      </c>
      <c r="H103" s="1">
        <v>1536360</v>
      </c>
      <c r="I103" s="1">
        <v>3443930</v>
      </c>
      <c r="J103" s="7">
        <v>0.44600000000000001</v>
      </c>
      <c r="K103" s="1" t="s">
        <v>21</v>
      </c>
      <c r="L103" s="1" t="s">
        <v>21</v>
      </c>
      <c r="M103" s="1" t="s">
        <v>21</v>
      </c>
      <c r="N103" s="1" t="s">
        <v>22</v>
      </c>
      <c r="O103" s="1" t="str">
        <f t="shared" ca="1" si="1"/>
        <v>Please solve the LeetCode problem '127. Word Ladder'.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4" spans="1:15" x14ac:dyDescent="0.25">
      <c r="A104" s="1">
        <v>134</v>
      </c>
      <c r="B104" s="2" t="str">
        <f>HYPERLINK("https://leetcode.com/problems/gas-station/", "Gas Station")</f>
        <v>Gas Station</v>
      </c>
      <c r="C104" s="1">
        <v>13316</v>
      </c>
      <c r="D104" s="1">
        <v>1366</v>
      </c>
      <c r="E104" s="3">
        <f t="shared" si="0"/>
        <v>0.90696090450892253</v>
      </c>
      <c r="F104" s="1" t="s">
        <v>96</v>
      </c>
      <c r="G104" s="1" t="s">
        <v>24</v>
      </c>
      <c r="H104" s="1">
        <v>1269503</v>
      </c>
      <c r="I104" s="1">
        <v>2681772</v>
      </c>
      <c r="J104" s="7">
        <v>0.47299999999999998</v>
      </c>
      <c r="K104" s="1" t="s">
        <v>21</v>
      </c>
      <c r="L104" s="1" t="s">
        <v>21</v>
      </c>
      <c r="M104" s="1" t="s">
        <v>29</v>
      </c>
      <c r="N104" s="1" t="s">
        <v>22</v>
      </c>
      <c r="O104" s="1" t="str">
        <f t="shared" ca="1" si="1"/>
        <v>Please solve the LeetCode problem '134. Gas Station'.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5" spans="1:15" x14ac:dyDescent="0.25">
      <c r="A105" s="1">
        <v>199</v>
      </c>
      <c r="B105" s="2" t="str">
        <f>HYPERLINK("https://leetcode.com/problems/binary-tree-right-side-view/", "Binary Tree Right Side View")</f>
        <v>Binary Tree Right Side View</v>
      </c>
      <c r="C105" s="1">
        <v>13250</v>
      </c>
      <c r="D105" s="1">
        <v>1082</v>
      </c>
      <c r="E105" s="3">
        <f t="shared" si="0"/>
        <v>0.92450460507954224</v>
      </c>
      <c r="F105" s="1" t="s">
        <v>80</v>
      </c>
      <c r="G105" s="1" t="s">
        <v>24</v>
      </c>
      <c r="H105" s="1">
        <v>2101630</v>
      </c>
      <c r="I105" s="1">
        <v>3039731</v>
      </c>
      <c r="J105" s="7">
        <v>0.69099999999999995</v>
      </c>
      <c r="K105" s="1" t="s">
        <v>21</v>
      </c>
      <c r="L105" s="1" t="s">
        <v>21</v>
      </c>
      <c r="M105" s="1" t="s">
        <v>21</v>
      </c>
      <c r="N105" s="1" t="s">
        <v>22</v>
      </c>
      <c r="O105" s="1" t="str">
        <f t="shared" ca="1" si="1"/>
        <v>Please solve the LeetCode problem '199. Binary Tree Right Side View'.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6" spans="1:15" x14ac:dyDescent="0.25">
      <c r="A106" s="1">
        <v>875</v>
      </c>
      <c r="B106" s="2" t="str">
        <f>HYPERLINK("https://leetcode.com/problems/koko-eating-bananas/", "Koko Eating Bananas")</f>
        <v>Koko Eating Bananas</v>
      </c>
      <c r="C106" s="1">
        <v>13248</v>
      </c>
      <c r="D106" s="1">
        <v>888</v>
      </c>
      <c r="E106" s="3">
        <f t="shared" si="0"/>
        <v>0.93718166383701185</v>
      </c>
      <c r="F106" s="1" t="s">
        <v>35</v>
      </c>
      <c r="G106" s="1" t="s">
        <v>24</v>
      </c>
      <c r="H106" s="1">
        <v>1421975</v>
      </c>
      <c r="I106" s="1">
        <v>2871306</v>
      </c>
      <c r="J106" s="7">
        <v>0.495</v>
      </c>
      <c r="K106" s="1" t="s">
        <v>21</v>
      </c>
      <c r="L106" s="1" t="s">
        <v>21</v>
      </c>
      <c r="M106" s="1" t="s">
        <v>29</v>
      </c>
      <c r="N106" s="1" t="s">
        <v>22</v>
      </c>
      <c r="O106" s="1" t="str">
        <f t="shared" ca="1" si="1"/>
        <v>Please solve the LeetCode problem '875. Koko Eating Bananas'.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7" spans="1:15" x14ac:dyDescent="0.25">
      <c r="A107" s="1">
        <v>704</v>
      </c>
      <c r="B107" s="2" t="str">
        <f>HYPERLINK("https://leetcode.com/problems/binary-search/", "Binary Search")</f>
        <v>Binary Search</v>
      </c>
      <c r="C107" s="1">
        <v>13238</v>
      </c>
      <c r="D107" s="1">
        <v>296</v>
      </c>
      <c r="E107" s="3">
        <f t="shared" si="0"/>
        <v>0.97812915619920204</v>
      </c>
      <c r="F107" s="1" t="s">
        <v>35</v>
      </c>
      <c r="G107" s="1" t="s">
        <v>20</v>
      </c>
      <c r="H107" s="1">
        <v>3656564</v>
      </c>
      <c r="I107" s="1">
        <v>6060749</v>
      </c>
      <c r="J107" s="7">
        <v>0.60299999999999998</v>
      </c>
      <c r="K107" s="1" t="s">
        <v>21</v>
      </c>
      <c r="L107" s="1" t="s">
        <v>21</v>
      </c>
      <c r="M107" s="1" t="s">
        <v>29</v>
      </c>
      <c r="N107" s="1" t="s">
        <v>22</v>
      </c>
      <c r="O107" s="1" t="str">
        <f t="shared" ca="1" si="1"/>
        <v>Please solve the LeetCode problem '704. Binary Search'.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8" spans="1:15" x14ac:dyDescent="0.25">
      <c r="A108" s="1">
        <v>167</v>
      </c>
      <c r="B108" s="2" t="str">
        <f>HYPERLINK("https://leetcode.com/problems/two-sum-ii-input-array-is-sorted/", "Two Sum II - Input Array Is Sorted")</f>
        <v>Two Sum II - Input Array Is Sorted</v>
      </c>
      <c r="C108" s="1">
        <v>13230</v>
      </c>
      <c r="D108" s="1">
        <v>1516</v>
      </c>
      <c r="E108" s="3">
        <f t="shared" si="0"/>
        <v>0.89719245897192457</v>
      </c>
      <c r="F108" s="1" t="s">
        <v>97</v>
      </c>
      <c r="G108" s="1" t="s">
        <v>24</v>
      </c>
      <c r="H108" s="1">
        <v>3147777</v>
      </c>
      <c r="I108" s="1">
        <v>4887560</v>
      </c>
      <c r="J108" s="7">
        <v>0.64400000000000002</v>
      </c>
      <c r="K108" s="1" t="s">
        <v>21</v>
      </c>
      <c r="L108" s="1" t="s">
        <v>21</v>
      </c>
      <c r="M108" s="1" t="s">
        <v>29</v>
      </c>
      <c r="N108" s="1" t="s">
        <v>22</v>
      </c>
      <c r="O108" s="1" t="str">
        <f t="shared" ca="1" si="1"/>
        <v>Please solve the LeetCode problem '167. Two Sum II - Input Array Is Sorted'.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9" spans="1:15" x14ac:dyDescent="0.25">
      <c r="A109" s="1">
        <v>32</v>
      </c>
      <c r="B109" s="2" t="str">
        <f>HYPERLINK("https://leetcode.com/problems/longest-valid-parentheses/", "Longest Valid Parentheses")</f>
        <v>Longest Valid Parentheses</v>
      </c>
      <c r="C109" s="1">
        <v>13177</v>
      </c>
      <c r="D109" s="1">
        <v>460</v>
      </c>
      <c r="E109" s="3">
        <f t="shared" si="0"/>
        <v>0.96626824081542861</v>
      </c>
      <c r="F109" s="1" t="s">
        <v>98</v>
      </c>
      <c r="G109" s="1" t="s">
        <v>28</v>
      </c>
      <c r="H109" s="1">
        <v>1032649</v>
      </c>
      <c r="I109" s="1">
        <v>2736120</v>
      </c>
      <c r="J109" s="7">
        <v>0.377</v>
      </c>
      <c r="K109" s="1" t="s">
        <v>21</v>
      </c>
      <c r="L109" s="1" t="s">
        <v>21</v>
      </c>
      <c r="M109" s="1" t="s">
        <v>29</v>
      </c>
      <c r="N109" s="1" t="s">
        <v>22</v>
      </c>
      <c r="O109" s="1" t="str">
        <f t="shared" ca="1" si="1"/>
        <v>Please solve the LeetCode problem '32. Longest Valid Parentheses'.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0" spans="1:15" x14ac:dyDescent="0.25">
      <c r="A110" s="1">
        <v>10</v>
      </c>
      <c r="B110" s="2" t="str">
        <f>HYPERLINK("https://leetcode.com/problems/regular-expression-matching/", "Regular Expression Matching")</f>
        <v>Regular Expression Matching</v>
      </c>
      <c r="C110" s="1">
        <v>13173</v>
      </c>
      <c r="D110" s="1">
        <v>2374</v>
      </c>
      <c r="E110" s="3">
        <f t="shared" si="0"/>
        <v>0.84730173023734479</v>
      </c>
      <c r="F110" s="1" t="s">
        <v>99</v>
      </c>
      <c r="G110" s="1" t="s">
        <v>28</v>
      </c>
      <c r="H110" s="1">
        <v>1311102</v>
      </c>
      <c r="I110" s="1">
        <v>4338090</v>
      </c>
      <c r="J110" s="7">
        <v>0.30199999999999999</v>
      </c>
      <c r="K110" s="1" t="s">
        <v>21</v>
      </c>
      <c r="L110" s="1" t="s">
        <v>21</v>
      </c>
      <c r="M110" s="1" t="s">
        <v>29</v>
      </c>
      <c r="N110" s="1" t="s">
        <v>22</v>
      </c>
      <c r="O110" s="1" t="str">
        <f t="shared" ca="1" si="1"/>
        <v>Please solve the LeetCode problem '10. Regular Expression Matching'.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1" spans="1:15" x14ac:dyDescent="0.25">
      <c r="A111" s="1">
        <v>438</v>
      </c>
      <c r="B111" s="2" t="str">
        <f>HYPERLINK("https://leetcode.com/problems/find-all-anagrams-in-a-string/", "Find All Anagrams in a String")</f>
        <v>Find All Anagrams in a String</v>
      </c>
      <c r="C111" s="1">
        <v>13068</v>
      </c>
      <c r="D111" s="1">
        <v>372</v>
      </c>
      <c r="E111" s="3">
        <f t="shared" si="0"/>
        <v>0.97232142857142856</v>
      </c>
      <c r="F111" s="1" t="s">
        <v>23</v>
      </c>
      <c r="G111" s="1" t="s">
        <v>24</v>
      </c>
      <c r="H111" s="1">
        <v>1135465</v>
      </c>
      <c r="I111" s="1">
        <v>2139089</v>
      </c>
      <c r="J111" s="7">
        <v>0.53100000000000003</v>
      </c>
      <c r="K111" s="1" t="s">
        <v>21</v>
      </c>
      <c r="L111" s="1" t="s">
        <v>21</v>
      </c>
      <c r="M111" s="1" t="s">
        <v>29</v>
      </c>
      <c r="N111" s="1" t="s">
        <v>22</v>
      </c>
      <c r="O111" s="1" t="str">
        <f t="shared" ca="1" si="1"/>
        <v>Please solve the LeetCode problem '438. Find All Anagrams in a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2" spans="1:15" x14ac:dyDescent="0.25">
      <c r="A112" s="1">
        <v>876</v>
      </c>
      <c r="B112" s="2" t="str">
        <f>HYPERLINK("https://leetcode.com/problems/middle-of-the-linked-list/", "Middle of the Linked List")</f>
        <v>Middle of the Linked List</v>
      </c>
      <c r="C112" s="1">
        <v>13044</v>
      </c>
      <c r="D112" s="1">
        <v>435</v>
      </c>
      <c r="E112" s="3">
        <f t="shared" si="0"/>
        <v>0.96772757622969063</v>
      </c>
      <c r="F112" s="1" t="s">
        <v>53</v>
      </c>
      <c r="G112" s="1" t="s">
        <v>20</v>
      </c>
      <c r="H112" s="1">
        <v>2847213</v>
      </c>
      <c r="I112" s="1">
        <v>3497426</v>
      </c>
      <c r="J112" s="7">
        <v>0.81399999999999995</v>
      </c>
      <c r="K112" s="1" t="s">
        <v>21</v>
      </c>
      <c r="L112" s="1" t="s">
        <v>21</v>
      </c>
      <c r="M112" s="1" t="s">
        <v>21</v>
      </c>
      <c r="N112" s="1" t="s">
        <v>22</v>
      </c>
      <c r="O112" s="1" t="str">
        <f t="shared" ca="1" si="1"/>
        <v>Please solve the LeetCode problem '876. Middle of the Linked List'.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3" spans="1:15" x14ac:dyDescent="0.25">
      <c r="A113" s="1">
        <v>295</v>
      </c>
      <c r="B113" s="2" t="str">
        <f>HYPERLINK("https://leetcode.com/problems/find-median-from-data-stream/", "Find Median from Data Stream")</f>
        <v>Find Median from Data Stream</v>
      </c>
      <c r="C113" s="1">
        <v>13038</v>
      </c>
      <c r="D113" s="1">
        <v>281</v>
      </c>
      <c r="E113" s="3">
        <f t="shared" si="0"/>
        <v>0.97890231999399357</v>
      </c>
      <c r="F113" s="1" t="s">
        <v>100</v>
      </c>
      <c r="G113" s="1" t="s">
        <v>28</v>
      </c>
      <c r="H113" s="1">
        <v>1150219</v>
      </c>
      <c r="I113" s="1">
        <v>2128614</v>
      </c>
      <c r="J113" s="7">
        <v>0.54</v>
      </c>
      <c r="K113" s="1" t="s">
        <v>21</v>
      </c>
      <c r="L113" s="1" t="s">
        <v>21</v>
      </c>
      <c r="M113" s="1" t="s">
        <v>29</v>
      </c>
      <c r="N113" s="1" t="s">
        <v>22</v>
      </c>
      <c r="O113" s="1" t="str">
        <f t="shared" ca="1" si="1"/>
        <v>Please solve the LeetCode problem '295. Find Median from Data Stream'.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4" spans="1:15" x14ac:dyDescent="0.25">
      <c r="A114" s="1">
        <v>24</v>
      </c>
      <c r="B114" s="2" t="str">
        <f>HYPERLINK("https://leetcode.com/problems/swap-nodes-in-pairs/", "Swap Nodes in Pairs")</f>
        <v>Swap Nodes in Pairs</v>
      </c>
      <c r="C114" s="1">
        <v>12972</v>
      </c>
      <c r="D114" s="1">
        <v>504</v>
      </c>
      <c r="E114" s="3">
        <f t="shared" si="0"/>
        <v>0.96260017809439002</v>
      </c>
      <c r="F114" s="1" t="s">
        <v>41</v>
      </c>
      <c r="G114" s="1" t="s">
        <v>24</v>
      </c>
      <c r="H114" s="1">
        <v>1822622</v>
      </c>
      <c r="I114" s="1">
        <v>2654153</v>
      </c>
      <c r="J114" s="7">
        <v>0.68700000000000006</v>
      </c>
      <c r="K114" s="1" t="s">
        <v>21</v>
      </c>
      <c r="L114" s="1" t="s">
        <v>21</v>
      </c>
      <c r="M114" s="1" t="s">
        <v>29</v>
      </c>
      <c r="N114" s="1" t="s">
        <v>22</v>
      </c>
      <c r="O114" s="1" t="str">
        <f t="shared" ca="1" si="1"/>
        <v>Please solve the LeetCode problem '24. Swap Nodes in Pairs'.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5" spans="1:15" x14ac:dyDescent="0.25">
      <c r="A115" s="1">
        <v>240</v>
      </c>
      <c r="B115" s="2" t="str">
        <f>HYPERLINK("https://leetcode.com/problems/search-a-2d-matrix-ii/", "Search a 2D Matrix II")</f>
        <v>Search a 2D Matrix II</v>
      </c>
      <c r="C115" s="1">
        <v>12959</v>
      </c>
      <c r="D115" s="1">
        <v>229</v>
      </c>
      <c r="E115" s="3">
        <f t="shared" si="0"/>
        <v>0.98263572945101607</v>
      </c>
      <c r="F115" s="1" t="s">
        <v>101</v>
      </c>
      <c r="G115" s="1" t="s">
        <v>24</v>
      </c>
      <c r="H115" s="1">
        <v>1301405</v>
      </c>
      <c r="I115" s="1">
        <v>2300790</v>
      </c>
      <c r="J115" s="7">
        <v>0.56599999999999995</v>
      </c>
      <c r="K115" s="1" t="s">
        <v>21</v>
      </c>
      <c r="L115" s="1" t="s">
        <v>21</v>
      </c>
      <c r="M115" s="1" t="s">
        <v>21</v>
      </c>
      <c r="N115" s="1" t="s">
        <v>22</v>
      </c>
      <c r="O115" s="1" t="str">
        <f t="shared" ca="1" si="1"/>
        <v>Please solve the LeetCode problem '240. Search a 2D Matrix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6" spans="1:15" x14ac:dyDescent="0.25">
      <c r="A116" s="1">
        <v>148</v>
      </c>
      <c r="B116" s="2" t="str">
        <f>HYPERLINK("https://leetcode.com/problems/sort-list/", "Sort List")</f>
        <v>Sort List</v>
      </c>
      <c r="C116" s="1">
        <v>12862</v>
      </c>
      <c r="D116" s="1">
        <v>412</v>
      </c>
      <c r="E116" s="3">
        <f t="shared" si="0"/>
        <v>0.96896188036763597</v>
      </c>
      <c r="F116" s="1" t="s">
        <v>102</v>
      </c>
      <c r="G116" s="1" t="s">
        <v>24</v>
      </c>
      <c r="H116" s="1">
        <v>1201666</v>
      </c>
      <c r="I116" s="1">
        <v>1890821</v>
      </c>
      <c r="J116" s="7">
        <v>0.63600000000000001</v>
      </c>
      <c r="K116" s="1" t="s">
        <v>21</v>
      </c>
      <c r="L116" s="1" t="s">
        <v>21</v>
      </c>
      <c r="M116" s="1" t="s">
        <v>29</v>
      </c>
      <c r="N116" s="1" t="s">
        <v>22</v>
      </c>
      <c r="O116" s="1" t="str">
        <f t="shared" ca="1" si="1"/>
        <v>Please solve the LeetCode problem '148. Sort List'.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7" spans="1:15" x14ac:dyDescent="0.25">
      <c r="A117" s="1">
        <v>567</v>
      </c>
      <c r="B117" s="2" t="str">
        <f>HYPERLINK("https://leetcode.com/problems/permutation-in-string/", "Permutation in String")</f>
        <v>Permutation in String</v>
      </c>
      <c r="C117" s="1">
        <v>12795</v>
      </c>
      <c r="D117" s="1">
        <v>515</v>
      </c>
      <c r="E117" s="3">
        <f t="shared" si="0"/>
        <v>0.96130728775356877</v>
      </c>
      <c r="F117" s="1" t="s">
        <v>103</v>
      </c>
      <c r="G117" s="1" t="s">
        <v>24</v>
      </c>
      <c r="H117" s="1">
        <v>1397017</v>
      </c>
      <c r="I117" s="1">
        <v>2897020</v>
      </c>
      <c r="J117" s="7">
        <v>0.48199999999999998</v>
      </c>
      <c r="K117" s="1" t="s">
        <v>21</v>
      </c>
      <c r="L117" s="1" t="s">
        <v>21</v>
      </c>
      <c r="M117" s="1" t="s">
        <v>29</v>
      </c>
      <c r="N117" s="1" t="s">
        <v>22</v>
      </c>
      <c r="O117" s="1" t="str">
        <f t="shared" ca="1" si="1"/>
        <v>Please solve the LeetCode problem '567. Permutation in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8" spans="1:15" x14ac:dyDescent="0.25">
      <c r="A118" s="1">
        <v>92</v>
      </c>
      <c r="B118" s="2" t="str">
        <f>HYPERLINK("https://leetcode.com/problems/reverse-linked-list-ii/", "Reverse Linked List II")</f>
        <v>Reverse Linked List II</v>
      </c>
      <c r="C118" s="1">
        <v>12770</v>
      </c>
      <c r="D118" s="1">
        <v>773</v>
      </c>
      <c r="E118" s="3">
        <f t="shared" si="0"/>
        <v>0.94292254301114964</v>
      </c>
      <c r="F118" s="1" t="s">
        <v>104</v>
      </c>
      <c r="G118" s="1" t="s">
        <v>24</v>
      </c>
      <c r="H118" s="1">
        <v>1241105</v>
      </c>
      <c r="I118" s="1">
        <v>2444460</v>
      </c>
      <c r="J118" s="7">
        <v>0.50800000000000001</v>
      </c>
      <c r="K118" s="1" t="s">
        <v>21</v>
      </c>
      <c r="L118" s="1" t="s">
        <v>21</v>
      </c>
      <c r="M118" s="1" t="s">
        <v>21</v>
      </c>
      <c r="N118" s="1" t="s">
        <v>22</v>
      </c>
      <c r="O118" s="1" t="str">
        <f t="shared" ca="1" si="1"/>
        <v>Please solve the LeetCode problem '92. Reverse Linked List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9" spans="1:15" x14ac:dyDescent="0.25">
      <c r="A119" s="1">
        <v>540</v>
      </c>
      <c r="B119" s="2" t="str">
        <f>HYPERLINK("https://leetcode.com/problems/single-element-in-a-sorted-array/", "Single Element in a Sorted Array")</f>
        <v>Single Element in a Sorted Array</v>
      </c>
      <c r="C119" s="1">
        <v>12762</v>
      </c>
      <c r="D119" s="1">
        <v>237</v>
      </c>
      <c r="E119" s="3">
        <f t="shared" si="0"/>
        <v>0.98176782829448417</v>
      </c>
      <c r="F119" s="1" t="s">
        <v>35</v>
      </c>
      <c r="G119" s="1" t="s">
        <v>24</v>
      </c>
      <c r="H119" s="1">
        <v>1121083</v>
      </c>
      <c r="I119" s="1">
        <v>1894427</v>
      </c>
      <c r="J119" s="7">
        <v>0.59199999999999997</v>
      </c>
      <c r="K119" s="1" t="s">
        <v>21</v>
      </c>
      <c r="L119" s="1" t="s">
        <v>21</v>
      </c>
      <c r="M119" s="1" t="s">
        <v>29</v>
      </c>
      <c r="N119" s="1" t="s">
        <v>22</v>
      </c>
      <c r="O119" s="1" t="str">
        <f t="shared" ca="1" si="1"/>
        <v>Please solve the LeetCode problem '540. Single Element in a Sorted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0" spans="1:15" x14ac:dyDescent="0.25">
      <c r="A120" s="1">
        <v>91</v>
      </c>
      <c r="B120" s="2" t="str">
        <f>HYPERLINK("https://leetcode.com/problems/decode-ways/", "Decode Ways")</f>
        <v>Decode Ways</v>
      </c>
      <c r="C120" s="1">
        <v>12756</v>
      </c>
      <c r="D120" s="1">
        <v>4608</v>
      </c>
      <c r="E120" s="3">
        <f t="shared" si="0"/>
        <v>0.73462335867311679</v>
      </c>
      <c r="F120" s="1" t="s">
        <v>82</v>
      </c>
      <c r="G120" s="1" t="s">
        <v>24</v>
      </c>
      <c r="H120" s="1">
        <v>1595621</v>
      </c>
      <c r="I120" s="1">
        <v>4259662</v>
      </c>
      <c r="J120" s="7">
        <v>0.375</v>
      </c>
      <c r="K120" s="1" t="s">
        <v>21</v>
      </c>
      <c r="L120" s="1" t="s">
        <v>21</v>
      </c>
      <c r="M120" s="1" t="s">
        <v>21</v>
      </c>
      <c r="N120" s="1" t="s">
        <v>22</v>
      </c>
      <c r="O120" s="1" t="str">
        <f t="shared" ca="1" si="1"/>
        <v>Please solve the LeetCode problem '91. Decode Ways'.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1" spans="1:15" x14ac:dyDescent="0.25">
      <c r="A121" s="1">
        <v>100</v>
      </c>
      <c r="B121" s="2" t="str">
        <f>HYPERLINK("https://leetcode.com/problems/same-tree/", "Same Tree")</f>
        <v>Same Tree</v>
      </c>
      <c r="C121" s="1">
        <v>12709</v>
      </c>
      <c r="D121" s="1">
        <v>291</v>
      </c>
      <c r="E121" s="3">
        <f t="shared" si="0"/>
        <v>0.97761538461538466</v>
      </c>
      <c r="F121" s="1" t="s">
        <v>80</v>
      </c>
      <c r="G121" s="1" t="s">
        <v>20</v>
      </c>
      <c r="H121" s="1">
        <v>3217896</v>
      </c>
      <c r="I121" s="1">
        <v>4845994</v>
      </c>
      <c r="J121" s="7">
        <v>0.66400000000000003</v>
      </c>
      <c r="K121" s="1" t="s">
        <v>21</v>
      </c>
      <c r="L121" s="1" t="s">
        <v>21</v>
      </c>
      <c r="M121" s="1" t="s">
        <v>21</v>
      </c>
      <c r="N121" s="1" t="s">
        <v>22</v>
      </c>
      <c r="O121" s="1" t="str">
        <f t="shared" ca="1" si="1"/>
        <v>Please solve the LeetCode problem '100. Same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2" spans="1:15" x14ac:dyDescent="0.25">
      <c r="A122" s="1">
        <v>424</v>
      </c>
      <c r="B122" s="2" t="str">
        <f>HYPERLINK("https://leetcode.com/problems/longest-repeating-character-replacement/", "Longest Repeating Character Replacement")</f>
        <v>Longest Repeating Character Replacement</v>
      </c>
      <c r="C122" s="1">
        <v>12692</v>
      </c>
      <c r="D122" s="1">
        <v>733</v>
      </c>
      <c r="E122" s="3">
        <f t="shared" si="0"/>
        <v>0.94540037243947861</v>
      </c>
      <c r="F122" s="1" t="s">
        <v>23</v>
      </c>
      <c r="G122" s="1" t="s">
        <v>24</v>
      </c>
      <c r="H122" s="1">
        <v>1403358</v>
      </c>
      <c r="I122" s="1">
        <v>2388407</v>
      </c>
      <c r="J122" s="7">
        <v>0.58799999999999997</v>
      </c>
      <c r="K122" s="1" t="s">
        <v>21</v>
      </c>
      <c r="L122" s="1" t="s">
        <v>21</v>
      </c>
      <c r="M122" s="1" t="s">
        <v>29</v>
      </c>
      <c r="N122" s="1" t="s">
        <v>22</v>
      </c>
      <c r="O122" s="1" t="str">
        <f t="shared" ca="1" si="1"/>
        <v>Please solve the LeetCode problem '424. Longest Repeating Character Replacement'.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3" spans="1:15" x14ac:dyDescent="0.25">
      <c r="A123" s="1">
        <v>18</v>
      </c>
      <c r="B123" s="2" t="str">
        <f>HYPERLINK("https://leetcode.com/problems/4sum/", "4Sum")</f>
        <v>4Sum</v>
      </c>
      <c r="C123" s="1">
        <v>12663</v>
      </c>
      <c r="D123" s="1">
        <v>1525</v>
      </c>
      <c r="E123" s="3">
        <f t="shared" si="0"/>
        <v>0.89251480124048488</v>
      </c>
      <c r="F123" s="1" t="s">
        <v>31</v>
      </c>
      <c r="G123" s="1" t="s">
        <v>24</v>
      </c>
      <c r="H123" s="1">
        <v>1551165</v>
      </c>
      <c r="I123" s="1">
        <v>3908505</v>
      </c>
      <c r="J123" s="7">
        <v>0.39700000000000002</v>
      </c>
      <c r="K123" s="1" t="s">
        <v>21</v>
      </c>
      <c r="L123" s="1" t="s">
        <v>21</v>
      </c>
      <c r="M123" s="1" t="s">
        <v>29</v>
      </c>
      <c r="N123" s="1" t="s">
        <v>22</v>
      </c>
      <c r="O123" s="1" t="str">
        <f t="shared" ca="1" si="1"/>
        <v>Please solve the LeetCode problem '18. 4Sum'.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4" spans="1:15" x14ac:dyDescent="0.25">
      <c r="A124" s="1">
        <v>230</v>
      </c>
      <c r="B124" s="2" t="str">
        <f>HYPERLINK("https://leetcode.com/problems/kth-smallest-element-in-a-bst/", "Kth Smallest Element in a BST")</f>
        <v>Kth Smallest Element in a BST</v>
      </c>
      <c r="C124" s="1">
        <v>12562</v>
      </c>
      <c r="D124" s="1">
        <v>256</v>
      </c>
      <c r="E124" s="3">
        <f t="shared" si="0"/>
        <v>0.98002808550475895</v>
      </c>
      <c r="F124" s="1" t="s">
        <v>69</v>
      </c>
      <c r="G124" s="1" t="s">
        <v>24</v>
      </c>
      <c r="H124" s="1">
        <v>2130055</v>
      </c>
      <c r="I124" s="1">
        <v>2791196</v>
      </c>
      <c r="J124" s="7">
        <v>0.76300000000000001</v>
      </c>
      <c r="K124" s="1" t="s">
        <v>21</v>
      </c>
      <c r="L124" s="1" t="s">
        <v>21</v>
      </c>
      <c r="M124" s="1" t="s">
        <v>29</v>
      </c>
      <c r="N124" s="1" t="s">
        <v>22</v>
      </c>
      <c r="O124" s="1" t="str">
        <f t="shared" ca="1" si="1"/>
        <v>Please solve the LeetCode problem '230. Kth Smallest Element in a BST'.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5" spans="1:15" x14ac:dyDescent="0.25">
      <c r="A125" s="1">
        <v>208</v>
      </c>
      <c r="B125" s="2" t="str">
        <f>HYPERLINK("https://leetcode.com/problems/implement-trie-prefix-tree/", "Implement Trie (Prefix Tree)")</f>
        <v>Implement Trie (Prefix Tree)</v>
      </c>
      <c r="C125" s="1">
        <v>12338</v>
      </c>
      <c r="D125" s="1">
        <v>160</v>
      </c>
      <c r="E125" s="3">
        <f t="shared" si="0"/>
        <v>0.98719795167226754</v>
      </c>
      <c r="F125" s="1" t="s">
        <v>105</v>
      </c>
      <c r="G125" s="1" t="s">
        <v>24</v>
      </c>
      <c r="H125" s="1">
        <v>1474094</v>
      </c>
      <c r="I125" s="1">
        <v>2136095</v>
      </c>
      <c r="J125" s="7">
        <v>0.69</v>
      </c>
      <c r="K125" s="1" t="s">
        <v>21</v>
      </c>
      <c r="L125" s="1" t="s">
        <v>21</v>
      </c>
      <c r="M125" s="1" t="s">
        <v>29</v>
      </c>
      <c r="N125" s="1" t="s">
        <v>22</v>
      </c>
      <c r="O125" s="1" t="str">
        <f t="shared" ca="1" si="1"/>
        <v>Please solve the LeetCode problem '208. Implement Trie (Prefix Tree)'.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6" spans="1:15" x14ac:dyDescent="0.25">
      <c r="A126" s="1">
        <v>143</v>
      </c>
      <c r="B126" s="2" t="str">
        <f>HYPERLINK("https://leetcode.com/problems/reorder-list/", "Reorder List")</f>
        <v>Reorder List</v>
      </c>
      <c r="C126" s="1">
        <v>12323</v>
      </c>
      <c r="D126" s="1">
        <v>501</v>
      </c>
      <c r="E126" s="3">
        <f t="shared" si="0"/>
        <v>0.96093262632563947</v>
      </c>
      <c r="F126" s="1" t="s">
        <v>71</v>
      </c>
      <c r="G126" s="1" t="s">
        <v>24</v>
      </c>
      <c r="H126" s="1">
        <v>1421164</v>
      </c>
      <c r="I126" s="1">
        <v>2212040</v>
      </c>
      <c r="J126" s="7">
        <v>0.64200000000000002</v>
      </c>
      <c r="K126" s="1" t="s">
        <v>21</v>
      </c>
      <c r="L126" s="1" t="s">
        <v>21</v>
      </c>
      <c r="M126" s="1" t="s">
        <v>29</v>
      </c>
      <c r="N126" s="1" t="s">
        <v>22</v>
      </c>
      <c r="O126" s="1" t="str">
        <f t="shared" ca="1" si="1"/>
        <v>Please solve the LeetCode problem '143. Reorder List'.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7" spans="1:15" x14ac:dyDescent="0.25">
      <c r="A127" s="1">
        <v>36</v>
      </c>
      <c r="B127" s="2" t="str">
        <f>HYPERLINK("https://leetcode.com/problems/valid-sudoku/", "Valid Sudoku")</f>
        <v>Valid Sudoku</v>
      </c>
      <c r="C127" s="1">
        <v>12305</v>
      </c>
      <c r="D127" s="1">
        <v>1253</v>
      </c>
      <c r="E127" s="3">
        <f t="shared" si="0"/>
        <v>0.90758223926832871</v>
      </c>
      <c r="F127" s="1" t="s">
        <v>78</v>
      </c>
      <c r="G127" s="1" t="s">
        <v>24</v>
      </c>
      <c r="H127" s="1">
        <v>2365817</v>
      </c>
      <c r="I127" s="1">
        <v>3697964</v>
      </c>
      <c r="J127" s="7">
        <v>0.64</v>
      </c>
      <c r="K127" s="1" t="s">
        <v>21</v>
      </c>
      <c r="L127" s="1" t="s">
        <v>21</v>
      </c>
      <c r="M127" s="1" t="s">
        <v>29</v>
      </c>
      <c r="N127" s="1" t="s">
        <v>22</v>
      </c>
      <c r="O127" s="1" t="str">
        <f t="shared" ca="1" si="1"/>
        <v>Please solve the LeetCode problem '36. Valid Sudoku'.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8" spans="1:15" x14ac:dyDescent="0.25">
      <c r="A128" s="1">
        <v>746</v>
      </c>
      <c r="B128" s="2" t="str">
        <f>HYPERLINK("https://leetcode.com/problems/min-cost-climbing-stairs/", "Min Cost Climbing Stairs")</f>
        <v>Min Cost Climbing Stairs</v>
      </c>
      <c r="C128" s="1">
        <v>12266</v>
      </c>
      <c r="D128" s="1">
        <v>1879</v>
      </c>
      <c r="E128" s="3">
        <f t="shared" si="0"/>
        <v>0.86716154118062916</v>
      </c>
      <c r="F128" s="1" t="s">
        <v>30</v>
      </c>
      <c r="G128" s="1" t="s">
        <v>20</v>
      </c>
      <c r="H128" s="1">
        <v>1670458</v>
      </c>
      <c r="I128" s="1">
        <v>2460208</v>
      </c>
      <c r="J128" s="7">
        <v>0.67900000000000005</v>
      </c>
      <c r="K128" s="1" t="s">
        <v>21</v>
      </c>
      <c r="L128" s="1" t="s">
        <v>21</v>
      </c>
      <c r="M128" s="1" t="s">
        <v>29</v>
      </c>
      <c r="N128" s="1" t="s">
        <v>22</v>
      </c>
      <c r="O128" s="1" t="str">
        <f t="shared" ca="1" si="1"/>
        <v>Please solve the LeetCode problem '746. Min Cost Climbing Stairs'.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9" spans="1:15" x14ac:dyDescent="0.25">
      <c r="A129" s="1">
        <v>494</v>
      </c>
      <c r="B129" s="2" t="str">
        <f>HYPERLINK("https://leetcode.com/problems/target-sum/", "Target Sum")</f>
        <v>Target Sum</v>
      </c>
      <c r="C129" s="1">
        <v>12254</v>
      </c>
      <c r="D129" s="1">
        <v>412</v>
      </c>
      <c r="E129" s="3">
        <f t="shared" si="0"/>
        <v>0.96747197220906367</v>
      </c>
      <c r="F129" s="1" t="s">
        <v>106</v>
      </c>
      <c r="G129" s="1" t="s">
        <v>24</v>
      </c>
      <c r="H129" s="1">
        <v>1026835</v>
      </c>
      <c r="I129" s="1">
        <v>1987028</v>
      </c>
      <c r="J129" s="7">
        <v>0.51700000000000002</v>
      </c>
      <c r="K129" s="1" t="s">
        <v>21</v>
      </c>
      <c r="L129" s="1" t="s">
        <v>21</v>
      </c>
      <c r="M129" s="1" t="s">
        <v>29</v>
      </c>
      <c r="N129" s="1" t="s">
        <v>22</v>
      </c>
      <c r="O129" s="1" t="str">
        <f t="shared" ca="1" si="1"/>
        <v>Please solve the LeetCode problem '494. Target Sum'.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0" spans="1:15" x14ac:dyDescent="0.25">
      <c r="A130" s="1">
        <v>235</v>
      </c>
      <c r="B130" s="2" t="str">
        <f>HYPERLINK("https://leetcode.com/problems/lowest-common-ancestor-of-a-binary-search-tree/", "Lowest Common Ancestor of a Binary Search Tree")</f>
        <v>Lowest Common Ancestor of a Binary Search Tree</v>
      </c>
      <c r="C130" s="1">
        <v>12140</v>
      </c>
      <c r="D130" s="1">
        <v>353</v>
      </c>
      <c r="E130" s="3">
        <f t="shared" si="0"/>
        <v>0.97174417673897384</v>
      </c>
      <c r="F130" s="1" t="s">
        <v>69</v>
      </c>
      <c r="G130" s="1" t="s">
        <v>24</v>
      </c>
      <c r="H130" s="1">
        <v>2150668</v>
      </c>
      <c r="I130" s="1">
        <v>3080295</v>
      </c>
      <c r="J130" s="7">
        <v>0.69799999999999995</v>
      </c>
      <c r="K130" s="1" t="s">
        <v>21</v>
      </c>
      <c r="L130" s="1" t="s">
        <v>21</v>
      </c>
      <c r="M130" s="1" t="s">
        <v>29</v>
      </c>
      <c r="N130" s="1" t="s">
        <v>22</v>
      </c>
      <c r="O130" s="1" t="str">
        <f t="shared" ca="1" si="1"/>
        <v>Please solve the LeetCode problem '235. Lowest Common Ancestor of a Binary Search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1" spans="1:15" x14ac:dyDescent="0.25">
      <c r="A131" s="1">
        <v>40</v>
      </c>
      <c r="B131" s="2" t="str">
        <f>HYPERLINK("https://leetcode.com/problems/combination-sum-ii/", "Combination Sum II")</f>
        <v>Combination Sum II</v>
      </c>
      <c r="C131" s="1">
        <v>12074</v>
      </c>
      <c r="D131" s="1">
        <v>377</v>
      </c>
      <c r="E131" s="3">
        <f t="shared" si="0"/>
        <v>0.96972130752550001</v>
      </c>
      <c r="F131" s="1" t="s">
        <v>56</v>
      </c>
      <c r="G131" s="1" t="s">
        <v>24</v>
      </c>
      <c r="H131" s="1">
        <v>1603120</v>
      </c>
      <c r="I131" s="1">
        <v>2728300</v>
      </c>
      <c r="J131" s="7">
        <v>0.58799999999999997</v>
      </c>
      <c r="K131" s="1" t="s">
        <v>21</v>
      </c>
      <c r="L131" s="1" t="s">
        <v>21</v>
      </c>
      <c r="M131" s="1" t="s">
        <v>29</v>
      </c>
      <c r="N131" s="1" t="s">
        <v>22</v>
      </c>
      <c r="O131" s="1" t="str">
        <f t="shared" ca="1" si="1"/>
        <v>Please solve the LeetCode problem '40. Combination Sum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2" spans="1:15" x14ac:dyDescent="0.25">
      <c r="A132" s="1">
        <v>863</v>
      </c>
      <c r="B132" s="2" t="str">
        <f>HYPERLINK("https://leetcode.com/problems/all-nodes-distance-k-in-binary-tree/", "All Nodes Distance K in Binary Tree")</f>
        <v>All Nodes Distance K in Binary Tree</v>
      </c>
      <c r="C132" s="1">
        <v>12005</v>
      </c>
      <c r="D132" s="1">
        <v>273</v>
      </c>
      <c r="E132" s="3">
        <f t="shared" si="0"/>
        <v>0.97776510832383123</v>
      </c>
      <c r="F132" s="1" t="s">
        <v>107</v>
      </c>
      <c r="G132" s="1" t="s">
        <v>24</v>
      </c>
      <c r="H132" s="1">
        <v>663471</v>
      </c>
      <c r="I132" s="1">
        <v>985763</v>
      </c>
      <c r="J132" s="7">
        <v>0.67300000000000004</v>
      </c>
      <c r="K132" s="1" t="s">
        <v>21</v>
      </c>
      <c r="L132" s="1" t="s">
        <v>21</v>
      </c>
      <c r="M132" s="1" t="s">
        <v>29</v>
      </c>
      <c r="N132" s="1" t="s">
        <v>22</v>
      </c>
      <c r="O132" s="1" t="str">
        <f t="shared" ca="1" si="1"/>
        <v>Please solve the LeetCode problem '863. All Nodes Distance K in Binary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3" spans="1:15" x14ac:dyDescent="0.25">
      <c r="A133" s="1">
        <v>85</v>
      </c>
      <c r="B133" s="2" t="str">
        <f>HYPERLINK("https://leetcode.com/problems/maximal-rectangle/", "Maximal Rectangle")</f>
        <v>Maximal Rectangle</v>
      </c>
      <c r="C133" s="1">
        <v>11945</v>
      </c>
      <c r="D133" s="1">
        <v>224</v>
      </c>
      <c r="E133" s="3">
        <f t="shared" si="0"/>
        <v>0.98159257128769828</v>
      </c>
      <c r="F133" s="1" t="s">
        <v>108</v>
      </c>
      <c r="G133" s="1" t="s">
        <v>28</v>
      </c>
      <c r="H133" s="1">
        <v>760836</v>
      </c>
      <c r="I133" s="1">
        <v>1316622</v>
      </c>
      <c r="J133" s="7">
        <v>0.57799999999999996</v>
      </c>
      <c r="K133" s="1" t="s">
        <v>21</v>
      </c>
      <c r="L133" s="1" t="s">
        <v>21</v>
      </c>
      <c r="M133" s="1" t="s">
        <v>29</v>
      </c>
      <c r="N133" s="1" t="s">
        <v>22</v>
      </c>
      <c r="O133" s="1" t="str">
        <f t="shared" ca="1" si="1"/>
        <v>Please solve the LeetCode problem '85. Maximal Rectangle'.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4" spans="1:15" x14ac:dyDescent="0.25">
      <c r="A134" s="1">
        <v>103</v>
      </c>
      <c r="B134" s="2" t="str">
        <f>HYPERLINK("https://leetcode.com/problems/binary-tree-zigzag-level-order-traversal/", "Binary Tree Zigzag Level Order Traversal")</f>
        <v>Binary Tree Zigzag Level Order Traversal</v>
      </c>
      <c r="C134" s="1">
        <v>11883</v>
      </c>
      <c r="D134" s="1">
        <v>349</v>
      </c>
      <c r="E134" s="3">
        <f t="shared" si="0"/>
        <v>0.9714682799215173</v>
      </c>
      <c r="F134" s="1" t="s">
        <v>79</v>
      </c>
      <c r="G134" s="1" t="s">
        <v>24</v>
      </c>
      <c r="H134" s="1">
        <v>1684170</v>
      </c>
      <c r="I134" s="1">
        <v>2675660</v>
      </c>
      <c r="J134" s="7">
        <v>0.629</v>
      </c>
      <c r="K134" s="1" t="s">
        <v>21</v>
      </c>
      <c r="L134" s="1" t="s">
        <v>21</v>
      </c>
      <c r="M134" s="1" t="s">
        <v>29</v>
      </c>
      <c r="N134" s="1" t="s">
        <v>22</v>
      </c>
      <c r="O134" s="1" t="str">
        <f t="shared" ca="1" si="1"/>
        <v>Please solve the LeetCode problem '103. Binary Tree Zigzag Level Order Traversal'.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5" spans="1:15" x14ac:dyDescent="0.25">
      <c r="A135" s="1">
        <v>110</v>
      </c>
      <c r="B135" s="2" t="str">
        <f>HYPERLINK("https://leetcode.com/problems/balanced-binary-tree/", "Balanced Binary Tree")</f>
        <v>Balanced Binary Tree</v>
      </c>
      <c r="C135" s="1">
        <v>11838</v>
      </c>
      <c r="D135" s="1">
        <v>820</v>
      </c>
      <c r="E135" s="3">
        <f t="shared" si="0"/>
        <v>0.93521883393901095</v>
      </c>
      <c r="F135" s="1" t="s">
        <v>67</v>
      </c>
      <c r="G135" s="1" t="s">
        <v>20</v>
      </c>
      <c r="H135" s="1">
        <v>2239329</v>
      </c>
      <c r="I135" s="1">
        <v>3939620</v>
      </c>
      <c r="J135" s="7">
        <v>0.56799999999999995</v>
      </c>
      <c r="K135" s="1" t="s">
        <v>21</v>
      </c>
      <c r="L135" s="1" t="s">
        <v>21</v>
      </c>
      <c r="M135" s="1" t="s">
        <v>29</v>
      </c>
      <c r="N135" s="1" t="s">
        <v>22</v>
      </c>
      <c r="O135" s="1" t="str">
        <f t="shared" ca="1" si="1"/>
        <v>Please solve the LeetCode problem '110. Balanced Binary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6" spans="1:15" x14ac:dyDescent="0.25">
      <c r="A136" s="1">
        <v>338</v>
      </c>
      <c r="B136" s="2" t="str">
        <f>HYPERLINK("https://leetcode.com/problems/counting-bits/", "Counting Bits")</f>
        <v>Counting Bits</v>
      </c>
      <c r="C136" s="1">
        <v>11836</v>
      </c>
      <c r="D136" s="1">
        <v>605</v>
      </c>
      <c r="E136" s="3">
        <f t="shared" si="0"/>
        <v>0.95137046861184793</v>
      </c>
      <c r="F136" s="1" t="s">
        <v>109</v>
      </c>
      <c r="G136" s="1" t="s">
        <v>20</v>
      </c>
      <c r="H136" s="1">
        <v>1541226</v>
      </c>
      <c r="I136" s="1">
        <v>1919834</v>
      </c>
      <c r="J136" s="7">
        <v>0.80300000000000005</v>
      </c>
      <c r="K136" s="1" t="s">
        <v>21</v>
      </c>
      <c r="L136" s="1" t="s">
        <v>21</v>
      </c>
      <c r="M136" s="1" t="s">
        <v>29</v>
      </c>
      <c r="N136" s="1" t="s">
        <v>22</v>
      </c>
      <c r="O136" s="1" t="str">
        <f t="shared" ca="1" si="1"/>
        <v>Please solve the LeetCode problem '338. Counting Bits'.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7" spans="1:15" x14ac:dyDescent="0.25">
      <c r="A137" s="1">
        <v>437</v>
      </c>
      <c r="B137" s="2" t="str">
        <f>HYPERLINK("https://leetcode.com/problems/path-sum-iii/", "Path Sum III")</f>
        <v>Path Sum III</v>
      </c>
      <c r="C137" s="1">
        <v>11819</v>
      </c>
      <c r="D137" s="1">
        <v>569</v>
      </c>
      <c r="E137" s="3">
        <f t="shared" si="0"/>
        <v>0.95406845334194379</v>
      </c>
      <c r="F137" s="1" t="s">
        <v>67</v>
      </c>
      <c r="G137" s="1" t="s">
        <v>24</v>
      </c>
      <c r="H137" s="1">
        <v>762827</v>
      </c>
      <c r="I137" s="1">
        <v>1649234</v>
      </c>
      <c r="J137" s="7">
        <v>0.46300000000000002</v>
      </c>
      <c r="K137" s="1" t="s">
        <v>21</v>
      </c>
      <c r="L137" s="1" t="s">
        <v>21</v>
      </c>
      <c r="M137" s="1" t="s">
        <v>29</v>
      </c>
      <c r="N137" s="1" t="s">
        <v>22</v>
      </c>
      <c r="O137" s="1" t="str">
        <f t="shared" ca="1" si="1"/>
        <v>Please solve the LeetCode problem '437. Path Sum III'.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8" spans="1:15" x14ac:dyDescent="0.25">
      <c r="A138" s="1">
        <v>210</v>
      </c>
      <c r="B138" s="2" t="str">
        <f>HYPERLINK("https://leetcode.com/problems/course-schedule-ii/", "Course Schedule II")</f>
        <v>Course Schedule II</v>
      </c>
      <c r="C138" s="1">
        <v>11809</v>
      </c>
      <c r="D138" s="1">
        <v>376</v>
      </c>
      <c r="E138" s="3">
        <f t="shared" si="0"/>
        <v>0.96914238818219123</v>
      </c>
      <c r="F138" s="1" t="s">
        <v>72</v>
      </c>
      <c r="G138" s="1" t="s">
        <v>24</v>
      </c>
      <c r="H138" s="1">
        <v>1600592</v>
      </c>
      <c r="I138" s="1">
        <v>2922304</v>
      </c>
      <c r="J138" s="7">
        <v>0.54800000000000004</v>
      </c>
      <c r="K138" s="1" t="s">
        <v>21</v>
      </c>
      <c r="L138" s="1" t="s">
        <v>21</v>
      </c>
      <c r="M138" s="1" t="s">
        <v>21</v>
      </c>
      <c r="N138" s="1" t="s">
        <v>22</v>
      </c>
      <c r="O138" s="1" t="str">
        <f t="shared" ca="1" si="1"/>
        <v>Please solve the LeetCode problem '210. Course Schedule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9" spans="1:15" x14ac:dyDescent="0.25">
      <c r="A139" s="1">
        <v>108</v>
      </c>
      <c r="B139" s="2" t="str">
        <f>HYPERLINK("https://leetcode.com/problems/convert-sorted-array-to-binary-search-tree/", "Convert Sorted Array to Binary Search Tree")</f>
        <v>Convert Sorted Array to Binary Search Tree</v>
      </c>
      <c r="C139" s="1">
        <v>11796</v>
      </c>
      <c r="D139" s="1">
        <v>636</v>
      </c>
      <c r="E139" s="3">
        <f t="shared" si="0"/>
        <v>0.94884169884169889</v>
      </c>
      <c r="F139" s="1" t="s">
        <v>110</v>
      </c>
      <c r="G139" s="1" t="s">
        <v>20</v>
      </c>
      <c r="H139" s="1">
        <v>1648072</v>
      </c>
      <c r="I139" s="1">
        <v>2196669</v>
      </c>
      <c r="J139" s="7">
        <v>0.75</v>
      </c>
      <c r="K139" s="1" t="s">
        <v>21</v>
      </c>
      <c r="L139" s="1" t="s">
        <v>21</v>
      </c>
      <c r="M139" s="1" t="s">
        <v>21</v>
      </c>
      <c r="N139" s="1" t="s">
        <v>22</v>
      </c>
      <c r="O139" s="1" t="str">
        <f t="shared" ca="1" si="1"/>
        <v>Please solve the LeetCode problem '108. Convert Sorted Array to Binary Search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0" spans="1:15" x14ac:dyDescent="0.25">
      <c r="A140" s="1">
        <v>279</v>
      </c>
      <c r="B140" s="2" t="str">
        <f>HYPERLINK("https://leetcode.com/problems/perfect-squares/", "Perfect Squares")</f>
        <v>Perfect Squares</v>
      </c>
      <c r="C140" s="1">
        <v>11763</v>
      </c>
      <c r="D140" s="1">
        <v>491</v>
      </c>
      <c r="E140" s="3">
        <f t="shared" si="0"/>
        <v>0.95993145095479027</v>
      </c>
      <c r="F140" s="1" t="s">
        <v>112</v>
      </c>
      <c r="G140" s="1" t="s">
        <v>24</v>
      </c>
      <c r="H140" s="1">
        <v>1028587</v>
      </c>
      <c r="I140" s="1">
        <v>1829677</v>
      </c>
      <c r="J140" s="7">
        <v>0.56200000000000006</v>
      </c>
      <c r="K140" s="1" t="s">
        <v>21</v>
      </c>
      <c r="L140" s="1" t="s">
        <v>21</v>
      </c>
      <c r="M140" s="1" t="s">
        <v>29</v>
      </c>
      <c r="N140" s="1" t="s">
        <v>22</v>
      </c>
      <c r="O140" s="1" t="str">
        <f t="shared" ca="1" si="1"/>
        <v>Please solve the LeetCode problem '279. Perfect Squares'.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1" spans="1:15" x14ac:dyDescent="0.25">
      <c r="A141" s="1">
        <v>202</v>
      </c>
      <c r="B141" s="2" t="str">
        <f>HYPERLINK("https://leetcode.com/problems/happy-number/", "Happy Number")</f>
        <v>Happy Number</v>
      </c>
      <c r="C141" s="1">
        <v>11730</v>
      </c>
      <c r="D141" s="1">
        <v>1623</v>
      </c>
      <c r="E141" s="3">
        <f t="shared" si="0"/>
        <v>0.8784542799370928</v>
      </c>
      <c r="F141" s="1" t="s">
        <v>111</v>
      </c>
      <c r="G141" s="1" t="s">
        <v>20</v>
      </c>
      <c r="H141" s="1">
        <v>2139282</v>
      </c>
      <c r="I141" s="1">
        <v>3621616</v>
      </c>
      <c r="J141" s="7">
        <v>0.59099999999999997</v>
      </c>
      <c r="K141" s="1" t="s">
        <v>21</v>
      </c>
      <c r="L141" s="1" t="s">
        <v>21</v>
      </c>
      <c r="M141" s="1" t="s">
        <v>29</v>
      </c>
      <c r="N141" s="1" t="s">
        <v>22</v>
      </c>
      <c r="O141" s="1" t="str">
        <f t="shared" ca="1" si="1"/>
        <v>Please solve the LeetCode problem '202. Happy Number'.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2" spans="1:15" x14ac:dyDescent="0.25">
      <c r="A142" s="1">
        <v>57</v>
      </c>
      <c r="B142" s="2" t="str">
        <f>HYPERLINK("https://leetcode.com/problems/insert-interval/", "Insert Interval")</f>
        <v>Insert Interval</v>
      </c>
      <c r="C142" s="1">
        <v>11660</v>
      </c>
      <c r="D142" s="1">
        <v>908</v>
      </c>
      <c r="E142" s="3">
        <f t="shared" si="0"/>
        <v>0.92775302355187783</v>
      </c>
      <c r="F142" s="1" t="s">
        <v>113</v>
      </c>
      <c r="G142" s="1" t="s">
        <v>24</v>
      </c>
      <c r="H142" s="1">
        <v>1668874</v>
      </c>
      <c r="I142" s="1">
        <v>3745039</v>
      </c>
      <c r="J142" s="7">
        <v>0.44600000000000001</v>
      </c>
      <c r="K142" s="1" t="s">
        <v>21</v>
      </c>
      <c r="L142" s="1" t="s">
        <v>21</v>
      </c>
      <c r="M142" s="1" t="s">
        <v>29</v>
      </c>
      <c r="N142" s="1" t="s">
        <v>22</v>
      </c>
      <c r="O142" s="1" t="str">
        <f t="shared" ca="1" si="1"/>
        <v>Please solve the LeetCode problem '57. Insert Interval'.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3" spans="1:15" x14ac:dyDescent="0.25">
      <c r="A143" s="1">
        <v>621</v>
      </c>
      <c r="B143" s="2" t="str">
        <f>HYPERLINK("https://leetcode.com/problems/task-scheduler/", "Task Scheduler")</f>
        <v>Task Scheduler</v>
      </c>
      <c r="C143" s="1">
        <v>11644</v>
      </c>
      <c r="D143" s="1">
        <v>2200</v>
      </c>
      <c r="E143" s="3">
        <f t="shared" si="0"/>
        <v>0.84108639121641149</v>
      </c>
      <c r="F143" s="1" t="s">
        <v>114</v>
      </c>
      <c r="G143" s="1" t="s">
        <v>24</v>
      </c>
      <c r="H143" s="1">
        <v>910158</v>
      </c>
      <c r="I143" s="1">
        <v>1457023</v>
      </c>
      <c r="J143" s="7">
        <v>0.625</v>
      </c>
      <c r="K143" s="1" t="s">
        <v>21</v>
      </c>
      <c r="L143" s="1" t="s">
        <v>21</v>
      </c>
      <c r="M143" s="1" t="s">
        <v>29</v>
      </c>
      <c r="N143" s="1" t="s">
        <v>22</v>
      </c>
      <c r="O143" s="1" t="str">
        <f t="shared" ca="1" si="1"/>
        <v>Please solve the LeetCode problem '621. Task Scheduler'.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4" spans="1:15" x14ac:dyDescent="0.25">
      <c r="A144" s="1">
        <v>66</v>
      </c>
      <c r="B144" s="2" t="str">
        <f>HYPERLINK("https://leetcode.com/problems/plus-one/", "Plus One")</f>
        <v>Plus One</v>
      </c>
      <c r="C144" s="1">
        <v>11547</v>
      </c>
      <c r="D144" s="1">
        <v>5586</v>
      </c>
      <c r="E144" s="3">
        <f t="shared" si="0"/>
        <v>0.67396252845386095</v>
      </c>
      <c r="F144" s="1" t="s">
        <v>115</v>
      </c>
      <c r="G144" s="1" t="s">
        <v>20</v>
      </c>
      <c r="H144" s="1">
        <v>3512420</v>
      </c>
      <c r="I144" s="1">
        <v>7125024</v>
      </c>
      <c r="J144" s="7">
        <v>0.49299999999999999</v>
      </c>
      <c r="K144" s="1" t="s">
        <v>21</v>
      </c>
      <c r="L144" s="1" t="s">
        <v>21</v>
      </c>
      <c r="M144" s="1" t="s">
        <v>29</v>
      </c>
      <c r="N144" s="1" t="s">
        <v>22</v>
      </c>
      <c r="O144" s="1" t="str">
        <f t="shared" ca="1" si="1"/>
        <v>Please solve the LeetCode problem '66. Plus One'.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5" spans="1:15" x14ac:dyDescent="0.25">
      <c r="A145" s="1">
        <v>16</v>
      </c>
      <c r="B145" s="2" t="str">
        <f>HYPERLINK("https://leetcode.com/problems/3sum-closest/", "3Sum Closest")</f>
        <v>3Sum Closest</v>
      </c>
      <c r="C145" s="1">
        <v>11459</v>
      </c>
      <c r="D145" s="1">
        <v>615</v>
      </c>
      <c r="E145" s="3">
        <f t="shared" si="0"/>
        <v>0.94906410468775881</v>
      </c>
      <c r="F145" s="1" t="s">
        <v>31</v>
      </c>
      <c r="G145" s="1" t="s">
        <v>24</v>
      </c>
      <c r="H145" s="1">
        <v>1711021</v>
      </c>
      <c r="I145" s="1">
        <v>3578112</v>
      </c>
      <c r="J145" s="7">
        <v>0.47799999999999998</v>
      </c>
      <c r="K145" s="1" t="s">
        <v>21</v>
      </c>
      <c r="L145" s="1" t="s">
        <v>21</v>
      </c>
      <c r="M145" s="1" t="s">
        <v>21</v>
      </c>
      <c r="N145" s="1" t="s">
        <v>22</v>
      </c>
      <c r="O145" s="1" t="str">
        <f t="shared" ca="1" si="1"/>
        <v>Please solve the LeetCode problem '16. 3Sum Closest'.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6" spans="1:15" x14ac:dyDescent="0.25">
      <c r="A146" s="1">
        <v>50</v>
      </c>
      <c r="B146" s="2" t="str">
        <f>HYPERLINK("https://leetcode.com/problems/powx-n/", "Pow(x, n)")</f>
        <v>Pow(x, n)</v>
      </c>
      <c r="C146" s="1">
        <v>11431</v>
      </c>
      <c r="D146" s="1">
        <v>10482</v>
      </c>
      <c r="E146" s="3">
        <f t="shared" si="0"/>
        <v>0.52165381280518419</v>
      </c>
      <c r="F146" s="1" t="s">
        <v>116</v>
      </c>
      <c r="G146" s="1" t="s">
        <v>24</v>
      </c>
      <c r="H146" s="1">
        <v>2557043</v>
      </c>
      <c r="I146" s="1">
        <v>6717413</v>
      </c>
      <c r="J146" s="7">
        <v>0.38100000000000001</v>
      </c>
      <c r="K146" s="1" t="s">
        <v>21</v>
      </c>
      <c r="L146" s="1" t="s">
        <v>21</v>
      </c>
      <c r="M146" s="1" t="s">
        <v>29</v>
      </c>
      <c r="N146" s="1" t="s">
        <v>22</v>
      </c>
      <c r="O146" s="1" t="str">
        <f t="shared" ca="1" si="1"/>
        <v>Please solve the LeetCode problem '50. Pow(x, n)'.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7" spans="1:15" x14ac:dyDescent="0.25">
      <c r="A147" s="1">
        <v>647</v>
      </c>
      <c r="B147" s="2" t="str">
        <f>HYPERLINK("https://leetcode.com/problems/palindromic-substrings/", "Palindromic Substrings")</f>
        <v>Palindromic Substrings</v>
      </c>
      <c r="C147" s="1">
        <v>11416</v>
      </c>
      <c r="D147" s="1">
        <v>256</v>
      </c>
      <c r="E147" s="3">
        <f t="shared" si="0"/>
        <v>0.97806716929403703</v>
      </c>
      <c r="F147" s="1" t="s">
        <v>33</v>
      </c>
      <c r="G147" s="1" t="s">
        <v>24</v>
      </c>
      <c r="H147" s="1">
        <v>1126643</v>
      </c>
      <c r="I147" s="1">
        <v>1555887</v>
      </c>
      <c r="J147" s="7">
        <v>0.72399999999999998</v>
      </c>
      <c r="K147" s="1" t="s">
        <v>21</v>
      </c>
      <c r="L147" s="1" t="s">
        <v>21</v>
      </c>
      <c r="M147" s="1" t="s">
        <v>29</v>
      </c>
      <c r="N147" s="1" t="s">
        <v>22</v>
      </c>
      <c r="O147" s="1" t="str">
        <f t="shared" ca="1" si="1"/>
        <v>Please solve the LeetCode problem '647. Palindromic Substrings'.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8" spans="1:15" x14ac:dyDescent="0.25">
      <c r="A148" s="1">
        <v>328</v>
      </c>
      <c r="B148" s="2" t="str">
        <f>HYPERLINK("https://leetcode.com/problems/odd-even-linked-list/", "Odd Even Linked List")</f>
        <v>Odd Even Linked List</v>
      </c>
      <c r="C148" s="1">
        <v>11299</v>
      </c>
      <c r="D148" s="1">
        <v>584</v>
      </c>
      <c r="E148" s="3">
        <f t="shared" si="0"/>
        <v>0.95085416140705215</v>
      </c>
      <c r="F148" s="1" t="s">
        <v>104</v>
      </c>
      <c r="G148" s="1" t="s">
        <v>24</v>
      </c>
      <c r="H148" s="1">
        <v>1408577</v>
      </c>
      <c r="I148" s="1">
        <v>2263868</v>
      </c>
      <c r="J148" s="7">
        <v>0.622</v>
      </c>
      <c r="K148" s="1" t="s">
        <v>21</v>
      </c>
      <c r="L148" s="1" t="s">
        <v>21</v>
      </c>
      <c r="M148" s="1" t="s">
        <v>29</v>
      </c>
      <c r="N148" s="1" t="s">
        <v>22</v>
      </c>
      <c r="O148" s="1" t="str">
        <f t="shared" ca="1" si="1"/>
        <v>Please solve the LeetCode problem '328. Odd Even Linked List'.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9" spans="1:15" x14ac:dyDescent="0.25">
      <c r="A149" s="1">
        <v>125</v>
      </c>
      <c r="B149" s="2" t="str">
        <f>HYPERLINK("https://leetcode.com/problems/valid-palindrome/", "Valid Palindrome")</f>
        <v>Valid Palindrome</v>
      </c>
      <c r="C149" s="1">
        <v>11248</v>
      </c>
      <c r="D149" s="1">
        <v>8619</v>
      </c>
      <c r="E149" s="3">
        <f t="shared" si="0"/>
        <v>0.56616499723159008</v>
      </c>
      <c r="F149" s="1" t="s">
        <v>117</v>
      </c>
      <c r="G149" s="1" t="s">
        <v>20</v>
      </c>
      <c r="H149" s="1">
        <v>5037479</v>
      </c>
      <c r="I149" s="1">
        <v>9597580</v>
      </c>
      <c r="J149" s="7">
        <v>0.52500000000000002</v>
      </c>
      <c r="K149" s="1" t="s">
        <v>21</v>
      </c>
      <c r="L149" s="1" t="s">
        <v>21</v>
      </c>
      <c r="M149" s="1" t="s">
        <v>29</v>
      </c>
      <c r="N149" s="1" t="s">
        <v>22</v>
      </c>
      <c r="O149" s="1" t="str">
        <f t="shared" ca="1" si="1"/>
        <v>Please solve the LeetCode problem '125. Valid Palindrome'.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0" spans="1:15" x14ac:dyDescent="0.25">
      <c r="A150" s="1">
        <v>763</v>
      </c>
      <c r="B150" s="2" t="str">
        <f>HYPERLINK("https://leetcode.com/problems/partition-labels/", "Partition Labels")</f>
        <v>Partition Labels</v>
      </c>
      <c r="C150" s="1">
        <v>11168</v>
      </c>
      <c r="D150" s="1">
        <v>440</v>
      </c>
      <c r="E150" s="3">
        <f t="shared" si="0"/>
        <v>0.9620951068228808</v>
      </c>
      <c r="F150" s="1" t="s">
        <v>119</v>
      </c>
      <c r="G150" s="1" t="s">
        <v>24</v>
      </c>
      <c r="H150" s="1">
        <v>771243</v>
      </c>
      <c r="I150" s="1">
        <v>943419</v>
      </c>
      <c r="J150" s="7">
        <v>0.81699999999999995</v>
      </c>
      <c r="K150" s="1" t="s">
        <v>21</v>
      </c>
      <c r="L150" s="1" t="s">
        <v>21</v>
      </c>
      <c r="M150" s="1" t="s">
        <v>29</v>
      </c>
      <c r="N150" s="1" t="s">
        <v>22</v>
      </c>
      <c r="O150" s="1" t="str">
        <f t="shared" ca="1" si="1"/>
        <v>Please solve the LeetCode problem '763. Partition Labels'.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1" spans="1:15" x14ac:dyDescent="0.25">
      <c r="A151" s="1">
        <v>410</v>
      </c>
      <c r="B151" s="2" t="str">
        <f>HYPERLINK("https://leetcode.com/problems/split-array-largest-sum/", "Split Array Largest Sum")</f>
        <v>Split Array Largest Sum</v>
      </c>
      <c r="C151" s="1">
        <v>11139</v>
      </c>
      <c r="D151" s="1">
        <v>267</v>
      </c>
      <c r="E151" s="3">
        <f t="shared" si="0"/>
        <v>0.97659126775381377</v>
      </c>
      <c r="F151" s="1" t="s">
        <v>118</v>
      </c>
      <c r="G151" s="1" t="s">
        <v>28</v>
      </c>
      <c r="H151" s="1">
        <v>582114</v>
      </c>
      <c r="I151" s="1">
        <v>977210</v>
      </c>
      <c r="J151" s="7">
        <v>0.59599999999999997</v>
      </c>
      <c r="K151" s="1" t="s">
        <v>21</v>
      </c>
      <c r="L151" s="1" t="s">
        <v>21</v>
      </c>
      <c r="M151" s="1" t="s">
        <v>29</v>
      </c>
      <c r="N151" s="1" t="s">
        <v>22</v>
      </c>
      <c r="O151" s="1" t="str">
        <f t="shared" ca="1" si="1"/>
        <v>Please solve the LeetCode problem '410. Split Array Largest Sum'.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2" spans="1:15" x14ac:dyDescent="0.25">
      <c r="A152" s="1">
        <v>787</v>
      </c>
      <c r="B152" s="2" t="str">
        <f>HYPERLINK("https://leetcode.com/problems/cheapest-flights-within-k-stops/", "Cheapest Flights Within K Stops")</f>
        <v>Cheapest Flights Within K Stops</v>
      </c>
      <c r="C152" s="1">
        <v>11068</v>
      </c>
      <c r="D152" s="1">
        <v>466</v>
      </c>
      <c r="E152" s="3">
        <f t="shared" si="0"/>
        <v>0.9595977111149645</v>
      </c>
      <c r="F152" s="1" t="s">
        <v>120</v>
      </c>
      <c r="G152" s="1" t="s">
        <v>24</v>
      </c>
      <c r="H152" s="1">
        <v>856501</v>
      </c>
      <c r="I152" s="1">
        <v>2078727</v>
      </c>
      <c r="J152" s="7">
        <v>0.41199999999999998</v>
      </c>
      <c r="K152" s="1" t="s">
        <v>21</v>
      </c>
      <c r="L152" s="1" t="s">
        <v>21</v>
      </c>
      <c r="M152" s="1" t="s">
        <v>29</v>
      </c>
      <c r="N152" s="1" t="s">
        <v>22</v>
      </c>
      <c r="O152" s="1" t="str">
        <f t="shared" ca="1" si="1"/>
        <v>Please solve the LeetCode problem '787. Cheapest Flights Within K Stops'.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3" spans="1:15" x14ac:dyDescent="0.25">
      <c r="A153" s="1">
        <v>61</v>
      </c>
      <c r="B153" s="2" t="str">
        <f>HYPERLINK("https://leetcode.com/problems/rotate-list/", "Rotate List")</f>
        <v>Rotate List</v>
      </c>
      <c r="C153" s="1">
        <v>11059</v>
      </c>
      <c r="D153" s="1">
        <v>1538</v>
      </c>
      <c r="E153" s="3">
        <f t="shared" si="0"/>
        <v>0.87790743827895534</v>
      </c>
      <c r="F153" s="1" t="s">
        <v>53</v>
      </c>
      <c r="G153" s="1" t="s">
        <v>24</v>
      </c>
      <c r="H153" s="1">
        <v>1503129</v>
      </c>
      <c r="I153" s="1">
        <v>3667677</v>
      </c>
      <c r="J153" s="7">
        <v>0.41</v>
      </c>
      <c r="K153" s="1" t="s">
        <v>21</v>
      </c>
      <c r="L153" s="1" t="s">
        <v>21</v>
      </c>
      <c r="M153" s="1" t="s">
        <v>29</v>
      </c>
      <c r="N153" s="1" t="s">
        <v>22</v>
      </c>
      <c r="O153" s="1" t="str">
        <f t="shared" ca="1" si="1"/>
        <v>Please solve the LeetCode problem '61. Rotate List'.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4" spans="1:15" x14ac:dyDescent="0.25">
      <c r="A154" s="1">
        <v>442</v>
      </c>
      <c r="B154" s="2" t="str">
        <f>HYPERLINK("https://leetcode.com/problems/find-all-duplicates-in-an-array/", "Find All Duplicates in an Array")</f>
        <v>Find All Duplicates in an Array</v>
      </c>
      <c r="C154" s="1">
        <v>11048</v>
      </c>
      <c r="D154" s="1">
        <v>441</v>
      </c>
      <c r="E154" s="3">
        <f t="shared" si="0"/>
        <v>0.96161545826442685</v>
      </c>
      <c r="F154" s="1" t="s">
        <v>92</v>
      </c>
      <c r="G154" s="1" t="s">
        <v>24</v>
      </c>
      <c r="H154" s="1">
        <v>996683</v>
      </c>
      <c r="I154" s="1">
        <v>1298803</v>
      </c>
      <c r="J154" s="7">
        <v>0.76700000000000002</v>
      </c>
      <c r="K154" s="1" t="s">
        <v>21</v>
      </c>
      <c r="L154" s="1" t="s">
        <v>21</v>
      </c>
      <c r="M154" s="1" t="s">
        <v>29</v>
      </c>
      <c r="N154" s="1" t="s">
        <v>22</v>
      </c>
      <c r="O154" s="1" t="str">
        <f t="shared" ca="1" si="1"/>
        <v>Please solve the LeetCode problem '442. Find All Duplicates in an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5" spans="1:15" x14ac:dyDescent="0.25">
      <c r="A155" s="1">
        <v>297</v>
      </c>
      <c r="B155" s="2" t="str">
        <f>HYPERLINK("https://leetcode.com/problems/serialize-and-deserialize-binary-tree/", "Serialize and Deserialize Binary Tree")</f>
        <v>Serialize and Deserialize Binary Tree</v>
      </c>
      <c r="C155" s="1">
        <v>11026</v>
      </c>
      <c r="D155" s="1">
        <v>431</v>
      </c>
      <c r="E155" s="3">
        <f t="shared" si="0"/>
        <v>0.96238107707078646</v>
      </c>
      <c r="F155" s="1" t="s">
        <v>121</v>
      </c>
      <c r="G155" s="1" t="s">
        <v>28</v>
      </c>
      <c r="H155" s="1">
        <v>1150348</v>
      </c>
      <c r="I155" s="1">
        <v>1912428</v>
      </c>
      <c r="J155" s="7">
        <v>0.60199999999999998</v>
      </c>
      <c r="K155" s="1" t="s">
        <v>21</v>
      </c>
      <c r="L155" s="1" t="s">
        <v>21</v>
      </c>
      <c r="M155" s="1" t="s">
        <v>29</v>
      </c>
      <c r="N155" s="1" t="s">
        <v>22</v>
      </c>
      <c r="O155" s="1" t="str">
        <f t="shared" ca="1" si="1"/>
        <v>Please solve the LeetCode problem '297. Serialize and Deserialize Binary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6" spans="1:15" x14ac:dyDescent="0.25">
      <c r="A156" s="1">
        <v>547</v>
      </c>
      <c r="B156" s="2" t="str">
        <f>HYPERLINK("https://leetcode.com/problems/number-of-provinces/", "Number of Provinces")</f>
        <v>Number of Provinces</v>
      </c>
      <c r="C156" s="1">
        <v>10958</v>
      </c>
      <c r="D156" s="1">
        <v>416</v>
      </c>
      <c r="E156" s="3">
        <f t="shared" si="0"/>
        <v>0.96342535607525936</v>
      </c>
      <c r="F156" s="1" t="s">
        <v>122</v>
      </c>
      <c r="G156" s="1" t="s">
        <v>24</v>
      </c>
      <c r="H156" s="1">
        <v>1431986</v>
      </c>
      <c r="I156" s="1">
        <v>2051483</v>
      </c>
      <c r="J156" s="7">
        <v>0.69799999999999995</v>
      </c>
      <c r="K156" s="1" t="s">
        <v>21</v>
      </c>
      <c r="L156" s="1" t="s">
        <v>21</v>
      </c>
      <c r="M156" s="1" t="s">
        <v>29</v>
      </c>
      <c r="N156" s="1" t="s">
        <v>22</v>
      </c>
      <c r="O156" s="1" t="str">
        <f t="shared" ca="1" si="1"/>
        <v>Please solve the LeetCode problem '547. Number of Provinces'.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7" spans="1:15" x14ac:dyDescent="0.25">
      <c r="A157" s="1">
        <v>96</v>
      </c>
      <c r="B157" s="2" t="str">
        <f>HYPERLINK("https://leetcode.com/problems/unique-binary-search-trees/", "Unique Binary Search Trees")</f>
        <v>Unique Binary Search Trees</v>
      </c>
      <c r="C157" s="1">
        <v>10939</v>
      </c>
      <c r="D157" s="1">
        <v>444</v>
      </c>
      <c r="E157" s="3">
        <f t="shared" si="0"/>
        <v>0.96099446543090572</v>
      </c>
      <c r="F157" s="1" t="s">
        <v>124</v>
      </c>
      <c r="G157" s="1" t="s">
        <v>24</v>
      </c>
      <c r="H157" s="1">
        <v>830584</v>
      </c>
      <c r="I157" s="1">
        <v>1315001</v>
      </c>
      <c r="J157" s="7">
        <v>0.63200000000000001</v>
      </c>
      <c r="K157" s="1" t="s">
        <v>21</v>
      </c>
      <c r="L157" s="1" t="s">
        <v>21</v>
      </c>
      <c r="M157" s="1" t="s">
        <v>29</v>
      </c>
      <c r="N157" s="1" t="s">
        <v>22</v>
      </c>
      <c r="O157" s="1" t="str">
        <f t="shared" ca="1" si="1"/>
        <v>Please solve the LeetCode problem '96. Unique Binary Search Trees'.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8" spans="1:15" x14ac:dyDescent="0.25">
      <c r="A158" s="1">
        <v>37</v>
      </c>
      <c r="B158" s="2" t="str">
        <f>HYPERLINK("https://leetcode.com/problems/sudoku-solver/", "Sudoku Solver")</f>
        <v>Sudoku Solver</v>
      </c>
      <c r="C158" s="1">
        <v>10934</v>
      </c>
      <c r="D158" s="1">
        <v>337</v>
      </c>
      <c r="E158" s="3">
        <f t="shared" si="0"/>
        <v>0.97010025729748917</v>
      </c>
      <c r="F158" s="1" t="s">
        <v>123</v>
      </c>
      <c r="G158" s="1" t="s">
        <v>28</v>
      </c>
      <c r="H158" s="1">
        <v>973878</v>
      </c>
      <c r="I158" s="1">
        <v>1489871</v>
      </c>
      <c r="J158" s="7">
        <v>0.65400000000000003</v>
      </c>
      <c r="K158" s="1" t="s">
        <v>21</v>
      </c>
      <c r="L158" s="1" t="s">
        <v>21</v>
      </c>
      <c r="M158" s="1" t="s">
        <v>29</v>
      </c>
      <c r="N158" s="1" t="s">
        <v>22</v>
      </c>
      <c r="O158" s="1" t="str">
        <f t="shared" ca="1" si="1"/>
        <v>Please solve the LeetCode problem '37. Sudoku Solver'.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9" spans="1:15" x14ac:dyDescent="0.25">
      <c r="A159" s="1">
        <v>221</v>
      </c>
      <c r="B159" s="2" t="str">
        <f>HYPERLINK("https://leetcode.com/problems/maximal-square/", "Maximal Square")</f>
        <v>Maximal Square</v>
      </c>
      <c r="C159" s="1">
        <v>10931</v>
      </c>
      <c r="D159" s="1">
        <v>258</v>
      </c>
      <c r="E159" s="3">
        <f t="shared" si="0"/>
        <v>0.97694163910984</v>
      </c>
      <c r="F159" s="1" t="s">
        <v>94</v>
      </c>
      <c r="G159" s="1" t="s">
        <v>24</v>
      </c>
      <c r="H159" s="1">
        <v>897638</v>
      </c>
      <c r="I159" s="1">
        <v>1801093</v>
      </c>
      <c r="J159" s="7">
        <v>0.498</v>
      </c>
      <c r="K159" s="1" t="s">
        <v>21</v>
      </c>
      <c r="L159" s="1" t="s">
        <v>21</v>
      </c>
      <c r="M159" s="1" t="s">
        <v>29</v>
      </c>
      <c r="N159" s="1" t="s">
        <v>22</v>
      </c>
      <c r="O159" s="1" t="str">
        <f t="shared" ca="1" si="1"/>
        <v>Please solve the LeetCode problem '221. Maximal Square'.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0" spans="1:15" x14ac:dyDescent="0.25">
      <c r="A160" s="1">
        <v>213</v>
      </c>
      <c r="B160" s="2" t="str">
        <f>HYPERLINK("https://leetcode.com/problems/house-robber-ii/", "House Robber II")</f>
        <v>House Robber II</v>
      </c>
      <c r="C160" s="1">
        <v>10920</v>
      </c>
      <c r="D160" s="1">
        <v>187</v>
      </c>
      <c r="E160" s="3">
        <f t="shared" si="0"/>
        <v>0.98316377059512017</v>
      </c>
      <c r="F160" s="1" t="s">
        <v>30</v>
      </c>
      <c r="G160" s="1" t="s">
        <v>24</v>
      </c>
      <c r="H160" s="1">
        <v>1177383</v>
      </c>
      <c r="I160" s="1">
        <v>2648346</v>
      </c>
      <c r="J160" s="7">
        <v>0.44500000000000001</v>
      </c>
      <c r="K160" s="1" t="s">
        <v>21</v>
      </c>
      <c r="L160" s="1" t="s">
        <v>21</v>
      </c>
      <c r="M160" s="1" t="s">
        <v>29</v>
      </c>
      <c r="N160" s="1" t="s">
        <v>22</v>
      </c>
      <c r="O160" s="1" t="str">
        <f t="shared" ca="1" si="1"/>
        <v>Please solve the LeetCode problem '213. House Robber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1" spans="1:15" x14ac:dyDescent="0.25">
      <c r="A161" s="1">
        <v>229</v>
      </c>
      <c r="B161" s="2" t="str">
        <f>HYPERLINK("https://leetcode.com/problems/majority-element-ii/", "Majority Element II")</f>
        <v>Majority Element II</v>
      </c>
      <c r="C161" s="1">
        <v>10852</v>
      </c>
      <c r="D161" s="1">
        <v>489</v>
      </c>
      <c r="E161" s="3">
        <f t="shared" si="0"/>
        <v>0.95688210916144956</v>
      </c>
      <c r="F161" s="1" t="s">
        <v>125</v>
      </c>
      <c r="G161" s="1" t="s">
        <v>24</v>
      </c>
      <c r="H161" s="1">
        <v>1175130</v>
      </c>
      <c r="I161" s="1">
        <v>2113873</v>
      </c>
      <c r="J161" s="7">
        <v>0.55600000000000005</v>
      </c>
      <c r="K161" s="1" t="s">
        <v>21</v>
      </c>
      <c r="L161" s="1" t="s">
        <v>21</v>
      </c>
      <c r="M161" s="1" t="s">
        <v>29</v>
      </c>
      <c r="N161" s="1" t="s">
        <v>22</v>
      </c>
      <c r="O161" s="1" t="str">
        <f t="shared" ca="1" si="1"/>
        <v>Please solve the LeetCode problem '229. Majority Element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2" spans="1:15" x14ac:dyDescent="0.25">
      <c r="A162" s="1">
        <v>1011</v>
      </c>
      <c r="B162" s="2" t="str">
        <f>HYPERLINK("https://leetcode.com/problems/capacity-to-ship-packages-within-d-days/", "Capacity To Ship Packages Within D Days")</f>
        <v>Capacity To Ship Packages Within D Days</v>
      </c>
      <c r="C162" s="1">
        <v>10797</v>
      </c>
      <c r="D162" s="1">
        <v>279</v>
      </c>
      <c r="E162" s="3">
        <f t="shared" si="0"/>
        <v>0.97481040086673887</v>
      </c>
      <c r="F162" s="1" t="s">
        <v>35</v>
      </c>
      <c r="G162" s="1" t="s">
        <v>24</v>
      </c>
      <c r="H162" s="1">
        <v>700384</v>
      </c>
      <c r="I162" s="1">
        <v>955535</v>
      </c>
      <c r="J162" s="7">
        <v>0.73299999999999998</v>
      </c>
      <c r="K162" s="1" t="s">
        <v>21</v>
      </c>
      <c r="L162" s="1" t="s">
        <v>21</v>
      </c>
      <c r="M162" s="1" t="s">
        <v>29</v>
      </c>
      <c r="N162" s="1" t="s">
        <v>22</v>
      </c>
      <c r="O162" s="1" t="str">
        <f t="shared" ca="1" si="1"/>
        <v>Please solve the LeetCode problem '1011. Capacity To Ship Packages Within D Days'.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3" spans="1:15" x14ac:dyDescent="0.25">
      <c r="A163" s="1">
        <v>90</v>
      </c>
      <c r="B163" s="2" t="str">
        <f>HYPERLINK("https://leetcode.com/problems/subsets-ii/", "Subsets II")</f>
        <v>Subsets II</v>
      </c>
      <c r="C163" s="1">
        <v>10774</v>
      </c>
      <c r="D163" s="1">
        <v>403</v>
      </c>
      <c r="E163" s="3">
        <f t="shared" si="0"/>
        <v>0.96394381318779632</v>
      </c>
      <c r="F163" s="1" t="s">
        <v>63</v>
      </c>
      <c r="G163" s="1" t="s">
        <v>24</v>
      </c>
      <c r="H163" s="1">
        <v>1405380</v>
      </c>
      <c r="I163" s="1">
        <v>2316246</v>
      </c>
      <c r="J163" s="7">
        <v>0.60699999999999998</v>
      </c>
      <c r="K163" s="1" t="s">
        <v>21</v>
      </c>
      <c r="L163" s="1" t="s">
        <v>21</v>
      </c>
      <c r="M163" s="1" t="s">
        <v>29</v>
      </c>
      <c r="N163" s="1" t="s">
        <v>22</v>
      </c>
      <c r="O163" s="1" t="str">
        <f t="shared" ca="1" si="1"/>
        <v>Please solve the LeetCode problem '90. Subsets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4" spans="1:15" x14ac:dyDescent="0.25">
      <c r="A164" s="1">
        <v>120</v>
      </c>
      <c r="B164" s="2" t="str">
        <f>HYPERLINK("https://leetcode.com/problems/triangle/", "Triangle")</f>
        <v>Triangle</v>
      </c>
      <c r="C164" s="1">
        <v>10743</v>
      </c>
      <c r="D164" s="1">
        <v>607</v>
      </c>
      <c r="E164" s="3">
        <f t="shared" si="0"/>
        <v>0.94651982378854627</v>
      </c>
      <c r="F164" s="1" t="s">
        <v>30</v>
      </c>
      <c r="G164" s="1" t="s">
        <v>24</v>
      </c>
      <c r="H164" s="1">
        <v>1232670</v>
      </c>
      <c r="I164" s="1">
        <v>2059917</v>
      </c>
      <c r="J164" s="7">
        <v>0.59799999999999998</v>
      </c>
      <c r="K164" s="1" t="s">
        <v>21</v>
      </c>
      <c r="L164" s="1" t="s">
        <v>21</v>
      </c>
      <c r="M164" s="1" t="s">
        <v>29</v>
      </c>
      <c r="N164" s="1" t="s">
        <v>22</v>
      </c>
      <c r="O164" s="1" t="str">
        <f t="shared" ca="1" si="1"/>
        <v>Please solve the LeetCode problem '120. Triangle'.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5" spans="1:15" x14ac:dyDescent="0.25">
      <c r="A165" s="1">
        <v>392</v>
      </c>
      <c r="B165" s="2" t="str">
        <f>HYPERLINK("https://leetcode.com/problems/is-subsequence/", "Is Subsequence")</f>
        <v>Is Subsequence</v>
      </c>
      <c r="C165" s="1">
        <v>10685</v>
      </c>
      <c r="D165" s="1">
        <v>612</v>
      </c>
      <c r="E165" s="3">
        <f t="shared" si="0"/>
        <v>0.94582632557316104</v>
      </c>
      <c r="F165" s="1" t="s">
        <v>33</v>
      </c>
      <c r="G165" s="1" t="s">
        <v>20</v>
      </c>
      <c r="H165" s="1">
        <v>2355242</v>
      </c>
      <c r="I165" s="1">
        <v>4829750</v>
      </c>
      <c r="J165" s="7">
        <v>0.48799999999999999</v>
      </c>
      <c r="K165" s="1" t="s">
        <v>21</v>
      </c>
      <c r="L165" s="1" t="s">
        <v>21</v>
      </c>
      <c r="M165" s="1" t="s">
        <v>29</v>
      </c>
      <c r="N165" s="1" t="s">
        <v>22</v>
      </c>
      <c r="O165" s="1" t="str">
        <f t="shared" ca="1" si="1"/>
        <v>Please solve the LeetCode problem '392. Is Subsequence'.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6" spans="1:15" x14ac:dyDescent="0.25">
      <c r="A166" s="1">
        <v>542</v>
      </c>
      <c r="B166" s="2" t="str">
        <f>HYPERLINK("https://leetcode.com/problems/01-matrix/", "01 Matrix")</f>
        <v>01 Matrix</v>
      </c>
      <c r="C166" s="1">
        <v>10595</v>
      </c>
      <c r="D166" s="1">
        <v>448</v>
      </c>
      <c r="E166" s="3">
        <f t="shared" si="0"/>
        <v>0.95943131395454129</v>
      </c>
      <c r="F166" s="1" t="s">
        <v>127</v>
      </c>
      <c r="G166" s="1" t="s">
        <v>24</v>
      </c>
      <c r="H166" s="1">
        <v>852948</v>
      </c>
      <c r="I166" s="1">
        <v>1607058</v>
      </c>
      <c r="J166" s="7">
        <v>0.53100000000000003</v>
      </c>
      <c r="K166" s="1" t="s">
        <v>21</v>
      </c>
      <c r="L166" s="1" t="s">
        <v>21</v>
      </c>
      <c r="M166" s="1" t="s">
        <v>29</v>
      </c>
      <c r="N166" s="1" t="s">
        <v>22</v>
      </c>
      <c r="O166" s="1" t="str">
        <f t="shared" ca="1" si="1"/>
        <v>Please solve the LeetCode problem '542. 01 Matrix'.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7" spans="1:15" x14ac:dyDescent="0.25">
      <c r="A167" s="1">
        <v>112</v>
      </c>
      <c r="B167" s="2" t="str">
        <f>HYPERLINK("https://leetcode.com/problems/path-sum/", "Path Sum")</f>
        <v>Path Sum</v>
      </c>
      <c r="C167" s="1">
        <v>10574</v>
      </c>
      <c r="D167" s="1">
        <v>1209</v>
      </c>
      <c r="E167" s="3">
        <f t="shared" si="0"/>
        <v>0.89739455147246028</v>
      </c>
      <c r="F167" s="1" t="s">
        <v>80</v>
      </c>
      <c r="G167" s="1" t="s">
        <v>20</v>
      </c>
      <c r="H167" s="1">
        <v>2034190</v>
      </c>
      <c r="I167" s="1">
        <v>3754378</v>
      </c>
      <c r="J167" s="7">
        <v>0.54200000000000004</v>
      </c>
      <c r="K167" s="1" t="s">
        <v>21</v>
      </c>
      <c r="L167" s="1" t="s">
        <v>21</v>
      </c>
      <c r="M167" s="1" t="s">
        <v>29</v>
      </c>
      <c r="N167" s="1" t="s">
        <v>22</v>
      </c>
      <c r="O167" s="1" t="str">
        <f t="shared" ca="1" si="1"/>
        <v>Please solve the LeetCode problem '112. Path Sum'.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8" spans="1:15" x14ac:dyDescent="0.25">
      <c r="A168" s="1">
        <v>695</v>
      </c>
      <c r="B168" s="2" t="str">
        <f>HYPERLINK("https://leetcode.com/problems/max-area-of-island/", "Max Area of Island")</f>
        <v>Max Area of Island</v>
      </c>
      <c r="C168" s="1">
        <v>10542</v>
      </c>
      <c r="D168" s="1">
        <v>220</v>
      </c>
      <c r="E168" s="3">
        <f t="shared" si="0"/>
        <v>0.97955770302917677</v>
      </c>
      <c r="F168" s="1" t="s">
        <v>40</v>
      </c>
      <c r="G168" s="1" t="s">
        <v>24</v>
      </c>
      <c r="H168" s="1">
        <v>1184897</v>
      </c>
      <c r="I168" s="1">
        <v>1608286</v>
      </c>
      <c r="J168" s="7">
        <v>0.73699999999999999</v>
      </c>
      <c r="K168" s="1" t="s">
        <v>21</v>
      </c>
      <c r="L168" s="1" t="s">
        <v>21</v>
      </c>
      <c r="M168" s="1" t="s">
        <v>29</v>
      </c>
      <c r="N168" s="1" t="s">
        <v>22</v>
      </c>
      <c r="O168" s="1" t="str">
        <f t="shared" ca="1" si="1"/>
        <v>Please solve the LeetCode problem '695. Max Area of Island'.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9" spans="1:15" x14ac:dyDescent="0.25">
      <c r="A169" s="1">
        <v>123</v>
      </c>
      <c r="B169" s="2" t="str">
        <f>HYPERLINK("https://leetcode.com/problems/best-time-to-buy-and-sell-stock-iii/", "Best Time to Buy and Sell Stock III")</f>
        <v>Best Time to Buy and Sell Stock III</v>
      </c>
      <c r="C169" s="1">
        <v>10486</v>
      </c>
      <c r="D169" s="1">
        <v>221</v>
      </c>
      <c r="E169" s="3">
        <f t="shared" si="0"/>
        <v>0.97935929765573926</v>
      </c>
      <c r="F169" s="1" t="s">
        <v>30</v>
      </c>
      <c r="G169" s="1" t="s">
        <v>28</v>
      </c>
      <c r="H169" s="1">
        <v>908673</v>
      </c>
      <c r="I169" s="1">
        <v>1717823</v>
      </c>
      <c r="J169" s="7">
        <v>0.52900000000000003</v>
      </c>
      <c r="K169" s="1" t="s">
        <v>21</v>
      </c>
      <c r="L169" s="1" t="s">
        <v>21</v>
      </c>
      <c r="M169" s="1" t="s">
        <v>29</v>
      </c>
      <c r="N169" s="1" t="s">
        <v>22</v>
      </c>
      <c r="O169" s="1" t="str">
        <f t="shared" ca="1" si="1"/>
        <v>Please solve the LeetCode problem '123. Best Time to Buy and Sell Stock III'.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0" spans="1:15" x14ac:dyDescent="0.25">
      <c r="A170" s="1">
        <v>378</v>
      </c>
      <c r="B170" s="2" t="str">
        <f>HYPERLINK("https://leetcode.com/problems/kth-smallest-element-in-a-sorted-matrix/", "Kth Smallest Element in a Sorted Matrix")</f>
        <v>Kth Smallest Element in a Sorted Matrix</v>
      </c>
      <c r="C170" s="1">
        <v>10478</v>
      </c>
      <c r="D170" s="1">
        <v>391</v>
      </c>
      <c r="E170" s="3">
        <f t="shared" si="0"/>
        <v>0.96402612935872667</v>
      </c>
      <c r="F170" s="1" t="s">
        <v>130</v>
      </c>
      <c r="G170" s="1" t="s">
        <v>24</v>
      </c>
      <c r="H170" s="1">
        <v>777511</v>
      </c>
      <c r="I170" s="1">
        <v>1210989</v>
      </c>
      <c r="J170" s="7">
        <v>0.64200000000000002</v>
      </c>
      <c r="K170" s="1" t="s">
        <v>21</v>
      </c>
      <c r="L170" s="1" t="s">
        <v>21</v>
      </c>
      <c r="M170" s="1" t="s">
        <v>29</v>
      </c>
      <c r="N170" s="1" t="s">
        <v>22</v>
      </c>
      <c r="O170" s="1" t="str">
        <f t="shared" ca="1" si="1"/>
        <v>Please solve the LeetCode problem '378. Kth Smallest Element in a Sorted Matrix'.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1" spans="1:15" x14ac:dyDescent="0.25">
      <c r="A171" s="1">
        <v>133</v>
      </c>
      <c r="B171" s="2" t="str">
        <f>HYPERLINK("https://leetcode.com/problems/clone-graph/", "Clone Graph")</f>
        <v>Clone Graph</v>
      </c>
      <c r="C171" s="1">
        <v>10473</v>
      </c>
      <c r="D171" s="1">
        <v>4163</v>
      </c>
      <c r="E171" s="3">
        <f t="shared" si="0"/>
        <v>0.71556436184749928</v>
      </c>
      <c r="F171" s="1" t="s">
        <v>128</v>
      </c>
      <c r="G171" s="1" t="s">
        <v>24</v>
      </c>
      <c r="H171" s="1">
        <v>1808145</v>
      </c>
      <c r="I171" s="1">
        <v>2808752</v>
      </c>
      <c r="J171" s="7">
        <v>0.64400000000000002</v>
      </c>
      <c r="K171" s="1" t="s">
        <v>21</v>
      </c>
      <c r="L171" s="1" t="s">
        <v>21</v>
      </c>
      <c r="M171" s="1" t="s">
        <v>29</v>
      </c>
      <c r="N171" s="1" t="s">
        <v>22</v>
      </c>
      <c r="O171" s="1" t="str">
        <f t="shared" ca="1" si="1"/>
        <v>Please solve the LeetCode problem '133. Clone Graph'.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2" spans="1:15" x14ac:dyDescent="0.25">
      <c r="A172" s="1">
        <v>402</v>
      </c>
      <c r="B172" s="2" t="str">
        <f>HYPERLINK("https://leetcode.com/problems/remove-k-digits/", "Remove K Digits")</f>
        <v>Remove K Digits</v>
      </c>
      <c r="C172" s="1">
        <v>10440</v>
      </c>
      <c r="D172" s="1">
        <v>544</v>
      </c>
      <c r="E172" s="3">
        <f t="shared" si="0"/>
        <v>0.95047341587764023</v>
      </c>
      <c r="F172" s="1" t="s">
        <v>129</v>
      </c>
      <c r="G172" s="1" t="s">
        <v>24</v>
      </c>
      <c r="H172" s="1">
        <v>690486</v>
      </c>
      <c r="I172" s="1">
        <v>1910666</v>
      </c>
      <c r="J172" s="7">
        <v>0.36099999999999999</v>
      </c>
      <c r="K172" s="1" t="s">
        <v>21</v>
      </c>
      <c r="L172" s="1" t="s">
        <v>21</v>
      </c>
      <c r="M172" s="1" t="s">
        <v>29</v>
      </c>
      <c r="N172" s="1" t="s">
        <v>22</v>
      </c>
      <c r="O172" s="1" t="str">
        <f t="shared" ca="1" si="1"/>
        <v>Please solve the LeetCode problem '402. Remove K Digits'.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3" spans="1:15" x14ac:dyDescent="0.25">
      <c r="A173" s="1">
        <v>67</v>
      </c>
      <c r="B173" s="2" t="str">
        <f>HYPERLINK("https://leetcode.com/problems/add-binary/", "Add Binary")</f>
        <v>Add Binary</v>
      </c>
      <c r="C173" s="1">
        <v>10359</v>
      </c>
      <c r="D173" s="1">
        <v>1090</v>
      </c>
      <c r="E173" s="3">
        <f t="shared" si="0"/>
        <v>0.9047951786182199</v>
      </c>
      <c r="F173" s="1" t="s">
        <v>126</v>
      </c>
      <c r="G173" s="1" t="s">
        <v>20</v>
      </c>
      <c r="H173" s="1">
        <v>2118607</v>
      </c>
      <c r="I173" s="1">
        <v>3736734</v>
      </c>
      <c r="J173" s="7">
        <v>0.56699999999999995</v>
      </c>
      <c r="K173" s="1" t="s">
        <v>21</v>
      </c>
      <c r="L173" s="1" t="s">
        <v>21</v>
      </c>
      <c r="M173" s="1" t="s">
        <v>29</v>
      </c>
      <c r="N173" s="1" t="s">
        <v>22</v>
      </c>
      <c r="O173" s="1" t="str">
        <f t="shared" ca="1" si="1"/>
        <v>Please solve the LeetCode problem '67. Add Binary'.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4" spans="1:15" x14ac:dyDescent="0.25">
      <c r="A174" s="1">
        <v>116</v>
      </c>
      <c r="B174" s="2" t="str">
        <f>HYPERLINK("https://leetcode.com/problems/populating-next-right-pointers-in-each-node/", "Populating Next Right Pointers in Each Node")</f>
        <v>Populating Next Right Pointers in Each Node</v>
      </c>
      <c r="C174" s="1">
        <v>10346</v>
      </c>
      <c r="D174" s="1">
        <v>326</v>
      </c>
      <c r="E174" s="3">
        <f t="shared" si="0"/>
        <v>0.96945277361319337</v>
      </c>
      <c r="F174" s="1" t="s">
        <v>132</v>
      </c>
      <c r="G174" s="1" t="s">
        <v>24</v>
      </c>
      <c r="H174" s="1">
        <v>1299919</v>
      </c>
      <c r="I174" s="1">
        <v>1950197</v>
      </c>
      <c r="J174" s="7">
        <v>0.66700000000000004</v>
      </c>
      <c r="K174" s="1" t="s">
        <v>21</v>
      </c>
      <c r="L174" s="1" t="s">
        <v>21</v>
      </c>
      <c r="M174" s="1" t="s">
        <v>29</v>
      </c>
      <c r="N174" s="1" t="s">
        <v>22</v>
      </c>
      <c r="O174" s="1" t="str">
        <f t="shared" ca="1" si="1"/>
        <v>Please solve the LeetCode problem '116. Populating Next Right Pointers in Each Node'.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5" spans="1:15" x14ac:dyDescent="0.25">
      <c r="A175" s="1">
        <v>205</v>
      </c>
      <c r="B175" s="2" t="str">
        <f>HYPERLINK("https://leetcode.com/problems/isomorphic-strings/", "Isomorphic Strings")</f>
        <v>Isomorphic Strings</v>
      </c>
      <c r="C175" s="1">
        <v>10332</v>
      </c>
      <c r="D175" s="1">
        <v>2268</v>
      </c>
      <c r="E175" s="3">
        <f t="shared" si="0"/>
        <v>0.82</v>
      </c>
      <c r="F175" s="1" t="s">
        <v>131</v>
      </c>
      <c r="G175" s="1" t="s">
        <v>20</v>
      </c>
      <c r="H175" s="1">
        <v>2046013</v>
      </c>
      <c r="I175" s="1">
        <v>4277054</v>
      </c>
      <c r="J175" s="7">
        <v>0.47799999999999998</v>
      </c>
      <c r="K175" s="1" t="s">
        <v>21</v>
      </c>
      <c r="L175" s="1" t="s">
        <v>21</v>
      </c>
      <c r="M175" s="1" t="s">
        <v>29</v>
      </c>
      <c r="N175" s="1" t="s">
        <v>22</v>
      </c>
      <c r="O175" s="1" t="str">
        <f t="shared" ca="1" si="1"/>
        <v>Please solve the LeetCode problem '205. Isomorphic Strings'.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6" spans="1:15" x14ac:dyDescent="0.25">
      <c r="A176" s="1">
        <v>516</v>
      </c>
      <c r="B176" s="2" t="str">
        <f>HYPERLINK("https://leetcode.com/problems/longest-palindromic-subsequence/", "Longest Palindromic Subsequence")</f>
        <v>Longest Palindromic Subsequence</v>
      </c>
      <c r="C176" s="1">
        <v>10276</v>
      </c>
      <c r="D176" s="1">
        <v>343</v>
      </c>
      <c r="E176" s="3">
        <f t="shared" si="0"/>
        <v>0.96769940672379695</v>
      </c>
      <c r="F176" s="1" t="s">
        <v>82</v>
      </c>
      <c r="G176" s="1" t="s">
        <v>24</v>
      </c>
      <c r="H176" s="1">
        <v>721136</v>
      </c>
      <c r="I176" s="1">
        <v>1109955</v>
      </c>
      <c r="J176" s="7">
        <v>0.65</v>
      </c>
      <c r="K176" s="1" t="s">
        <v>21</v>
      </c>
      <c r="L176" s="1" t="s">
        <v>21</v>
      </c>
      <c r="M176" s="1" t="s">
        <v>29</v>
      </c>
      <c r="N176" s="1" t="s">
        <v>22</v>
      </c>
      <c r="O176" s="1" t="str">
        <f t="shared" ca="1" si="1"/>
        <v>Please solve the LeetCode problem '516. Longest Palindromic Subsequence'.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7" spans="1:15" x14ac:dyDescent="0.25">
      <c r="A177" s="1">
        <v>450</v>
      </c>
      <c r="B177" s="2" t="str">
        <f>HYPERLINK("https://leetcode.com/problems/delete-node-in-a-bst/", "Delete Node in a BST")</f>
        <v>Delete Node in a BST</v>
      </c>
      <c r="C177" s="1">
        <v>10271</v>
      </c>
      <c r="D177" s="1">
        <v>380</v>
      </c>
      <c r="E177" s="3">
        <f t="shared" si="0"/>
        <v>0.96432259881701243</v>
      </c>
      <c r="F177" s="1" t="s">
        <v>133</v>
      </c>
      <c r="G177" s="1" t="s">
        <v>24</v>
      </c>
      <c r="H177" s="1">
        <v>813250</v>
      </c>
      <c r="I177" s="1">
        <v>1505984</v>
      </c>
      <c r="J177" s="7">
        <v>0.54</v>
      </c>
      <c r="K177" s="1" t="s">
        <v>21</v>
      </c>
      <c r="L177" s="1" t="s">
        <v>21</v>
      </c>
      <c r="M177" s="1" t="s">
        <v>29</v>
      </c>
      <c r="N177" s="1" t="s">
        <v>22</v>
      </c>
      <c r="O177" s="1" t="str">
        <f t="shared" ca="1" si="1"/>
        <v>Please solve the LeetCode problem '450. Delete Node in a BST'.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8" spans="1:15" x14ac:dyDescent="0.25">
      <c r="A178" s="1">
        <v>151</v>
      </c>
      <c r="B178" s="2" t="str">
        <f>HYPERLINK("https://leetcode.com/problems/reverse-words-in-a-string/", "Reverse Words in a String")</f>
        <v>Reverse Words in a String</v>
      </c>
      <c r="C178" s="1">
        <v>10250</v>
      </c>
      <c r="D178" s="1">
        <v>5523</v>
      </c>
      <c r="E178" s="3">
        <f t="shared" si="0"/>
        <v>0.64984467127369561</v>
      </c>
      <c r="F178" s="1" t="s">
        <v>117</v>
      </c>
      <c r="G178" s="1" t="s">
        <v>24</v>
      </c>
      <c r="H178" s="1">
        <v>2801420</v>
      </c>
      <c r="I178" s="1">
        <v>5092514</v>
      </c>
      <c r="J178" s="7">
        <v>0.55000000000000004</v>
      </c>
      <c r="K178" s="1" t="s">
        <v>21</v>
      </c>
      <c r="L178" s="1" t="s">
        <v>21</v>
      </c>
      <c r="M178" s="1" t="s">
        <v>29</v>
      </c>
      <c r="N178" s="1" t="s">
        <v>22</v>
      </c>
      <c r="O178" s="1" t="str">
        <f t="shared" ca="1" si="1"/>
        <v>Please solve the LeetCode problem '151. Reverse Words in a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9" spans="1:15" x14ac:dyDescent="0.25">
      <c r="A179" s="1">
        <v>448</v>
      </c>
      <c r="B179" s="2" t="str">
        <f>HYPERLINK("https://leetcode.com/problems/find-all-numbers-disappeared-in-an-array/", "Find All Numbers Disappeared in an Array")</f>
        <v>Find All Numbers Disappeared in an Array</v>
      </c>
      <c r="C179" s="1">
        <v>10198</v>
      </c>
      <c r="D179" s="1">
        <v>542</v>
      </c>
      <c r="E179" s="3">
        <f t="shared" si="0"/>
        <v>0.94953445065176911</v>
      </c>
      <c r="F179" s="1" t="s">
        <v>19</v>
      </c>
      <c r="G179" s="1" t="s">
        <v>20</v>
      </c>
      <c r="H179" s="1">
        <v>1275375</v>
      </c>
      <c r="I179" s="1">
        <v>2007745</v>
      </c>
      <c r="J179" s="7">
        <v>0.63500000000000001</v>
      </c>
      <c r="K179" s="1" t="s">
        <v>21</v>
      </c>
      <c r="L179" s="1" t="s">
        <v>21</v>
      </c>
      <c r="M179" s="1" t="s">
        <v>29</v>
      </c>
      <c r="N179" s="1" t="s">
        <v>22</v>
      </c>
      <c r="O179" s="1" t="str">
        <f t="shared" ca="1" si="1"/>
        <v>Please solve the LeetCode problem '448. Find All Numbers Disappeared in an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0" spans="1:15" x14ac:dyDescent="0.25">
      <c r="A180" s="1">
        <v>1004</v>
      </c>
      <c r="B180" s="2" t="str">
        <f>HYPERLINK("https://leetcode.com/problems/max-consecutive-ones-iii/", "Max Consecutive Ones III")</f>
        <v>Max Consecutive Ones III</v>
      </c>
      <c r="C180" s="1">
        <v>10197</v>
      </c>
      <c r="D180" s="1">
        <v>178</v>
      </c>
      <c r="E180" s="3">
        <f t="shared" si="0"/>
        <v>0.98284337349397588</v>
      </c>
      <c r="F180" s="1" t="s">
        <v>88</v>
      </c>
      <c r="G180" s="1" t="s">
        <v>24</v>
      </c>
      <c r="H180" s="1">
        <v>1270219</v>
      </c>
      <c r="I180" s="1">
        <v>1894056</v>
      </c>
      <c r="J180" s="7">
        <v>0.67100000000000004</v>
      </c>
      <c r="K180" s="1" t="s">
        <v>21</v>
      </c>
      <c r="L180" s="1" t="s">
        <v>21</v>
      </c>
      <c r="M180" s="1" t="s">
        <v>29</v>
      </c>
      <c r="N180" s="1" t="s">
        <v>22</v>
      </c>
      <c r="O180" s="1" t="str">
        <f t="shared" ca="1" si="1"/>
        <v>Please solve the LeetCode problem '1004. Max Consecutive Ones III'.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1" spans="1:15" x14ac:dyDescent="0.25">
      <c r="A181" s="1">
        <v>518</v>
      </c>
      <c r="B181" s="2" t="str">
        <f>HYPERLINK("https://leetcode.com/problems/coin-change-ii/", "Coin Change II")</f>
        <v>Coin Change II</v>
      </c>
      <c r="C181" s="1">
        <v>10132</v>
      </c>
      <c r="D181" s="1">
        <v>237</v>
      </c>
      <c r="E181" s="3">
        <f t="shared" si="0"/>
        <v>0.97714340823608836</v>
      </c>
      <c r="F181" s="1" t="s">
        <v>30</v>
      </c>
      <c r="G181" s="1" t="s">
        <v>24</v>
      </c>
      <c r="H181" s="1">
        <v>944263</v>
      </c>
      <c r="I181" s="1">
        <v>1556609</v>
      </c>
      <c r="J181" s="7">
        <v>0.60699999999999998</v>
      </c>
      <c r="K181" s="1" t="s">
        <v>21</v>
      </c>
      <c r="L181" s="1" t="s">
        <v>21</v>
      </c>
      <c r="M181" s="1" t="s">
        <v>29</v>
      </c>
      <c r="N181" s="1" t="s">
        <v>22</v>
      </c>
      <c r="O181" s="1" t="str">
        <f t="shared" ca="1" si="1"/>
        <v>Please solve the LeetCode problem '518. Coin Change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2" spans="1:15" x14ac:dyDescent="0.25">
      <c r="A182" s="1">
        <v>399</v>
      </c>
      <c r="B182" s="2" t="str">
        <f>HYPERLINK("https://leetcode.com/problems/evaluate-division/", "Evaluate Division")</f>
        <v>Evaluate Division</v>
      </c>
      <c r="C182" s="1">
        <v>10114</v>
      </c>
      <c r="D182" s="1">
        <v>1085</v>
      </c>
      <c r="E182" s="3">
        <f t="shared" si="0"/>
        <v>0.90311634967407806</v>
      </c>
      <c r="F182" s="1" t="s">
        <v>134</v>
      </c>
      <c r="G182" s="1" t="s">
        <v>24</v>
      </c>
      <c r="H182" s="1">
        <v>678618</v>
      </c>
      <c r="I182" s="1">
        <v>1062382</v>
      </c>
      <c r="J182" s="7">
        <v>0.63900000000000001</v>
      </c>
      <c r="K182" s="1" t="s">
        <v>21</v>
      </c>
      <c r="L182" s="1" t="s">
        <v>21</v>
      </c>
      <c r="M182" s="1" t="s">
        <v>29</v>
      </c>
      <c r="N182" s="1" t="s">
        <v>22</v>
      </c>
      <c r="O182" s="1" t="str">
        <f t="shared" ca="1" si="1"/>
        <v>Please solve the LeetCode problem '399. Evaluate Division'.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3" spans="1:15" x14ac:dyDescent="0.25">
      <c r="A183" s="1">
        <v>212</v>
      </c>
      <c r="B183" s="2" t="str">
        <f>HYPERLINK("https://leetcode.com/problems/word-search-ii/", "Word Search II")</f>
        <v>Word Search II</v>
      </c>
      <c r="C183" s="1">
        <v>10085</v>
      </c>
      <c r="D183" s="1">
        <v>506</v>
      </c>
      <c r="E183" s="3">
        <f t="shared" si="0"/>
        <v>0.95222358606363899</v>
      </c>
      <c r="F183" s="1" t="s">
        <v>135</v>
      </c>
      <c r="G183" s="1" t="s">
        <v>28</v>
      </c>
      <c r="H183" s="1">
        <v>869890</v>
      </c>
      <c r="I183" s="1">
        <v>2290180</v>
      </c>
      <c r="J183" s="7">
        <v>0.38</v>
      </c>
      <c r="K183" s="1" t="s">
        <v>21</v>
      </c>
      <c r="L183" s="1" t="s">
        <v>21</v>
      </c>
      <c r="M183" s="1" t="s">
        <v>21</v>
      </c>
      <c r="N183" s="1" t="s">
        <v>22</v>
      </c>
      <c r="O183" s="1" t="str">
        <f t="shared" ca="1" si="1"/>
        <v>Please solve the LeetCode problem '212. Word Search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4" spans="1:15" x14ac:dyDescent="0.25">
      <c r="A184" s="1">
        <v>977</v>
      </c>
      <c r="B184" s="2" t="str">
        <f>HYPERLINK("https://leetcode.com/problems/squares-of-a-sorted-array/", "Squares of a Sorted Array")</f>
        <v>Squares of a Sorted Array</v>
      </c>
      <c r="C184" s="1">
        <v>10059</v>
      </c>
      <c r="D184" s="1">
        <v>269</v>
      </c>
      <c r="E184" s="3">
        <f t="shared" si="0"/>
        <v>0.97395429899302866</v>
      </c>
      <c r="F184" s="1" t="s">
        <v>31</v>
      </c>
      <c r="G184" s="1" t="s">
        <v>20</v>
      </c>
      <c r="H184" s="1">
        <v>2480955</v>
      </c>
      <c r="I184" s="1">
        <v>3376763</v>
      </c>
      <c r="J184" s="7">
        <v>0.73499999999999999</v>
      </c>
      <c r="K184" s="1" t="s">
        <v>21</v>
      </c>
      <c r="L184" s="1" t="s">
        <v>21</v>
      </c>
      <c r="M184" s="1" t="s">
        <v>21</v>
      </c>
      <c r="N184" s="1" t="s">
        <v>22</v>
      </c>
      <c r="O184" s="1" t="str">
        <f t="shared" ca="1" si="1"/>
        <v>Please solve the LeetCode problem '977. Squares of a Sorted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5" spans="1:15" x14ac:dyDescent="0.25">
      <c r="A185" s="1">
        <v>309</v>
      </c>
      <c r="B185" s="2" t="str">
        <f>HYPERLINK("https://leetcode.com/problems/best-time-to-buy-and-sell-stock-with-cooldown/", "Best Time to Buy and Sell Stock with Cooldown")</f>
        <v>Best Time to Buy and Sell Stock with Cooldown</v>
      </c>
      <c r="C185" s="1">
        <v>9990</v>
      </c>
      <c r="D185" s="1">
        <v>348</v>
      </c>
      <c r="E185" s="3">
        <f t="shared" si="0"/>
        <v>0.96633778293673822</v>
      </c>
      <c r="F185" s="1" t="s">
        <v>30</v>
      </c>
      <c r="G185" s="1" t="s">
        <v>24</v>
      </c>
      <c r="H185" s="1">
        <v>731279</v>
      </c>
      <c r="I185" s="1">
        <v>1187967</v>
      </c>
      <c r="J185" s="7">
        <v>0.61599999999999999</v>
      </c>
      <c r="K185" s="1" t="s">
        <v>21</v>
      </c>
      <c r="L185" s="1" t="s">
        <v>21</v>
      </c>
      <c r="M185" s="1" t="s">
        <v>29</v>
      </c>
      <c r="N185" s="1" t="s">
        <v>22</v>
      </c>
      <c r="O185" s="1" t="str">
        <f t="shared" ca="1" si="1"/>
        <v>Please solve the LeetCode problem '309. Best Time to Buy and Sell Stock with Cooldown'.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6" spans="1:15" x14ac:dyDescent="0.25">
      <c r="A186" s="1">
        <v>380</v>
      </c>
      <c r="B186" s="2" t="str">
        <f>HYPERLINK("https://leetcode.com/problems/insert-delete-getrandom-o1/", "Insert Delete GetRandom O(1)")</f>
        <v>Insert Delete GetRandom O(1)</v>
      </c>
      <c r="C186" s="1">
        <v>9882</v>
      </c>
      <c r="D186" s="1">
        <v>695</v>
      </c>
      <c r="E186" s="3">
        <f t="shared" si="0"/>
        <v>0.93429138697173109</v>
      </c>
      <c r="F186" s="1" t="s">
        <v>136</v>
      </c>
      <c r="G186" s="1" t="s">
        <v>24</v>
      </c>
      <c r="H186" s="1">
        <v>1309641</v>
      </c>
      <c r="I186" s="1">
        <v>2371784</v>
      </c>
      <c r="J186" s="7">
        <v>0.55200000000000005</v>
      </c>
      <c r="K186" s="1" t="s">
        <v>21</v>
      </c>
      <c r="L186" s="1" t="s">
        <v>21</v>
      </c>
      <c r="M186" s="1" t="s">
        <v>29</v>
      </c>
      <c r="N186" s="1" t="s">
        <v>22</v>
      </c>
      <c r="O186" s="1" t="str">
        <f t="shared" ca="1" si="1"/>
        <v>Please solve the LeetCode problem '380. Insert Delete GetRandom O(1)'.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7" spans="1:15" x14ac:dyDescent="0.25">
      <c r="A187" s="1">
        <v>130</v>
      </c>
      <c r="B187" s="2" t="str">
        <f>HYPERLINK("https://leetcode.com/problems/surrounded-regions/", "Surrounded Regions")</f>
        <v>Surrounded Regions</v>
      </c>
      <c r="C187" s="1">
        <v>9740</v>
      </c>
      <c r="D187" s="1">
        <v>2207</v>
      </c>
      <c r="E187" s="3">
        <f t="shared" si="0"/>
        <v>0.8152674311542647</v>
      </c>
      <c r="F187" s="1" t="s">
        <v>40</v>
      </c>
      <c r="G187" s="1" t="s">
        <v>24</v>
      </c>
      <c r="H187" s="1">
        <v>1120548</v>
      </c>
      <c r="I187" s="1">
        <v>2517978</v>
      </c>
      <c r="J187" s="7">
        <v>0.44500000000000001</v>
      </c>
      <c r="K187" s="1" t="s">
        <v>21</v>
      </c>
      <c r="L187" s="1" t="s">
        <v>21</v>
      </c>
      <c r="M187" s="1" t="s">
        <v>29</v>
      </c>
      <c r="N187" s="1" t="s">
        <v>22</v>
      </c>
      <c r="O187" s="1" t="str">
        <f t="shared" ca="1" si="1"/>
        <v>Please solve the LeetCode problem '130. Surrounded Regions'.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8" spans="1:15" x14ac:dyDescent="0.25">
      <c r="A188" s="1">
        <v>83</v>
      </c>
      <c r="B188" s="2" t="str">
        <f>HYPERLINK("https://leetcode.com/problems/remove-duplicates-from-sorted-list/", "Remove Duplicates from Sorted List")</f>
        <v>Remove Duplicates from Sorted List</v>
      </c>
      <c r="C188" s="1">
        <v>9699</v>
      </c>
      <c r="D188" s="1">
        <v>358</v>
      </c>
      <c r="E188" s="3">
        <f t="shared" si="0"/>
        <v>0.96440290345033308</v>
      </c>
      <c r="F188" s="1" t="s">
        <v>104</v>
      </c>
      <c r="G188" s="1" t="s">
        <v>20</v>
      </c>
      <c r="H188" s="1">
        <v>2230202</v>
      </c>
      <c r="I188" s="1">
        <v>3979728</v>
      </c>
      <c r="J188" s="7">
        <v>0.56000000000000005</v>
      </c>
      <c r="K188" s="1" t="s">
        <v>21</v>
      </c>
      <c r="L188" s="1" t="s">
        <v>21</v>
      </c>
      <c r="M188" s="1" t="s">
        <v>21</v>
      </c>
      <c r="N188" s="1" t="s">
        <v>22</v>
      </c>
      <c r="O188" s="1" t="str">
        <f t="shared" ca="1" si="1"/>
        <v>Please solve the LeetCode problem '83. Remove Duplicates from Sorted List'.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9" spans="1:15" x14ac:dyDescent="0.25">
      <c r="A189" s="1">
        <v>312</v>
      </c>
      <c r="B189" s="2" t="str">
        <f>HYPERLINK("https://leetcode.com/problems/burst-balloons/", "Burst Balloons")</f>
        <v>Burst Balloons</v>
      </c>
      <c r="C189" s="1">
        <v>9687</v>
      </c>
      <c r="D189" s="1">
        <v>285</v>
      </c>
      <c r="E189" s="3">
        <f t="shared" si="0"/>
        <v>0.97141997593261131</v>
      </c>
      <c r="F189" s="1" t="s">
        <v>30</v>
      </c>
      <c r="G189" s="1" t="s">
        <v>28</v>
      </c>
      <c r="H189" s="1">
        <v>418820</v>
      </c>
      <c r="I189" s="1">
        <v>667334</v>
      </c>
      <c r="J189" s="7">
        <v>0.628</v>
      </c>
      <c r="K189" s="1" t="s">
        <v>21</v>
      </c>
      <c r="L189" s="1" t="s">
        <v>21</v>
      </c>
      <c r="M189" s="1" t="s">
        <v>29</v>
      </c>
      <c r="N189" s="1" t="s">
        <v>22</v>
      </c>
      <c r="O189" s="1" t="str">
        <f t="shared" ca="1" si="1"/>
        <v>Please solve the LeetCode problem '312. Burst Balloons'.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0" spans="1:15" x14ac:dyDescent="0.25">
      <c r="A190" s="1">
        <v>387</v>
      </c>
      <c r="B190" s="2" t="str">
        <f>HYPERLINK("https://leetcode.com/problems/first-unique-character-in-a-string/", "First Unique Character in a String")</f>
        <v>First Unique Character in a String</v>
      </c>
      <c r="C190" s="1">
        <v>9642</v>
      </c>
      <c r="D190" s="1">
        <v>329</v>
      </c>
      <c r="E190" s="3">
        <f t="shared" si="0"/>
        <v>0.96700431250626817</v>
      </c>
      <c r="F190" s="1" t="s">
        <v>137</v>
      </c>
      <c r="G190" s="1" t="s">
        <v>20</v>
      </c>
      <c r="H190" s="1">
        <v>2252697</v>
      </c>
      <c r="I190" s="1">
        <v>3479470</v>
      </c>
      <c r="J190" s="7">
        <v>0.64700000000000002</v>
      </c>
      <c r="K190" s="1" t="s">
        <v>21</v>
      </c>
      <c r="L190" s="1" t="s">
        <v>21</v>
      </c>
      <c r="M190" s="1" t="s">
        <v>21</v>
      </c>
      <c r="N190" s="1" t="s">
        <v>22</v>
      </c>
      <c r="O190" s="1" t="str">
        <f t="shared" ca="1" si="1"/>
        <v>Please solve the LeetCode problem '387. First Unique Character in a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1" spans="1:15" x14ac:dyDescent="0.25">
      <c r="A191" s="1">
        <v>662</v>
      </c>
      <c r="B191" s="2" t="str">
        <f>HYPERLINK("https://leetcode.com/problems/maximum-width-of-binary-tree/", "Maximum Width of Binary Tree")</f>
        <v>Maximum Width of Binary Tree</v>
      </c>
      <c r="C191" s="1">
        <v>9607</v>
      </c>
      <c r="D191" s="1">
        <v>1309</v>
      </c>
      <c r="E191" s="3">
        <f t="shared" si="0"/>
        <v>0.88008427995602789</v>
      </c>
      <c r="F191" s="1" t="s">
        <v>80</v>
      </c>
      <c r="G191" s="1" t="s">
        <v>24</v>
      </c>
      <c r="H191" s="1">
        <v>562979</v>
      </c>
      <c r="I191" s="1">
        <v>1248006</v>
      </c>
      <c r="J191" s="7">
        <v>0.45100000000000001</v>
      </c>
      <c r="K191" s="1" t="s">
        <v>21</v>
      </c>
      <c r="L191" s="1" t="s">
        <v>21</v>
      </c>
      <c r="M191" s="1" t="s">
        <v>29</v>
      </c>
      <c r="N191" s="1" t="s">
        <v>22</v>
      </c>
      <c r="O191" s="1" t="str">
        <f t="shared" ca="1" si="1"/>
        <v>Please solve the LeetCode problem '662. Maximum Width of Binary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2" spans="1:15" x14ac:dyDescent="0.25">
      <c r="A192" s="1">
        <v>63</v>
      </c>
      <c r="B192" s="2" t="str">
        <f>HYPERLINK("https://leetcode.com/problems/unique-paths-ii/", "Unique Paths II")</f>
        <v>Unique Paths II</v>
      </c>
      <c r="C192" s="1">
        <v>9585</v>
      </c>
      <c r="D192" s="1">
        <v>555</v>
      </c>
      <c r="E192" s="3">
        <f t="shared" si="0"/>
        <v>0.94526627218934911</v>
      </c>
      <c r="F192" s="1" t="s">
        <v>94</v>
      </c>
      <c r="G192" s="1" t="s">
        <v>24</v>
      </c>
      <c r="H192" s="1">
        <v>1400584</v>
      </c>
      <c r="I192" s="1">
        <v>3183329</v>
      </c>
      <c r="J192" s="7">
        <v>0.44</v>
      </c>
      <c r="K192" s="1" t="s">
        <v>21</v>
      </c>
      <c r="L192" s="1" t="s">
        <v>21</v>
      </c>
      <c r="M192" s="1" t="s">
        <v>29</v>
      </c>
      <c r="N192" s="1" t="s">
        <v>22</v>
      </c>
      <c r="O192" s="1" t="str">
        <f t="shared" ca="1" si="1"/>
        <v>Please solve the LeetCode problem '63. Unique Paths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3" spans="1:15" x14ac:dyDescent="0.25">
      <c r="A193" s="1">
        <v>496</v>
      </c>
      <c r="B193" s="2" t="str">
        <f>HYPERLINK("https://leetcode.com/problems/next-greater-element-i/", "Next Greater Element I")</f>
        <v>Next Greater Element I</v>
      </c>
      <c r="C193" s="1">
        <v>9584</v>
      </c>
      <c r="D193" s="1">
        <v>1068</v>
      </c>
      <c r="E193" s="3">
        <f t="shared" si="0"/>
        <v>0.89973713856552762</v>
      </c>
      <c r="F193" s="1" t="s">
        <v>138</v>
      </c>
      <c r="G193" s="1" t="s">
        <v>20</v>
      </c>
      <c r="H193" s="1">
        <v>1293842</v>
      </c>
      <c r="I193" s="1">
        <v>1712807</v>
      </c>
      <c r="J193" s="7">
        <v>0.755</v>
      </c>
      <c r="K193" s="1" t="s">
        <v>21</v>
      </c>
      <c r="L193" s="1" t="s">
        <v>21</v>
      </c>
      <c r="M193" s="1" t="s">
        <v>29</v>
      </c>
      <c r="N193" s="1" t="s">
        <v>22</v>
      </c>
      <c r="O193" s="1" t="str">
        <f t="shared" ca="1" si="1"/>
        <v>Please solve the LeetCode problem '496. Next Greater Element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4" spans="1:15" x14ac:dyDescent="0.25">
      <c r="A194" s="1">
        <v>82</v>
      </c>
      <c r="B194" s="2" t="str">
        <f>HYPERLINK("https://leetcode.com/problems/remove-duplicates-from-sorted-list-ii/", "Remove Duplicates from Sorted List II")</f>
        <v>Remove Duplicates from Sorted List II</v>
      </c>
      <c r="C194" s="1">
        <v>9569</v>
      </c>
      <c r="D194" s="1">
        <v>278</v>
      </c>
      <c r="E194" s="3">
        <f t="shared" si="0"/>
        <v>0.9717680511831015</v>
      </c>
      <c r="F194" s="1" t="s">
        <v>53</v>
      </c>
      <c r="G194" s="1" t="s">
        <v>24</v>
      </c>
      <c r="H194" s="1">
        <v>1043181</v>
      </c>
      <c r="I194" s="1">
        <v>2041163</v>
      </c>
      <c r="J194" s="7">
        <v>0.51100000000000001</v>
      </c>
      <c r="K194" s="1" t="s">
        <v>21</v>
      </c>
      <c r="L194" s="1" t="s">
        <v>21</v>
      </c>
      <c r="M194" s="1" t="s">
        <v>29</v>
      </c>
      <c r="N194" s="1" t="s">
        <v>22</v>
      </c>
      <c r="O194" s="1" t="str">
        <f t="shared" ca="1" si="1"/>
        <v>Please solve the LeetCode problem '82. Remove Duplicates from Sorted List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5" spans="1:15" x14ac:dyDescent="0.25">
      <c r="A195" s="1">
        <v>81</v>
      </c>
      <c r="B195" s="2" t="str">
        <f>HYPERLINK("https://leetcode.com/problems/search-in-rotated-sorted-array-ii/", "Search in Rotated Sorted Array II")</f>
        <v>Search in Rotated Sorted Array II</v>
      </c>
      <c r="C195" s="1">
        <v>9485</v>
      </c>
      <c r="D195" s="1">
        <v>1114</v>
      </c>
      <c r="E195" s="3">
        <f t="shared" si="0"/>
        <v>0.89489574488159263</v>
      </c>
      <c r="F195" s="1" t="s">
        <v>35</v>
      </c>
      <c r="G195" s="1" t="s">
        <v>24</v>
      </c>
      <c r="H195" s="1">
        <v>1152162</v>
      </c>
      <c r="I195" s="1">
        <v>2911332</v>
      </c>
      <c r="J195" s="7">
        <v>0.39600000000000002</v>
      </c>
      <c r="K195" s="1" t="s">
        <v>21</v>
      </c>
      <c r="L195" s="1" t="s">
        <v>21</v>
      </c>
      <c r="M195" s="1" t="s">
        <v>29</v>
      </c>
      <c r="N195" s="1" t="s">
        <v>22</v>
      </c>
      <c r="O195" s="1" t="str">
        <f t="shared" ca="1" si="1"/>
        <v>Please solve the LeetCode problem '81. Search in Rotated Sorted Array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6" spans="1:15" x14ac:dyDescent="0.25">
      <c r="A196" s="1">
        <v>69</v>
      </c>
      <c r="B196" s="2" t="str">
        <f>HYPERLINK("https://leetcode.com/problems/sqrtx/", "Sqrt(x)")</f>
        <v>Sqrt(x)</v>
      </c>
      <c r="C196" s="1">
        <v>9476</v>
      </c>
      <c r="D196" s="1">
        <v>4628</v>
      </c>
      <c r="E196" s="3">
        <f t="shared" si="0"/>
        <v>0.67186613726602384</v>
      </c>
      <c r="F196" s="1" t="s">
        <v>139</v>
      </c>
      <c r="G196" s="1" t="s">
        <v>20</v>
      </c>
      <c r="H196" s="1">
        <v>2984159</v>
      </c>
      <c r="I196" s="1">
        <v>7237910</v>
      </c>
      <c r="J196" s="7">
        <v>0.41199999999999998</v>
      </c>
      <c r="K196" s="1" t="s">
        <v>21</v>
      </c>
      <c r="L196" s="1" t="s">
        <v>21</v>
      </c>
      <c r="M196" s="1" t="s">
        <v>21</v>
      </c>
      <c r="N196" s="1" t="s">
        <v>22</v>
      </c>
      <c r="O196" s="1" t="str">
        <f t="shared" ca="1" si="1"/>
        <v>Please solve the LeetCode problem '69. Sqrt(x)'.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7" spans="1:15" x14ac:dyDescent="0.25">
      <c r="A197" s="1">
        <v>329</v>
      </c>
      <c r="B197" s="2" t="str">
        <f>HYPERLINK("https://leetcode.com/problems/longest-increasing-path-in-a-matrix/", "Longest Increasing Path in a Matrix")</f>
        <v>Longest Increasing Path in a Matrix</v>
      </c>
      <c r="C197" s="1">
        <v>9446</v>
      </c>
      <c r="D197" s="1">
        <v>146</v>
      </c>
      <c r="E197" s="3">
        <f t="shared" si="0"/>
        <v>0.98477898248540452</v>
      </c>
      <c r="F197" s="1" t="s">
        <v>140</v>
      </c>
      <c r="G197" s="1" t="s">
        <v>28</v>
      </c>
      <c r="H197" s="1">
        <v>690830</v>
      </c>
      <c r="I197" s="1">
        <v>1229590</v>
      </c>
      <c r="J197" s="7">
        <v>0.56200000000000006</v>
      </c>
      <c r="K197" s="1" t="s">
        <v>21</v>
      </c>
      <c r="L197" s="1" t="s">
        <v>21</v>
      </c>
      <c r="M197" s="1" t="s">
        <v>29</v>
      </c>
      <c r="N197" s="1" t="s">
        <v>22</v>
      </c>
      <c r="O197" s="1" t="str">
        <f t="shared" ca="1" si="1"/>
        <v>Please solve the LeetCode problem '329. Longest Increasing Path in a Matrix'.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8" spans="1:15" x14ac:dyDescent="0.25">
      <c r="A198" s="1">
        <v>344</v>
      </c>
      <c r="B198" s="2" t="str">
        <f>HYPERLINK("https://leetcode.com/problems/reverse-string/", "Reverse String")</f>
        <v>Reverse String</v>
      </c>
      <c r="C198" s="1">
        <v>9408</v>
      </c>
      <c r="D198" s="1">
        <v>1213</v>
      </c>
      <c r="E198" s="3">
        <f t="shared" si="0"/>
        <v>0.88579229827699835</v>
      </c>
      <c r="F198" s="1" t="s">
        <v>117</v>
      </c>
      <c r="G198" s="1" t="s">
        <v>20</v>
      </c>
      <c r="H198" s="1">
        <v>3610703</v>
      </c>
      <c r="I198" s="1">
        <v>4491245</v>
      </c>
      <c r="J198" s="7">
        <v>0.80400000000000005</v>
      </c>
      <c r="K198" s="1" t="s">
        <v>21</v>
      </c>
      <c r="L198" s="1" t="s">
        <v>21</v>
      </c>
      <c r="M198" s="1" t="s">
        <v>21</v>
      </c>
      <c r="N198" s="1" t="s">
        <v>22</v>
      </c>
      <c r="O198" s="1" t="str">
        <f t="shared" ca="1" si="1"/>
        <v>Please solve the LeetCode problem '344. Reverse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9" spans="1:15" x14ac:dyDescent="0.25">
      <c r="A199" s="1">
        <v>222</v>
      </c>
      <c r="B199" s="2" t="str">
        <f>HYPERLINK("https://leetcode.com/problems/count-complete-tree-nodes/", "Count Complete Tree Nodes")</f>
        <v>Count Complete Tree Nodes</v>
      </c>
      <c r="C199" s="1">
        <v>9390</v>
      </c>
      <c r="D199" s="1">
        <v>605</v>
      </c>
      <c r="E199" s="3">
        <f t="shared" si="0"/>
        <v>0.93946973486743368</v>
      </c>
      <c r="F199" s="1" t="s">
        <v>141</v>
      </c>
      <c r="G199" s="1" t="s">
        <v>20</v>
      </c>
      <c r="H199" s="1">
        <v>1106377</v>
      </c>
      <c r="I199" s="1">
        <v>1542363</v>
      </c>
      <c r="J199" s="7">
        <v>0.71699999999999997</v>
      </c>
      <c r="K199" s="1" t="s">
        <v>21</v>
      </c>
      <c r="L199" s="1" t="s">
        <v>21</v>
      </c>
      <c r="M199" s="1" t="s">
        <v>29</v>
      </c>
      <c r="N199" s="1" t="s">
        <v>22</v>
      </c>
      <c r="O199" s="1" t="str">
        <f t="shared" ca="1" si="1"/>
        <v>Please solve the LeetCode problem '222. Count Complete Tree Nodes'.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0" spans="1:15" x14ac:dyDescent="0.25">
      <c r="A200" s="1">
        <v>179</v>
      </c>
      <c r="B200" s="2" t="str">
        <f>HYPERLINK("https://leetcode.com/problems/largest-number/", "Largest Number")</f>
        <v>Largest Number</v>
      </c>
      <c r="C200" s="1">
        <v>9358</v>
      </c>
      <c r="D200" s="1">
        <v>797</v>
      </c>
      <c r="E200" s="3">
        <f t="shared" si="0"/>
        <v>0.92151649433776461</v>
      </c>
      <c r="F200" s="1" t="s">
        <v>142</v>
      </c>
      <c r="G200" s="1" t="s">
        <v>24</v>
      </c>
      <c r="H200" s="1">
        <v>789243</v>
      </c>
      <c r="I200" s="1">
        <v>1864803</v>
      </c>
      <c r="J200" s="7">
        <v>0.42299999999999999</v>
      </c>
      <c r="K200" s="1" t="s">
        <v>21</v>
      </c>
      <c r="L200" s="1" t="s">
        <v>21</v>
      </c>
      <c r="M200" s="1" t="s">
        <v>29</v>
      </c>
      <c r="N200" s="1" t="s">
        <v>22</v>
      </c>
      <c r="O200" s="1" t="str">
        <f t="shared" ca="1" si="1"/>
        <v>Please solve the LeetCode problem '179. Largest Number'.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1" spans="1:15" x14ac:dyDescent="0.25">
      <c r="A201" s="1">
        <v>733</v>
      </c>
      <c r="B201" s="2" t="str">
        <f>HYPERLINK("https://leetcode.com/problems/flood-fill/", "Flood Fill")</f>
        <v>Flood Fill</v>
      </c>
      <c r="C201" s="1">
        <v>9334</v>
      </c>
      <c r="D201" s="1">
        <v>947</v>
      </c>
      <c r="E201" s="3">
        <f t="shared" si="0"/>
        <v>0.9078883377103395</v>
      </c>
      <c r="F201" s="1" t="s">
        <v>143</v>
      </c>
      <c r="G201" s="1" t="s">
        <v>20</v>
      </c>
      <c r="H201" s="1">
        <v>1325267</v>
      </c>
      <c r="I201" s="1">
        <v>1958690</v>
      </c>
      <c r="J201" s="7">
        <v>0.67700000000000005</v>
      </c>
      <c r="K201" s="1" t="s">
        <v>21</v>
      </c>
      <c r="L201" s="1" t="s">
        <v>21</v>
      </c>
      <c r="M201" s="1" t="s">
        <v>29</v>
      </c>
      <c r="N201" s="1" t="s">
        <v>22</v>
      </c>
      <c r="O201" s="1" t="str">
        <f t="shared" ca="1" si="1"/>
        <v>Please solve the LeetCode problem '733. Flood Fill'.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2" spans="1:15" x14ac:dyDescent="0.25">
      <c r="A202" s="1">
        <v>316</v>
      </c>
      <c r="B202" s="2" t="str">
        <f>HYPERLINK("https://leetcode.com/problems/remove-duplicate-letters/", "Remove Duplicate Letters")</f>
        <v>Remove Duplicate Letters</v>
      </c>
      <c r="C202" s="1">
        <v>9217</v>
      </c>
      <c r="D202" s="1">
        <v>696</v>
      </c>
      <c r="E202" s="3">
        <f t="shared" si="0"/>
        <v>0.92978916574195503</v>
      </c>
      <c r="F202" s="1" t="s">
        <v>129</v>
      </c>
      <c r="G202" s="1" t="s">
        <v>24</v>
      </c>
      <c r="H202" s="1">
        <v>426138</v>
      </c>
      <c r="I202" s="1">
        <v>810602</v>
      </c>
      <c r="J202" s="7">
        <v>0.52600000000000002</v>
      </c>
      <c r="K202" s="1" t="s">
        <v>21</v>
      </c>
      <c r="L202" s="1" t="s">
        <v>21</v>
      </c>
      <c r="M202" s="1" t="s">
        <v>29</v>
      </c>
      <c r="N202" s="1" t="s">
        <v>22</v>
      </c>
      <c r="O202" s="1" t="str">
        <f t="shared" ca="1" si="1"/>
        <v>Please solve the LeetCode problem '316. Remove Duplicate Letters'.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3" spans="1:15" x14ac:dyDescent="0.25">
      <c r="A203" s="1">
        <v>135</v>
      </c>
      <c r="B203" s="2" t="str">
        <f>HYPERLINK("https://leetcode.com/problems/candy/", "Candy")</f>
        <v>Candy</v>
      </c>
      <c r="C203" s="1">
        <v>9203</v>
      </c>
      <c r="D203" s="1">
        <v>840</v>
      </c>
      <c r="E203" s="3">
        <f t="shared" si="0"/>
        <v>0.91635965348999304</v>
      </c>
      <c r="F203" s="1" t="s">
        <v>96</v>
      </c>
      <c r="G203" s="1" t="s">
        <v>28</v>
      </c>
      <c r="H203" s="1">
        <v>980744</v>
      </c>
      <c r="I203" s="1">
        <v>2053770</v>
      </c>
      <c r="J203" s="7">
        <v>0.47799999999999998</v>
      </c>
      <c r="K203" s="1" t="s">
        <v>21</v>
      </c>
      <c r="L203" s="1" t="s">
        <v>21</v>
      </c>
      <c r="M203" s="1" t="s">
        <v>29</v>
      </c>
      <c r="N203" s="1" t="s">
        <v>22</v>
      </c>
      <c r="O203" s="1" t="str">
        <f t="shared" ca="1" si="1"/>
        <v>Please solve the LeetCode problem '135. Candy'.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4" spans="1:15" x14ac:dyDescent="0.25">
      <c r="A204" s="1">
        <v>315</v>
      </c>
      <c r="B204" s="2" t="str">
        <f>HYPERLINK("https://leetcode.com/problems/count-of-smaller-numbers-after-self/", "Count of Smaller Numbers After Self")</f>
        <v>Count of Smaller Numbers After Self</v>
      </c>
      <c r="C204" s="1">
        <v>9193</v>
      </c>
      <c r="D204" s="1">
        <v>252</v>
      </c>
      <c r="E204" s="3">
        <f t="shared" si="0"/>
        <v>0.97331921651667552</v>
      </c>
      <c r="F204" s="1" t="s">
        <v>147</v>
      </c>
      <c r="G204" s="1" t="s">
        <v>28</v>
      </c>
      <c r="H204" s="1">
        <v>377428</v>
      </c>
      <c r="I204" s="1">
        <v>873335</v>
      </c>
      <c r="J204" s="7">
        <v>0.432</v>
      </c>
      <c r="K204" s="1" t="s">
        <v>21</v>
      </c>
      <c r="L204" s="1" t="s">
        <v>21</v>
      </c>
      <c r="M204" s="1" t="s">
        <v>29</v>
      </c>
      <c r="N204" s="1" t="s">
        <v>22</v>
      </c>
      <c r="O204" s="1" t="str">
        <f t="shared" ca="1" si="1"/>
        <v>Please solve the LeetCode problem '315. Count of Smaller Numbers After Self'.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5" spans="1:15" x14ac:dyDescent="0.25">
      <c r="A205" s="1">
        <v>509</v>
      </c>
      <c r="B205" s="2" t="str">
        <f>HYPERLINK("https://leetcode.com/problems/fibonacci-number/", "Fibonacci Number")</f>
        <v>Fibonacci Number</v>
      </c>
      <c r="C205" s="1">
        <v>9185</v>
      </c>
      <c r="D205" s="1">
        <v>407</v>
      </c>
      <c r="E205" s="3">
        <f t="shared" si="0"/>
        <v>0.95756880733944949</v>
      </c>
      <c r="F205" s="1" t="s">
        <v>144</v>
      </c>
      <c r="G205" s="1" t="s">
        <v>20</v>
      </c>
      <c r="H205" s="1">
        <v>2849430</v>
      </c>
      <c r="I205" s="1">
        <v>3865869</v>
      </c>
      <c r="J205" s="7">
        <v>0.73699999999999999</v>
      </c>
      <c r="K205" s="1" t="s">
        <v>21</v>
      </c>
      <c r="L205" s="1" t="s">
        <v>21</v>
      </c>
      <c r="M205" s="1" t="s">
        <v>29</v>
      </c>
      <c r="N205" s="1" t="s">
        <v>22</v>
      </c>
      <c r="O205" s="1" t="str">
        <f t="shared" ca="1" si="1"/>
        <v>Please solve the LeetCode problem '509. Fibonacci Number'.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6" spans="1:15" x14ac:dyDescent="0.25">
      <c r="A206" s="1">
        <v>735</v>
      </c>
      <c r="B206" s="2" t="str">
        <f>HYPERLINK("https://leetcode.com/problems/asteroid-collision/", "Asteroid Collision")</f>
        <v>Asteroid Collision</v>
      </c>
      <c r="C206" s="1">
        <v>9176</v>
      </c>
      <c r="D206" s="1">
        <v>1293</v>
      </c>
      <c r="E206" s="3">
        <f t="shared" si="0"/>
        <v>0.87649250167160186</v>
      </c>
      <c r="F206" s="1" t="s">
        <v>145</v>
      </c>
      <c r="G206" s="1" t="s">
        <v>24</v>
      </c>
      <c r="H206" s="1">
        <v>945800</v>
      </c>
      <c r="I206" s="1">
        <v>2022451</v>
      </c>
      <c r="J206" s="7">
        <v>0.46800000000000003</v>
      </c>
      <c r="K206" s="1" t="s">
        <v>21</v>
      </c>
      <c r="L206" s="1" t="s">
        <v>21</v>
      </c>
      <c r="M206" s="1" t="s">
        <v>29</v>
      </c>
      <c r="N206" s="1" t="s">
        <v>22</v>
      </c>
      <c r="O206" s="1" t="str">
        <f t="shared" ca="1" si="1"/>
        <v>Please solve the LeetCode problem '735. Asteroid Collision'.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7" spans="1:15" x14ac:dyDescent="0.25">
      <c r="A207" s="1">
        <v>173</v>
      </c>
      <c r="B207" s="2" t="str">
        <f>HYPERLINK("https://leetcode.com/problems/binary-search-tree-iterator/", "Binary Search Tree Iterator")</f>
        <v>Binary Search Tree Iterator</v>
      </c>
      <c r="C207" s="1">
        <v>9151</v>
      </c>
      <c r="D207" s="1">
        <v>577</v>
      </c>
      <c r="E207" s="3">
        <f t="shared" si="0"/>
        <v>0.94068667763157898</v>
      </c>
      <c r="F207" s="1" t="s">
        <v>149</v>
      </c>
      <c r="G207" s="1" t="s">
        <v>24</v>
      </c>
      <c r="H207" s="1">
        <v>1055724</v>
      </c>
      <c r="I207" s="1">
        <v>1389776</v>
      </c>
      <c r="J207" s="7">
        <v>0.76</v>
      </c>
      <c r="K207" s="1" t="s">
        <v>21</v>
      </c>
      <c r="L207" s="1" t="s">
        <v>21</v>
      </c>
      <c r="M207" s="1" t="s">
        <v>29</v>
      </c>
      <c r="N207" s="1" t="s">
        <v>22</v>
      </c>
      <c r="O207" s="1" t="str">
        <f t="shared" ca="1" si="1"/>
        <v>Please solve the LeetCode problem '173. Binary Search Tree Iterator'.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8" spans="1:15" x14ac:dyDescent="0.25">
      <c r="A208" s="1">
        <v>767</v>
      </c>
      <c r="B208" s="2" t="str">
        <f>HYPERLINK("https://leetcode.com/problems/reorganize-string/", "Reorganize String")</f>
        <v>Reorganize String</v>
      </c>
      <c r="C208" s="1">
        <v>9143</v>
      </c>
      <c r="D208" s="1">
        <v>285</v>
      </c>
      <c r="E208" s="3">
        <f t="shared" si="0"/>
        <v>0.96977089520577009</v>
      </c>
      <c r="F208" s="1" t="s">
        <v>148</v>
      </c>
      <c r="G208" s="1" t="s">
        <v>24</v>
      </c>
      <c r="H208" s="1">
        <v>574135</v>
      </c>
      <c r="I208" s="1">
        <v>1011959</v>
      </c>
      <c r="J208" s="7">
        <v>0.56699999999999995</v>
      </c>
      <c r="K208" s="1" t="s">
        <v>21</v>
      </c>
      <c r="L208" s="1" t="s">
        <v>21</v>
      </c>
      <c r="M208" s="1" t="s">
        <v>29</v>
      </c>
      <c r="N208" s="1" t="s">
        <v>22</v>
      </c>
      <c r="O208" s="1" t="str">
        <f t="shared" ca="1" si="1"/>
        <v>Please solve the LeetCode problem '767. Reorganize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9" spans="1:15" x14ac:dyDescent="0.25">
      <c r="A209" s="1">
        <v>6</v>
      </c>
      <c r="B209" s="2" t="str">
        <f>HYPERLINK("https://leetcode.com/problems/zigzag-conversion/", "Zigzag Conversion")</f>
        <v>Zigzag Conversion</v>
      </c>
      <c r="C209" s="1">
        <v>9137</v>
      </c>
      <c r="D209" s="1">
        <v>15787</v>
      </c>
      <c r="E209" s="3">
        <f t="shared" si="0"/>
        <v>0.36659444711924249</v>
      </c>
      <c r="F209" s="1" t="s">
        <v>146</v>
      </c>
      <c r="G209" s="1" t="s">
        <v>24</v>
      </c>
      <c r="H209" s="1">
        <v>2060053</v>
      </c>
      <c r="I209" s="1">
        <v>3869975</v>
      </c>
      <c r="J209" s="7">
        <v>0.53200000000000003</v>
      </c>
      <c r="K209" s="1" t="s">
        <v>21</v>
      </c>
      <c r="L209" s="1" t="s">
        <v>21</v>
      </c>
      <c r="M209" s="1" t="s">
        <v>21</v>
      </c>
      <c r="N209" s="1" t="s">
        <v>22</v>
      </c>
      <c r="O209" s="1" t="str">
        <f t="shared" ca="1" si="1"/>
        <v>Please solve the LeetCode problem '6. Zigzag Conversion'.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0" spans="1:15" x14ac:dyDescent="0.25">
      <c r="A210" s="1">
        <v>785</v>
      </c>
      <c r="B210" s="2" t="str">
        <f>HYPERLINK("https://leetcode.com/problems/is-graph-bipartite/", "Is Graph Bipartite?")</f>
        <v>Is Graph Bipartite?</v>
      </c>
      <c r="C210" s="1">
        <v>9128</v>
      </c>
      <c r="D210" s="1">
        <v>416</v>
      </c>
      <c r="E210" s="3">
        <f t="shared" si="0"/>
        <v>0.95641240569991615</v>
      </c>
      <c r="F210" s="1" t="s">
        <v>122</v>
      </c>
      <c r="G210" s="1" t="s">
        <v>24</v>
      </c>
      <c r="H210" s="1">
        <v>829438</v>
      </c>
      <c r="I210" s="1">
        <v>1411917</v>
      </c>
      <c r="J210" s="7">
        <v>0.58699999999999997</v>
      </c>
      <c r="K210" s="1" t="s">
        <v>21</v>
      </c>
      <c r="L210" s="1" t="s">
        <v>21</v>
      </c>
      <c r="M210" s="1" t="s">
        <v>21</v>
      </c>
      <c r="N210" s="1" t="s">
        <v>22</v>
      </c>
      <c r="O210" s="1" t="str">
        <f t="shared" ca="1" si="1"/>
        <v>Please solve the LeetCode problem '785. Is Graph Bipartite?'.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1" spans="1:15" x14ac:dyDescent="0.25">
      <c r="A211" s="1">
        <v>724</v>
      </c>
      <c r="B211" s="2" t="str">
        <f>HYPERLINK("https://leetcode.com/problems/find-pivot-index/", "Find Pivot Index")</f>
        <v>Find Pivot Index</v>
      </c>
      <c r="C211" s="1">
        <v>9123</v>
      </c>
      <c r="D211" s="1">
        <v>922</v>
      </c>
      <c r="E211" s="3">
        <f t="shared" si="0"/>
        <v>0.90821304131408664</v>
      </c>
      <c r="F211" s="1" t="s">
        <v>37</v>
      </c>
      <c r="G211" s="1" t="s">
        <v>20</v>
      </c>
      <c r="H211" s="1">
        <v>1569078</v>
      </c>
      <c r="I211" s="1">
        <v>2539393</v>
      </c>
      <c r="J211" s="7">
        <v>0.61799999999999999</v>
      </c>
      <c r="K211" s="1" t="s">
        <v>21</v>
      </c>
      <c r="L211" s="1" t="s">
        <v>21</v>
      </c>
      <c r="M211" s="1" t="s">
        <v>29</v>
      </c>
      <c r="N211" s="1" t="s">
        <v>22</v>
      </c>
      <c r="O211" s="1" t="str">
        <f t="shared" ca="1" si="1"/>
        <v>Please solve the LeetCode problem '724. Find Pivot Index'.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2" spans="1:15" x14ac:dyDescent="0.25">
      <c r="A212" s="1">
        <v>451</v>
      </c>
      <c r="B212" s="2" t="str">
        <f>HYPERLINK("https://leetcode.com/problems/sort-characters-by-frequency/", "Sort Characters By Frequency")</f>
        <v>Sort Characters By Frequency</v>
      </c>
      <c r="C212" s="1">
        <v>9108</v>
      </c>
      <c r="D212" s="1">
        <v>332</v>
      </c>
      <c r="E212" s="3">
        <f t="shared" si="0"/>
        <v>0.9648305084745763</v>
      </c>
      <c r="F212" s="1" t="s">
        <v>150</v>
      </c>
      <c r="G212" s="1" t="s">
        <v>24</v>
      </c>
      <c r="H212" s="1">
        <v>1052155</v>
      </c>
      <c r="I212" s="1">
        <v>1403111</v>
      </c>
      <c r="J212" s="7">
        <v>0.75</v>
      </c>
      <c r="K212" s="1" t="s">
        <v>21</v>
      </c>
      <c r="L212" s="1" t="s">
        <v>21</v>
      </c>
      <c r="M212" s="1" t="s">
        <v>29</v>
      </c>
      <c r="N212" s="1" t="s">
        <v>22</v>
      </c>
      <c r="O212" s="1" t="str">
        <f t="shared" ca="1" si="1"/>
        <v>Please solve the LeetCode problem '451. Sort Characters By Frequency'.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3" spans="1:15" x14ac:dyDescent="0.25">
      <c r="A213" s="1">
        <v>907</v>
      </c>
      <c r="B213" s="2" t="str">
        <f>HYPERLINK("https://leetcode.com/problems/sum-of-subarray-minimums/", "Sum of Subarray Minimums")</f>
        <v>Sum of Subarray Minimums</v>
      </c>
      <c r="C213" s="1">
        <v>9072</v>
      </c>
      <c r="D213" s="1">
        <v>720</v>
      </c>
      <c r="E213" s="3">
        <f t="shared" si="0"/>
        <v>0.92647058823529416</v>
      </c>
      <c r="F213" s="1" t="s">
        <v>151</v>
      </c>
      <c r="G213" s="1" t="s">
        <v>24</v>
      </c>
      <c r="H213" s="1">
        <v>415183</v>
      </c>
      <c r="I213" s="1">
        <v>1087554</v>
      </c>
      <c r="J213" s="7">
        <v>0.38200000000000001</v>
      </c>
      <c r="K213" s="1" t="s">
        <v>21</v>
      </c>
      <c r="L213" s="1" t="s">
        <v>21</v>
      </c>
      <c r="M213" s="1" t="s">
        <v>29</v>
      </c>
      <c r="N213" s="1" t="s">
        <v>22</v>
      </c>
      <c r="O213" s="1" t="str">
        <f t="shared" ca="1" si="1"/>
        <v>Please solve the LeetCode problem '907. Sum of Subarray Minimums'.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4" spans="1:15" x14ac:dyDescent="0.25">
      <c r="A214" s="1">
        <v>47</v>
      </c>
      <c r="B214" s="2" t="str">
        <f>HYPERLINK("https://leetcode.com/problems/permutations-ii/", "Permutations II")</f>
        <v>Permutations II</v>
      </c>
      <c r="C214" s="1">
        <v>9057</v>
      </c>
      <c r="D214" s="1">
        <v>161</v>
      </c>
      <c r="E214" s="3">
        <f t="shared" si="0"/>
        <v>0.98253417227164241</v>
      </c>
      <c r="F214" s="1" t="s">
        <v>152</v>
      </c>
      <c r="G214" s="1" t="s">
        <v>24</v>
      </c>
      <c r="H214" s="1">
        <v>1229019</v>
      </c>
      <c r="I214" s="1">
        <v>1958139</v>
      </c>
      <c r="J214" s="7">
        <v>0.628</v>
      </c>
      <c r="K214" s="1" t="s">
        <v>21</v>
      </c>
      <c r="L214" s="1" t="s">
        <v>21</v>
      </c>
      <c r="M214" s="1" t="s">
        <v>29</v>
      </c>
      <c r="N214" s="1" t="s">
        <v>22</v>
      </c>
      <c r="O214" s="1" t="str">
        <f t="shared" ca="1" si="1"/>
        <v>Please solve the LeetCode problem '47. Permutations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5" spans="1:15" x14ac:dyDescent="0.25">
      <c r="A215" s="1">
        <v>617</v>
      </c>
      <c r="B215" s="2" t="str">
        <f>HYPERLINK("https://leetcode.com/problems/merge-two-binary-trees/", "Merge Two Binary Trees")</f>
        <v>Merge Two Binary Trees</v>
      </c>
      <c r="C215" s="1">
        <v>9049</v>
      </c>
      <c r="D215" s="1">
        <v>319</v>
      </c>
      <c r="E215" s="3">
        <f t="shared" si="0"/>
        <v>0.96594790777113582</v>
      </c>
      <c r="F215" s="1" t="s">
        <v>80</v>
      </c>
      <c r="G215" s="1" t="s">
        <v>20</v>
      </c>
      <c r="H215" s="1">
        <v>882085</v>
      </c>
      <c r="I215" s="1">
        <v>1117379</v>
      </c>
      <c r="J215" s="7">
        <v>0.78900000000000003</v>
      </c>
      <c r="K215" s="1" t="s">
        <v>21</v>
      </c>
      <c r="L215" s="1" t="s">
        <v>21</v>
      </c>
      <c r="M215" s="1" t="s">
        <v>29</v>
      </c>
      <c r="N215" s="1" t="s">
        <v>22</v>
      </c>
      <c r="O215" s="1" t="str">
        <f t="shared" ca="1" si="1"/>
        <v>Please solve the LeetCode problem '617. Merge Two Binary Trees'.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6" spans="1:15" x14ac:dyDescent="0.25">
      <c r="A216" s="1">
        <v>337</v>
      </c>
      <c r="B216" s="2" t="str">
        <f>HYPERLINK("https://leetcode.com/problems/house-robber-iii/", "House Robber III")</f>
        <v>House Robber III</v>
      </c>
      <c r="C216" s="1">
        <v>9043</v>
      </c>
      <c r="D216" s="1">
        <v>157</v>
      </c>
      <c r="E216" s="3">
        <f t="shared" si="0"/>
        <v>0.9829347826086956</v>
      </c>
      <c r="F216" s="1" t="s">
        <v>68</v>
      </c>
      <c r="G216" s="1" t="s">
        <v>24</v>
      </c>
      <c r="H216" s="1">
        <v>485462</v>
      </c>
      <c r="I216" s="1">
        <v>874011</v>
      </c>
      <c r="J216" s="7">
        <v>0.55500000000000005</v>
      </c>
      <c r="K216" s="1" t="s">
        <v>21</v>
      </c>
      <c r="L216" s="1" t="s">
        <v>21</v>
      </c>
      <c r="M216" s="1" t="s">
        <v>29</v>
      </c>
      <c r="N216" s="1" t="s">
        <v>22</v>
      </c>
      <c r="O216" s="1" t="str">
        <f t="shared" ca="1" si="1"/>
        <v>Please solve the LeetCode problem '337. House Robber III'.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7" spans="1:15" x14ac:dyDescent="0.25">
      <c r="A217" s="1">
        <v>44</v>
      </c>
      <c r="B217" s="2" t="str">
        <f>HYPERLINK("https://leetcode.com/problems/wildcard-matching/", "Wildcard Matching")</f>
        <v>Wildcard Matching</v>
      </c>
      <c r="C217" s="1">
        <v>9034</v>
      </c>
      <c r="D217" s="1">
        <v>410</v>
      </c>
      <c r="E217" s="3">
        <f t="shared" si="0"/>
        <v>0.95658619229140196</v>
      </c>
      <c r="F217" s="1" t="s">
        <v>153</v>
      </c>
      <c r="G217" s="1" t="s">
        <v>28</v>
      </c>
      <c r="H217" s="1">
        <v>823116</v>
      </c>
      <c r="I217" s="1">
        <v>2642332</v>
      </c>
      <c r="J217" s="7">
        <v>0.312</v>
      </c>
      <c r="K217" s="1" t="s">
        <v>21</v>
      </c>
      <c r="L217" s="1" t="s">
        <v>21</v>
      </c>
      <c r="M217" s="1" t="s">
        <v>29</v>
      </c>
      <c r="N217" s="1" t="s">
        <v>22</v>
      </c>
      <c r="O217" s="1" t="str">
        <f t="shared" ca="1" si="1"/>
        <v>Please solve the LeetCode problem '44. Wildcard Matching'.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8" spans="1:15" x14ac:dyDescent="0.25">
      <c r="A218" s="1">
        <v>435</v>
      </c>
      <c r="B218" s="2" t="str">
        <f>HYPERLINK("https://leetcode.com/problems/non-overlapping-intervals/", "Non-overlapping Intervals")</f>
        <v>Non-overlapping Intervals</v>
      </c>
      <c r="C218" s="1">
        <v>9011</v>
      </c>
      <c r="D218" s="1">
        <v>251</v>
      </c>
      <c r="E218" s="3">
        <f t="shared" si="0"/>
        <v>0.97290002159360833</v>
      </c>
      <c r="F218" s="1" t="s">
        <v>154</v>
      </c>
      <c r="G218" s="1" t="s">
        <v>24</v>
      </c>
      <c r="H218" s="1">
        <v>939585</v>
      </c>
      <c r="I218" s="1">
        <v>1662800</v>
      </c>
      <c r="J218" s="7">
        <v>0.56499999999999995</v>
      </c>
      <c r="K218" s="1" t="s">
        <v>21</v>
      </c>
      <c r="L218" s="1" t="s">
        <v>21</v>
      </c>
      <c r="M218" s="1" t="s">
        <v>29</v>
      </c>
      <c r="N218" s="1" t="s">
        <v>22</v>
      </c>
      <c r="O218" s="1" t="str">
        <f t="shared" ca="1" si="1"/>
        <v>Please solve the LeetCode problem '435. Non-overlapping Intervals'.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9" spans="1:15" x14ac:dyDescent="0.25">
      <c r="A219" s="1">
        <v>503</v>
      </c>
      <c r="B219" s="2" t="str">
        <f>HYPERLINK("https://leetcode.com/problems/next-greater-element-ii/", "Next Greater Element II")</f>
        <v>Next Greater Element II</v>
      </c>
      <c r="C219" s="1">
        <v>8989</v>
      </c>
      <c r="D219" s="1">
        <v>234</v>
      </c>
      <c r="E219" s="3">
        <f t="shared" si="0"/>
        <v>0.97462864577686215</v>
      </c>
      <c r="F219" s="1" t="s">
        <v>61</v>
      </c>
      <c r="G219" s="1" t="s">
        <v>24</v>
      </c>
      <c r="H219" s="1">
        <v>725961</v>
      </c>
      <c r="I219" s="1">
        <v>1072783</v>
      </c>
      <c r="J219" s="7">
        <v>0.67700000000000005</v>
      </c>
      <c r="K219" s="1" t="s">
        <v>21</v>
      </c>
      <c r="L219" s="1" t="s">
        <v>21</v>
      </c>
      <c r="M219" s="1" t="s">
        <v>29</v>
      </c>
      <c r="N219" s="1" t="s">
        <v>22</v>
      </c>
      <c r="O219" s="1" t="str">
        <f t="shared" ca="1" si="1"/>
        <v>Please solve the LeetCode problem '503. Next Greater Element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0" spans="1:15" x14ac:dyDescent="0.25">
      <c r="A220" s="1">
        <v>973</v>
      </c>
      <c r="B220" s="2" t="str">
        <f>HYPERLINK("https://leetcode.com/problems/k-closest-points-to-origin/", "K Closest Points to Origin")</f>
        <v>K Closest Points to Origin</v>
      </c>
      <c r="C220" s="1">
        <v>8984</v>
      </c>
      <c r="D220" s="1">
        <v>337</v>
      </c>
      <c r="E220" s="3">
        <f t="shared" si="0"/>
        <v>0.96384508099989274</v>
      </c>
      <c r="F220" s="1" t="s">
        <v>155</v>
      </c>
      <c r="G220" s="1" t="s">
        <v>24</v>
      </c>
      <c r="H220" s="1">
        <v>1660339</v>
      </c>
      <c r="I220" s="1">
        <v>2419688</v>
      </c>
      <c r="J220" s="7">
        <v>0.68600000000000005</v>
      </c>
      <c r="K220" s="1" t="s">
        <v>21</v>
      </c>
      <c r="L220" s="1" t="s">
        <v>21</v>
      </c>
      <c r="M220" s="1" t="s">
        <v>21</v>
      </c>
      <c r="N220" s="1" t="s">
        <v>22</v>
      </c>
      <c r="O220" s="1" t="str">
        <f t="shared" ca="1" si="1"/>
        <v>Please solve the LeetCode problem '973. K Closest Points to Origin'.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1" spans="1:15" x14ac:dyDescent="0.25">
      <c r="A221" s="1">
        <v>658</v>
      </c>
      <c r="B221" s="2" t="str">
        <f>HYPERLINK("https://leetcode.com/problems/find-k-closest-elements/", "Find K Closest Elements")</f>
        <v>Find K Closest Elements</v>
      </c>
      <c r="C221" s="1">
        <v>8947</v>
      </c>
      <c r="D221" s="1">
        <v>890</v>
      </c>
      <c r="E221" s="3">
        <f t="shared" si="0"/>
        <v>0.90952526176679882</v>
      </c>
      <c r="F221" s="1" t="s">
        <v>156</v>
      </c>
      <c r="G221" s="1" t="s">
        <v>24</v>
      </c>
      <c r="H221" s="1">
        <v>781033</v>
      </c>
      <c r="I221" s="1">
        <v>1583847</v>
      </c>
      <c r="J221" s="7">
        <v>0.49299999999999999</v>
      </c>
      <c r="K221" s="1" t="s">
        <v>21</v>
      </c>
      <c r="L221" s="1" t="s">
        <v>21</v>
      </c>
      <c r="M221" s="1" t="s">
        <v>29</v>
      </c>
      <c r="N221" s="1" t="s">
        <v>22</v>
      </c>
      <c r="O221" s="1" t="str">
        <f t="shared" ca="1" si="1"/>
        <v>Please solve the LeetCode problem '658. Find K Closest Elements'.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2" spans="1:15" x14ac:dyDescent="0.25">
      <c r="A222" s="1">
        <v>203</v>
      </c>
      <c r="B222" s="2" t="str">
        <f>HYPERLINK("https://leetcode.com/problems/remove-linked-list-elements/", "Remove Linked List Elements")</f>
        <v>Remove Linked List Elements</v>
      </c>
      <c r="C222" s="1">
        <v>8934</v>
      </c>
      <c r="D222" s="1">
        <v>285</v>
      </c>
      <c r="E222" s="3">
        <f t="shared" si="0"/>
        <v>0.96908558411975265</v>
      </c>
      <c r="F222" s="1" t="s">
        <v>41</v>
      </c>
      <c r="G222" s="1" t="s">
        <v>20</v>
      </c>
      <c r="H222" s="1">
        <v>1525398</v>
      </c>
      <c r="I222" s="1">
        <v>2847949</v>
      </c>
      <c r="J222" s="7">
        <v>0.53600000000000003</v>
      </c>
      <c r="K222" s="1" t="s">
        <v>21</v>
      </c>
      <c r="L222" s="1" t="s">
        <v>21</v>
      </c>
      <c r="M222" s="1" t="s">
        <v>29</v>
      </c>
      <c r="N222" s="1" t="s">
        <v>22</v>
      </c>
      <c r="O222" s="1" t="str">
        <f t="shared" ca="1" si="1"/>
        <v>Please solve the LeetCode problem '203. Remove Linked List Elements'.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3" spans="1:15" x14ac:dyDescent="0.25">
      <c r="A223" s="1">
        <v>278</v>
      </c>
      <c r="B223" s="2" t="str">
        <f>HYPERLINK("https://leetcode.com/problems/first-bad-version/", "First Bad Version")</f>
        <v>First Bad Version</v>
      </c>
      <c r="C223" s="1">
        <v>8930</v>
      </c>
      <c r="D223" s="1">
        <v>3427</v>
      </c>
      <c r="E223" s="3">
        <f t="shared" si="0"/>
        <v>0.72266731407299512</v>
      </c>
      <c r="F223" s="1" t="s">
        <v>157</v>
      </c>
      <c r="G223" s="1" t="s">
        <v>20</v>
      </c>
      <c r="H223" s="1">
        <v>2087830</v>
      </c>
      <c r="I223" s="1">
        <v>4473572</v>
      </c>
      <c r="J223" s="7">
        <v>0.46700000000000003</v>
      </c>
      <c r="K223" s="1" t="s">
        <v>21</v>
      </c>
      <c r="L223" s="1" t="s">
        <v>21</v>
      </c>
      <c r="M223" s="1" t="s">
        <v>21</v>
      </c>
      <c r="N223" s="1" t="s">
        <v>22</v>
      </c>
      <c r="O223" s="1" t="str">
        <f t="shared" ca="1" si="1"/>
        <v>Please solve the LeetCode problem '278. First Bad Version'.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4" spans="1:15" x14ac:dyDescent="0.25">
      <c r="A224" s="1">
        <v>680</v>
      </c>
      <c r="B224" s="2" t="str">
        <f>HYPERLINK("https://leetcode.com/problems/valid-palindrome-ii/", "Valid Palindrome II")</f>
        <v>Valid Palindrome II</v>
      </c>
      <c r="C224" s="1">
        <v>8873</v>
      </c>
      <c r="D224" s="1">
        <v>507</v>
      </c>
      <c r="E224" s="3">
        <f t="shared" si="0"/>
        <v>0.94594882729211083</v>
      </c>
      <c r="F224" s="1" t="s">
        <v>158</v>
      </c>
      <c r="G224" s="1" t="s">
        <v>20</v>
      </c>
      <c r="H224" s="1">
        <v>1087593</v>
      </c>
      <c r="I224" s="1">
        <v>2481800</v>
      </c>
      <c r="J224" s="7">
        <v>0.438</v>
      </c>
      <c r="K224" s="1" t="s">
        <v>21</v>
      </c>
      <c r="L224" s="1" t="s">
        <v>21</v>
      </c>
      <c r="M224" s="1" t="s">
        <v>29</v>
      </c>
      <c r="N224" s="1" t="s">
        <v>22</v>
      </c>
      <c r="O224" s="1" t="str">
        <f t="shared" ca="1" si="1"/>
        <v>Please solve the LeetCode problem '680. Valid Palindrome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5" spans="1:15" x14ac:dyDescent="0.25">
      <c r="A225" s="1">
        <v>310</v>
      </c>
      <c r="B225" s="2" t="str">
        <f>HYPERLINK("https://leetcode.com/problems/minimum-height-trees/", "Minimum Height Trees")</f>
        <v>Minimum Height Trees</v>
      </c>
      <c r="C225" s="1">
        <v>8845</v>
      </c>
      <c r="D225" s="1">
        <v>414</v>
      </c>
      <c r="E225" s="3">
        <f t="shared" si="0"/>
        <v>0.95528674802894487</v>
      </c>
      <c r="F225" s="1" t="s">
        <v>72</v>
      </c>
      <c r="G225" s="1" t="s">
        <v>24</v>
      </c>
      <c r="H225" s="1">
        <v>469260</v>
      </c>
      <c r="I225" s="1">
        <v>1108076</v>
      </c>
      <c r="J225" s="7">
        <v>0.42299999999999999</v>
      </c>
      <c r="K225" s="1" t="s">
        <v>21</v>
      </c>
      <c r="L225" s="1" t="s">
        <v>21</v>
      </c>
      <c r="M225" s="1" t="s">
        <v>29</v>
      </c>
      <c r="N225" s="1" t="s">
        <v>22</v>
      </c>
      <c r="O225" s="1" t="str">
        <f t="shared" ca="1" si="1"/>
        <v>Please solve the LeetCode problem '310. Minimum Height Trees'.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6" spans="1:15" x14ac:dyDescent="0.25">
      <c r="A226" s="1">
        <v>77</v>
      </c>
      <c r="B226" s="2" t="str">
        <f>HYPERLINK("https://leetcode.com/problems/combinations/", "Combinations")</f>
        <v>Combinations</v>
      </c>
      <c r="C226" s="1">
        <v>8830</v>
      </c>
      <c r="D226" s="1">
        <v>250</v>
      </c>
      <c r="E226" s="3">
        <f t="shared" si="0"/>
        <v>0.97246696035242286</v>
      </c>
      <c r="F226" s="1" t="s">
        <v>159</v>
      </c>
      <c r="G226" s="1" t="s">
        <v>24</v>
      </c>
      <c r="H226" s="1">
        <v>1265263</v>
      </c>
      <c r="I226" s="1">
        <v>1709822</v>
      </c>
      <c r="J226" s="7">
        <v>0.74</v>
      </c>
      <c r="K226" s="1" t="s">
        <v>21</v>
      </c>
      <c r="L226" s="1" t="s">
        <v>21</v>
      </c>
      <c r="M226" s="1" t="s">
        <v>29</v>
      </c>
      <c r="N226" s="1" t="s">
        <v>22</v>
      </c>
      <c r="O226" s="1" t="str">
        <f t="shared" ca="1" si="1"/>
        <v>Please solve the LeetCode problem '77. Combinations'.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7" spans="1:15" x14ac:dyDescent="0.25">
      <c r="A227" s="1">
        <v>572</v>
      </c>
      <c r="B227" s="2" t="str">
        <f>HYPERLINK("https://leetcode.com/problems/subtree-of-another-tree/", "Subtree of Another Tree")</f>
        <v>Subtree of Another Tree</v>
      </c>
      <c r="C227" s="1">
        <v>8810</v>
      </c>
      <c r="D227" s="1">
        <v>594</v>
      </c>
      <c r="E227" s="3">
        <f t="shared" si="0"/>
        <v>0.93683538919608678</v>
      </c>
      <c r="F227" s="1" t="s">
        <v>160</v>
      </c>
      <c r="G227" s="1" t="s">
        <v>20</v>
      </c>
      <c r="H227" s="1">
        <v>1201213</v>
      </c>
      <c r="I227" s="1">
        <v>2353149</v>
      </c>
      <c r="J227" s="7">
        <v>0.51</v>
      </c>
      <c r="K227" s="1" t="s">
        <v>21</v>
      </c>
      <c r="L227" s="1" t="s">
        <v>21</v>
      </c>
      <c r="M227" s="1" t="s">
        <v>29</v>
      </c>
      <c r="N227" s="1" t="s">
        <v>22</v>
      </c>
      <c r="O227" s="1" t="str">
        <f t="shared" ca="1" si="1"/>
        <v>Please solve the LeetCode problem '572. Subtree of Another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8" spans="1:15" x14ac:dyDescent="0.25">
      <c r="A228" s="1">
        <v>334</v>
      </c>
      <c r="B228" s="2" t="str">
        <f>HYPERLINK("https://leetcode.com/problems/increasing-triplet-subsequence/", "Increasing Triplet Subsequence")</f>
        <v>Increasing Triplet Subsequence</v>
      </c>
      <c r="C228" s="1">
        <v>8787</v>
      </c>
      <c r="D228" s="1">
        <v>688</v>
      </c>
      <c r="E228" s="3">
        <f t="shared" si="0"/>
        <v>0.92738786279683383</v>
      </c>
      <c r="F228" s="1" t="s">
        <v>96</v>
      </c>
      <c r="G228" s="1" t="s">
        <v>24</v>
      </c>
      <c r="H228" s="1">
        <v>889820</v>
      </c>
      <c r="I228" s="1">
        <v>2271063</v>
      </c>
      <c r="J228" s="7">
        <v>0.39200000000000002</v>
      </c>
      <c r="K228" s="1" t="s">
        <v>21</v>
      </c>
      <c r="L228" s="1" t="s">
        <v>21</v>
      </c>
      <c r="M228" s="1" t="s">
        <v>29</v>
      </c>
      <c r="N228" s="1" t="s">
        <v>22</v>
      </c>
      <c r="O228" s="1" t="str">
        <f t="shared" ca="1" si="1"/>
        <v>Please solve the LeetCode problem '334. Increasing Triplet Subsequence'.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9" spans="1:15" x14ac:dyDescent="0.25">
      <c r="A229" s="1">
        <v>97</v>
      </c>
      <c r="B229" s="2" t="str">
        <f>HYPERLINK("https://leetcode.com/problems/interleaving-string/", "Interleaving String")</f>
        <v>Interleaving String</v>
      </c>
      <c r="C229" s="1">
        <v>8782</v>
      </c>
      <c r="D229" s="1">
        <v>549</v>
      </c>
      <c r="E229" s="3">
        <f t="shared" si="0"/>
        <v>0.94116386239416994</v>
      </c>
      <c r="F229" s="1" t="s">
        <v>82</v>
      </c>
      <c r="G229" s="1" t="s">
        <v>24</v>
      </c>
      <c r="H229" s="1">
        <v>743720</v>
      </c>
      <c r="I229" s="1">
        <v>1717434</v>
      </c>
      <c r="J229" s="7">
        <v>0.433</v>
      </c>
      <c r="K229" s="1" t="s">
        <v>21</v>
      </c>
      <c r="L229" s="1" t="s">
        <v>21</v>
      </c>
      <c r="M229" s="1" t="s">
        <v>29</v>
      </c>
      <c r="N229" s="1" t="s">
        <v>22</v>
      </c>
      <c r="O229" s="1" t="str">
        <f t="shared" ca="1" si="1"/>
        <v>Please solve the LeetCode problem '97. Interleaving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0" spans="1:15" x14ac:dyDescent="0.25">
      <c r="A230" s="1">
        <v>144</v>
      </c>
      <c r="B230" s="2" t="str">
        <f>HYPERLINK("https://leetcode.com/problems/binary-tree-preorder-traversal/", "Binary Tree Preorder Traversal")</f>
        <v>Binary Tree Preorder Traversal</v>
      </c>
      <c r="C230" s="1">
        <v>8766</v>
      </c>
      <c r="D230" s="1">
        <v>233</v>
      </c>
      <c r="E230" s="3">
        <f t="shared" si="0"/>
        <v>0.97410823424824977</v>
      </c>
      <c r="F230" s="1" t="s">
        <v>87</v>
      </c>
      <c r="G230" s="1" t="s">
        <v>20</v>
      </c>
      <c r="H230" s="1">
        <v>2309209</v>
      </c>
      <c r="I230" s="1">
        <v>3083668</v>
      </c>
      <c r="J230" s="7">
        <v>0.749</v>
      </c>
      <c r="K230" s="1" t="s">
        <v>21</v>
      </c>
      <c r="L230" s="1" t="s">
        <v>21</v>
      </c>
      <c r="M230" s="1" t="s">
        <v>29</v>
      </c>
      <c r="N230" s="1" t="s">
        <v>22</v>
      </c>
      <c r="O230" s="1" t="str">
        <f t="shared" ca="1" si="1"/>
        <v>Please solve the LeetCode problem '144. Binary Tree Preorder Traversal'.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1" spans="1:15" x14ac:dyDescent="0.25">
      <c r="A231" s="1">
        <v>983</v>
      </c>
      <c r="B231" s="2" t="str">
        <f>HYPERLINK("https://leetcode.com/problems/minimum-cost-for-tickets/", "Minimum Cost For Tickets")</f>
        <v>Minimum Cost For Tickets</v>
      </c>
      <c r="C231" s="1">
        <v>8759</v>
      </c>
      <c r="D231" s="1">
        <v>189</v>
      </c>
      <c r="E231" s="3">
        <f t="shared" si="0"/>
        <v>0.97887796155565487</v>
      </c>
      <c r="F231" s="1" t="s">
        <v>30</v>
      </c>
      <c r="G231" s="1" t="s">
        <v>24</v>
      </c>
      <c r="H231" s="1">
        <v>461379</v>
      </c>
      <c r="I231" s="1">
        <v>684506</v>
      </c>
      <c r="J231" s="7">
        <v>0.67400000000000004</v>
      </c>
      <c r="K231" s="1" t="s">
        <v>21</v>
      </c>
      <c r="L231" s="1" t="s">
        <v>21</v>
      </c>
      <c r="M231" s="1" t="s">
        <v>29</v>
      </c>
      <c r="N231" s="1" t="s">
        <v>22</v>
      </c>
      <c r="O231" s="1" t="str">
        <f t="shared" ca="1" si="1"/>
        <v>Please solve the LeetCode problem '983. Minimum Cost For Tickets'.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2" spans="1:15" x14ac:dyDescent="0.25">
      <c r="A232" s="1">
        <v>204</v>
      </c>
      <c r="B232" s="2" t="str">
        <f>HYPERLINK("https://leetcode.com/problems/count-primes/", "Count Primes")</f>
        <v>Count Primes</v>
      </c>
      <c r="C232" s="1">
        <v>8704</v>
      </c>
      <c r="D232" s="1">
        <v>1570</v>
      </c>
      <c r="E232" s="3">
        <f t="shared" si="0"/>
        <v>0.84718707416780226</v>
      </c>
      <c r="F232" s="1" t="s">
        <v>161</v>
      </c>
      <c r="G232" s="1" t="s">
        <v>24</v>
      </c>
      <c r="H232" s="1">
        <v>1202522</v>
      </c>
      <c r="I232" s="1">
        <v>3374777</v>
      </c>
      <c r="J232" s="7">
        <v>0.35599999999999998</v>
      </c>
      <c r="K232" s="1" t="s">
        <v>21</v>
      </c>
      <c r="L232" s="1" t="s">
        <v>21</v>
      </c>
      <c r="M232" s="1" t="s">
        <v>29</v>
      </c>
      <c r="N232" s="1" t="s">
        <v>22</v>
      </c>
      <c r="O232" s="1" t="str">
        <f t="shared" ca="1" si="1"/>
        <v>Please solve the LeetCode problem '204. Count Primes'.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3" spans="1:15" x14ac:dyDescent="0.25">
      <c r="A233" s="1">
        <v>525</v>
      </c>
      <c r="B233" s="2" t="str">
        <f>HYPERLINK("https://leetcode.com/problems/contiguous-array/", "Contiguous Array")</f>
        <v>Contiguous Array</v>
      </c>
      <c r="C233" s="1">
        <v>8662</v>
      </c>
      <c r="D233" s="1">
        <v>441</v>
      </c>
      <c r="E233" s="3">
        <f t="shared" si="0"/>
        <v>0.95155443260463579</v>
      </c>
      <c r="F233" s="1" t="s">
        <v>39</v>
      </c>
      <c r="G233" s="1" t="s">
        <v>24</v>
      </c>
      <c r="H233" s="1">
        <v>631333</v>
      </c>
      <c r="I233" s="1">
        <v>1250776</v>
      </c>
      <c r="J233" s="7">
        <v>0.505</v>
      </c>
      <c r="K233" s="1" t="s">
        <v>21</v>
      </c>
      <c r="L233" s="1" t="s">
        <v>21</v>
      </c>
      <c r="M233" s="1" t="s">
        <v>29</v>
      </c>
      <c r="N233" s="1" t="s">
        <v>22</v>
      </c>
      <c r="O233" s="1" t="str">
        <f t="shared" ca="1" si="1"/>
        <v>Please solve the LeetCode problem '525. Contiguous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4" spans="1:15" x14ac:dyDescent="0.25">
      <c r="A234" s="1">
        <v>1480</v>
      </c>
      <c r="B234" s="2" t="str">
        <f>HYPERLINK("https://leetcode.com/problems/running-sum-of-1d-array/", "Running Sum of 1d Array")</f>
        <v>Running Sum of 1d Array</v>
      </c>
      <c r="C234" s="1">
        <v>8625</v>
      </c>
      <c r="D234" s="1">
        <v>367</v>
      </c>
      <c r="E234" s="3">
        <f t="shared" si="0"/>
        <v>0.9591859430604982</v>
      </c>
      <c r="F234" s="1" t="s">
        <v>37</v>
      </c>
      <c r="G234" s="1" t="s">
        <v>20</v>
      </c>
      <c r="H234" s="1">
        <v>2277548</v>
      </c>
      <c r="I234" s="1">
        <v>2621916</v>
      </c>
      <c r="J234" s="7">
        <v>0.86899999999999999</v>
      </c>
      <c r="K234" s="1" t="s">
        <v>21</v>
      </c>
      <c r="L234" s="1" t="s">
        <v>21</v>
      </c>
      <c r="M234" s="1" t="s">
        <v>21</v>
      </c>
      <c r="N234" s="1" t="s">
        <v>22</v>
      </c>
      <c r="O234" s="1" t="str">
        <f t="shared" ca="1" si="1"/>
        <v>Please solve the LeetCode problem '1480. Running Sum of 1d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5" spans="1:15" x14ac:dyDescent="0.25">
      <c r="A235" s="1">
        <v>106</v>
      </c>
      <c r="B235" s="2" t="str">
        <f>HYPERLINK("https://leetcode.com/problems/construct-binary-tree-from-inorder-and-postorder-traversal/", "Construct Binary Tree from Inorder and Postorder Traversal")</f>
        <v>Construct Binary Tree from Inorder and Postorder Traversal</v>
      </c>
      <c r="C235" s="1">
        <v>8621</v>
      </c>
      <c r="D235" s="1">
        <v>154</v>
      </c>
      <c r="E235" s="3">
        <f t="shared" si="0"/>
        <v>0.98245014245014251</v>
      </c>
      <c r="F235" s="1" t="s">
        <v>81</v>
      </c>
      <c r="G235" s="1" t="s">
        <v>24</v>
      </c>
      <c r="H235" s="1">
        <v>907105</v>
      </c>
      <c r="I235" s="1">
        <v>1338620</v>
      </c>
      <c r="J235" s="7">
        <v>0.67800000000000005</v>
      </c>
      <c r="K235" s="1" t="s">
        <v>21</v>
      </c>
      <c r="L235" s="1" t="s">
        <v>21</v>
      </c>
      <c r="M235" s="1" t="s">
        <v>29</v>
      </c>
      <c r="N235" s="1" t="s">
        <v>22</v>
      </c>
      <c r="O235" s="1" t="str">
        <f t="shared" ca="1" si="1"/>
        <v>Please solve the LeetCode problem '106. Construct Binary Tree from Inorder and Postorder Traversal'.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6" spans="1:15" x14ac:dyDescent="0.25">
      <c r="A236" s="1">
        <v>417</v>
      </c>
      <c r="B236" s="2" t="str">
        <f>HYPERLINK("https://leetcode.com/problems/pacific-atlantic-water-flow/", "Pacific Atlantic Water Flow")</f>
        <v>Pacific Atlantic Water Flow</v>
      </c>
      <c r="C236" s="1">
        <v>8610</v>
      </c>
      <c r="D236" s="1">
        <v>1799</v>
      </c>
      <c r="E236" s="3">
        <f t="shared" si="0"/>
        <v>0.82716879623402828</v>
      </c>
      <c r="F236" s="1" t="s">
        <v>143</v>
      </c>
      <c r="G236" s="1" t="s">
        <v>24</v>
      </c>
      <c r="H236" s="1">
        <v>767404</v>
      </c>
      <c r="I236" s="1">
        <v>1270313</v>
      </c>
      <c r="J236" s="7">
        <v>0.60399999999999998</v>
      </c>
      <c r="K236" s="1" t="s">
        <v>21</v>
      </c>
      <c r="L236" s="1" t="s">
        <v>21</v>
      </c>
      <c r="M236" s="1" t="s">
        <v>29</v>
      </c>
      <c r="N236" s="1" t="s">
        <v>22</v>
      </c>
      <c r="O236" s="1" t="str">
        <f t="shared" ca="1" si="1"/>
        <v>Please solve the LeetCode problem '417. Pacific Atlantic Water Flow'.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7" spans="1:15" x14ac:dyDescent="0.25">
      <c r="A237" s="1">
        <v>129</v>
      </c>
      <c r="B237" s="2" t="str">
        <f>HYPERLINK("https://leetcode.com/problems/sum-root-to-leaf-numbers/", "Sum Root to Leaf Numbers")</f>
        <v>Sum Root to Leaf Numbers</v>
      </c>
      <c r="C237" s="1">
        <v>8580</v>
      </c>
      <c r="D237" s="1">
        <v>157</v>
      </c>
      <c r="E237" s="3">
        <f t="shared" si="0"/>
        <v>0.98203044523291749</v>
      </c>
      <c r="F237" s="1" t="s">
        <v>67</v>
      </c>
      <c r="G237" s="1" t="s">
        <v>24</v>
      </c>
      <c r="H237" s="1">
        <v>1224284</v>
      </c>
      <c r="I237" s="1">
        <v>1763741</v>
      </c>
      <c r="J237" s="7">
        <v>0.69399999999999995</v>
      </c>
      <c r="K237" s="1" t="s">
        <v>21</v>
      </c>
      <c r="L237" s="1" t="s">
        <v>21</v>
      </c>
      <c r="M237" s="1" t="s">
        <v>29</v>
      </c>
      <c r="N237" s="1" t="s">
        <v>22</v>
      </c>
      <c r="O237" s="1" t="str">
        <f t="shared" ca="1" si="1"/>
        <v>Please solve the LeetCode problem '129. Sum Root to Leaf Numbers'.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8" spans="1:15" x14ac:dyDescent="0.25">
      <c r="A238" s="1">
        <v>137</v>
      </c>
      <c r="B238" s="2" t="str">
        <f>HYPERLINK("https://leetcode.com/problems/single-number-ii/", "Single Number II")</f>
        <v>Single Number II</v>
      </c>
      <c r="C238" s="1">
        <v>8566</v>
      </c>
      <c r="D238" s="1">
        <v>746</v>
      </c>
      <c r="E238" s="3">
        <f t="shared" si="0"/>
        <v>0.9198883161512027</v>
      </c>
      <c r="F238" s="1" t="s">
        <v>65</v>
      </c>
      <c r="G238" s="1" t="s">
        <v>24</v>
      </c>
      <c r="H238" s="1">
        <v>839269</v>
      </c>
      <c r="I238" s="1">
        <v>1262563</v>
      </c>
      <c r="J238" s="7">
        <v>0.66500000000000004</v>
      </c>
      <c r="K238" s="1" t="s">
        <v>21</v>
      </c>
      <c r="L238" s="1" t="s">
        <v>21</v>
      </c>
      <c r="M238" s="1" t="s">
        <v>29</v>
      </c>
      <c r="N238" s="1" t="s">
        <v>22</v>
      </c>
      <c r="O238" s="1" t="str">
        <f t="shared" ca="1" si="1"/>
        <v>Please solve the LeetCode problem '137. Single Number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9" spans="1:15" x14ac:dyDescent="0.25">
      <c r="A239" s="1">
        <v>113</v>
      </c>
      <c r="B239" s="2" t="str">
        <f>HYPERLINK("https://leetcode.com/problems/path-sum-ii/", "Path Sum II")</f>
        <v>Path Sum II</v>
      </c>
      <c r="C239" s="1">
        <v>8551</v>
      </c>
      <c r="D239" s="1">
        <v>170</v>
      </c>
      <c r="E239" s="3">
        <f t="shared" si="0"/>
        <v>0.98050682261208577</v>
      </c>
      <c r="F239" s="1" t="s">
        <v>164</v>
      </c>
      <c r="G239" s="1" t="s">
        <v>24</v>
      </c>
      <c r="H239" s="1">
        <v>1123333</v>
      </c>
      <c r="I239" s="1">
        <v>1824776</v>
      </c>
      <c r="J239" s="7">
        <v>0.61599999999999999</v>
      </c>
      <c r="K239" s="1" t="s">
        <v>21</v>
      </c>
      <c r="L239" s="1" t="s">
        <v>21</v>
      </c>
      <c r="M239" s="1" t="s">
        <v>29</v>
      </c>
      <c r="N239" s="1" t="s">
        <v>22</v>
      </c>
      <c r="O239" s="1" t="str">
        <f t="shared" ca="1" si="1"/>
        <v>Please solve the LeetCode problem '113. Path Sum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0" spans="1:15" x14ac:dyDescent="0.25">
      <c r="A240" s="1">
        <v>150</v>
      </c>
      <c r="B240" s="2" t="str">
        <f>HYPERLINK("https://leetcode.com/problems/evaluate-reverse-polish-notation/", "Evaluate Reverse Polish Notation")</f>
        <v>Evaluate Reverse Polish Notation</v>
      </c>
      <c r="C240" s="1">
        <v>8539</v>
      </c>
      <c r="D240" s="1">
        <v>1176</v>
      </c>
      <c r="E240" s="3">
        <f t="shared" si="0"/>
        <v>0.8789500772002059</v>
      </c>
      <c r="F240" s="1" t="s">
        <v>162</v>
      </c>
      <c r="G240" s="1" t="s">
        <v>24</v>
      </c>
      <c r="H240" s="1">
        <v>1621356</v>
      </c>
      <c r="I240" s="1">
        <v>2860780</v>
      </c>
      <c r="J240" s="7">
        <v>0.56699999999999995</v>
      </c>
      <c r="K240" s="1" t="s">
        <v>21</v>
      </c>
      <c r="L240" s="1" t="s">
        <v>21</v>
      </c>
      <c r="M240" s="1" t="s">
        <v>29</v>
      </c>
      <c r="N240" s="1" t="s">
        <v>22</v>
      </c>
      <c r="O240" s="1" t="str">
        <f t="shared" ca="1" si="1"/>
        <v>Please solve the LeetCode problem '150. Evaluate Reverse Polish Notation'.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1" spans="1:15" x14ac:dyDescent="0.25">
      <c r="A241" s="1">
        <v>987</v>
      </c>
      <c r="B241" s="2" t="str">
        <f>HYPERLINK("https://leetcode.com/problems/vertical-order-traversal-of-a-binary-tree/", "Vertical Order Traversal of a Binary Tree")</f>
        <v>Vertical Order Traversal of a Binary Tree</v>
      </c>
      <c r="C241" s="1">
        <v>8524</v>
      </c>
      <c r="D241" s="1">
        <v>4390</v>
      </c>
      <c r="E241" s="3">
        <f t="shared" si="0"/>
        <v>0.66005885085953231</v>
      </c>
      <c r="F241" s="1" t="s">
        <v>163</v>
      </c>
      <c r="G241" s="1" t="s">
        <v>28</v>
      </c>
      <c r="H241" s="1">
        <v>681774</v>
      </c>
      <c r="I241" s="1">
        <v>1286860</v>
      </c>
      <c r="J241" s="7">
        <v>0.53</v>
      </c>
      <c r="K241" s="1" t="s">
        <v>21</v>
      </c>
      <c r="L241" s="1" t="s">
        <v>21</v>
      </c>
      <c r="M241" s="1" t="s">
        <v>21</v>
      </c>
      <c r="N241" s="1" t="s">
        <v>22</v>
      </c>
      <c r="O241" s="1" t="str">
        <f t="shared" ca="1" si="1"/>
        <v>Please solve the LeetCode problem '987. Vertical Order Traversal of a Binary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2" spans="1:15" x14ac:dyDescent="0.25">
      <c r="A242" s="1">
        <v>99</v>
      </c>
      <c r="B242" s="2" t="str">
        <f>HYPERLINK("https://leetcode.com/problems/recover-binary-search-tree/", "Recover Binary Search Tree")</f>
        <v>Recover Binary Search Tree</v>
      </c>
      <c r="C242" s="1">
        <v>8519</v>
      </c>
      <c r="D242" s="1">
        <v>287</v>
      </c>
      <c r="E242" s="3">
        <f t="shared" si="0"/>
        <v>0.96740858505564387</v>
      </c>
      <c r="F242" s="1" t="s">
        <v>69</v>
      </c>
      <c r="G242" s="1" t="s">
        <v>24</v>
      </c>
      <c r="H242" s="1">
        <v>625525</v>
      </c>
      <c r="I242" s="1">
        <v>1070566</v>
      </c>
      <c r="J242" s="7">
        <v>0.58399999999999996</v>
      </c>
      <c r="K242" s="1" t="s">
        <v>21</v>
      </c>
      <c r="L242" s="1" t="s">
        <v>21</v>
      </c>
      <c r="M242" s="1" t="s">
        <v>29</v>
      </c>
      <c r="N242" s="1" t="s">
        <v>22</v>
      </c>
      <c r="O242" s="1" t="str">
        <f t="shared" ca="1" si="1"/>
        <v>Please solve the LeetCode problem '99. Recover Binary Search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3" spans="1:15" x14ac:dyDescent="0.25">
      <c r="A243" s="1">
        <v>232</v>
      </c>
      <c r="B243" s="2" t="str">
        <f>HYPERLINK("https://leetcode.com/problems/implement-queue-using-stacks/", "Implement Queue using Stacks")</f>
        <v>Implement Queue using Stacks</v>
      </c>
      <c r="C243" s="1">
        <v>8492</v>
      </c>
      <c r="D243" s="1">
        <v>481</v>
      </c>
      <c r="E243" s="3">
        <f t="shared" si="0"/>
        <v>0.9463947397748802</v>
      </c>
      <c r="F243" s="1" t="s">
        <v>165</v>
      </c>
      <c r="G243" s="1" t="s">
        <v>20</v>
      </c>
      <c r="H243" s="1">
        <v>1384708</v>
      </c>
      <c r="I243" s="1">
        <v>2003766</v>
      </c>
      <c r="J243" s="7">
        <v>0.69099999999999995</v>
      </c>
      <c r="K243" s="1" t="s">
        <v>21</v>
      </c>
      <c r="L243" s="1" t="s">
        <v>21</v>
      </c>
      <c r="M243" s="1" t="s">
        <v>29</v>
      </c>
      <c r="N243" s="1" t="s">
        <v>22</v>
      </c>
      <c r="O243" s="1" t="str">
        <f t="shared" ca="1" si="1"/>
        <v>Please solve the LeetCode problem '232. Implement Queue using Stacks'.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4" spans="1:15" x14ac:dyDescent="0.25">
      <c r="A244" s="1">
        <v>852</v>
      </c>
      <c r="B244" s="2" t="str">
        <f>HYPERLINK("https://leetcode.com/problems/peak-index-in-a-mountain-array/", "Peak Index in a Mountain Array")</f>
        <v>Peak Index in a Mountain Array</v>
      </c>
      <c r="C244" s="1">
        <v>8387</v>
      </c>
      <c r="D244" s="1">
        <v>1949</v>
      </c>
      <c r="E244" s="3">
        <f t="shared" si="0"/>
        <v>0.8114357585139319</v>
      </c>
      <c r="F244" s="1" t="s">
        <v>35</v>
      </c>
      <c r="G244" s="1" t="s">
        <v>24</v>
      </c>
      <c r="H244" s="1">
        <v>1136092</v>
      </c>
      <c r="I244" s="1">
        <v>1695416</v>
      </c>
      <c r="J244" s="7">
        <v>0.67</v>
      </c>
      <c r="K244" s="1" t="s">
        <v>21</v>
      </c>
      <c r="L244" s="1" t="s">
        <v>21</v>
      </c>
      <c r="M244" s="1" t="s">
        <v>29</v>
      </c>
      <c r="N244" s="1" t="s">
        <v>22</v>
      </c>
      <c r="O244" s="1" t="str">
        <f t="shared" ca="1" si="1"/>
        <v>Please solve the LeetCode problem '852. Peak Index in a Mountain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5" spans="1:15" x14ac:dyDescent="0.25">
      <c r="A245" s="1">
        <v>12</v>
      </c>
      <c r="B245" s="2" t="str">
        <f>HYPERLINK("https://leetcode.com/problems/integer-to-roman/", "Integer to Roman")</f>
        <v>Integer to Roman</v>
      </c>
      <c r="C245" s="1">
        <v>8383</v>
      </c>
      <c r="D245" s="1">
        <v>5709</v>
      </c>
      <c r="E245" s="3">
        <f t="shared" si="0"/>
        <v>0.59487652568833382</v>
      </c>
      <c r="F245" s="1" t="s">
        <v>75</v>
      </c>
      <c r="G245" s="1" t="s">
        <v>24</v>
      </c>
      <c r="H245" s="1">
        <v>2003176</v>
      </c>
      <c r="I245" s="1">
        <v>2854997</v>
      </c>
      <c r="J245" s="7">
        <v>0.70199999999999996</v>
      </c>
      <c r="K245" s="1" t="s">
        <v>21</v>
      </c>
      <c r="L245" s="1" t="s">
        <v>21</v>
      </c>
      <c r="M245" s="1" t="s">
        <v>21</v>
      </c>
      <c r="N245" s="1" t="s">
        <v>22</v>
      </c>
      <c r="O245" s="1" t="str">
        <f t="shared" ca="1" si="1"/>
        <v>Please solve the LeetCode problem '12. Integer to Roman'.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6" spans="1:15" x14ac:dyDescent="0.25">
      <c r="A246" s="1">
        <v>743</v>
      </c>
      <c r="B246" s="2" t="str">
        <f>HYPERLINK("https://leetcode.com/problems/network-delay-time/", "Network Delay Time")</f>
        <v>Network Delay Time</v>
      </c>
      <c r="C246" s="1">
        <v>8276</v>
      </c>
      <c r="D246" s="1">
        <v>389</v>
      </c>
      <c r="E246" s="3">
        <f t="shared" si="0"/>
        <v>0.95510675129832656</v>
      </c>
      <c r="F246" s="1" t="s">
        <v>166</v>
      </c>
      <c r="G246" s="1" t="s">
        <v>24</v>
      </c>
      <c r="H246" s="1">
        <v>809875</v>
      </c>
      <c r="I246" s="1">
        <v>1363473</v>
      </c>
      <c r="J246" s="7">
        <v>0.59399999999999997</v>
      </c>
      <c r="K246" s="1" t="s">
        <v>21</v>
      </c>
      <c r="L246" s="1" t="s">
        <v>21</v>
      </c>
      <c r="M246" s="1" t="s">
        <v>29</v>
      </c>
      <c r="N246" s="1" t="s">
        <v>22</v>
      </c>
      <c r="O246" s="1" t="str">
        <f t="shared" ca="1" si="1"/>
        <v>Please solve the LeetCode problem '743. Network Delay Time'.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7" spans="1:15" x14ac:dyDescent="0.25">
      <c r="A247" s="1">
        <v>350</v>
      </c>
      <c r="B247" s="2" t="str">
        <f>HYPERLINK("https://leetcode.com/problems/intersection-of-two-arrays-ii/", "Intersection of Two Arrays II")</f>
        <v>Intersection of Two Arrays II</v>
      </c>
      <c r="C247" s="1">
        <v>8123</v>
      </c>
      <c r="D247" s="1">
        <v>1009</v>
      </c>
      <c r="E247" s="3">
        <f t="shared" si="0"/>
        <v>0.88950941743320189</v>
      </c>
      <c r="F247" s="1" t="s">
        <v>167</v>
      </c>
      <c r="G247" s="1" t="s">
        <v>20</v>
      </c>
      <c r="H247" s="1">
        <v>1680552</v>
      </c>
      <c r="I247" s="1">
        <v>2822438</v>
      </c>
      <c r="J247" s="7">
        <v>0.59499999999999997</v>
      </c>
      <c r="K247" s="1" t="s">
        <v>21</v>
      </c>
      <c r="L247" s="1" t="s">
        <v>21</v>
      </c>
      <c r="M247" s="1" t="s">
        <v>29</v>
      </c>
      <c r="N247" s="1" t="s">
        <v>22</v>
      </c>
      <c r="O247" s="1" t="str">
        <f t="shared" ca="1" si="1"/>
        <v>Please solve the LeetCode problem '350. Intersection of Two Arrays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8" spans="1:15" x14ac:dyDescent="0.25">
      <c r="A248" s="1">
        <v>80</v>
      </c>
      <c r="B248" s="2" t="str">
        <f>HYPERLINK("https://leetcode.com/problems/remove-duplicates-from-sorted-array-ii/", "Remove Duplicates from Sorted Array II")</f>
        <v>Remove Duplicates from Sorted Array II</v>
      </c>
      <c r="C248" s="1">
        <v>8093</v>
      </c>
      <c r="D248" s="1">
        <v>1506</v>
      </c>
      <c r="E248" s="3">
        <f t="shared" si="0"/>
        <v>0.84310865715178662</v>
      </c>
      <c r="F248" s="1" t="s">
        <v>51</v>
      </c>
      <c r="G248" s="1" t="s">
        <v>24</v>
      </c>
      <c r="H248" s="1">
        <v>1812531</v>
      </c>
      <c r="I248" s="1">
        <v>2828819</v>
      </c>
      <c r="J248" s="7">
        <v>0.64100000000000001</v>
      </c>
      <c r="K248" s="1" t="s">
        <v>21</v>
      </c>
      <c r="L248" s="1" t="s">
        <v>21</v>
      </c>
      <c r="M248" s="1" t="s">
        <v>29</v>
      </c>
      <c r="N248" s="1" t="s">
        <v>22</v>
      </c>
      <c r="O248" s="1" t="str">
        <f t="shared" ca="1" si="1"/>
        <v>Please solve the LeetCode problem '80. Remove Duplicates from Sorted Array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9" spans="1:15" x14ac:dyDescent="0.25">
      <c r="A249" s="1">
        <v>211</v>
      </c>
      <c r="B249" s="2" t="str">
        <f>HYPERLINK("https://leetcode.com/problems/design-add-and-search-words-data-structure/", "Design Add and Search Words Data Structure")</f>
        <v>Design Add and Search Words Data Structure</v>
      </c>
      <c r="C249" s="1">
        <v>8034</v>
      </c>
      <c r="D249" s="1">
        <v>490</v>
      </c>
      <c r="E249" s="3">
        <f t="shared" si="0"/>
        <v>0.94251525105584233</v>
      </c>
      <c r="F249" s="1" t="s">
        <v>168</v>
      </c>
      <c r="G249" s="1" t="s">
        <v>24</v>
      </c>
      <c r="H249" s="1">
        <v>852494</v>
      </c>
      <c r="I249" s="1">
        <v>1776158</v>
      </c>
      <c r="J249" s="7">
        <v>0.48</v>
      </c>
      <c r="K249" s="1" t="s">
        <v>21</v>
      </c>
      <c r="L249" s="1" t="s">
        <v>21</v>
      </c>
      <c r="M249" s="1" t="s">
        <v>29</v>
      </c>
      <c r="N249" s="1" t="s">
        <v>22</v>
      </c>
      <c r="O249" s="1" t="str">
        <f t="shared" ca="1" si="1"/>
        <v>Please solve the LeetCode problem '211. Design Add and Search Words Data Structure'.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0" spans="1:15" x14ac:dyDescent="0.25">
      <c r="A250" s="1">
        <v>452</v>
      </c>
      <c r="B250" s="2" t="str">
        <f>HYPERLINK("https://leetcode.com/problems/minimum-number-of-arrows-to-burst-balloons/", "Minimum Number of Arrows to Burst Balloons")</f>
        <v>Minimum Number of Arrows to Burst Balloons</v>
      </c>
      <c r="C250" s="1">
        <v>8010</v>
      </c>
      <c r="D250" s="1">
        <v>266</v>
      </c>
      <c r="E250" s="3">
        <f t="shared" si="0"/>
        <v>0.96785886901884965</v>
      </c>
      <c r="F250" s="1" t="s">
        <v>169</v>
      </c>
      <c r="G250" s="1" t="s">
        <v>24</v>
      </c>
      <c r="H250" s="1">
        <v>747783</v>
      </c>
      <c r="I250" s="1">
        <v>1224532</v>
      </c>
      <c r="J250" s="7">
        <v>0.61099999999999999</v>
      </c>
      <c r="K250" s="1" t="s">
        <v>21</v>
      </c>
      <c r="L250" s="1" t="s">
        <v>21</v>
      </c>
      <c r="M250" s="1" t="s">
        <v>29</v>
      </c>
      <c r="N250" s="1" t="s">
        <v>22</v>
      </c>
      <c r="O250" s="1" t="str">
        <f t="shared" ca="1" si="1"/>
        <v>Please solve the LeetCode problem '452. Minimum Number of Arrows to Burst Balloons'.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1" spans="1:15" x14ac:dyDescent="0.25">
      <c r="A251" s="1">
        <v>581</v>
      </c>
      <c r="B251" s="2" t="str">
        <f>HYPERLINK("https://leetcode.com/problems/shortest-unsorted-continuous-subarray/", "Shortest Unsorted Continuous Subarray")</f>
        <v>Shortest Unsorted Continuous Subarray</v>
      </c>
      <c r="C251" s="1">
        <v>7989</v>
      </c>
      <c r="D251" s="1">
        <v>274</v>
      </c>
      <c r="E251" s="3">
        <f t="shared" si="0"/>
        <v>0.96684013070313446</v>
      </c>
      <c r="F251" s="1" t="s">
        <v>170</v>
      </c>
      <c r="G251" s="1" t="s">
        <v>24</v>
      </c>
      <c r="H251" s="1">
        <v>381094</v>
      </c>
      <c r="I251" s="1">
        <v>1005951</v>
      </c>
      <c r="J251" s="7">
        <v>0.379</v>
      </c>
      <c r="K251" s="1" t="s">
        <v>21</v>
      </c>
      <c r="L251" s="1" t="s">
        <v>21</v>
      </c>
      <c r="M251" s="1" t="s">
        <v>29</v>
      </c>
      <c r="N251" s="1" t="s">
        <v>22</v>
      </c>
      <c r="O251" s="1" t="str">
        <f t="shared" ca="1" si="1"/>
        <v>Please solve the LeetCode problem '581. Shortest Unsorted Continuous Subarray'.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2" spans="1:15" x14ac:dyDescent="0.25">
      <c r="A252" s="1">
        <v>692</v>
      </c>
      <c r="B252" s="2" t="str">
        <f>HYPERLINK("https://leetcode.com/problems/top-k-frequent-words/", "Top K Frequent Words")</f>
        <v>Top K Frequent Words</v>
      </c>
      <c r="C252" s="1">
        <v>7977</v>
      </c>
      <c r="D252" s="1">
        <v>372</v>
      </c>
      <c r="E252" s="3">
        <f t="shared" si="0"/>
        <v>0.95544376572044554</v>
      </c>
      <c r="F252" s="1" t="s">
        <v>171</v>
      </c>
      <c r="G252" s="1" t="s">
        <v>24</v>
      </c>
      <c r="H252" s="1">
        <v>761491</v>
      </c>
      <c r="I252" s="1">
        <v>1272058</v>
      </c>
      <c r="J252" s="7">
        <v>0.59899999999999998</v>
      </c>
      <c r="K252" s="1" t="s">
        <v>21</v>
      </c>
      <c r="L252" s="1" t="s">
        <v>21</v>
      </c>
      <c r="M252" s="1" t="s">
        <v>29</v>
      </c>
      <c r="N252" s="1" t="s">
        <v>22</v>
      </c>
      <c r="O252" s="1" t="str">
        <f t="shared" ca="1" si="1"/>
        <v>Please solve the LeetCode problem '692. Top K Frequent Words'.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3" spans="1:15" x14ac:dyDescent="0.25">
      <c r="A253" s="1">
        <v>86</v>
      </c>
      <c r="B253" s="2" t="str">
        <f>HYPERLINK("https://leetcode.com/problems/partition-list/", "Partition List")</f>
        <v>Partition List</v>
      </c>
      <c r="C253" s="1">
        <v>7960</v>
      </c>
      <c r="D253" s="1">
        <v>978</v>
      </c>
      <c r="E253" s="3">
        <f t="shared" si="0"/>
        <v>0.89057954799731487</v>
      </c>
      <c r="F253" s="1" t="s">
        <v>53</v>
      </c>
      <c r="G253" s="1" t="s">
        <v>24</v>
      </c>
      <c r="H253" s="1">
        <v>862118</v>
      </c>
      <c r="I253" s="1">
        <v>1428247</v>
      </c>
      <c r="J253" s="7">
        <v>0.60399999999999998</v>
      </c>
      <c r="K253" s="1" t="s">
        <v>21</v>
      </c>
      <c r="L253" s="1" t="s">
        <v>21</v>
      </c>
      <c r="M253" s="1" t="s">
        <v>29</v>
      </c>
      <c r="N253" s="1" t="s">
        <v>22</v>
      </c>
      <c r="O253" s="1" t="str">
        <f t="shared" ca="1" si="1"/>
        <v>Please solve the LeetCode problem '86. Partition List'.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4" spans="1:15" x14ac:dyDescent="0.25">
      <c r="A254" s="1">
        <v>188</v>
      </c>
      <c r="B254" s="2" t="str">
        <f>HYPERLINK("https://leetcode.com/problems/best-time-to-buy-and-sell-stock-iv/", "Best Time to Buy and Sell Stock IV")</f>
        <v>Best Time to Buy and Sell Stock IV</v>
      </c>
      <c r="C254" s="1">
        <v>7951</v>
      </c>
      <c r="D254" s="1">
        <v>223</v>
      </c>
      <c r="E254" s="3">
        <f t="shared" si="0"/>
        <v>0.97271837533643257</v>
      </c>
      <c r="F254" s="1" t="s">
        <v>30</v>
      </c>
      <c r="G254" s="1" t="s">
        <v>28</v>
      </c>
      <c r="H254" s="1">
        <v>681097</v>
      </c>
      <c r="I254" s="1">
        <v>1383515</v>
      </c>
      <c r="J254" s="7">
        <v>0.49199999999999999</v>
      </c>
      <c r="K254" s="1" t="s">
        <v>21</v>
      </c>
      <c r="L254" s="1" t="s">
        <v>21</v>
      </c>
      <c r="M254" s="1" t="s">
        <v>29</v>
      </c>
      <c r="N254" s="1" t="s">
        <v>22</v>
      </c>
      <c r="O254" s="1" t="str">
        <f t="shared" ca="1" si="1"/>
        <v>Please solve the LeetCode problem '188. Best Time to Buy and Sell Stock IV'.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5" spans="1:15" x14ac:dyDescent="0.25">
      <c r="A255" s="1">
        <v>95</v>
      </c>
      <c r="B255" s="2" t="str">
        <f>HYPERLINK("https://leetcode.com/problems/unique-binary-search-trees-ii/", "Unique Binary Search Trees II")</f>
        <v>Unique Binary Search Trees II</v>
      </c>
      <c r="C255" s="1">
        <v>7914</v>
      </c>
      <c r="D255" s="1">
        <v>581</v>
      </c>
      <c r="E255" s="3">
        <f t="shared" si="0"/>
        <v>0.93160682754561508</v>
      </c>
      <c r="F255" s="1" t="s">
        <v>173</v>
      </c>
      <c r="G255" s="1" t="s">
        <v>24</v>
      </c>
      <c r="H255" s="1">
        <v>557347</v>
      </c>
      <c r="I255" s="1">
        <v>903630</v>
      </c>
      <c r="J255" s="7">
        <v>0.61699999999999999</v>
      </c>
      <c r="K255" s="1" t="s">
        <v>21</v>
      </c>
      <c r="L255" s="1" t="s">
        <v>21</v>
      </c>
      <c r="M255" s="1" t="s">
        <v>29</v>
      </c>
      <c r="N255" s="1" t="s">
        <v>22</v>
      </c>
      <c r="O255" s="1" t="str">
        <f t="shared" ca="1" si="1"/>
        <v>Please solve the LeetCode problem '95. Unique Binary Search Trees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6" spans="1:15" x14ac:dyDescent="0.25">
      <c r="A256" s="1">
        <v>740</v>
      </c>
      <c r="B256" s="2" t="str">
        <f>HYPERLINK("https://leetcode.com/problems/delete-and-earn/", "Delete and Earn")</f>
        <v>Delete and Earn</v>
      </c>
      <c r="C256" s="1">
        <v>7914</v>
      </c>
      <c r="D256" s="1">
        <v>402</v>
      </c>
      <c r="E256" s="3">
        <f t="shared" si="0"/>
        <v>0.95165945165945165</v>
      </c>
      <c r="F256" s="1" t="s">
        <v>174</v>
      </c>
      <c r="G256" s="1" t="s">
        <v>24</v>
      </c>
      <c r="H256" s="1">
        <v>434288</v>
      </c>
      <c r="I256" s="1">
        <v>761612</v>
      </c>
      <c r="J256" s="7">
        <v>0.56999999999999995</v>
      </c>
      <c r="K256" s="1" t="s">
        <v>21</v>
      </c>
      <c r="L256" s="1" t="s">
        <v>21</v>
      </c>
      <c r="M256" s="1" t="s">
        <v>29</v>
      </c>
      <c r="N256" s="1" t="s">
        <v>22</v>
      </c>
      <c r="O256" s="1" t="str">
        <f t="shared" ca="1" si="1"/>
        <v>Please solve the LeetCode problem '740. Delete and Earn'.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7" spans="1:15" x14ac:dyDescent="0.25">
      <c r="A257" s="1">
        <v>290</v>
      </c>
      <c r="B257" s="2" t="str">
        <f>HYPERLINK("https://leetcode.com/problems/word-pattern/", "Word Pattern")</f>
        <v>Word Pattern</v>
      </c>
      <c r="C257" s="1">
        <v>7893</v>
      </c>
      <c r="D257" s="1">
        <v>1134</v>
      </c>
      <c r="E257" s="3">
        <f t="shared" si="0"/>
        <v>0.87437686939182457</v>
      </c>
      <c r="F257" s="1" t="s">
        <v>131</v>
      </c>
      <c r="G257" s="1" t="s">
        <v>20</v>
      </c>
      <c r="H257" s="1">
        <v>1057341</v>
      </c>
      <c r="I257" s="1">
        <v>2421346</v>
      </c>
      <c r="J257" s="7">
        <v>0.437</v>
      </c>
      <c r="K257" s="1" t="s">
        <v>21</v>
      </c>
      <c r="L257" s="1" t="s">
        <v>21</v>
      </c>
      <c r="M257" s="1" t="s">
        <v>29</v>
      </c>
      <c r="N257" s="1" t="s">
        <v>22</v>
      </c>
      <c r="O257" s="1" t="str">
        <f t="shared" ca="1" si="1"/>
        <v>Please solve the LeetCode problem '290. Word Pattern'.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8" spans="1:15" x14ac:dyDescent="0.25">
      <c r="A258" s="1">
        <v>844</v>
      </c>
      <c r="B258" s="2" t="str">
        <f>HYPERLINK("https://leetcode.com/problems/backspace-string-compare/", "Backspace String Compare")</f>
        <v>Backspace String Compare</v>
      </c>
      <c r="C258" s="1">
        <v>7884</v>
      </c>
      <c r="D258" s="1">
        <v>380</v>
      </c>
      <c r="E258" s="3">
        <f t="shared" si="0"/>
        <v>0.95401742497579867</v>
      </c>
      <c r="F258" s="1" t="s">
        <v>175</v>
      </c>
      <c r="G258" s="1" t="s">
        <v>20</v>
      </c>
      <c r="H258" s="1">
        <v>1011666</v>
      </c>
      <c r="I258" s="1">
        <v>2035141</v>
      </c>
      <c r="J258" s="7">
        <v>0.497</v>
      </c>
      <c r="K258" s="1" t="s">
        <v>21</v>
      </c>
      <c r="L258" s="1" t="s">
        <v>21</v>
      </c>
      <c r="M258" s="1" t="s">
        <v>29</v>
      </c>
      <c r="N258" s="1" t="s">
        <v>22</v>
      </c>
      <c r="O258" s="1" t="str">
        <f t="shared" ca="1" si="1"/>
        <v>Please solve the LeetCode problem '844. Backspace String Compare'.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9" spans="1:15" x14ac:dyDescent="0.25">
      <c r="A259" s="1">
        <v>231</v>
      </c>
      <c r="B259" s="2" t="str">
        <f>HYPERLINK("https://leetcode.com/problems/power-of-two/", "Power of Two")</f>
        <v>Power of Two</v>
      </c>
      <c r="C259" s="1">
        <v>7880</v>
      </c>
      <c r="D259" s="1">
        <v>495</v>
      </c>
      <c r="E259" s="3">
        <f t="shared" ref="E259:E513" si="2">IF(INDEX(C:C, ROW())+INDEX(D:D, ROW())=0, 0, INDEX(C:C, ROW())/(INDEX(C:C, ROW())+INDEX(D:D, ROW())))</f>
        <v>0.94089552238805974</v>
      </c>
      <c r="F259" s="1" t="s">
        <v>172</v>
      </c>
      <c r="G259" s="1" t="s">
        <v>20</v>
      </c>
      <c r="H259" s="1">
        <v>2086452</v>
      </c>
      <c r="I259" s="1">
        <v>4197992</v>
      </c>
      <c r="J259" s="7">
        <v>0.497</v>
      </c>
      <c r="K259" s="1" t="s">
        <v>21</v>
      </c>
      <c r="L259" s="1" t="s">
        <v>21</v>
      </c>
      <c r="M259" s="1" t="s">
        <v>29</v>
      </c>
      <c r="N259" s="1" t="s">
        <v>22</v>
      </c>
      <c r="O259" s="1" t="str">
        <f t="shared" ref="O259:O513" ca="1" si="3"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>Please solve the LeetCode problem '231. Power of Two'.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0" spans="1:15" x14ac:dyDescent="0.25">
      <c r="A260" s="1">
        <v>109</v>
      </c>
      <c r="B260" s="2" t="str">
        <f>HYPERLINK("https://leetcode.com/problems/convert-sorted-list-to-binary-search-tree/", "Convert Sorted List to Binary Search Tree")</f>
        <v>Convert Sorted List to Binary Search Tree</v>
      </c>
      <c r="C260" s="1">
        <v>7831</v>
      </c>
      <c r="D260" s="1">
        <v>173</v>
      </c>
      <c r="E260" s="3">
        <f t="shared" si="2"/>
        <v>0.97838580709645173</v>
      </c>
      <c r="F260" s="1" t="s">
        <v>176</v>
      </c>
      <c r="G260" s="1" t="s">
        <v>24</v>
      </c>
      <c r="H260" s="1">
        <v>658725</v>
      </c>
      <c r="I260" s="1">
        <v>1002302</v>
      </c>
      <c r="J260" s="7">
        <v>0.65700000000000003</v>
      </c>
      <c r="K260" s="1" t="s">
        <v>21</v>
      </c>
      <c r="L260" s="1" t="s">
        <v>21</v>
      </c>
      <c r="M260" s="1" t="s">
        <v>21</v>
      </c>
      <c r="N260" s="1" t="s">
        <v>22</v>
      </c>
      <c r="O260" s="1" t="str">
        <f t="shared" ca="1" si="3"/>
        <v>Please solve the LeetCode problem '109. Convert Sorted List to Binary Search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1" spans="1:15" x14ac:dyDescent="0.25">
      <c r="A261" s="1">
        <v>1539</v>
      </c>
      <c r="B261" s="2" t="str">
        <f>HYPERLINK("https://leetcode.com/problems/kth-missing-positive-number/", "Kth Missing Positive Number")</f>
        <v>Kth Missing Positive Number</v>
      </c>
      <c r="C261" s="1">
        <v>7814</v>
      </c>
      <c r="D261" s="1">
        <v>568</v>
      </c>
      <c r="E261" s="3">
        <f t="shared" si="2"/>
        <v>0.93223574325936531</v>
      </c>
      <c r="F261" s="1" t="s">
        <v>35</v>
      </c>
      <c r="G261" s="1" t="s">
        <v>20</v>
      </c>
      <c r="H261" s="1">
        <v>786026</v>
      </c>
      <c r="I261" s="1">
        <v>1245928</v>
      </c>
      <c r="J261" s="7">
        <v>0.63100000000000001</v>
      </c>
      <c r="K261" s="1" t="s">
        <v>21</v>
      </c>
      <c r="L261" s="1" t="s">
        <v>21</v>
      </c>
      <c r="M261" s="1" t="s">
        <v>29</v>
      </c>
      <c r="N261" s="1" t="s">
        <v>22</v>
      </c>
      <c r="O261" s="1" t="str">
        <f t="shared" ca="1" si="3"/>
        <v>Please solve the LeetCode problem '1539. Kth Missing Positive Number'.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2" spans="1:15" x14ac:dyDescent="0.25">
      <c r="A262" s="1">
        <v>111</v>
      </c>
      <c r="B262" s="2" t="str">
        <f>HYPERLINK("https://leetcode.com/problems/minimum-depth-of-binary-tree/", "Minimum Depth of Binary Tree")</f>
        <v>Minimum Depth of Binary Tree</v>
      </c>
      <c r="C262" s="1">
        <v>7775</v>
      </c>
      <c r="D262" s="1">
        <v>1361</v>
      </c>
      <c r="E262" s="3">
        <f t="shared" si="2"/>
        <v>0.85102889667250436</v>
      </c>
      <c r="F262" s="1" t="s">
        <v>80</v>
      </c>
      <c r="G262" s="1" t="s">
        <v>20</v>
      </c>
      <c r="H262" s="1">
        <v>1595036</v>
      </c>
      <c r="I262" s="1">
        <v>3063223</v>
      </c>
      <c r="J262" s="7">
        <v>0.52100000000000002</v>
      </c>
      <c r="K262" s="1" t="s">
        <v>21</v>
      </c>
      <c r="L262" s="1" t="s">
        <v>21</v>
      </c>
      <c r="M262" s="1" t="s">
        <v>29</v>
      </c>
      <c r="N262" s="1" t="s">
        <v>22</v>
      </c>
      <c r="O262" s="1" t="str">
        <f t="shared" ca="1" si="3"/>
        <v>Please solve the LeetCode problem '111. Minimum Depth of Binary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3" spans="1:15" x14ac:dyDescent="0.25">
      <c r="A263" s="1">
        <v>974</v>
      </c>
      <c r="B263" s="2" t="str">
        <f>HYPERLINK("https://leetcode.com/problems/subarray-sums-divisible-by-k/", "Subarray Sums Divisible by K")</f>
        <v>Subarray Sums Divisible by K</v>
      </c>
      <c r="C263" s="1">
        <v>7768</v>
      </c>
      <c r="D263" s="1">
        <v>344</v>
      </c>
      <c r="E263" s="3">
        <f t="shared" si="2"/>
        <v>0.95759368836291914</v>
      </c>
      <c r="F263" s="1" t="s">
        <v>39</v>
      </c>
      <c r="G263" s="1" t="s">
        <v>24</v>
      </c>
      <c r="H263" s="1">
        <v>456556</v>
      </c>
      <c r="I263" s="1">
        <v>816365</v>
      </c>
      <c r="J263" s="7">
        <v>0.55900000000000005</v>
      </c>
      <c r="K263" s="1" t="s">
        <v>21</v>
      </c>
      <c r="L263" s="1" t="s">
        <v>21</v>
      </c>
      <c r="M263" s="1" t="s">
        <v>29</v>
      </c>
      <c r="N263" s="1" t="s">
        <v>22</v>
      </c>
      <c r="O263" s="1" t="str">
        <f t="shared" ca="1" si="3"/>
        <v>Please solve the LeetCode problem '974. Subarray Sums Divisible by K'.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4" spans="1:15" x14ac:dyDescent="0.25">
      <c r="A264" s="1">
        <v>1048</v>
      </c>
      <c r="B264" s="2" t="str">
        <f>HYPERLINK("https://leetcode.com/problems/longest-string-chain/", "Longest String Chain")</f>
        <v>Longest String Chain</v>
      </c>
      <c r="C264" s="1">
        <v>7746</v>
      </c>
      <c r="D264" s="1">
        <v>272</v>
      </c>
      <c r="E264" s="3">
        <f t="shared" si="2"/>
        <v>0.96607632826141188</v>
      </c>
      <c r="F264" s="1" t="s">
        <v>177</v>
      </c>
      <c r="G264" s="1" t="s">
        <v>24</v>
      </c>
      <c r="H264" s="1">
        <v>509706</v>
      </c>
      <c r="I264" s="1">
        <v>812683</v>
      </c>
      <c r="J264" s="7">
        <v>0.627</v>
      </c>
      <c r="K264" s="1" t="s">
        <v>21</v>
      </c>
      <c r="L264" s="1" t="s">
        <v>21</v>
      </c>
      <c r="M264" s="1" t="s">
        <v>29</v>
      </c>
      <c r="N264" s="1" t="s">
        <v>22</v>
      </c>
      <c r="O264" s="1" t="str">
        <f t="shared" ca="1" si="3"/>
        <v>Please solve the LeetCode problem '1048. Longest String Chain'.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5" spans="1:15" x14ac:dyDescent="0.25">
      <c r="A265" s="1">
        <v>377</v>
      </c>
      <c r="B265" s="2" t="str">
        <f>HYPERLINK("https://leetcode.com/problems/combination-sum-iv/", "Combination Sum IV")</f>
        <v>Combination Sum IV</v>
      </c>
      <c r="C265" s="1">
        <v>7736</v>
      </c>
      <c r="D265" s="1">
        <v>699</v>
      </c>
      <c r="E265" s="3">
        <f t="shared" si="2"/>
        <v>0.91713100177830464</v>
      </c>
      <c r="F265" s="1" t="s">
        <v>30</v>
      </c>
      <c r="G265" s="1" t="s">
        <v>24</v>
      </c>
      <c r="H265" s="1">
        <v>588458</v>
      </c>
      <c r="I265" s="1">
        <v>1071228</v>
      </c>
      <c r="J265" s="7">
        <v>0.54900000000000004</v>
      </c>
      <c r="K265" s="1" t="s">
        <v>21</v>
      </c>
      <c r="L265" s="1" t="s">
        <v>21</v>
      </c>
      <c r="M265" s="1" t="s">
        <v>29</v>
      </c>
      <c r="N265" s="1" t="s">
        <v>22</v>
      </c>
      <c r="O265" s="1" t="str">
        <f t="shared" ca="1" si="3"/>
        <v>Please solve the LeetCode problem '377. Combination Sum IV'.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6" spans="1:15" x14ac:dyDescent="0.25">
      <c r="A266" s="1">
        <v>145</v>
      </c>
      <c r="B266" s="2" t="str">
        <f>HYPERLINK("https://leetcode.com/problems/binary-tree-postorder-traversal/", "Binary Tree Postorder Traversal")</f>
        <v>Binary Tree Postorder Traversal</v>
      </c>
      <c r="C266" s="1">
        <v>7690</v>
      </c>
      <c r="D266" s="1">
        <v>222</v>
      </c>
      <c r="E266" s="3">
        <f t="shared" si="2"/>
        <v>0.9719413549039434</v>
      </c>
      <c r="F266" s="1" t="s">
        <v>87</v>
      </c>
      <c r="G266" s="1" t="s">
        <v>20</v>
      </c>
      <c r="H266" s="1">
        <v>1860437</v>
      </c>
      <c r="I266" s="1">
        <v>2405652</v>
      </c>
      <c r="J266" s="7">
        <v>0.77300000000000002</v>
      </c>
      <c r="K266" s="1" t="s">
        <v>21</v>
      </c>
      <c r="L266" s="1" t="s">
        <v>21</v>
      </c>
      <c r="M266" s="1" t="s">
        <v>29</v>
      </c>
      <c r="N266" s="1" t="s">
        <v>22</v>
      </c>
      <c r="O266" s="1" t="str">
        <f t="shared" ca="1" si="3"/>
        <v>Please solve the LeetCode problem '145. Binary Tree Postorder Traversal'.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7" spans="1:15" x14ac:dyDescent="0.25">
      <c r="A267" s="1">
        <v>43</v>
      </c>
      <c r="B267" s="2" t="str">
        <f>HYPERLINK("https://leetcode.com/problems/multiply-strings/", "Multiply Strings")</f>
        <v>Multiply Strings</v>
      </c>
      <c r="C267" s="1">
        <v>7651</v>
      </c>
      <c r="D267" s="1">
        <v>3655</v>
      </c>
      <c r="E267" s="3">
        <f t="shared" si="2"/>
        <v>0.67672032549088978</v>
      </c>
      <c r="F267" s="1" t="s">
        <v>178</v>
      </c>
      <c r="G267" s="1" t="s">
        <v>24</v>
      </c>
      <c r="H267" s="1">
        <v>1098058</v>
      </c>
      <c r="I267" s="1">
        <v>2531706</v>
      </c>
      <c r="J267" s="7">
        <v>0.434</v>
      </c>
      <c r="K267" s="1" t="s">
        <v>21</v>
      </c>
      <c r="L267" s="1" t="s">
        <v>21</v>
      </c>
      <c r="M267" s="1" t="s">
        <v>29</v>
      </c>
      <c r="N267" s="1" t="s">
        <v>22</v>
      </c>
      <c r="O267" s="1" t="str">
        <f t="shared" ca="1" si="3"/>
        <v>Please solve the LeetCode problem '43. Multiply Strings'.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8" spans="1:15" x14ac:dyDescent="0.25">
      <c r="A268" s="1">
        <v>797</v>
      </c>
      <c r="B268" s="2" t="str">
        <f>HYPERLINK("https://leetcode.com/problems/all-paths-from-source-to-target/", "All Paths From Source to Target")</f>
        <v>All Paths From Source to Target</v>
      </c>
      <c r="C268" s="1">
        <v>7592</v>
      </c>
      <c r="D268" s="1">
        <v>152</v>
      </c>
      <c r="E268" s="3">
        <f t="shared" si="2"/>
        <v>0.98037190082644632</v>
      </c>
      <c r="F268" s="1" t="s">
        <v>180</v>
      </c>
      <c r="G268" s="1" t="s">
        <v>24</v>
      </c>
      <c r="H268" s="1">
        <v>665993</v>
      </c>
      <c r="I268" s="1">
        <v>797963</v>
      </c>
      <c r="J268" s="7">
        <v>0.83499999999999996</v>
      </c>
      <c r="K268" s="1" t="s">
        <v>21</v>
      </c>
      <c r="L268" s="1" t="s">
        <v>21</v>
      </c>
      <c r="M268" s="1" t="s">
        <v>29</v>
      </c>
      <c r="N268" s="1" t="s">
        <v>22</v>
      </c>
      <c r="O268" s="1" t="str">
        <f t="shared" ca="1" si="3"/>
        <v>Please solve the LeetCode problem '797. All Paths From Source to Target'.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9" spans="1:15" x14ac:dyDescent="0.25">
      <c r="A269" s="1">
        <v>721</v>
      </c>
      <c r="B269" s="2" t="str">
        <f>HYPERLINK("https://leetcode.com/problems/accounts-merge/", "Accounts Merge")</f>
        <v>Accounts Merge</v>
      </c>
      <c r="C269" s="1">
        <v>7586</v>
      </c>
      <c r="D269" s="1">
        <v>1294</v>
      </c>
      <c r="E269" s="3">
        <f t="shared" si="2"/>
        <v>0.85427927927927927</v>
      </c>
      <c r="F269" s="1" t="s">
        <v>179</v>
      </c>
      <c r="G269" s="1" t="s">
        <v>24</v>
      </c>
      <c r="H269" s="1">
        <v>594071</v>
      </c>
      <c r="I269" s="1">
        <v>977938</v>
      </c>
      <c r="J269" s="7">
        <v>0.60699999999999998</v>
      </c>
      <c r="K269" s="1" t="s">
        <v>21</v>
      </c>
      <c r="L269" s="1" t="s">
        <v>21</v>
      </c>
      <c r="M269" s="1" t="s">
        <v>29</v>
      </c>
      <c r="N269" s="1" t="s">
        <v>22</v>
      </c>
      <c r="O269" s="1" t="str">
        <f t="shared" ca="1" si="3"/>
        <v>Please solve the LeetCode problem '721. Accounts Merge'.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0" spans="1:15" x14ac:dyDescent="0.25">
      <c r="A270" s="1">
        <v>714</v>
      </c>
      <c r="B270" s="2" t="str">
        <f>HYPERLINK("https://leetcode.com/problems/best-time-to-buy-and-sell-stock-with-transaction-fee/", "Best Time to Buy and Sell Stock with Transaction Fee")</f>
        <v>Best Time to Buy and Sell Stock with Transaction Fee</v>
      </c>
      <c r="C270" s="1">
        <v>7577</v>
      </c>
      <c r="D270" s="1">
        <v>234</v>
      </c>
      <c r="E270" s="3">
        <f t="shared" si="2"/>
        <v>0.97004224811163742</v>
      </c>
      <c r="F270" s="1" t="s">
        <v>50</v>
      </c>
      <c r="G270" s="1" t="s">
        <v>24</v>
      </c>
      <c r="H270" s="1">
        <v>549981</v>
      </c>
      <c r="I270" s="1">
        <v>768618</v>
      </c>
      <c r="J270" s="7">
        <v>0.71599999999999997</v>
      </c>
      <c r="K270" s="1" t="s">
        <v>21</v>
      </c>
      <c r="L270" s="1" t="s">
        <v>21</v>
      </c>
      <c r="M270" s="1" t="s">
        <v>29</v>
      </c>
      <c r="N270" s="1" t="s">
        <v>22</v>
      </c>
      <c r="O270" s="1" t="str">
        <f t="shared" ca="1" si="3"/>
        <v>Please solve the LeetCode problem '714. Best Time to Buy and Sell Stock with Transaction Fee'.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1" spans="1:15" x14ac:dyDescent="0.25">
      <c r="A271" s="1">
        <v>456</v>
      </c>
      <c r="B271" s="2" t="str">
        <f>HYPERLINK("https://leetcode.com/problems/132-pattern/", "132 Pattern")</f>
        <v>132 Pattern</v>
      </c>
      <c r="C271" s="1">
        <v>7575</v>
      </c>
      <c r="D271" s="1">
        <v>467</v>
      </c>
      <c r="E271" s="3">
        <f t="shared" si="2"/>
        <v>0.94192986819199209</v>
      </c>
      <c r="F271" s="1" t="s">
        <v>181</v>
      </c>
      <c r="G271" s="1" t="s">
        <v>24</v>
      </c>
      <c r="H271" s="1">
        <v>314317</v>
      </c>
      <c r="I271" s="1">
        <v>912513</v>
      </c>
      <c r="J271" s="7">
        <v>0.34399999999999997</v>
      </c>
      <c r="K271" s="1" t="s">
        <v>21</v>
      </c>
      <c r="L271" s="1" t="s">
        <v>21</v>
      </c>
      <c r="M271" s="1" t="s">
        <v>21</v>
      </c>
      <c r="N271" s="1" t="s">
        <v>22</v>
      </c>
      <c r="O271" s="1" t="str">
        <f t="shared" ca="1" si="3"/>
        <v>Please solve the LeetCode problem '456. 132 Pattern'.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2" spans="1:15" x14ac:dyDescent="0.25">
      <c r="A272" s="1">
        <v>140</v>
      </c>
      <c r="B272" s="2" t="str">
        <f>HYPERLINK("https://leetcode.com/problems/word-break-ii/", "Word Break II")</f>
        <v>Word Break II</v>
      </c>
      <c r="C272" s="1">
        <v>7518</v>
      </c>
      <c r="D272" s="1">
        <v>545</v>
      </c>
      <c r="E272" s="3">
        <f t="shared" si="2"/>
        <v>0.9324072925710033</v>
      </c>
      <c r="F272" s="1" t="s">
        <v>182</v>
      </c>
      <c r="G272" s="1" t="s">
        <v>28</v>
      </c>
      <c r="H272" s="1">
        <v>796275</v>
      </c>
      <c r="I272" s="1">
        <v>1450747</v>
      </c>
      <c r="J272" s="7">
        <v>0.54900000000000004</v>
      </c>
      <c r="K272" s="1" t="s">
        <v>21</v>
      </c>
      <c r="L272" s="1" t="s">
        <v>21</v>
      </c>
      <c r="M272" s="1" t="s">
        <v>29</v>
      </c>
      <c r="N272" s="1" t="s">
        <v>22</v>
      </c>
      <c r="O272" s="1" t="str">
        <f t="shared" ca="1" si="3"/>
        <v>Please solve the LeetCode problem '140. Word Break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3" spans="1:15" x14ac:dyDescent="0.25">
      <c r="A273" s="1">
        <v>698</v>
      </c>
      <c r="B273" s="2" t="str">
        <f>HYPERLINK("https://leetcode.com/problems/partition-to-k-equal-sum-subsets/", "Partition to K Equal Sum Subsets")</f>
        <v>Partition to K Equal Sum Subsets</v>
      </c>
      <c r="C273" s="1">
        <v>7497</v>
      </c>
      <c r="D273" s="1">
        <v>552</v>
      </c>
      <c r="E273" s="3">
        <f t="shared" si="2"/>
        <v>0.93142005218039503</v>
      </c>
      <c r="F273" s="1" t="s">
        <v>1351</v>
      </c>
      <c r="G273" s="1" t="s">
        <v>24</v>
      </c>
      <c r="H273" s="1">
        <v>332105</v>
      </c>
      <c r="I273" s="1">
        <v>866059</v>
      </c>
      <c r="J273" s="7">
        <v>0.38300000000000001</v>
      </c>
      <c r="K273" s="1" t="s">
        <v>21</v>
      </c>
      <c r="L273" s="1" t="s">
        <v>21</v>
      </c>
      <c r="M273" s="1" t="s">
        <v>29</v>
      </c>
      <c r="N273" s="1" t="s">
        <v>22</v>
      </c>
      <c r="O273" s="1" t="str">
        <f t="shared" ca="1" si="3"/>
        <v>Please solve the LeetCode problem '698. Partition to K Equal Sum Subsets'.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4" spans="1:15" x14ac:dyDescent="0.25">
      <c r="A274" s="1">
        <v>713</v>
      </c>
      <c r="B274" s="2" t="str">
        <f>HYPERLINK("https://leetcode.com/problems/subarray-product-less-than-k/", "Subarray Product Less Than K")</f>
        <v>Subarray Product Less Than K</v>
      </c>
      <c r="C274" s="1">
        <v>7410</v>
      </c>
      <c r="D274" s="1">
        <v>234</v>
      </c>
      <c r="E274" s="3">
        <f t="shared" si="2"/>
        <v>0.96938775510204078</v>
      </c>
      <c r="F274" s="1" t="s">
        <v>88</v>
      </c>
      <c r="G274" s="1" t="s">
        <v>24</v>
      </c>
      <c r="H274" s="1">
        <v>567762</v>
      </c>
      <c r="I274" s="1">
        <v>1057819</v>
      </c>
      <c r="J274" s="7">
        <v>0.53700000000000003</v>
      </c>
      <c r="K274" s="1" t="s">
        <v>21</v>
      </c>
      <c r="L274" s="1" t="s">
        <v>21</v>
      </c>
      <c r="M274" s="1" t="s">
        <v>29</v>
      </c>
      <c r="N274" s="1" t="s">
        <v>22</v>
      </c>
      <c r="O274" s="1" t="str">
        <f t="shared" ca="1" si="3"/>
        <v>Please solve the LeetCode problem '713. Subarray Product Less Than K'.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5" spans="1:15" x14ac:dyDescent="0.25">
      <c r="A275" s="1">
        <v>28</v>
      </c>
      <c r="B275" s="2" t="str">
        <f>HYPERLINK("https://leetcode.com/problems/find-the-index-of-the-first-occurrence-in-a-string/", "Find the Index of the First Occurrence in a String")</f>
        <v>Find the Index of the First Occurrence in a String</v>
      </c>
      <c r="C275" s="1">
        <v>7381</v>
      </c>
      <c r="D275" s="1">
        <v>560</v>
      </c>
      <c r="E275" s="3">
        <f t="shared" si="2"/>
        <v>0.92947991436846744</v>
      </c>
      <c r="F275" s="1" t="s">
        <v>184</v>
      </c>
      <c r="G275" s="1" t="s">
        <v>20</v>
      </c>
      <c r="H275" s="1">
        <v>3826253</v>
      </c>
      <c r="I275" s="1">
        <v>8307183</v>
      </c>
      <c r="J275" s="7">
        <v>0.46100000000000002</v>
      </c>
      <c r="K275" s="1" t="s">
        <v>21</v>
      </c>
      <c r="L275" s="1" t="s">
        <v>21</v>
      </c>
      <c r="M275" s="1" t="s">
        <v>21</v>
      </c>
      <c r="N275" s="1" t="s">
        <v>22</v>
      </c>
      <c r="O275" s="1" t="str">
        <f t="shared" ca="1" si="3"/>
        <v>Please solve the LeetCode problem '28. Find the Index of the First Occurrence in a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6" spans="1:15" x14ac:dyDescent="0.25">
      <c r="A276" s="1">
        <v>1249</v>
      </c>
      <c r="B276" s="2" t="str">
        <f>HYPERLINK("https://leetcode.com/problems/minimum-remove-to-make-valid-parentheses/", "Minimum Remove to Make Valid Parentheses")</f>
        <v>Minimum Remove to Make Valid Parentheses</v>
      </c>
      <c r="C276" s="1">
        <v>7333</v>
      </c>
      <c r="D276" s="1">
        <v>163</v>
      </c>
      <c r="E276" s="3">
        <f t="shared" si="2"/>
        <v>0.9782550693703308</v>
      </c>
      <c r="F276" s="1" t="s">
        <v>36</v>
      </c>
      <c r="G276" s="1" t="s">
        <v>24</v>
      </c>
      <c r="H276" s="1">
        <v>1026022</v>
      </c>
      <c r="I276" s="1">
        <v>1441209</v>
      </c>
      <c r="J276" s="7">
        <v>0.71199999999999997</v>
      </c>
      <c r="K276" s="1" t="s">
        <v>21</v>
      </c>
      <c r="L276" s="1" t="s">
        <v>21</v>
      </c>
      <c r="M276" s="1" t="s">
        <v>29</v>
      </c>
      <c r="N276" s="1" t="s">
        <v>22</v>
      </c>
      <c r="O276" s="1" t="str">
        <f t="shared" ca="1" si="3"/>
        <v>Please solve the LeetCode problem '1249. Minimum Remove to Make Valid Parentheses'.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7" spans="1:15" x14ac:dyDescent="0.25">
      <c r="A277" s="1">
        <v>1091</v>
      </c>
      <c r="B277" s="2" t="str">
        <f>HYPERLINK("https://leetcode.com/problems/shortest-path-in-binary-matrix/", "Shortest Path in Binary Matrix")</f>
        <v>Shortest Path in Binary Matrix</v>
      </c>
      <c r="C277" s="1">
        <v>7327</v>
      </c>
      <c r="D277" s="1">
        <v>272</v>
      </c>
      <c r="E277" s="3">
        <f t="shared" si="2"/>
        <v>0.96420581655480986</v>
      </c>
      <c r="F277" s="1" t="s">
        <v>86</v>
      </c>
      <c r="G277" s="1" t="s">
        <v>24</v>
      </c>
      <c r="H277" s="1">
        <v>797502</v>
      </c>
      <c r="I277" s="1">
        <v>1565710</v>
      </c>
      <c r="J277" s="7">
        <v>0.50900000000000001</v>
      </c>
      <c r="K277" s="1" t="s">
        <v>21</v>
      </c>
      <c r="L277" s="1" t="s">
        <v>21</v>
      </c>
      <c r="M277" s="1" t="s">
        <v>29</v>
      </c>
      <c r="N277" s="1" t="s">
        <v>22</v>
      </c>
      <c r="O277" s="1" t="str">
        <f t="shared" ca="1" si="3"/>
        <v>Please solve the LeetCode problem '1091. Shortest Path in Binary Matrix'.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8" spans="1:15" x14ac:dyDescent="0.25">
      <c r="A278" s="1">
        <v>115</v>
      </c>
      <c r="B278" s="2" t="str">
        <f>HYPERLINK("https://leetcode.com/problems/distinct-subsequences/", "Distinct Subsequences")</f>
        <v>Distinct Subsequences</v>
      </c>
      <c r="C278" s="1">
        <v>7321</v>
      </c>
      <c r="D278" s="1">
        <v>319</v>
      </c>
      <c r="E278" s="3">
        <f t="shared" si="2"/>
        <v>0.95824607329842937</v>
      </c>
      <c r="F278" s="1" t="s">
        <v>82</v>
      </c>
      <c r="G278" s="1" t="s">
        <v>28</v>
      </c>
      <c r="H278" s="1">
        <v>648516</v>
      </c>
      <c r="I278" s="1">
        <v>1263620</v>
      </c>
      <c r="J278" s="7">
        <v>0.51300000000000001</v>
      </c>
      <c r="K278" s="1" t="s">
        <v>21</v>
      </c>
      <c r="L278" s="1" t="s">
        <v>21</v>
      </c>
      <c r="M278" s="1" t="s">
        <v>29</v>
      </c>
      <c r="N278" s="1" t="s">
        <v>22</v>
      </c>
      <c r="O278" s="1" t="str">
        <f t="shared" ca="1" si="3"/>
        <v>Please solve the LeetCode problem '115. Distinct Subsequences'.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9" spans="1:15" x14ac:dyDescent="0.25">
      <c r="A279" s="1">
        <v>219</v>
      </c>
      <c r="B279" s="2" t="str">
        <f>HYPERLINK("https://leetcode.com/problems/contains-duplicate-ii/", "Contains Duplicate II")</f>
        <v>Contains Duplicate II</v>
      </c>
      <c r="C279" s="1">
        <v>7296</v>
      </c>
      <c r="D279" s="1">
        <v>3299</v>
      </c>
      <c r="E279" s="3">
        <f t="shared" si="2"/>
        <v>0.68862671071260029</v>
      </c>
      <c r="F279" s="1" t="s">
        <v>185</v>
      </c>
      <c r="G279" s="1" t="s">
        <v>20</v>
      </c>
      <c r="H279" s="1">
        <v>1636239</v>
      </c>
      <c r="I279" s="1">
        <v>3240260</v>
      </c>
      <c r="J279" s="7">
        <v>0.505</v>
      </c>
      <c r="K279" s="1" t="s">
        <v>21</v>
      </c>
      <c r="L279" s="1" t="s">
        <v>21</v>
      </c>
      <c r="M279" s="1" t="s">
        <v>29</v>
      </c>
      <c r="N279" s="1" t="s">
        <v>22</v>
      </c>
      <c r="O279" s="1" t="str">
        <f t="shared" ca="1" si="3"/>
        <v>Please solve the LeetCode problem '219. Contains Duplicate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0" spans="1:15" x14ac:dyDescent="0.25">
      <c r="A280" s="1">
        <v>605</v>
      </c>
      <c r="B280" s="2" t="str">
        <f>HYPERLINK("https://leetcode.com/problems/can-place-flowers/", "Can Place Flowers")</f>
        <v>Can Place Flowers</v>
      </c>
      <c r="C280" s="1">
        <v>7295</v>
      </c>
      <c r="D280" s="1">
        <v>1310</v>
      </c>
      <c r="E280" s="3">
        <f t="shared" si="2"/>
        <v>0.84776292852992441</v>
      </c>
      <c r="F280" s="1" t="s">
        <v>96</v>
      </c>
      <c r="G280" s="1" t="s">
        <v>20</v>
      </c>
      <c r="H280" s="1">
        <v>1331068</v>
      </c>
      <c r="I280" s="1">
        <v>4586523</v>
      </c>
      <c r="J280" s="7">
        <v>0.28999999999999998</v>
      </c>
      <c r="K280" s="1" t="s">
        <v>21</v>
      </c>
      <c r="L280" s="1" t="s">
        <v>21</v>
      </c>
      <c r="M280" s="1" t="s">
        <v>29</v>
      </c>
      <c r="N280" s="1" t="s">
        <v>22</v>
      </c>
      <c r="O280" s="1" t="str">
        <f t="shared" ca="1" si="3"/>
        <v>Please solve the LeetCode problem '605. Can Place Flowers'.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1" spans="1:15" x14ac:dyDescent="0.25">
      <c r="A281" s="1">
        <v>1235</v>
      </c>
      <c r="B281" s="2" t="str">
        <f>HYPERLINK("https://leetcode.com/problems/maximum-profit-in-job-scheduling/", "Maximum Profit in Job Scheduling")</f>
        <v>Maximum Profit in Job Scheduling</v>
      </c>
      <c r="C281" s="1">
        <v>7251</v>
      </c>
      <c r="D281" s="1">
        <v>121</v>
      </c>
      <c r="E281" s="3">
        <f t="shared" si="2"/>
        <v>0.98358654367878462</v>
      </c>
      <c r="F281" s="1" t="s">
        <v>188</v>
      </c>
      <c r="G281" s="1" t="s">
        <v>28</v>
      </c>
      <c r="H281" s="1">
        <v>403683</v>
      </c>
      <c r="I281" s="1">
        <v>739542</v>
      </c>
      <c r="J281" s="7">
        <v>0.54600000000000004</v>
      </c>
      <c r="K281" s="1" t="s">
        <v>21</v>
      </c>
      <c r="L281" s="1" t="s">
        <v>21</v>
      </c>
      <c r="M281" s="1" t="s">
        <v>29</v>
      </c>
      <c r="N281" s="1" t="s">
        <v>22</v>
      </c>
      <c r="O281" s="1" t="str">
        <f t="shared" ca="1" si="3"/>
        <v>Please solve the LeetCode problem '1235. Maximum Profit in Job Scheduling'.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2" spans="1:15" x14ac:dyDescent="0.25">
      <c r="A282" s="1">
        <v>673</v>
      </c>
      <c r="B282" s="2" t="str">
        <f>HYPERLINK("https://leetcode.com/problems/number-of-longest-increasing-subsequence/", "Number of Longest Increasing Subsequence")</f>
        <v>Number of Longest Increasing Subsequence</v>
      </c>
      <c r="C282" s="1">
        <v>7247</v>
      </c>
      <c r="D282" s="1">
        <v>285</v>
      </c>
      <c r="E282" s="3">
        <f t="shared" si="2"/>
        <v>0.96216144450345198</v>
      </c>
      <c r="F282" s="1" t="s">
        <v>186</v>
      </c>
      <c r="G282" s="1" t="s">
        <v>24</v>
      </c>
      <c r="H282" s="1">
        <v>320324</v>
      </c>
      <c r="I282" s="1">
        <v>626611</v>
      </c>
      <c r="J282" s="7">
        <v>0.51100000000000001</v>
      </c>
      <c r="K282" s="1" t="s">
        <v>21</v>
      </c>
      <c r="L282" s="1" t="s">
        <v>21</v>
      </c>
      <c r="M282" s="1" t="s">
        <v>29</v>
      </c>
      <c r="N282" s="1" t="s">
        <v>22</v>
      </c>
      <c r="O282" s="1" t="str">
        <f t="shared" ca="1" si="3"/>
        <v>Please solve the LeetCode problem '673. Number of Longest Increasing Subsequence'.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3" spans="1:15" x14ac:dyDescent="0.25">
      <c r="A283" s="1">
        <v>463</v>
      </c>
      <c r="B283" s="2" t="str">
        <f>HYPERLINK("https://leetcode.com/problems/island-perimeter/", "Island Perimeter")</f>
        <v>Island Perimeter</v>
      </c>
      <c r="C283" s="1">
        <v>7239</v>
      </c>
      <c r="D283" s="1">
        <v>419</v>
      </c>
      <c r="E283" s="3">
        <f t="shared" si="2"/>
        <v>0.9452859754505093</v>
      </c>
      <c r="F283" s="1" t="s">
        <v>143</v>
      </c>
      <c r="G283" s="1" t="s">
        <v>20</v>
      </c>
      <c r="H283" s="1">
        <v>795933</v>
      </c>
      <c r="I283" s="1">
        <v>1073751</v>
      </c>
      <c r="J283" s="7">
        <v>0.74099999999999999</v>
      </c>
      <c r="K283" s="1" t="s">
        <v>21</v>
      </c>
      <c r="L283" s="1" t="s">
        <v>21</v>
      </c>
      <c r="M283" s="1" t="s">
        <v>29</v>
      </c>
      <c r="N283" s="1" t="s">
        <v>22</v>
      </c>
      <c r="O283" s="1" t="str">
        <f t="shared" ca="1" si="3"/>
        <v>Please solve the LeetCode problem '463. Island Perimeter'.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4" spans="1:15" x14ac:dyDescent="0.25">
      <c r="A284" s="1">
        <v>406</v>
      </c>
      <c r="B284" s="2" t="str">
        <f>HYPERLINK("https://leetcode.com/problems/queue-reconstruction-by-height/", "Queue Reconstruction by Height")</f>
        <v>Queue Reconstruction by Height</v>
      </c>
      <c r="C284" s="1">
        <v>7228</v>
      </c>
      <c r="D284" s="1">
        <v>752</v>
      </c>
      <c r="E284" s="3">
        <f t="shared" si="2"/>
        <v>0.90576441102756888</v>
      </c>
      <c r="F284" s="1" t="s">
        <v>190</v>
      </c>
      <c r="G284" s="1" t="s">
        <v>24</v>
      </c>
      <c r="H284" s="1">
        <v>338722</v>
      </c>
      <c r="I284" s="1">
        <v>454455</v>
      </c>
      <c r="J284" s="7">
        <v>0.745</v>
      </c>
      <c r="K284" s="1" t="s">
        <v>21</v>
      </c>
      <c r="L284" s="1" t="s">
        <v>21</v>
      </c>
      <c r="M284" s="1" t="s">
        <v>29</v>
      </c>
      <c r="N284" s="1" t="s">
        <v>22</v>
      </c>
      <c r="O284" s="1" t="str">
        <f t="shared" ca="1" si="3"/>
        <v>Please solve the LeetCode problem '406. Queue Reconstruction by Height'.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5" spans="1:15" x14ac:dyDescent="0.25">
      <c r="A285" s="1">
        <v>653</v>
      </c>
      <c r="B285" s="2" t="str">
        <f>HYPERLINK("https://leetcode.com/problems/two-sum-iv-input-is-a-bst/", "Two Sum IV - Input is a BST")</f>
        <v>Two Sum IV - Input is a BST</v>
      </c>
      <c r="C285" s="1">
        <v>7225</v>
      </c>
      <c r="D285" s="1">
        <v>290</v>
      </c>
      <c r="E285" s="3">
        <f t="shared" si="2"/>
        <v>0.96141051230871588</v>
      </c>
      <c r="F285" s="1" t="s">
        <v>189</v>
      </c>
      <c r="G285" s="1" t="s">
        <v>20</v>
      </c>
      <c r="H285" s="1">
        <v>733127</v>
      </c>
      <c r="I285" s="1">
        <v>1165279</v>
      </c>
      <c r="J285" s="7">
        <v>0.629</v>
      </c>
      <c r="K285" s="1" t="s">
        <v>21</v>
      </c>
      <c r="L285" s="1" t="s">
        <v>21</v>
      </c>
      <c r="M285" s="1" t="s">
        <v>29</v>
      </c>
      <c r="N285" s="1" t="s">
        <v>22</v>
      </c>
      <c r="O285" s="1" t="str">
        <f t="shared" ca="1" si="3"/>
        <v>Please solve the LeetCode problem '653. Two Sum IV - Input is a BST'.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6" spans="1:15" x14ac:dyDescent="0.25">
      <c r="A286" s="1">
        <v>918</v>
      </c>
      <c r="B286" s="2" t="str">
        <f>HYPERLINK("https://leetcode.com/problems/maximum-sum-circular-subarray/", "Maximum Sum Circular Subarray")</f>
        <v>Maximum Sum Circular Subarray</v>
      </c>
      <c r="C286" s="1">
        <v>7225</v>
      </c>
      <c r="D286" s="1">
        <v>337</v>
      </c>
      <c r="E286" s="3">
        <f t="shared" si="2"/>
        <v>0.95543507008727846</v>
      </c>
      <c r="F286" s="1" t="s">
        <v>187</v>
      </c>
      <c r="G286" s="1" t="s">
        <v>24</v>
      </c>
      <c r="H286" s="1">
        <v>389323</v>
      </c>
      <c r="I286" s="1">
        <v>793774</v>
      </c>
      <c r="J286" s="7">
        <v>0.49</v>
      </c>
      <c r="K286" s="1" t="s">
        <v>21</v>
      </c>
      <c r="L286" s="1" t="s">
        <v>21</v>
      </c>
      <c r="M286" s="1" t="s">
        <v>29</v>
      </c>
      <c r="N286" s="1" t="s">
        <v>22</v>
      </c>
      <c r="O286" s="1" t="str">
        <f t="shared" ca="1" si="3"/>
        <v>Please solve the LeetCode problem '918. Maximum Sum Circular Subarray'.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7" spans="1:15" x14ac:dyDescent="0.25">
      <c r="A287" s="1">
        <v>253</v>
      </c>
      <c r="B287" s="2" t="str">
        <f>HYPERLINK("https://leetcode.com/problems/meeting-rooms-ii/", "Meeting Rooms II")</f>
        <v>Meeting Rooms II</v>
      </c>
      <c r="C287" s="1">
        <v>7224</v>
      </c>
      <c r="D287" s="1">
        <v>175</v>
      </c>
      <c r="E287" s="3">
        <f t="shared" si="2"/>
        <v>0.97634815515610218</v>
      </c>
      <c r="F287" s="1" t="s">
        <v>191</v>
      </c>
      <c r="G287" s="1" t="s">
        <v>24</v>
      </c>
      <c r="H287" s="1">
        <v>1134123</v>
      </c>
      <c r="I287" s="1">
        <v>2161216</v>
      </c>
      <c r="J287" s="7">
        <v>0.52500000000000002</v>
      </c>
      <c r="K287" s="1" t="s">
        <v>29</v>
      </c>
      <c r="L287" s="1" t="s">
        <v>21</v>
      </c>
      <c r="M287" s="1" t="s">
        <v>21</v>
      </c>
      <c r="N287" s="1" t="s">
        <v>22</v>
      </c>
      <c r="O287" s="1" t="str">
        <f t="shared" ca="1" si="3"/>
        <v>Please solve the LeetCode problem '253. Meeting Rooms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8" spans="1:15" x14ac:dyDescent="0.25">
      <c r="A288" s="1">
        <v>938</v>
      </c>
      <c r="B288" s="2" t="str">
        <f>HYPERLINK("https://leetcode.com/problems/range-sum-of-bst/", "Range Sum of BST")</f>
        <v>Range Sum of BST</v>
      </c>
      <c r="C288" s="1">
        <v>7221</v>
      </c>
      <c r="D288" s="1">
        <v>389</v>
      </c>
      <c r="E288" s="3">
        <f t="shared" si="2"/>
        <v>0.94888304862023654</v>
      </c>
      <c r="F288" s="1" t="s">
        <v>69</v>
      </c>
      <c r="G288" s="1" t="s">
        <v>20</v>
      </c>
      <c r="H288" s="1">
        <v>1322886</v>
      </c>
      <c r="I288" s="1">
        <v>1510927</v>
      </c>
      <c r="J288" s="7">
        <v>0.876</v>
      </c>
      <c r="K288" s="1" t="s">
        <v>21</v>
      </c>
      <c r="L288" s="1" t="s">
        <v>21</v>
      </c>
      <c r="M288" s="1" t="s">
        <v>21</v>
      </c>
      <c r="N288" s="1" t="s">
        <v>22</v>
      </c>
      <c r="O288" s="1" t="str">
        <f t="shared" ca="1" si="3"/>
        <v>Please solve the LeetCode problem '938. Range Sum of BST'.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9" spans="1:15" x14ac:dyDescent="0.25">
      <c r="A289" s="1">
        <v>60</v>
      </c>
      <c r="B289" s="2" t="str">
        <f>HYPERLINK("https://leetcode.com/problems/permutation-sequence/", "Permutation Sequence")</f>
        <v>Permutation Sequence</v>
      </c>
      <c r="C289" s="1">
        <v>7178</v>
      </c>
      <c r="D289" s="1">
        <v>502</v>
      </c>
      <c r="E289" s="3">
        <f t="shared" si="2"/>
        <v>0.93463541666666672</v>
      </c>
      <c r="F289" s="1" t="s">
        <v>116</v>
      </c>
      <c r="G289" s="1" t="s">
        <v>28</v>
      </c>
      <c r="H289" s="1">
        <v>541458</v>
      </c>
      <c r="I289" s="1">
        <v>1045488</v>
      </c>
      <c r="J289" s="7">
        <v>0.51800000000000002</v>
      </c>
      <c r="K289" s="1" t="s">
        <v>21</v>
      </c>
      <c r="L289" s="1" t="s">
        <v>21</v>
      </c>
      <c r="M289" s="1" t="s">
        <v>29</v>
      </c>
      <c r="N289" s="1" t="s">
        <v>22</v>
      </c>
      <c r="O289" s="1" t="str">
        <f t="shared" ca="1" si="3"/>
        <v>Please solve the LeetCode problem '60. Permutation Sequence'.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0" spans="1:15" x14ac:dyDescent="0.25">
      <c r="A290" s="1">
        <v>257</v>
      </c>
      <c r="B290" s="2" t="str">
        <f>HYPERLINK("https://leetcode.com/problems/binary-tree-paths/", "Binary Tree Paths")</f>
        <v>Binary Tree Paths</v>
      </c>
      <c r="C290" s="1">
        <v>7161</v>
      </c>
      <c r="D290" s="1">
        <v>341</v>
      </c>
      <c r="E290" s="3">
        <f t="shared" si="2"/>
        <v>0.95454545454545459</v>
      </c>
      <c r="F290" s="1" t="s">
        <v>192</v>
      </c>
      <c r="G290" s="1" t="s">
        <v>20</v>
      </c>
      <c r="H290" s="1">
        <v>970561</v>
      </c>
      <c r="I290" s="1">
        <v>1428617</v>
      </c>
      <c r="J290" s="7">
        <v>0.67900000000000005</v>
      </c>
      <c r="K290" s="1" t="s">
        <v>21</v>
      </c>
      <c r="L290" s="1" t="s">
        <v>21</v>
      </c>
      <c r="M290" s="1" t="s">
        <v>29</v>
      </c>
      <c r="N290" s="1" t="s">
        <v>22</v>
      </c>
      <c r="O290" s="1" t="str">
        <f t="shared" ca="1" si="3"/>
        <v>Please solve the LeetCode problem '257. Binary Tree Paths'.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1" spans="1:15" x14ac:dyDescent="0.25">
      <c r="A291" s="1">
        <v>901</v>
      </c>
      <c r="B291" s="2" t="str">
        <f>HYPERLINK("https://leetcode.com/problems/online-stock-span/", "Online Stock Span")</f>
        <v>Online Stock Span</v>
      </c>
      <c r="C291" s="1">
        <v>7129</v>
      </c>
      <c r="D291" s="1">
        <v>492</v>
      </c>
      <c r="E291" s="3">
        <f t="shared" si="2"/>
        <v>0.9354415431045795</v>
      </c>
      <c r="F291" s="1" t="s">
        <v>193</v>
      </c>
      <c r="G291" s="1" t="s">
        <v>24</v>
      </c>
      <c r="H291" s="1">
        <v>554544</v>
      </c>
      <c r="I291" s="1">
        <v>809592</v>
      </c>
      <c r="J291" s="7">
        <v>0.68500000000000005</v>
      </c>
      <c r="K291" s="1" t="s">
        <v>21</v>
      </c>
      <c r="L291" s="1" t="s">
        <v>21</v>
      </c>
      <c r="M291" s="1" t="s">
        <v>29</v>
      </c>
      <c r="N291" s="1" t="s">
        <v>22</v>
      </c>
      <c r="O291" s="1" t="str">
        <f t="shared" ca="1" si="3"/>
        <v>Please solve the LeetCode problem '901. Online Stock Span'.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2" spans="1:15" x14ac:dyDescent="0.25">
      <c r="A292" s="1">
        <v>912</v>
      </c>
      <c r="B292" s="2" t="str">
        <f>HYPERLINK("https://leetcode.com/problems/sort-an-array/", "Sort an Array")</f>
        <v>Sort an Array</v>
      </c>
      <c r="C292" s="1">
        <v>7102</v>
      </c>
      <c r="D292" s="1">
        <v>837</v>
      </c>
      <c r="E292" s="3">
        <f t="shared" si="2"/>
        <v>0.89457110467313261</v>
      </c>
      <c r="F292" s="1" t="s">
        <v>194</v>
      </c>
      <c r="G292" s="1" t="s">
        <v>24</v>
      </c>
      <c r="H292" s="1">
        <v>1053185</v>
      </c>
      <c r="I292" s="1">
        <v>1881874</v>
      </c>
      <c r="J292" s="7">
        <v>0.56000000000000005</v>
      </c>
      <c r="K292" s="1" t="s">
        <v>21</v>
      </c>
      <c r="L292" s="1" t="s">
        <v>21</v>
      </c>
      <c r="M292" s="1" t="s">
        <v>29</v>
      </c>
      <c r="N292" s="1" t="s">
        <v>22</v>
      </c>
      <c r="O292" s="1" t="str">
        <f t="shared" ca="1" si="3"/>
        <v>Please solve the LeetCode problem '912. Sort an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3" spans="1:15" x14ac:dyDescent="0.25">
      <c r="A293" s="1">
        <v>684</v>
      </c>
      <c r="B293" s="2" t="str">
        <f>HYPERLINK("https://leetcode.com/problems/redundant-connection/", "Redundant Connection")</f>
        <v>Redundant Connection</v>
      </c>
      <c r="C293" s="1">
        <v>7092</v>
      </c>
      <c r="D293" s="1">
        <v>450</v>
      </c>
      <c r="E293" s="3">
        <f t="shared" si="2"/>
        <v>0.94033412887828161</v>
      </c>
      <c r="F293" s="1" t="s">
        <v>122</v>
      </c>
      <c r="G293" s="1" t="s">
        <v>24</v>
      </c>
      <c r="H293" s="1">
        <v>614710</v>
      </c>
      <c r="I293" s="1">
        <v>915829</v>
      </c>
      <c r="J293" s="7">
        <v>0.67100000000000004</v>
      </c>
      <c r="K293" s="1" t="s">
        <v>21</v>
      </c>
      <c r="L293" s="1" t="s">
        <v>21</v>
      </c>
      <c r="M293" s="1" t="s">
        <v>29</v>
      </c>
      <c r="N293" s="1" t="s">
        <v>22</v>
      </c>
      <c r="O293" s="1" t="str">
        <f t="shared" ca="1" si="3"/>
        <v>Please solve the LeetCode problem '684. Redundant Connection'.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4" spans="1:15" x14ac:dyDescent="0.25">
      <c r="A294" s="1">
        <v>191</v>
      </c>
      <c r="B294" s="2" t="str">
        <f>HYPERLINK("https://leetcode.com/problems/number-of-1-bits/", "Number of 1 Bits")</f>
        <v>Number of 1 Bits</v>
      </c>
      <c r="C294" s="1">
        <v>7081</v>
      </c>
      <c r="D294" s="1">
        <v>1364</v>
      </c>
      <c r="E294" s="3">
        <f t="shared" si="2"/>
        <v>0.83848431024274717</v>
      </c>
      <c r="F294" s="1" t="s">
        <v>195</v>
      </c>
      <c r="G294" s="1" t="s">
        <v>20</v>
      </c>
      <c r="H294" s="1">
        <v>2014834</v>
      </c>
      <c r="I294" s="1">
        <v>2650016</v>
      </c>
      <c r="J294" s="7">
        <v>0.76</v>
      </c>
      <c r="K294" s="1" t="s">
        <v>21</v>
      </c>
      <c r="L294" s="1" t="s">
        <v>21</v>
      </c>
      <c r="M294" s="1" t="s">
        <v>29</v>
      </c>
      <c r="N294" s="1" t="s">
        <v>22</v>
      </c>
      <c r="O294" s="1" t="str">
        <f t="shared" ca="1" si="3"/>
        <v>Please solve the LeetCode problem '191. Number of 1 Bits'.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5" spans="1:15" x14ac:dyDescent="0.25">
      <c r="A295" s="1">
        <v>718</v>
      </c>
      <c r="B295" s="2" t="str">
        <f>HYPERLINK("https://leetcode.com/problems/maximum-length-of-repeated-subarray/", "Maximum Length of Repeated Subarray")</f>
        <v>Maximum Length of Repeated Subarray</v>
      </c>
      <c r="C295" s="1">
        <v>7043</v>
      </c>
      <c r="D295" s="1">
        <v>180</v>
      </c>
      <c r="E295" s="3">
        <f t="shared" si="2"/>
        <v>0.97507960681157413</v>
      </c>
      <c r="F295" s="1" t="s">
        <v>196</v>
      </c>
      <c r="G295" s="1" t="s">
        <v>24</v>
      </c>
      <c r="H295" s="1">
        <v>356547</v>
      </c>
      <c r="I295" s="1">
        <v>696238</v>
      </c>
      <c r="J295" s="7">
        <v>0.51200000000000001</v>
      </c>
      <c r="K295" s="1" t="s">
        <v>21</v>
      </c>
      <c r="L295" s="1" t="s">
        <v>21</v>
      </c>
      <c r="M295" s="1" t="s">
        <v>29</v>
      </c>
      <c r="N295" s="1" t="s">
        <v>22</v>
      </c>
      <c r="O295" s="1" t="str">
        <f t="shared" ca="1" si="3"/>
        <v>Please solve the LeetCode problem '718. Maximum Length of Repeated Subarray'.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6" spans="1:15" x14ac:dyDescent="0.25">
      <c r="A296" s="1">
        <v>1047</v>
      </c>
      <c r="B296" s="2" t="str">
        <f>HYPERLINK("https://leetcode.com/problems/remove-all-adjacent-duplicates-in-string/", "Remove All Adjacent Duplicates In String")</f>
        <v>Remove All Adjacent Duplicates In String</v>
      </c>
      <c r="C296" s="1">
        <v>7013</v>
      </c>
      <c r="D296" s="1">
        <v>273</v>
      </c>
      <c r="E296" s="3">
        <f t="shared" si="2"/>
        <v>0.96253088114191598</v>
      </c>
      <c r="F296" s="1" t="s">
        <v>36</v>
      </c>
      <c r="G296" s="1" t="s">
        <v>20</v>
      </c>
      <c r="H296" s="1">
        <v>821663</v>
      </c>
      <c r="I296" s="1">
        <v>1132166</v>
      </c>
      <c r="J296" s="7">
        <v>0.72599999999999998</v>
      </c>
      <c r="K296" s="1" t="s">
        <v>21</v>
      </c>
      <c r="L296" s="1" t="s">
        <v>21</v>
      </c>
      <c r="M296" s="1" t="s">
        <v>29</v>
      </c>
      <c r="N296" s="1" t="s">
        <v>22</v>
      </c>
      <c r="O296" s="1" t="str">
        <f t="shared" ca="1" si="3"/>
        <v>Please solve the LeetCode problem '1047. Remove All Adjacent Duplicates In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7" spans="1:15" x14ac:dyDescent="0.25">
      <c r="A297" s="1">
        <v>1423</v>
      </c>
      <c r="B297" s="2" t="str">
        <f>HYPERLINK("https://leetcode.com/problems/maximum-points-you-can-obtain-from-cards/", "Maximum Points You Can Obtain from Cards")</f>
        <v>Maximum Points You Can Obtain from Cards</v>
      </c>
      <c r="C297" s="1">
        <v>6971</v>
      </c>
      <c r="D297" s="1">
        <v>316</v>
      </c>
      <c r="E297" s="3">
        <f t="shared" si="2"/>
        <v>0.95663510360916704</v>
      </c>
      <c r="F297" s="1" t="s">
        <v>197</v>
      </c>
      <c r="G297" s="1" t="s">
        <v>24</v>
      </c>
      <c r="H297" s="1">
        <v>479466</v>
      </c>
      <c r="I297" s="1">
        <v>840679</v>
      </c>
      <c r="J297" s="7">
        <v>0.56999999999999995</v>
      </c>
      <c r="K297" s="1" t="s">
        <v>21</v>
      </c>
      <c r="L297" s="1" t="s">
        <v>21</v>
      </c>
      <c r="M297" s="1" t="s">
        <v>29</v>
      </c>
      <c r="N297" s="1" t="s">
        <v>22</v>
      </c>
      <c r="O297" s="1" t="str">
        <f t="shared" ca="1" si="3"/>
        <v>Please solve the LeetCode problem '1423. Maximum Points You Can Obtain from Cards'.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8" spans="1:15" x14ac:dyDescent="0.25">
      <c r="A298" s="1">
        <v>931</v>
      </c>
      <c r="B298" s="2" t="str">
        <f>HYPERLINK("https://leetcode.com/problems/minimum-falling-path-sum/", "Minimum Falling Path Sum")</f>
        <v>Minimum Falling Path Sum</v>
      </c>
      <c r="C298" s="1">
        <v>6931</v>
      </c>
      <c r="D298" s="1">
        <v>171</v>
      </c>
      <c r="E298" s="3">
        <f t="shared" si="2"/>
        <v>0.97592227541537591</v>
      </c>
      <c r="F298" s="1" t="s">
        <v>94</v>
      </c>
      <c r="G298" s="1" t="s">
        <v>24</v>
      </c>
      <c r="H298" s="1">
        <v>635467</v>
      </c>
      <c r="I298" s="1">
        <v>1045269</v>
      </c>
      <c r="J298" s="7">
        <v>0.60799999999999998</v>
      </c>
      <c r="K298" s="1" t="s">
        <v>21</v>
      </c>
      <c r="L298" s="1" t="s">
        <v>21</v>
      </c>
      <c r="M298" s="1" t="s">
        <v>29</v>
      </c>
      <c r="N298" s="1" t="s">
        <v>22</v>
      </c>
      <c r="O298" s="1" t="str">
        <f t="shared" ca="1" si="3"/>
        <v>Please solve the LeetCode problem '931. Minimum Falling Path Sum'.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9" spans="1:15" x14ac:dyDescent="0.25">
      <c r="A299" s="1">
        <v>802</v>
      </c>
      <c r="B299" s="2" t="str">
        <f>HYPERLINK("https://leetcode.com/problems/find-eventual-safe-states/", "Find Eventual Safe States")</f>
        <v>Find Eventual Safe States</v>
      </c>
      <c r="C299" s="1">
        <v>6919</v>
      </c>
      <c r="D299" s="1">
        <v>523</v>
      </c>
      <c r="E299" s="3">
        <f t="shared" si="2"/>
        <v>0.92972319269013703</v>
      </c>
      <c r="F299" s="1" t="s">
        <v>72</v>
      </c>
      <c r="G299" s="1" t="s">
        <v>24</v>
      </c>
      <c r="H299" s="1">
        <v>535760</v>
      </c>
      <c r="I299" s="1">
        <v>764496</v>
      </c>
      <c r="J299" s="7">
        <v>0.70099999999999996</v>
      </c>
      <c r="K299" s="1" t="s">
        <v>21</v>
      </c>
      <c r="L299" s="1" t="s">
        <v>21</v>
      </c>
      <c r="M299" s="1" t="s">
        <v>29</v>
      </c>
      <c r="N299" s="1" t="s">
        <v>22</v>
      </c>
      <c r="O299" s="1" t="str">
        <f t="shared" ca="1" si="3"/>
        <v>Please solve the LeetCode problem '802. Find Eventual Safe States'.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0" spans="1:15" x14ac:dyDescent="0.25">
      <c r="A300" s="1">
        <v>997</v>
      </c>
      <c r="B300" s="2" t="str">
        <f>HYPERLINK("https://leetcode.com/problems/find-the-town-judge/", "Find the Town Judge")</f>
        <v>Find the Town Judge</v>
      </c>
      <c r="C300" s="1">
        <v>6918</v>
      </c>
      <c r="D300" s="1">
        <v>629</v>
      </c>
      <c r="E300" s="3">
        <f t="shared" si="2"/>
        <v>0.91665562475155693</v>
      </c>
      <c r="F300" s="1" t="s">
        <v>199</v>
      </c>
      <c r="G300" s="1" t="s">
        <v>20</v>
      </c>
      <c r="H300" s="1">
        <v>726517</v>
      </c>
      <c r="I300" s="1">
        <v>1440375</v>
      </c>
      <c r="J300" s="7">
        <v>0.504</v>
      </c>
      <c r="K300" s="1" t="s">
        <v>21</v>
      </c>
      <c r="L300" s="1" t="s">
        <v>21</v>
      </c>
      <c r="M300" s="1" t="s">
        <v>29</v>
      </c>
      <c r="N300" s="1" t="s">
        <v>22</v>
      </c>
      <c r="O300" s="1" t="str">
        <f t="shared" ca="1" si="3"/>
        <v>Please solve the LeetCode problem '997. Find the Town Judge'.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1" spans="1:15" x14ac:dyDescent="0.25">
      <c r="A301" s="1">
        <v>493</v>
      </c>
      <c r="B301" s="2" t="str">
        <f>HYPERLINK("https://leetcode.com/problems/reverse-pairs/", "Reverse Pairs")</f>
        <v>Reverse Pairs</v>
      </c>
      <c r="C301" s="1">
        <v>6897</v>
      </c>
      <c r="D301" s="1">
        <v>295</v>
      </c>
      <c r="E301" s="3">
        <f t="shared" si="2"/>
        <v>0.95898220244716348</v>
      </c>
      <c r="F301" s="1" t="s">
        <v>147</v>
      </c>
      <c r="G301" s="1" t="s">
        <v>28</v>
      </c>
      <c r="H301" s="1">
        <v>332483</v>
      </c>
      <c r="I301" s="1">
        <v>993156</v>
      </c>
      <c r="J301" s="7">
        <v>0.33500000000000002</v>
      </c>
      <c r="K301" s="1" t="s">
        <v>21</v>
      </c>
      <c r="L301" s="1" t="s">
        <v>21</v>
      </c>
      <c r="M301" s="1" t="s">
        <v>29</v>
      </c>
      <c r="N301" s="1" t="s">
        <v>22</v>
      </c>
      <c r="O301" s="1" t="str">
        <f t="shared" ca="1" si="3"/>
        <v>Please solve the LeetCode problem '493. Reverse Pairs'.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2" spans="1:15" x14ac:dyDescent="0.25">
      <c r="A302" s="1">
        <v>678</v>
      </c>
      <c r="B302" s="2" t="str">
        <f>HYPERLINK("https://leetcode.com/problems/valid-parenthesis-string/", "Valid Parenthesis String")</f>
        <v>Valid Parenthesis String</v>
      </c>
      <c r="C302" s="1">
        <v>6890</v>
      </c>
      <c r="D302" s="1">
        <v>219</v>
      </c>
      <c r="E302" s="3">
        <f t="shared" si="2"/>
        <v>0.96919397946265295</v>
      </c>
      <c r="F302" s="1" t="s">
        <v>198</v>
      </c>
      <c r="G302" s="1" t="s">
        <v>24</v>
      </c>
      <c r="H302" s="1">
        <v>558351</v>
      </c>
      <c r="I302" s="1">
        <v>1406651</v>
      </c>
      <c r="J302" s="7">
        <v>0.39700000000000002</v>
      </c>
      <c r="K302" s="1" t="s">
        <v>21</v>
      </c>
      <c r="L302" s="1" t="s">
        <v>21</v>
      </c>
      <c r="M302" s="1" t="s">
        <v>29</v>
      </c>
      <c r="N302" s="1" t="s">
        <v>22</v>
      </c>
      <c r="O302" s="1" t="str">
        <f t="shared" ca="1" si="3"/>
        <v>Please solve the LeetCode problem '678. Valid Parenthesis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3" spans="1:15" x14ac:dyDescent="0.25">
      <c r="A303" s="1">
        <v>224</v>
      </c>
      <c r="B303" s="2" t="str">
        <f>HYPERLINK("https://leetcode.com/problems/basic-calculator/", "Basic Calculator")</f>
        <v>Basic Calculator</v>
      </c>
      <c r="C303" s="1">
        <v>6885</v>
      </c>
      <c r="D303" s="1">
        <v>552</v>
      </c>
      <c r="E303" s="3">
        <f t="shared" si="2"/>
        <v>0.92577652279144818</v>
      </c>
      <c r="F303" s="1" t="s">
        <v>200</v>
      </c>
      <c r="G303" s="1" t="s">
        <v>28</v>
      </c>
      <c r="H303" s="1">
        <v>668602</v>
      </c>
      <c r="I303" s="1">
        <v>1440689</v>
      </c>
      <c r="J303" s="7">
        <v>0.46400000000000002</v>
      </c>
      <c r="K303" s="1" t="s">
        <v>21</v>
      </c>
      <c r="L303" s="1" t="s">
        <v>21</v>
      </c>
      <c r="M303" s="1" t="s">
        <v>29</v>
      </c>
      <c r="N303" s="1" t="s">
        <v>22</v>
      </c>
      <c r="O303" s="1" t="str">
        <f t="shared" ca="1" si="3"/>
        <v>Please solve the LeetCode problem '224. Basic Calculator'.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4" spans="1:15" x14ac:dyDescent="0.25">
      <c r="A304" s="1">
        <v>523</v>
      </c>
      <c r="B304" s="2" t="str">
        <f>HYPERLINK("https://leetcode.com/problems/continuous-subarray-sum/", "Continuous Subarray Sum")</f>
        <v>Continuous Subarray Sum</v>
      </c>
      <c r="C304" s="1">
        <v>6855</v>
      </c>
      <c r="D304" s="1">
        <v>714</v>
      </c>
      <c r="E304" s="3">
        <f t="shared" si="2"/>
        <v>0.90566785572730879</v>
      </c>
      <c r="F304" s="1" t="s">
        <v>201</v>
      </c>
      <c r="G304" s="1" t="s">
        <v>24</v>
      </c>
      <c r="H304" s="1">
        <v>740378</v>
      </c>
      <c r="I304" s="1">
        <v>2376590</v>
      </c>
      <c r="J304" s="7">
        <v>0.312</v>
      </c>
      <c r="K304" s="1" t="s">
        <v>21</v>
      </c>
      <c r="L304" s="1" t="s">
        <v>21</v>
      </c>
      <c r="M304" s="1" t="s">
        <v>29</v>
      </c>
      <c r="N304" s="1" t="s">
        <v>22</v>
      </c>
      <c r="O304" s="1" t="str">
        <f t="shared" ca="1" si="3"/>
        <v>Please solve the LeetCode problem '523. Continuous Subarray Sum'.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5" spans="1:15" x14ac:dyDescent="0.25">
      <c r="A305" s="1">
        <v>373</v>
      </c>
      <c r="B305" s="2" t="str">
        <f>HYPERLINK("https://leetcode.com/problems/find-k-pairs-with-smallest-sums/", "Find K Pairs with Smallest Sums")</f>
        <v>Find K Pairs with Smallest Sums</v>
      </c>
      <c r="C305" s="1">
        <v>6853</v>
      </c>
      <c r="D305" s="1">
        <v>494</v>
      </c>
      <c r="E305" s="3">
        <f t="shared" si="2"/>
        <v>0.9327616714305158</v>
      </c>
      <c r="F305" s="1" t="s">
        <v>202</v>
      </c>
      <c r="G305" s="1" t="s">
        <v>24</v>
      </c>
      <c r="H305" s="1">
        <v>429888</v>
      </c>
      <c r="I305" s="1">
        <v>1038174</v>
      </c>
      <c r="J305" s="7">
        <v>0.41399999999999998</v>
      </c>
      <c r="K305" s="1" t="s">
        <v>21</v>
      </c>
      <c r="L305" s="1" t="s">
        <v>21</v>
      </c>
      <c r="M305" s="1" t="s">
        <v>29</v>
      </c>
      <c r="N305" s="1" t="s">
        <v>22</v>
      </c>
      <c r="O305" s="1" t="str">
        <f t="shared" ca="1" si="3"/>
        <v>Please solve the LeetCode problem '373. Find K Pairs with Smallest Sums'.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6" spans="1:15" x14ac:dyDescent="0.25">
      <c r="A306" s="1">
        <v>59</v>
      </c>
      <c r="B306" s="2" t="str">
        <f>HYPERLINK("https://leetcode.com/problems/spiral-matrix-ii/", "Spiral Matrix II")</f>
        <v>Spiral Matrix II</v>
      </c>
      <c r="C306" s="1">
        <v>6848</v>
      </c>
      <c r="D306" s="1">
        <v>283</v>
      </c>
      <c r="E306" s="3">
        <f t="shared" si="2"/>
        <v>0.960314121441593</v>
      </c>
      <c r="F306" s="1" t="s">
        <v>77</v>
      </c>
      <c r="G306" s="1" t="s">
        <v>24</v>
      </c>
      <c r="H306" s="1">
        <v>766914</v>
      </c>
      <c r="I306" s="1">
        <v>1029857</v>
      </c>
      <c r="J306" s="7">
        <v>0.745</v>
      </c>
      <c r="K306" s="1" t="s">
        <v>21</v>
      </c>
      <c r="L306" s="1" t="s">
        <v>21</v>
      </c>
      <c r="M306" s="1" t="s">
        <v>29</v>
      </c>
      <c r="N306" s="1" t="s">
        <v>22</v>
      </c>
      <c r="O306" s="1" t="str">
        <f t="shared" ca="1" si="3"/>
        <v>Please solve the LeetCode problem '59. Spiral Matrix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7" spans="1:15" x14ac:dyDescent="0.25">
      <c r="A307" s="1">
        <v>881</v>
      </c>
      <c r="B307" s="2" t="str">
        <f>HYPERLINK("https://leetcode.com/problems/boats-to-save-people/", "Boats to Save People")</f>
        <v>Boats to Save People</v>
      </c>
      <c r="C307" s="1">
        <v>6840</v>
      </c>
      <c r="D307" s="1">
        <v>176</v>
      </c>
      <c r="E307" s="3">
        <f t="shared" si="2"/>
        <v>0.97491448118586088</v>
      </c>
      <c r="F307" s="1" t="s">
        <v>203</v>
      </c>
      <c r="G307" s="1" t="s">
        <v>24</v>
      </c>
      <c r="H307" s="1">
        <v>533043</v>
      </c>
      <c r="I307" s="1">
        <v>871740</v>
      </c>
      <c r="J307" s="7">
        <v>0.61099999999999999</v>
      </c>
      <c r="K307" s="1" t="s">
        <v>21</v>
      </c>
      <c r="L307" s="1" t="s">
        <v>21</v>
      </c>
      <c r="M307" s="1" t="s">
        <v>29</v>
      </c>
      <c r="N307" s="1" t="s">
        <v>22</v>
      </c>
      <c r="O307" s="1" t="str">
        <f t="shared" ca="1" si="3"/>
        <v>Please solve the LeetCode problem '881. Boats to Save People'.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8" spans="1:15" x14ac:dyDescent="0.25">
      <c r="A308" s="1">
        <v>225</v>
      </c>
      <c r="B308" s="2" t="str">
        <f>HYPERLINK("https://leetcode.com/problems/implement-stack-using-queues/", "Implement Stack using Queues")</f>
        <v>Implement Stack using Queues</v>
      </c>
      <c r="C308" s="1">
        <v>6831</v>
      </c>
      <c r="D308" s="1">
        <v>1278</v>
      </c>
      <c r="E308" s="3">
        <f t="shared" si="2"/>
        <v>0.84239733629300773</v>
      </c>
      <c r="F308" s="1" t="s">
        <v>165</v>
      </c>
      <c r="G308" s="1" t="s">
        <v>20</v>
      </c>
      <c r="H308" s="1">
        <v>1071941</v>
      </c>
      <c r="I308" s="1">
        <v>1553220</v>
      </c>
      <c r="J308" s="7">
        <v>0.69</v>
      </c>
      <c r="K308" s="1" t="s">
        <v>21</v>
      </c>
      <c r="L308" s="1" t="s">
        <v>21</v>
      </c>
      <c r="M308" s="1" t="s">
        <v>29</v>
      </c>
      <c r="N308" s="1" t="s">
        <v>22</v>
      </c>
      <c r="O308" s="1" t="str">
        <f t="shared" ca="1" si="3"/>
        <v>Please solve the LeetCode problem '225. Implement Stack using Queues'.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9" spans="1:15" x14ac:dyDescent="0.25">
      <c r="A309" s="1">
        <v>264</v>
      </c>
      <c r="B309" s="2" t="str">
        <f>HYPERLINK("https://leetcode.com/problems/ugly-number-ii/", "Ugly Number II")</f>
        <v>Ugly Number II</v>
      </c>
      <c r="C309" s="1">
        <v>6825</v>
      </c>
      <c r="D309" s="1">
        <v>439</v>
      </c>
      <c r="E309" s="3">
        <f t="shared" si="2"/>
        <v>0.9395649779735683</v>
      </c>
      <c r="F309" s="1" t="s">
        <v>205</v>
      </c>
      <c r="G309" s="1" t="s">
        <v>24</v>
      </c>
      <c r="H309" s="1">
        <v>522987</v>
      </c>
      <c r="I309" s="1">
        <v>1057570</v>
      </c>
      <c r="J309" s="7">
        <v>0.495</v>
      </c>
      <c r="K309" s="1" t="s">
        <v>21</v>
      </c>
      <c r="L309" s="1" t="s">
        <v>21</v>
      </c>
      <c r="M309" s="1" t="s">
        <v>29</v>
      </c>
      <c r="N309" s="1" t="s">
        <v>22</v>
      </c>
      <c r="O309" s="1" t="str">
        <f t="shared" ca="1" si="3"/>
        <v>Please solve the LeetCode problem '264. Ugly Number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0" spans="1:15" x14ac:dyDescent="0.25">
      <c r="A310" s="1">
        <v>992</v>
      </c>
      <c r="B310" s="2" t="str">
        <f>HYPERLINK("https://leetcode.com/problems/subarrays-with-k-different-integers/", "Subarrays with K Different Integers")</f>
        <v>Subarrays with K Different Integers</v>
      </c>
      <c r="C310" s="1">
        <v>6816</v>
      </c>
      <c r="D310" s="1">
        <v>117</v>
      </c>
      <c r="E310" s="3">
        <f t="shared" si="2"/>
        <v>0.98312418866291651</v>
      </c>
      <c r="F310" s="1" t="s">
        <v>204</v>
      </c>
      <c r="G310" s="1" t="s">
        <v>28</v>
      </c>
      <c r="H310" s="1">
        <v>363811</v>
      </c>
      <c r="I310" s="1">
        <v>540389</v>
      </c>
      <c r="J310" s="7">
        <v>0.67300000000000004</v>
      </c>
      <c r="K310" s="1" t="s">
        <v>21</v>
      </c>
      <c r="L310" s="1" t="s">
        <v>21</v>
      </c>
      <c r="M310" s="1" t="s">
        <v>29</v>
      </c>
      <c r="N310" s="1" t="s">
        <v>22</v>
      </c>
      <c r="O310" s="1" t="str">
        <f t="shared" ca="1" si="3"/>
        <v>Please solve the LeetCode problem '992. Subarrays with K Different Integers'.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1" spans="1:15" x14ac:dyDescent="0.25">
      <c r="A311" s="1">
        <v>459</v>
      </c>
      <c r="B311" s="2" t="str">
        <f>HYPERLINK("https://leetcode.com/problems/repeated-substring-pattern/", "Repeated Substring Pattern")</f>
        <v>Repeated Substring Pattern</v>
      </c>
      <c r="C311" s="1">
        <v>6805</v>
      </c>
      <c r="D311" s="1">
        <v>563</v>
      </c>
      <c r="E311" s="3">
        <f t="shared" si="2"/>
        <v>0.92358849077090122</v>
      </c>
      <c r="F311" s="1" t="s">
        <v>207</v>
      </c>
      <c r="G311" s="1" t="s">
        <v>20</v>
      </c>
      <c r="H311" s="1">
        <v>584671</v>
      </c>
      <c r="I311" s="1">
        <v>1226330</v>
      </c>
      <c r="J311" s="7">
        <v>0.47699999999999998</v>
      </c>
      <c r="K311" s="1" t="s">
        <v>21</v>
      </c>
      <c r="L311" s="1" t="s">
        <v>21</v>
      </c>
      <c r="M311" s="1" t="s">
        <v>29</v>
      </c>
      <c r="N311" s="1" t="s">
        <v>22</v>
      </c>
      <c r="O311" s="1" t="str">
        <f t="shared" ca="1" si="3"/>
        <v>Please solve the LeetCode problem '459. Repeated Substring Pattern'.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2" spans="1:15" x14ac:dyDescent="0.25">
      <c r="A312" s="1">
        <v>368</v>
      </c>
      <c r="B312" s="2" t="str">
        <f>HYPERLINK("https://leetcode.com/problems/largest-divisible-subset/", "Largest Divisible Subset")</f>
        <v>Largest Divisible Subset</v>
      </c>
      <c r="C312" s="1">
        <v>6802</v>
      </c>
      <c r="D312" s="1">
        <v>327</v>
      </c>
      <c r="E312" s="3">
        <f t="shared" si="2"/>
        <v>0.95413101416748491</v>
      </c>
      <c r="F312" s="1" t="s">
        <v>206</v>
      </c>
      <c r="G312" s="1" t="s">
        <v>24</v>
      </c>
      <c r="H312" s="1">
        <v>484520</v>
      </c>
      <c r="I312" s="1">
        <v>982962</v>
      </c>
      <c r="J312" s="7">
        <v>0.49299999999999999</v>
      </c>
      <c r="K312" s="1" t="s">
        <v>21</v>
      </c>
      <c r="L312" s="1" t="s">
        <v>21</v>
      </c>
      <c r="M312" s="1" t="s">
        <v>29</v>
      </c>
      <c r="N312" s="1" t="s">
        <v>22</v>
      </c>
      <c r="O312" s="1" t="str">
        <f t="shared" ca="1" si="3"/>
        <v>Please solve the LeetCode problem '368. Largest Divisible Subset'.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3" spans="1:15" x14ac:dyDescent="0.25">
      <c r="A313" s="1">
        <v>349</v>
      </c>
      <c r="B313" s="2" t="str">
        <f>HYPERLINK("https://leetcode.com/problems/intersection-of-two-arrays/", "Intersection of Two Arrays")</f>
        <v>Intersection of Two Arrays</v>
      </c>
      <c r="C313" s="1">
        <v>6786</v>
      </c>
      <c r="D313" s="1">
        <v>2341</v>
      </c>
      <c r="E313" s="3">
        <f t="shared" si="2"/>
        <v>0.74350827215952664</v>
      </c>
      <c r="F313" s="1" t="s">
        <v>167</v>
      </c>
      <c r="G313" s="1" t="s">
        <v>20</v>
      </c>
      <c r="H313" s="1">
        <v>1747571</v>
      </c>
      <c r="I313" s="1">
        <v>2260404</v>
      </c>
      <c r="J313" s="7">
        <v>0.77300000000000002</v>
      </c>
      <c r="K313" s="1" t="s">
        <v>21</v>
      </c>
      <c r="L313" s="1" t="s">
        <v>21</v>
      </c>
      <c r="M313" s="1" t="s">
        <v>29</v>
      </c>
      <c r="N313" s="1" t="s">
        <v>22</v>
      </c>
      <c r="O313" s="1" t="str">
        <f t="shared" ca="1" si="3"/>
        <v>Please solve the LeetCode problem '349. Intersection of Two Arrays'.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4" spans="1:15" x14ac:dyDescent="0.25">
      <c r="A314" s="1">
        <v>289</v>
      </c>
      <c r="B314" s="2" t="str">
        <f>HYPERLINK("https://leetcode.com/problems/game-of-life/", "Game of Life")</f>
        <v>Game of Life</v>
      </c>
      <c r="C314" s="1">
        <v>6772</v>
      </c>
      <c r="D314" s="1">
        <v>613</v>
      </c>
      <c r="E314" s="3">
        <f t="shared" si="2"/>
        <v>0.91699390656736623</v>
      </c>
      <c r="F314" s="1" t="s">
        <v>77</v>
      </c>
      <c r="G314" s="1" t="s">
        <v>24</v>
      </c>
      <c r="H314" s="1">
        <v>616960</v>
      </c>
      <c r="I314" s="1">
        <v>854359</v>
      </c>
      <c r="J314" s="7">
        <v>0.72199999999999998</v>
      </c>
      <c r="K314" s="1" t="s">
        <v>21</v>
      </c>
      <c r="L314" s="1" t="s">
        <v>21</v>
      </c>
      <c r="M314" s="1" t="s">
        <v>21</v>
      </c>
      <c r="N314" s="1" t="s">
        <v>22</v>
      </c>
      <c r="O314" s="1" t="str">
        <f t="shared" ca="1" si="3"/>
        <v>Please solve the LeetCode problem '289. Game of Life'.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5" spans="1:15" x14ac:dyDescent="0.25">
      <c r="A315" s="1">
        <v>260</v>
      </c>
      <c r="B315" s="2" t="str">
        <f>HYPERLINK("https://leetcode.com/problems/single-number-iii/", "Single Number III")</f>
        <v>Single Number III</v>
      </c>
      <c r="C315" s="1">
        <v>6744</v>
      </c>
      <c r="D315" s="1">
        <v>276</v>
      </c>
      <c r="E315" s="3">
        <f t="shared" si="2"/>
        <v>0.96068376068376071</v>
      </c>
      <c r="F315" s="1" t="s">
        <v>65</v>
      </c>
      <c r="G315" s="1" t="s">
        <v>24</v>
      </c>
      <c r="H315" s="1">
        <v>573780</v>
      </c>
      <c r="I315" s="1">
        <v>814645</v>
      </c>
      <c r="J315" s="7">
        <v>0.70399999999999996</v>
      </c>
      <c r="K315" s="1" t="s">
        <v>21</v>
      </c>
      <c r="L315" s="1" t="s">
        <v>21</v>
      </c>
      <c r="M315" s="1" t="s">
        <v>29</v>
      </c>
      <c r="N315" s="1" t="s">
        <v>22</v>
      </c>
      <c r="O315" s="1" t="str">
        <f t="shared" ca="1" si="3"/>
        <v>Please solve the LeetCode problem '260. Single Number III'.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6" spans="1:15" x14ac:dyDescent="0.25">
      <c r="A316" s="1">
        <v>1631</v>
      </c>
      <c r="B316" s="2" t="str">
        <f>HYPERLINK("https://leetcode.com/problems/path-with-minimum-effort/", "Path With Minimum Effort")</f>
        <v>Path With Minimum Effort</v>
      </c>
      <c r="C316" s="1">
        <v>6718</v>
      </c>
      <c r="D316" s="1">
        <v>235</v>
      </c>
      <c r="E316" s="3">
        <f t="shared" si="2"/>
        <v>0.96620163958003735</v>
      </c>
      <c r="F316" s="1" t="s">
        <v>208</v>
      </c>
      <c r="G316" s="1" t="s">
        <v>24</v>
      </c>
      <c r="H316" s="1">
        <v>425639</v>
      </c>
      <c r="I316" s="1">
        <v>679984</v>
      </c>
      <c r="J316" s="7">
        <v>0.626</v>
      </c>
      <c r="K316" s="1" t="s">
        <v>21</v>
      </c>
      <c r="L316" s="1" t="s">
        <v>21</v>
      </c>
      <c r="M316" s="1" t="s">
        <v>29</v>
      </c>
      <c r="N316" s="1" t="s">
        <v>22</v>
      </c>
      <c r="O316" s="1" t="str">
        <f t="shared" ca="1" si="3"/>
        <v>Please solve the LeetCode problem '1631. Path With Minimum Effort'.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7" spans="1:15" x14ac:dyDescent="0.25">
      <c r="A317" s="1">
        <v>1008</v>
      </c>
      <c r="B317" s="2" t="str">
        <f>HYPERLINK("https://leetcode.com/problems/construct-binary-search-tree-from-preorder-traversal/", "Construct Binary Search Tree from Preorder Traversal")</f>
        <v>Construct Binary Search Tree from Preorder Traversal</v>
      </c>
      <c r="C317" s="1">
        <v>6703</v>
      </c>
      <c r="D317" s="1">
        <v>93</v>
      </c>
      <c r="E317" s="3">
        <f t="shared" si="2"/>
        <v>0.98631547969393762</v>
      </c>
      <c r="F317" s="1" t="s">
        <v>209</v>
      </c>
      <c r="G317" s="1" t="s">
        <v>24</v>
      </c>
      <c r="H317" s="1">
        <v>519720</v>
      </c>
      <c r="I317" s="1">
        <v>618824</v>
      </c>
      <c r="J317" s="7">
        <v>0.84</v>
      </c>
      <c r="K317" s="1" t="s">
        <v>21</v>
      </c>
      <c r="L317" s="1" t="s">
        <v>21</v>
      </c>
      <c r="M317" s="1" t="s">
        <v>29</v>
      </c>
      <c r="N317" s="1" t="s">
        <v>22</v>
      </c>
      <c r="O317" s="1" t="str">
        <f t="shared" ca="1" si="3"/>
        <v>Please solve the LeetCode problem '1008. Construct Binary Search Tree from Preorder Traversal'.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8" spans="1:15" x14ac:dyDescent="0.25">
      <c r="A318" s="1">
        <v>485</v>
      </c>
      <c r="B318" s="2" t="str">
        <f>HYPERLINK("https://leetcode.com/problems/max-consecutive-ones/", "Max Consecutive Ones")</f>
        <v>Max Consecutive Ones</v>
      </c>
      <c r="C318" s="1">
        <v>6681</v>
      </c>
      <c r="D318" s="1">
        <v>490</v>
      </c>
      <c r="E318" s="3">
        <f t="shared" si="2"/>
        <v>0.93166922326035417</v>
      </c>
      <c r="F318" s="1" t="s">
        <v>113</v>
      </c>
      <c r="G318" s="1" t="s">
        <v>20</v>
      </c>
      <c r="H318" s="1">
        <v>2053088</v>
      </c>
      <c r="I318" s="1">
        <v>3194221</v>
      </c>
      <c r="J318" s="7">
        <v>0.64300000000000002</v>
      </c>
      <c r="K318" s="1" t="s">
        <v>21</v>
      </c>
      <c r="L318" s="1" t="s">
        <v>21</v>
      </c>
      <c r="M318" s="1" t="s">
        <v>29</v>
      </c>
      <c r="N318" s="1" t="s">
        <v>22</v>
      </c>
      <c r="O318" s="1" t="str">
        <f t="shared" ca="1" si="3"/>
        <v>Please solve the LeetCode problem '485. Max Consecutive Ones'.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9" spans="1:15" x14ac:dyDescent="0.25">
      <c r="A319" s="1">
        <v>395</v>
      </c>
      <c r="B319" s="2" t="str">
        <f>HYPERLINK("https://leetcode.com/problems/longest-substring-with-at-least-k-repeating-characters/", "Longest Substring with At Least K Repeating Characters")</f>
        <v>Longest Substring with At Least K Repeating Characters</v>
      </c>
      <c r="C319" s="1">
        <v>6659</v>
      </c>
      <c r="D319" s="1">
        <v>563</v>
      </c>
      <c r="E319" s="3">
        <f t="shared" si="2"/>
        <v>0.92204375519246751</v>
      </c>
      <c r="F319" s="1" t="s">
        <v>210</v>
      </c>
      <c r="G319" s="1" t="s">
        <v>24</v>
      </c>
      <c r="H319" s="1">
        <v>286457</v>
      </c>
      <c r="I319" s="1">
        <v>623847</v>
      </c>
      <c r="J319" s="7">
        <v>0.45900000000000002</v>
      </c>
      <c r="K319" s="1" t="s">
        <v>21</v>
      </c>
      <c r="L319" s="1" t="s">
        <v>21</v>
      </c>
      <c r="M319" s="1" t="s">
        <v>29</v>
      </c>
      <c r="N319" s="1" t="s">
        <v>22</v>
      </c>
      <c r="O319" s="1" t="str">
        <f t="shared" ca="1" si="3"/>
        <v>Please solve the LeetCode problem '395. Longest Substring with At Least K Repeating Characters'.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0" spans="1:15" x14ac:dyDescent="0.25">
      <c r="A320" s="1">
        <v>1192</v>
      </c>
      <c r="B320" s="2" t="str">
        <f>HYPERLINK("https://leetcode.com/problems/critical-connections-in-a-network/", "Critical Connections in a Network")</f>
        <v>Critical Connections in a Network</v>
      </c>
      <c r="C320" s="1">
        <v>6653</v>
      </c>
      <c r="D320" s="1">
        <v>192</v>
      </c>
      <c r="E320" s="3">
        <f t="shared" si="2"/>
        <v>0.97195032870708542</v>
      </c>
      <c r="F320" s="1" t="s">
        <v>211</v>
      </c>
      <c r="G320" s="1" t="s">
        <v>28</v>
      </c>
      <c r="H320" s="1">
        <v>309523</v>
      </c>
      <c r="I320" s="1">
        <v>523753</v>
      </c>
      <c r="J320" s="7">
        <v>0.59099999999999997</v>
      </c>
      <c r="K320" s="1" t="s">
        <v>21</v>
      </c>
      <c r="L320" s="1" t="s">
        <v>21</v>
      </c>
      <c r="M320" s="1" t="s">
        <v>29</v>
      </c>
      <c r="N320" s="1" t="s">
        <v>22</v>
      </c>
      <c r="O320" s="1" t="str">
        <f t="shared" ca="1" si="3"/>
        <v>Please solve the LeetCode problem '1192. Critical Connections in a Network'.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1" spans="1:15" x14ac:dyDescent="0.25">
      <c r="A321" s="1">
        <v>841</v>
      </c>
      <c r="B321" s="2" t="str">
        <f>HYPERLINK("https://leetcode.com/problems/keys-and-rooms/", "Keys and Rooms")</f>
        <v>Keys and Rooms</v>
      </c>
      <c r="C321" s="1">
        <v>6616</v>
      </c>
      <c r="D321" s="1">
        <v>299</v>
      </c>
      <c r="E321" s="3">
        <f t="shared" si="2"/>
        <v>0.95676066522053504</v>
      </c>
      <c r="F321" s="1" t="s">
        <v>212</v>
      </c>
      <c r="G321" s="1" t="s">
        <v>24</v>
      </c>
      <c r="H321" s="1">
        <v>654685</v>
      </c>
      <c r="I321" s="1">
        <v>868640</v>
      </c>
      <c r="J321" s="7">
        <v>0.754</v>
      </c>
      <c r="K321" s="1" t="s">
        <v>21</v>
      </c>
      <c r="L321" s="1" t="s">
        <v>21</v>
      </c>
      <c r="M321" s="1" t="s">
        <v>29</v>
      </c>
      <c r="N321" s="1" t="s">
        <v>22</v>
      </c>
      <c r="O321" s="1" t="str">
        <f t="shared" ca="1" si="3"/>
        <v>Please solve the LeetCode problem '841. Keys and Rooms'.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2" spans="1:15" x14ac:dyDescent="0.25">
      <c r="A322" s="1">
        <v>1046</v>
      </c>
      <c r="B322" s="2" t="str">
        <f>HYPERLINK("https://leetcode.com/problems/last-stone-weight/", "Last Stone Weight")</f>
        <v>Last Stone Weight</v>
      </c>
      <c r="C322" s="1">
        <v>6569</v>
      </c>
      <c r="D322" s="1">
        <v>154</v>
      </c>
      <c r="E322" s="3">
        <f t="shared" si="2"/>
        <v>0.97709355942287668</v>
      </c>
      <c r="F322" s="1" t="s">
        <v>202</v>
      </c>
      <c r="G322" s="1" t="s">
        <v>20</v>
      </c>
      <c r="H322" s="1">
        <v>878293</v>
      </c>
      <c r="I322" s="1">
        <v>1325790</v>
      </c>
      <c r="J322" s="7">
        <v>0.66200000000000003</v>
      </c>
      <c r="K322" s="1" t="s">
        <v>21</v>
      </c>
      <c r="L322" s="1" t="s">
        <v>21</v>
      </c>
      <c r="M322" s="1" t="s">
        <v>29</v>
      </c>
      <c r="N322" s="1" t="s">
        <v>22</v>
      </c>
      <c r="O322" s="1" t="str">
        <f t="shared" ca="1" si="3"/>
        <v>Please solve the LeetCode problem '1046. Last Stone Weight'.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3" spans="1:15" x14ac:dyDescent="0.25">
      <c r="A323" s="1">
        <v>216</v>
      </c>
      <c r="B323" s="2" t="str">
        <f>HYPERLINK("https://leetcode.com/problems/combination-sum-iii/", "Combination Sum III")</f>
        <v>Combination Sum III</v>
      </c>
      <c r="C323" s="1">
        <v>6566</v>
      </c>
      <c r="D323" s="1">
        <v>122</v>
      </c>
      <c r="E323" s="3">
        <f t="shared" si="2"/>
        <v>0.98175837320574166</v>
      </c>
      <c r="F323" s="1" t="s">
        <v>56</v>
      </c>
      <c r="G323" s="1" t="s">
        <v>24</v>
      </c>
      <c r="H323" s="1">
        <v>761294</v>
      </c>
      <c r="I323" s="1">
        <v>1045954</v>
      </c>
      <c r="J323" s="7">
        <v>0.72799999999999998</v>
      </c>
      <c r="K323" s="1" t="s">
        <v>21</v>
      </c>
      <c r="L323" s="1" t="s">
        <v>21</v>
      </c>
      <c r="M323" s="1" t="s">
        <v>29</v>
      </c>
      <c r="N323" s="1" t="s">
        <v>22</v>
      </c>
      <c r="O323" s="1" t="str">
        <f t="shared" ca="1" si="3"/>
        <v>Please solve the LeetCode problem '216. Combination Sum III'.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4" spans="1:15" x14ac:dyDescent="0.25">
      <c r="A324" s="1">
        <v>227</v>
      </c>
      <c r="B324" s="2" t="str">
        <f>HYPERLINK("https://leetcode.com/problems/basic-calculator-ii/", "Basic Calculator II")</f>
        <v>Basic Calculator II</v>
      </c>
      <c r="C324" s="1">
        <v>6557</v>
      </c>
      <c r="D324" s="1">
        <v>949</v>
      </c>
      <c r="E324" s="3">
        <f t="shared" si="2"/>
        <v>0.87356781241673331</v>
      </c>
      <c r="F324" s="1" t="s">
        <v>213</v>
      </c>
      <c r="G324" s="1" t="s">
        <v>24</v>
      </c>
      <c r="H324" s="1">
        <v>918195</v>
      </c>
      <c r="I324" s="1">
        <v>1972937</v>
      </c>
      <c r="J324" s="7">
        <v>0.46500000000000002</v>
      </c>
      <c r="K324" s="1" t="s">
        <v>21</v>
      </c>
      <c r="L324" s="1" t="s">
        <v>21</v>
      </c>
      <c r="M324" s="1" t="s">
        <v>29</v>
      </c>
      <c r="N324" s="1" t="s">
        <v>22</v>
      </c>
      <c r="O324" s="1" t="str">
        <f t="shared" ca="1" si="3"/>
        <v>Please solve the LeetCode problem '227. Basic Calculator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5" spans="1:15" x14ac:dyDescent="0.25">
      <c r="A325" s="1">
        <v>126</v>
      </c>
      <c r="B325" s="2" t="str">
        <f>HYPERLINK("https://leetcode.com/problems/word-ladder-ii/", "Word Ladder II")</f>
        <v>Word Ladder II</v>
      </c>
      <c r="C325" s="1">
        <v>6503</v>
      </c>
      <c r="D325" s="1">
        <v>828</v>
      </c>
      <c r="E325" s="3">
        <f t="shared" si="2"/>
        <v>0.88705497203655703</v>
      </c>
      <c r="F325" s="1" t="s">
        <v>214</v>
      </c>
      <c r="G325" s="1" t="s">
        <v>28</v>
      </c>
      <c r="H325" s="1">
        <v>446152</v>
      </c>
      <c r="I325" s="1">
        <v>1625639</v>
      </c>
      <c r="J325" s="7">
        <v>0.27400000000000002</v>
      </c>
      <c r="K325" s="1" t="s">
        <v>21</v>
      </c>
      <c r="L325" s="1" t="s">
        <v>21</v>
      </c>
      <c r="M325" s="1" t="s">
        <v>29</v>
      </c>
      <c r="N325" s="1" t="s">
        <v>22</v>
      </c>
      <c r="O325" s="1" t="str">
        <f t="shared" ca="1" si="3"/>
        <v>Please solve the LeetCode problem '126. Word Ladder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6" spans="1:15" x14ac:dyDescent="0.25">
      <c r="A326" s="1">
        <v>700</v>
      </c>
      <c r="B326" s="2" t="str">
        <f>HYPERLINK("https://leetcode.com/problems/search-in-a-binary-search-tree/", "Search in a Binary Search Tree")</f>
        <v>Search in a Binary Search Tree</v>
      </c>
      <c r="C326" s="1">
        <v>6486</v>
      </c>
      <c r="D326" s="1">
        <v>217</v>
      </c>
      <c r="E326" s="3">
        <f t="shared" si="2"/>
        <v>0.96762643592421305</v>
      </c>
      <c r="F326" s="1" t="s">
        <v>133</v>
      </c>
      <c r="G326" s="1" t="s">
        <v>20</v>
      </c>
      <c r="H326" s="1">
        <v>1311831</v>
      </c>
      <c r="I326" s="1">
        <v>1592850</v>
      </c>
      <c r="J326" s="7">
        <v>0.82399999999999995</v>
      </c>
      <c r="K326" s="1" t="s">
        <v>21</v>
      </c>
      <c r="L326" s="1" t="s">
        <v>21</v>
      </c>
      <c r="M326" s="1" t="s">
        <v>29</v>
      </c>
      <c r="N326" s="1" t="s">
        <v>22</v>
      </c>
      <c r="O326" s="1" t="str">
        <f t="shared" ca="1" si="3"/>
        <v>Please solve the LeetCode problem '700. Search in a Binary Search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7" spans="1:15" x14ac:dyDescent="0.25">
      <c r="A327" s="1">
        <v>71</v>
      </c>
      <c r="B327" s="2" t="str">
        <f>HYPERLINK("https://leetcode.com/problems/simplify-path/", "Simplify Path")</f>
        <v>Simplify Path</v>
      </c>
      <c r="C327" s="1">
        <v>6437</v>
      </c>
      <c r="D327" s="1">
        <v>1396</v>
      </c>
      <c r="E327" s="3">
        <f t="shared" si="2"/>
        <v>0.8217796501978808</v>
      </c>
      <c r="F327" s="1" t="s">
        <v>36</v>
      </c>
      <c r="G327" s="1" t="s">
        <v>24</v>
      </c>
      <c r="H327" s="1">
        <v>1254603</v>
      </c>
      <c r="I327" s="1">
        <v>2522800</v>
      </c>
      <c r="J327" s="7">
        <v>0.497</v>
      </c>
      <c r="K327" s="1" t="s">
        <v>21</v>
      </c>
      <c r="L327" s="1" t="s">
        <v>21</v>
      </c>
      <c r="M327" s="1" t="s">
        <v>21</v>
      </c>
      <c r="N327" s="1" t="s">
        <v>22</v>
      </c>
      <c r="O327" s="1" t="str">
        <f t="shared" ca="1" si="3"/>
        <v>Please solve the LeetCode problem '71. Simplify Path'.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8" spans="1:15" x14ac:dyDescent="0.25">
      <c r="A328" s="1">
        <v>354</v>
      </c>
      <c r="B328" s="2" t="str">
        <f>HYPERLINK("https://leetcode.com/problems/russian-doll-envelopes/", "Russian Doll Envelopes")</f>
        <v>Russian Doll Envelopes</v>
      </c>
      <c r="C328" s="1">
        <v>6422</v>
      </c>
      <c r="D328" s="1">
        <v>168</v>
      </c>
      <c r="E328" s="3">
        <f t="shared" si="2"/>
        <v>0.9745068285280728</v>
      </c>
      <c r="F328" s="1" t="s">
        <v>188</v>
      </c>
      <c r="G328" s="1" t="s">
        <v>28</v>
      </c>
      <c r="H328" s="1">
        <v>282858</v>
      </c>
      <c r="I328" s="1">
        <v>751105</v>
      </c>
      <c r="J328" s="7">
        <v>0.377</v>
      </c>
      <c r="K328" s="1" t="s">
        <v>21</v>
      </c>
      <c r="L328" s="1" t="s">
        <v>21</v>
      </c>
      <c r="M328" s="1" t="s">
        <v>29</v>
      </c>
      <c r="N328" s="1" t="s">
        <v>22</v>
      </c>
      <c r="O328" s="1" t="str">
        <f t="shared" ca="1" si="3"/>
        <v>Please solve the LeetCode problem '354. Russian Doll Envelopes'.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9" spans="1:15" x14ac:dyDescent="0.25">
      <c r="A329" s="1">
        <v>947</v>
      </c>
      <c r="B329" s="2" t="str">
        <f>HYPERLINK("https://leetcode.com/problems/most-stones-removed-with-same-row-or-column/", "Most Stones Removed with Same Row or Column")</f>
        <v>Most Stones Removed with Same Row or Column</v>
      </c>
      <c r="C329" s="1">
        <v>6374</v>
      </c>
      <c r="D329" s="1">
        <v>706</v>
      </c>
      <c r="E329" s="3">
        <f t="shared" si="2"/>
        <v>0.90028248587570625</v>
      </c>
      <c r="F329" s="1" t="s">
        <v>215</v>
      </c>
      <c r="G329" s="1" t="s">
        <v>24</v>
      </c>
      <c r="H329" s="1">
        <v>386164</v>
      </c>
      <c r="I329" s="1">
        <v>616374</v>
      </c>
      <c r="J329" s="7">
        <v>0.627</v>
      </c>
      <c r="K329" s="1" t="s">
        <v>21</v>
      </c>
      <c r="L329" s="1" t="s">
        <v>21</v>
      </c>
      <c r="M329" s="1" t="s">
        <v>29</v>
      </c>
      <c r="N329" s="1" t="s">
        <v>22</v>
      </c>
      <c r="O329" s="1" t="str">
        <f t="shared" ca="1" si="3"/>
        <v>Please solve the LeetCode problem '947. Most Stones Removed with Same Row or Column'.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0" spans="1:15" x14ac:dyDescent="0.25">
      <c r="A330" s="1">
        <v>701</v>
      </c>
      <c r="B330" s="2" t="str">
        <f>HYPERLINK("https://leetcode.com/problems/insert-into-a-binary-search-tree/", "Insert into a Binary Search Tree")</f>
        <v>Insert into a Binary Search Tree</v>
      </c>
      <c r="C330" s="1">
        <v>6367</v>
      </c>
      <c r="D330" s="1">
        <v>187</v>
      </c>
      <c r="E330" s="3">
        <f t="shared" si="2"/>
        <v>0.97146780592004878</v>
      </c>
      <c r="F330" s="1" t="s">
        <v>133</v>
      </c>
      <c r="G330" s="1" t="s">
        <v>24</v>
      </c>
      <c r="H330" s="1">
        <v>811073</v>
      </c>
      <c r="I330" s="1">
        <v>1106330</v>
      </c>
      <c r="J330" s="7">
        <v>0.73299999999999998</v>
      </c>
      <c r="K330" s="1" t="s">
        <v>21</v>
      </c>
      <c r="L330" s="1" t="s">
        <v>21</v>
      </c>
      <c r="M330" s="1" t="s">
        <v>29</v>
      </c>
      <c r="N330" s="1" t="s">
        <v>22</v>
      </c>
      <c r="O330" s="1" t="str">
        <f t="shared" ca="1" si="3"/>
        <v>Please solve the LeetCode problem '701. Insert into a Binary Search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1" spans="1:15" x14ac:dyDescent="0.25">
      <c r="A331" s="1">
        <v>703</v>
      </c>
      <c r="B331" s="2" t="str">
        <f>HYPERLINK("https://leetcode.com/problems/kth-largest-element-in-a-stream/", "Kth Largest Element in a Stream")</f>
        <v>Kth Largest Element in a Stream</v>
      </c>
      <c r="C331" s="1">
        <v>6353</v>
      </c>
      <c r="D331" s="1">
        <v>4046</v>
      </c>
      <c r="E331" s="3">
        <f t="shared" si="2"/>
        <v>0.61092412731993462</v>
      </c>
      <c r="F331" s="1" t="s">
        <v>216</v>
      </c>
      <c r="G331" s="1" t="s">
        <v>20</v>
      </c>
      <c r="H331" s="1">
        <v>933519</v>
      </c>
      <c r="I331" s="1">
        <v>1541139</v>
      </c>
      <c r="J331" s="7">
        <v>0.60599999999999998</v>
      </c>
      <c r="K331" s="1" t="s">
        <v>21</v>
      </c>
      <c r="L331" s="1" t="s">
        <v>21</v>
      </c>
      <c r="M331" s="1" t="s">
        <v>29</v>
      </c>
      <c r="N331" s="1" t="s">
        <v>22</v>
      </c>
      <c r="O331" s="1" t="str">
        <f t="shared" ca="1" si="3"/>
        <v>Please solve the LeetCode problem '703. Kth Largest Element in a Stream'.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2" spans="1:15" x14ac:dyDescent="0.25">
      <c r="A332" s="1">
        <v>409</v>
      </c>
      <c r="B332" s="2" t="str">
        <f>HYPERLINK("https://leetcode.com/problems/longest-palindrome/", "Longest Palindrome")</f>
        <v>Longest Palindrome</v>
      </c>
      <c r="C332" s="1">
        <v>6311</v>
      </c>
      <c r="D332" s="1">
        <v>444</v>
      </c>
      <c r="E332" s="3">
        <f t="shared" si="2"/>
        <v>0.93427091043671351</v>
      </c>
      <c r="F332" s="1" t="s">
        <v>217</v>
      </c>
      <c r="G332" s="1" t="s">
        <v>20</v>
      </c>
      <c r="H332" s="1">
        <v>1012282</v>
      </c>
      <c r="I332" s="1">
        <v>1814848</v>
      </c>
      <c r="J332" s="7">
        <v>0.55800000000000005</v>
      </c>
      <c r="K332" s="1" t="s">
        <v>21</v>
      </c>
      <c r="L332" s="1" t="s">
        <v>21</v>
      </c>
      <c r="M332" s="1" t="s">
        <v>29</v>
      </c>
      <c r="N332" s="1" t="s">
        <v>22</v>
      </c>
      <c r="O332" s="1" t="str">
        <f t="shared" ca="1" si="3"/>
        <v>Please solve the LeetCode problem '409. Longest Palindrome'.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3" spans="1:15" x14ac:dyDescent="0.25">
      <c r="A333" s="1">
        <v>241</v>
      </c>
      <c r="B333" s="2" t="str">
        <f>HYPERLINK("https://leetcode.com/problems/different-ways-to-add-parentheses/", "Different Ways to Add Parentheses")</f>
        <v>Different Ways to Add Parentheses</v>
      </c>
      <c r="C333" s="1">
        <v>6292</v>
      </c>
      <c r="D333" s="1">
        <v>398</v>
      </c>
      <c r="E333" s="3">
        <f t="shared" si="2"/>
        <v>0.94050822122570998</v>
      </c>
      <c r="F333" s="1" t="s">
        <v>218</v>
      </c>
      <c r="G333" s="1" t="s">
        <v>24</v>
      </c>
      <c r="H333" s="1">
        <v>369204</v>
      </c>
      <c r="I333" s="1">
        <v>506040</v>
      </c>
      <c r="J333" s="7">
        <v>0.73</v>
      </c>
      <c r="K333" s="1" t="s">
        <v>21</v>
      </c>
      <c r="L333" s="1" t="s">
        <v>21</v>
      </c>
      <c r="M333" s="1" t="s">
        <v>29</v>
      </c>
      <c r="N333" s="1" t="s">
        <v>22</v>
      </c>
      <c r="O333" s="1" t="str">
        <f t="shared" ca="1" si="3"/>
        <v>Please solve the LeetCode problem '241. Different Ways to Add Parentheses'.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4" spans="1:15" x14ac:dyDescent="0.25">
      <c r="A334" s="1">
        <v>1448</v>
      </c>
      <c r="B334" s="2" t="str">
        <f>HYPERLINK("https://leetcode.com/problems/count-good-nodes-in-binary-tree/", "Count Good Nodes in Binary Tree")</f>
        <v>Count Good Nodes in Binary Tree</v>
      </c>
      <c r="C334" s="1">
        <v>6290</v>
      </c>
      <c r="D334" s="1">
        <v>209</v>
      </c>
      <c r="E334" s="3">
        <f t="shared" si="2"/>
        <v>0.96784120633943682</v>
      </c>
      <c r="F334" s="1" t="s">
        <v>80</v>
      </c>
      <c r="G334" s="1" t="s">
        <v>24</v>
      </c>
      <c r="H334" s="1">
        <v>832334</v>
      </c>
      <c r="I334" s="1">
        <v>1128948</v>
      </c>
      <c r="J334" s="7">
        <v>0.73699999999999999</v>
      </c>
      <c r="K334" s="1" t="s">
        <v>21</v>
      </c>
      <c r="L334" s="1" t="s">
        <v>21</v>
      </c>
      <c r="M334" s="1" t="s">
        <v>21</v>
      </c>
      <c r="N334" s="1" t="s">
        <v>22</v>
      </c>
      <c r="O334" s="1" t="str">
        <f t="shared" ca="1" si="3"/>
        <v>Please solve the LeetCode problem '1448. Count Good Nodes in Binary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5" spans="1:15" x14ac:dyDescent="0.25">
      <c r="A335" s="1">
        <v>332</v>
      </c>
      <c r="B335" s="2" t="str">
        <f>HYPERLINK("https://leetcode.com/problems/reconstruct-itinerary/", "Reconstruct Itinerary")</f>
        <v>Reconstruct Itinerary</v>
      </c>
      <c r="C335" s="1">
        <v>6281</v>
      </c>
      <c r="D335" s="1">
        <v>1923</v>
      </c>
      <c r="E335" s="3">
        <f t="shared" si="2"/>
        <v>0.76560214529497805</v>
      </c>
      <c r="F335" s="1" t="s">
        <v>1352</v>
      </c>
      <c r="G335" s="1" t="s">
        <v>28</v>
      </c>
      <c r="H335" s="1">
        <v>533795</v>
      </c>
      <c r="I335" s="1">
        <v>1209203</v>
      </c>
      <c r="J335" s="7">
        <v>0.441</v>
      </c>
      <c r="K335" s="1" t="s">
        <v>21</v>
      </c>
      <c r="L335" s="1" t="s">
        <v>29</v>
      </c>
      <c r="M335" s="1" t="s">
        <v>29</v>
      </c>
      <c r="N335" s="1" t="s">
        <v>22</v>
      </c>
      <c r="O335" s="1" t="str">
        <f t="shared" ca="1" si="3"/>
        <v>Please solve the LeetCode problem '332. Reconstruct Itinerary'.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6" spans="1:15" x14ac:dyDescent="0.25">
      <c r="A336" s="1">
        <v>1470</v>
      </c>
      <c r="B336" s="2" t="str">
        <f>HYPERLINK("https://leetcode.com/problems/shuffle-the-array/", "Shuffle the Array")</f>
        <v>Shuffle the Array</v>
      </c>
      <c r="C336" s="1">
        <v>6270</v>
      </c>
      <c r="D336" s="1">
        <v>345</v>
      </c>
      <c r="E336" s="3">
        <f t="shared" si="2"/>
        <v>0.94784580498866211</v>
      </c>
      <c r="F336" s="1" t="s">
        <v>113</v>
      </c>
      <c r="G336" s="1" t="s">
        <v>20</v>
      </c>
      <c r="H336" s="1">
        <v>958211</v>
      </c>
      <c r="I336" s="1">
        <v>1076656</v>
      </c>
      <c r="J336" s="7">
        <v>0.89</v>
      </c>
      <c r="K336" s="1" t="s">
        <v>21</v>
      </c>
      <c r="L336" s="1" t="s">
        <v>21</v>
      </c>
      <c r="M336" s="1" t="s">
        <v>29</v>
      </c>
      <c r="N336" s="1" t="s">
        <v>22</v>
      </c>
      <c r="O336" s="1" t="str">
        <f t="shared" ca="1" si="3"/>
        <v>Please solve the LeetCode problem '1470. Shuffle the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7" spans="1:15" x14ac:dyDescent="0.25">
      <c r="A337" s="1">
        <v>460</v>
      </c>
      <c r="B337" s="2" t="str">
        <f>HYPERLINK("https://leetcode.com/problems/lfu-cache/", "LFU Cache")</f>
        <v>LFU Cache</v>
      </c>
      <c r="C337" s="1">
        <v>6266</v>
      </c>
      <c r="D337" s="1">
        <v>352</v>
      </c>
      <c r="E337" s="3">
        <f t="shared" si="2"/>
        <v>0.946811725596857</v>
      </c>
      <c r="F337" s="1" t="s">
        <v>45</v>
      </c>
      <c r="G337" s="1" t="s">
        <v>28</v>
      </c>
      <c r="H337" s="1">
        <v>356821</v>
      </c>
      <c r="I337" s="1">
        <v>739040</v>
      </c>
      <c r="J337" s="7">
        <v>0.48299999999999998</v>
      </c>
      <c r="K337" s="1" t="s">
        <v>21</v>
      </c>
      <c r="L337" s="1" t="s">
        <v>21</v>
      </c>
      <c r="M337" s="1" t="s">
        <v>29</v>
      </c>
      <c r="N337" s="1" t="s">
        <v>22</v>
      </c>
      <c r="O337" s="1" t="str">
        <f t="shared" ca="1" si="3"/>
        <v>Please solve the LeetCode problem '460. LFU Cache'.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8" spans="1:15" x14ac:dyDescent="0.25">
      <c r="A338" s="1">
        <v>58</v>
      </c>
      <c r="B338" s="2" t="str">
        <f>HYPERLINK("https://leetcode.com/problems/length-of-last-word/", "Length of Last Word")</f>
        <v>Length of Last Word</v>
      </c>
      <c r="C338" s="1">
        <v>6244</v>
      </c>
      <c r="D338" s="1">
        <v>350</v>
      </c>
      <c r="E338" s="3">
        <f t="shared" si="2"/>
        <v>0.94692144373673037</v>
      </c>
      <c r="F338" s="1" t="s">
        <v>146</v>
      </c>
      <c r="G338" s="1" t="s">
        <v>20</v>
      </c>
      <c r="H338" s="1">
        <v>3199588</v>
      </c>
      <c r="I338" s="1">
        <v>5518410</v>
      </c>
      <c r="J338" s="7">
        <v>0.57999999999999996</v>
      </c>
      <c r="K338" s="1" t="s">
        <v>21</v>
      </c>
      <c r="L338" s="1" t="s">
        <v>21</v>
      </c>
      <c r="M338" s="1" t="s">
        <v>29</v>
      </c>
      <c r="N338" s="1" t="s">
        <v>22</v>
      </c>
      <c r="O338" s="1" t="str">
        <f t="shared" ca="1" si="3"/>
        <v>Please solve the LeetCode problem '58. Length of Last Word'.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9" spans="1:15" x14ac:dyDescent="0.25">
      <c r="A339" s="1">
        <v>174</v>
      </c>
      <c r="B339" s="2" t="str">
        <f>HYPERLINK("https://leetcode.com/problems/dungeon-game/", "Dungeon Game")</f>
        <v>Dungeon Game</v>
      </c>
      <c r="C339" s="1">
        <v>6210</v>
      </c>
      <c r="D339" s="1">
        <v>118</v>
      </c>
      <c r="E339" s="3">
        <f t="shared" si="2"/>
        <v>0.98135271807838176</v>
      </c>
      <c r="F339" s="1" t="s">
        <v>94</v>
      </c>
      <c r="G339" s="1" t="s">
        <v>28</v>
      </c>
      <c r="H339" s="1">
        <v>288408</v>
      </c>
      <c r="I339" s="1">
        <v>709170</v>
      </c>
      <c r="J339" s="7">
        <v>0.40699999999999997</v>
      </c>
      <c r="K339" s="1" t="s">
        <v>21</v>
      </c>
      <c r="L339" s="1" t="s">
        <v>21</v>
      </c>
      <c r="M339" s="1" t="s">
        <v>29</v>
      </c>
      <c r="N339" s="1" t="s">
        <v>22</v>
      </c>
      <c r="O339" s="1" t="str">
        <f t="shared" ca="1" si="3"/>
        <v>Please solve the LeetCode problem '174. Dungeon Game'.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0" spans="1:15" x14ac:dyDescent="0.25">
      <c r="A340" s="1">
        <v>237</v>
      </c>
      <c r="B340" s="2" t="str">
        <f>HYPERLINK("https://leetcode.com/problems/delete-node-in-a-linked-list/", "Delete Node in a Linked List")</f>
        <v>Delete Node in a Linked List</v>
      </c>
      <c r="C340" s="1">
        <v>6189</v>
      </c>
      <c r="D340" s="1">
        <v>1764</v>
      </c>
      <c r="E340" s="3">
        <f t="shared" si="2"/>
        <v>0.77819690682761222</v>
      </c>
      <c r="F340" s="1" t="s">
        <v>104</v>
      </c>
      <c r="G340" s="1" t="s">
        <v>24</v>
      </c>
      <c r="H340" s="1">
        <v>1936456</v>
      </c>
      <c r="I340" s="1">
        <v>2321655</v>
      </c>
      <c r="J340" s="7">
        <v>0.83399999999999996</v>
      </c>
      <c r="K340" s="1" t="s">
        <v>21</v>
      </c>
      <c r="L340" s="1" t="s">
        <v>21</v>
      </c>
      <c r="M340" s="1" t="s">
        <v>29</v>
      </c>
      <c r="N340" s="1" t="s">
        <v>22</v>
      </c>
      <c r="O340" s="1" t="str">
        <f t="shared" ca="1" si="3"/>
        <v>Please solve the LeetCode problem '237. Delete Node in a Linked List'.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1" spans="1:15" x14ac:dyDescent="0.25">
      <c r="A341" s="1">
        <v>1642</v>
      </c>
      <c r="B341" s="2" t="str">
        <f>HYPERLINK("https://leetcode.com/problems/furthest-building-you-can-reach/", "Furthest Building You Can Reach")</f>
        <v>Furthest Building You Can Reach</v>
      </c>
      <c r="C341" s="1">
        <v>6187</v>
      </c>
      <c r="D341" s="1">
        <v>149</v>
      </c>
      <c r="E341" s="3">
        <f t="shared" si="2"/>
        <v>0.97648358585858586</v>
      </c>
      <c r="F341" s="1" t="s">
        <v>221</v>
      </c>
      <c r="G341" s="1" t="s">
        <v>24</v>
      </c>
      <c r="H341" s="1">
        <v>265239</v>
      </c>
      <c r="I341" s="1">
        <v>523655</v>
      </c>
      <c r="J341" s="7">
        <v>0.50700000000000001</v>
      </c>
      <c r="K341" s="1" t="s">
        <v>21</v>
      </c>
      <c r="L341" s="1" t="s">
        <v>21</v>
      </c>
      <c r="M341" s="1" t="s">
        <v>29</v>
      </c>
      <c r="N341" s="1" t="s">
        <v>22</v>
      </c>
      <c r="O341" s="1" t="str">
        <f t="shared" ca="1" si="3"/>
        <v>Please solve the LeetCode problem '1642. Furthest Building You Can Reach'.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2" spans="1:15" x14ac:dyDescent="0.25">
      <c r="A342" s="1">
        <v>218</v>
      </c>
      <c r="B342" s="2" t="str">
        <f>HYPERLINK("https://leetcode.com/problems/the-skyline-problem/", "The Skyline Problem")</f>
        <v>The Skyline Problem</v>
      </c>
      <c r="C342" s="1">
        <v>6185</v>
      </c>
      <c r="D342" s="1">
        <v>283</v>
      </c>
      <c r="E342" s="3">
        <f t="shared" si="2"/>
        <v>0.95624613481756338</v>
      </c>
      <c r="F342" s="1" t="s">
        <v>220</v>
      </c>
      <c r="G342" s="1" t="s">
        <v>28</v>
      </c>
      <c r="H342" s="1">
        <v>342065</v>
      </c>
      <c r="I342" s="1">
        <v>763285</v>
      </c>
      <c r="J342" s="7">
        <v>0.44800000000000001</v>
      </c>
      <c r="K342" s="1" t="s">
        <v>21</v>
      </c>
      <c r="L342" s="1" t="s">
        <v>21</v>
      </c>
      <c r="M342" s="1" t="s">
        <v>29</v>
      </c>
      <c r="N342" s="1" t="s">
        <v>22</v>
      </c>
      <c r="O342" s="1" t="str">
        <f t="shared" ca="1" si="3"/>
        <v>Please solve the LeetCode problem '218. The Skyline Problem'.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3" spans="1:15" x14ac:dyDescent="0.25">
      <c r="A343" s="1">
        <v>557</v>
      </c>
      <c r="B343" s="2" t="str">
        <f>HYPERLINK("https://leetcode.com/problems/reverse-words-in-a-string-iii/", "Reverse Words in a String III")</f>
        <v>Reverse Words in a String III</v>
      </c>
      <c r="C343" s="1">
        <v>6167</v>
      </c>
      <c r="D343" s="1">
        <v>254</v>
      </c>
      <c r="E343" s="3">
        <f t="shared" si="2"/>
        <v>0.96044229870736642</v>
      </c>
      <c r="F343" s="1" t="s">
        <v>117</v>
      </c>
      <c r="G343" s="1" t="s">
        <v>20</v>
      </c>
      <c r="H343" s="1">
        <v>1098512</v>
      </c>
      <c r="I343" s="1">
        <v>1309565</v>
      </c>
      <c r="J343" s="7">
        <v>0.83899999999999997</v>
      </c>
      <c r="K343" s="1" t="s">
        <v>21</v>
      </c>
      <c r="L343" s="1" t="s">
        <v>21</v>
      </c>
      <c r="M343" s="1" t="s">
        <v>29</v>
      </c>
      <c r="N343" s="1" t="s">
        <v>22</v>
      </c>
      <c r="O343" s="1" t="str">
        <f t="shared" ca="1" si="3"/>
        <v>Please solve the LeetCode problem '557. Reverse Words in a String III'.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4" spans="1:15" x14ac:dyDescent="0.25">
      <c r="A344" s="1">
        <v>117</v>
      </c>
      <c r="B344" s="2" t="str">
        <f>HYPERLINK("https://leetcode.com/problems/populating-next-right-pointers-in-each-node-ii/", "Populating Next Right Pointers in Each Node II")</f>
        <v>Populating Next Right Pointers in Each Node II</v>
      </c>
      <c r="C344" s="1">
        <v>6163</v>
      </c>
      <c r="D344" s="1">
        <v>341</v>
      </c>
      <c r="E344" s="3">
        <f t="shared" si="2"/>
        <v>0.94757072570725709</v>
      </c>
      <c r="F344" s="1" t="s">
        <v>132</v>
      </c>
      <c r="G344" s="1" t="s">
        <v>24</v>
      </c>
      <c r="H344" s="1">
        <v>816498</v>
      </c>
      <c r="I344" s="1">
        <v>1435123</v>
      </c>
      <c r="J344" s="7">
        <v>0.56899999999999995</v>
      </c>
      <c r="K344" s="1" t="s">
        <v>21</v>
      </c>
      <c r="L344" s="1" t="s">
        <v>21</v>
      </c>
      <c r="M344" s="1" t="s">
        <v>29</v>
      </c>
      <c r="N344" s="1" t="s">
        <v>22</v>
      </c>
      <c r="O344" s="1" t="str">
        <f t="shared" ca="1" si="3"/>
        <v>Please solve the LeetCode problem '117. Populating Next Right Pointers in Each Node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5" spans="1:15" x14ac:dyDescent="0.25">
      <c r="A345" s="1">
        <v>445</v>
      </c>
      <c r="B345" s="2" t="str">
        <f>HYPERLINK("https://leetcode.com/problems/add-two-numbers-ii/", "Add Two Numbers II")</f>
        <v>Add Two Numbers II</v>
      </c>
      <c r="C345" s="1">
        <v>6140</v>
      </c>
      <c r="D345" s="1">
        <v>302</v>
      </c>
      <c r="E345" s="3">
        <f t="shared" si="2"/>
        <v>0.9531201490220429</v>
      </c>
      <c r="F345" s="1" t="s">
        <v>222</v>
      </c>
      <c r="G345" s="1" t="s">
        <v>24</v>
      </c>
      <c r="H345" s="1">
        <v>562862</v>
      </c>
      <c r="I345" s="1">
        <v>903922</v>
      </c>
      <c r="J345" s="7">
        <v>0.623</v>
      </c>
      <c r="K345" s="1" t="s">
        <v>21</v>
      </c>
      <c r="L345" s="1" t="s">
        <v>21</v>
      </c>
      <c r="M345" s="1" t="s">
        <v>29</v>
      </c>
      <c r="N345" s="1" t="s">
        <v>22</v>
      </c>
      <c r="O345" s="1" t="str">
        <f t="shared" ca="1" si="3"/>
        <v>Please solve the LeetCode problem '445. Add Two Numbers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6" spans="1:15" x14ac:dyDescent="0.25">
      <c r="A346" s="1">
        <v>486</v>
      </c>
      <c r="B346" s="2" t="str">
        <f>HYPERLINK("https://leetcode.com/problems/predict-the-winner/", "Predict the Winner")</f>
        <v>Predict the Winner</v>
      </c>
      <c r="C346" s="1">
        <v>6131</v>
      </c>
      <c r="D346" s="1">
        <v>293</v>
      </c>
      <c r="E346" s="3">
        <f t="shared" si="2"/>
        <v>0.95438978829389787</v>
      </c>
      <c r="F346" s="1" t="s">
        <v>223</v>
      </c>
      <c r="G346" s="1" t="s">
        <v>24</v>
      </c>
      <c r="H346" s="1">
        <v>282761</v>
      </c>
      <c r="I346" s="1">
        <v>504545</v>
      </c>
      <c r="J346" s="7">
        <v>0.56000000000000005</v>
      </c>
      <c r="K346" s="1" t="s">
        <v>21</v>
      </c>
      <c r="L346" s="1" t="s">
        <v>21</v>
      </c>
      <c r="M346" s="1" t="s">
        <v>21</v>
      </c>
      <c r="N346" s="1" t="s">
        <v>22</v>
      </c>
      <c r="O346" s="1" t="str">
        <f t="shared" ca="1" si="3"/>
        <v>Please solve the LeetCode problem '486. Predict the Winner'.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7" spans="1:15" x14ac:dyDescent="0.25">
      <c r="A347" s="1">
        <v>583</v>
      </c>
      <c r="B347" s="2" t="str">
        <f>HYPERLINK("https://leetcode.com/problems/delete-operation-for-two-strings/", "Delete Operation for Two Strings")</f>
        <v>Delete Operation for Two Strings</v>
      </c>
      <c r="C347" s="1">
        <v>6120</v>
      </c>
      <c r="D347" s="1">
        <v>93</v>
      </c>
      <c r="E347" s="3">
        <f t="shared" si="2"/>
        <v>0.98503138580395944</v>
      </c>
      <c r="F347" s="1" t="s">
        <v>82</v>
      </c>
      <c r="G347" s="1" t="s">
        <v>24</v>
      </c>
      <c r="H347" s="1">
        <v>370641</v>
      </c>
      <c r="I347" s="1">
        <v>569535</v>
      </c>
      <c r="J347" s="7">
        <v>0.65100000000000002</v>
      </c>
      <c r="K347" s="1" t="s">
        <v>21</v>
      </c>
      <c r="L347" s="1" t="s">
        <v>21</v>
      </c>
      <c r="M347" s="1" t="s">
        <v>29</v>
      </c>
      <c r="N347" s="1" t="s">
        <v>22</v>
      </c>
      <c r="O347" s="1" t="str">
        <f t="shared" ca="1" si="3"/>
        <v>Please solve the LeetCode problem '583. Delete Operation for Two Strings'.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8" spans="1:15" x14ac:dyDescent="0.25">
      <c r="A348" s="1">
        <v>652</v>
      </c>
      <c r="B348" s="2" t="str">
        <f>HYPERLINK("https://leetcode.com/problems/find-duplicate-subtrees/", "Find Duplicate Subtrees")</f>
        <v>Find Duplicate Subtrees</v>
      </c>
      <c r="C348" s="1">
        <v>6090</v>
      </c>
      <c r="D348" s="1">
        <v>502</v>
      </c>
      <c r="E348" s="3">
        <f t="shared" si="2"/>
        <v>0.92384708737864074</v>
      </c>
      <c r="F348" s="1" t="s">
        <v>224</v>
      </c>
      <c r="G348" s="1" t="s">
        <v>24</v>
      </c>
      <c r="H348" s="1">
        <v>308970</v>
      </c>
      <c r="I348" s="1">
        <v>510634</v>
      </c>
      <c r="J348" s="7">
        <v>0.60499999999999998</v>
      </c>
      <c r="K348" s="1" t="s">
        <v>21</v>
      </c>
      <c r="L348" s="1" t="s">
        <v>21</v>
      </c>
      <c r="M348" s="1" t="s">
        <v>29</v>
      </c>
      <c r="N348" s="1" t="s">
        <v>22</v>
      </c>
      <c r="O348" s="1" t="str">
        <f t="shared" ca="1" si="3"/>
        <v>Please solve the LeetCode problem '652. Find Duplicate Subtrees'.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9" spans="1:15" x14ac:dyDescent="0.25">
      <c r="A349" s="1">
        <v>946</v>
      </c>
      <c r="B349" s="2" t="str">
        <f>HYPERLINK("https://leetcode.com/problems/validate-stack-sequences/", "Validate Stack Sequences")</f>
        <v>Validate Stack Sequences</v>
      </c>
      <c r="C349" s="1">
        <v>6087</v>
      </c>
      <c r="D349" s="1">
        <v>129</v>
      </c>
      <c r="E349" s="3">
        <f t="shared" si="2"/>
        <v>0.97924710424710426</v>
      </c>
      <c r="F349" s="1" t="s">
        <v>145</v>
      </c>
      <c r="G349" s="1" t="s">
        <v>24</v>
      </c>
      <c r="H349" s="1">
        <v>361753</v>
      </c>
      <c r="I349" s="1">
        <v>516452</v>
      </c>
      <c r="J349" s="7">
        <v>0.7</v>
      </c>
      <c r="K349" s="1" t="s">
        <v>21</v>
      </c>
      <c r="L349" s="1" t="s">
        <v>21</v>
      </c>
      <c r="M349" s="1" t="s">
        <v>29</v>
      </c>
      <c r="N349" s="1" t="s">
        <v>22</v>
      </c>
      <c r="O349" s="1" t="str">
        <f t="shared" ca="1" si="3"/>
        <v>Please solve the LeetCode problem '946. Validate Stack Sequences'.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0" spans="1:15" x14ac:dyDescent="0.25">
      <c r="A350" s="1">
        <v>669</v>
      </c>
      <c r="B350" s="2" t="str">
        <f>HYPERLINK("https://leetcode.com/problems/trim-a-binary-search-tree/", "Trim a Binary Search Tree")</f>
        <v>Trim a Binary Search Tree</v>
      </c>
      <c r="C350" s="1">
        <v>6071</v>
      </c>
      <c r="D350" s="1">
        <v>265</v>
      </c>
      <c r="E350" s="3">
        <f t="shared" si="2"/>
        <v>0.95817550505050508</v>
      </c>
      <c r="F350" s="1" t="s">
        <v>69</v>
      </c>
      <c r="G350" s="1" t="s">
        <v>24</v>
      </c>
      <c r="H350" s="1">
        <v>338506</v>
      </c>
      <c r="I350" s="1">
        <v>509047</v>
      </c>
      <c r="J350" s="7">
        <v>0.66500000000000004</v>
      </c>
      <c r="K350" s="1" t="s">
        <v>21</v>
      </c>
      <c r="L350" s="1" t="s">
        <v>21</v>
      </c>
      <c r="M350" s="1" t="s">
        <v>21</v>
      </c>
      <c r="N350" s="1" t="s">
        <v>22</v>
      </c>
      <c r="O350" s="1" t="str">
        <f t="shared" ca="1" si="3"/>
        <v>Please solve the LeetCode problem '669. Trim a Binary Search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1" spans="1:15" x14ac:dyDescent="0.25">
      <c r="A351" s="1">
        <v>443</v>
      </c>
      <c r="B351" s="2" t="str">
        <f>HYPERLINK("https://leetcode.com/problems/string-compression/", "String Compression")</f>
        <v>String Compression</v>
      </c>
      <c r="C351" s="1">
        <v>6068</v>
      </c>
      <c r="D351" s="1">
        <v>8806</v>
      </c>
      <c r="E351" s="3">
        <f t="shared" si="2"/>
        <v>0.4079601990049751</v>
      </c>
      <c r="F351" s="1" t="s">
        <v>117</v>
      </c>
      <c r="G351" s="1" t="s">
        <v>24</v>
      </c>
      <c r="H351" s="1">
        <v>1006929</v>
      </c>
      <c r="I351" s="1">
        <v>1697372</v>
      </c>
      <c r="J351" s="7">
        <v>0.59299999999999997</v>
      </c>
      <c r="K351" s="1" t="s">
        <v>21</v>
      </c>
      <c r="L351" s="1" t="s">
        <v>21</v>
      </c>
      <c r="M351" s="1" t="s">
        <v>29</v>
      </c>
      <c r="N351" s="1" t="s">
        <v>22</v>
      </c>
      <c r="O351" s="1" t="str">
        <f t="shared" ca="1" si="3"/>
        <v>Please solve the LeetCode problem '443. String Compression'.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2" spans="1:15" x14ac:dyDescent="0.25">
      <c r="A352" s="1">
        <v>301</v>
      </c>
      <c r="B352" s="2" t="str">
        <f>HYPERLINK("https://leetcode.com/problems/remove-invalid-parentheses/", "Remove Invalid Parentheses")</f>
        <v>Remove Invalid Parentheses</v>
      </c>
      <c r="C352" s="1">
        <v>6049</v>
      </c>
      <c r="D352" s="1">
        <v>300</v>
      </c>
      <c r="E352" s="3">
        <f t="shared" si="2"/>
        <v>0.95274846432509053</v>
      </c>
      <c r="F352" s="1" t="s">
        <v>226</v>
      </c>
      <c r="G352" s="1" t="s">
        <v>28</v>
      </c>
      <c r="H352" s="1">
        <v>497664</v>
      </c>
      <c r="I352" s="1">
        <v>1001656</v>
      </c>
      <c r="J352" s="7">
        <v>0.497</v>
      </c>
      <c r="K352" s="1" t="s">
        <v>21</v>
      </c>
      <c r="L352" s="1" t="s">
        <v>21</v>
      </c>
      <c r="M352" s="1" t="s">
        <v>29</v>
      </c>
      <c r="N352" s="1" t="s">
        <v>22</v>
      </c>
      <c r="O352" s="1" t="str">
        <f t="shared" ca="1" si="3"/>
        <v>Please solve the LeetCode problem '301. Remove Invalid Parentheses'.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3" spans="1:15" x14ac:dyDescent="0.25">
      <c r="A353" s="1">
        <v>474</v>
      </c>
      <c r="B353" s="2" t="str">
        <f>HYPERLINK("https://leetcode.com/problems/ones-and-zeroes/", "Ones and Zeroes")</f>
        <v>Ones and Zeroes</v>
      </c>
      <c r="C353" s="1">
        <v>6046</v>
      </c>
      <c r="D353" s="1">
        <v>507</v>
      </c>
      <c r="E353" s="3">
        <f t="shared" si="2"/>
        <v>0.92263085609644435</v>
      </c>
      <c r="F353" s="1" t="s">
        <v>225</v>
      </c>
      <c r="G353" s="1" t="s">
        <v>24</v>
      </c>
      <c r="H353" s="1">
        <v>338512</v>
      </c>
      <c r="I353" s="1">
        <v>639335</v>
      </c>
      <c r="J353" s="7">
        <v>0.52900000000000003</v>
      </c>
      <c r="K353" s="1" t="s">
        <v>21</v>
      </c>
      <c r="L353" s="1" t="s">
        <v>21</v>
      </c>
      <c r="M353" s="1" t="s">
        <v>29</v>
      </c>
      <c r="N353" s="1" t="s">
        <v>22</v>
      </c>
      <c r="O353" s="1" t="str">
        <f t="shared" ca="1" si="3"/>
        <v>Please solve the LeetCode problem '474. Ones and Zeroes'.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4" spans="1:15" x14ac:dyDescent="0.25">
      <c r="A354" s="1">
        <v>979</v>
      </c>
      <c r="B354" s="2" t="str">
        <f>HYPERLINK("https://leetcode.com/problems/distribute-coins-in-binary-tree/", "Distribute Coins in Binary Tree")</f>
        <v>Distribute Coins in Binary Tree</v>
      </c>
      <c r="C354" s="1">
        <v>6043</v>
      </c>
      <c r="D354" s="1">
        <v>249</v>
      </c>
      <c r="E354" s="3">
        <f t="shared" si="2"/>
        <v>0.96042593769866502</v>
      </c>
      <c r="F354" s="1" t="s">
        <v>67</v>
      </c>
      <c r="G354" s="1" t="s">
        <v>24</v>
      </c>
      <c r="H354" s="1">
        <v>221966</v>
      </c>
      <c r="I354" s="1">
        <v>287433</v>
      </c>
      <c r="J354" s="7">
        <v>0.77200000000000002</v>
      </c>
      <c r="K354" s="1" t="s">
        <v>21</v>
      </c>
      <c r="L354" s="1" t="s">
        <v>21</v>
      </c>
      <c r="M354" s="1" t="s">
        <v>29</v>
      </c>
      <c r="N354" s="1" t="s">
        <v>22</v>
      </c>
      <c r="O354" s="1" t="str">
        <f t="shared" ca="1" si="3"/>
        <v>Please solve the LeetCode problem '979. Distribute Coins in Binary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5" spans="1:15" x14ac:dyDescent="0.25">
      <c r="A355" s="1">
        <v>1209</v>
      </c>
      <c r="B355" s="2" t="str">
        <f>HYPERLINK("https://leetcode.com/problems/remove-all-adjacent-duplicates-in-string-ii/", "Remove All Adjacent Duplicates in String II")</f>
        <v>Remove All Adjacent Duplicates in String II</v>
      </c>
      <c r="C355" s="1">
        <v>6040</v>
      </c>
      <c r="D355" s="1">
        <v>124</v>
      </c>
      <c r="E355" s="3">
        <f t="shared" si="2"/>
        <v>0.9798831927319922</v>
      </c>
      <c r="F355" s="1" t="s">
        <v>36</v>
      </c>
      <c r="G355" s="1" t="s">
        <v>24</v>
      </c>
      <c r="H355" s="1">
        <v>406502</v>
      </c>
      <c r="I355" s="1">
        <v>669672</v>
      </c>
      <c r="J355" s="7">
        <v>0.60699999999999998</v>
      </c>
      <c r="K355" s="1" t="s">
        <v>21</v>
      </c>
      <c r="L355" s="1" t="s">
        <v>21</v>
      </c>
      <c r="M355" s="1" t="s">
        <v>29</v>
      </c>
      <c r="N355" s="1" t="s">
        <v>22</v>
      </c>
      <c r="O355" s="1" t="str">
        <f t="shared" ca="1" si="3"/>
        <v>Please solve the LeetCode problem '1209. Remove All Adjacent Duplicates in String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6" spans="1:15" x14ac:dyDescent="0.25">
      <c r="A356" s="1">
        <v>904</v>
      </c>
      <c r="B356" s="2" t="str">
        <f>HYPERLINK("https://leetcode.com/problems/fruit-into-baskets/", "Fruit Into Baskets")</f>
        <v>Fruit Into Baskets</v>
      </c>
      <c r="C356" s="1">
        <v>6016</v>
      </c>
      <c r="D356" s="1">
        <v>551</v>
      </c>
      <c r="E356" s="3">
        <f t="shared" si="2"/>
        <v>0.91609562966346891</v>
      </c>
      <c r="F356" s="1" t="s">
        <v>185</v>
      </c>
      <c r="G356" s="1" t="s">
        <v>24</v>
      </c>
      <c r="H356" s="1">
        <v>759176</v>
      </c>
      <c r="I356" s="1">
        <v>1511996</v>
      </c>
      <c r="J356" s="7">
        <v>0.502</v>
      </c>
      <c r="K356" s="1" t="s">
        <v>21</v>
      </c>
      <c r="L356" s="1" t="s">
        <v>21</v>
      </c>
      <c r="M356" s="1" t="s">
        <v>29</v>
      </c>
      <c r="N356" s="1" t="s">
        <v>22</v>
      </c>
      <c r="O356" s="1" t="str">
        <f t="shared" ca="1" si="3"/>
        <v>Please solve the LeetCode problem '904. Fruit Into Baskets'.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7" spans="1:15" x14ac:dyDescent="0.25">
      <c r="A357" s="1">
        <v>168</v>
      </c>
      <c r="B357" s="2" t="str">
        <f>HYPERLINK("https://leetcode.com/problems/excel-sheet-column-title/", "Excel Sheet Column Title")</f>
        <v>Excel Sheet Column Title</v>
      </c>
      <c r="C357" s="1">
        <v>6006</v>
      </c>
      <c r="D357" s="1">
        <v>908</v>
      </c>
      <c r="E357" s="3">
        <f t="shared" si="2"/>
        <v>0.86867225918426383</v>
      </c>
      <c r="F357" s="1" t="s">
        <v>228</v>
      </c>
      <c r="G357" s="1" t="s">
        <v>20</v>
      </c>
      <c r="H357" s="1">
        <v>705739</v>
      </c>
      <c r="I357" s="1">
        <v>1554881</v>
      </c>
      <c r="J357" s="7">
        <v>0.45400000000000001</v>
      </c>
      <c r="K357" s="1" t="s">
        <v>21</v>
      </c>
      <c r="L357" s="1" t="s">
        <v>21</v>
      </c>
      <c r="M357" s="1" t="s">
        <v>29</v>
      </c>
      <c r="N357" s="1" t="s">
        <v>22</v>
      </c>
      <c r="O357" s="1" t="str">
        <f t="shared" ca="1" si="3"/>
        <v>Please solve the LeetCode problem '168. Excel Sheet Column Title'.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8" spans="1:15" x14ac:dyDescent="0.25">
      <c r="A358" s="1">
        <v>8</v>
      </c>
      <c r="B358" s="2" t="str">
        <f>HYPERLINK("https://leetcode.com/problems/string-to-integer-atoi/", "String to Integer (atoi)")</f>
        <v>String to Integer (atoi)</v>
      </c>
      <c r="C358" s="1">
        <v>6001</v>
      </c>
      <c r="D358" s="1">
        <v>15393</v>
      </c>
      <c r="E358" s="3">
        <f t="shared" si="2"/>
        <v>0.28049920538468731</v>
      </c>
      <c r="F358" s="1" t="s">
        <v>146</v>
      </c>
      <c r="G358" s="1" t="s">
        <v>24</v>
      </c>
      <c r="H358" s="1">
        <v>2292079</v>
      </c>
      <c r="I358" s="1">
        <v>11255802</v>
      </c>
      <c r="J358" s="7">
        <v>0.20399999999999999</v>
      </c>
      <c r="K358" s="1" t="s">
        <v>21</v>
      </c>
      <c r="L358" s="1" t="s">
        <v>21</v>
      </c>
      <c r="M358" s="1" t="s">
        <v>29</v>
      </c>
      <c r="N358" s="1" t="s">
        <v>22</v>
      </c>
      <c r="O358" s="1" t="str">
        <f t="shared" ca="1" si="3"/>
        <v>Please solve the LeetCode problem '8. String to Integer (atoi)'.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9" spans="1:15" x14ac:dyDescent="0.25">
      <c r="A359" s="1">
        <v>29</v>
      </c>
      <c r="B359" s="2" t="str">
        <f>HYPERLINK("https://leetcode.com/problems/divide-two-integers/", "Divide Two Integers")</f>
        <v>Divide Two Integers</v>
      </c>
      <c r="C359" s="1">
        <v>5993</v>
      </c>
      <c r="D359" s="1">
        <v>15245</v>
      </c>
      <c r="E359" s="3">
        <f t="shared" si="2"/>
        <v>0.28218287974385536</v>
      </c>
      <c r="F359" s="1" t="s">
        <v>227</v>
      </c>
      <c r="G359" s="1" t="s">
        <v>24</v>
      </c>
      <c r="H359" s="1">
        <v>1089866</v>
      </c>
      <c r="I359" s="1">
        <v>5669997</v>
      </c>
      <c r="J359" s="7">
        <v>0.192</v>
      </c>
      <c r="K359" s="1" t="s">
        <v>21</v>
      </c>
      <c r="L359" s="1" t="s">
        <v>21</v>
      </c>
      <c r="M359" s="1" t="s">
        <v>29</v>
      </c>
      <c r="N359" s="1" t="s">
        <v>22</v>
      </c>
      <c r="O359" s="1" t="str">
        <f t="shared" ca="1" si="3"/>
        <v>Please solve the LeetCode problem '29. Divide Two Integers'.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0" spans="1:15" x14ac:dyDescent="0.25">
      <c r="A360" s="1">
        <v>1071</v>
      </c>
      <c r="B360" s="2" t="str">
        <f>HYPERLINK("https://leetcode.com/problems/greatest-common-divisor-of-strings/", "Greatest Common Divisor of Strings")</f>
        <v>Greatest Common Divisor of Strings</v>
      </c>
      <c r="C360" s="1">
        <v>5954</v>
      </c>
      <c r="D360" s="1">
        <v>1651</v>
      </c>
      <c r="E360" s="3">
        <f t="shared" si="2"/>
        <v>0.7829059829059829</v>
      </c>
      <c r="F360" s="1" t="s">
        <v>228</v>
      </c>
      <c r="G360" s="1" t="s">
        <v>20</v>
      </c>
      <c r="H360" s="1">
        <v>904303</v>
      </c>
      <c r="I360" s="1">
        <v>1699439</v>
      </c>
      <c r="J360" s="7">
        <v>0.53200000000000003</v>
      </c>
      <c r="K360" s="1" t="s">
        <v>21</v>
      </c>
      <c r="L360" s="1" t="s">
        <v>21</v>
      </c>
      <c r="M360" s="1" t="s">
        <v>29</v>
      </c>
      <c r="N360" s="1" t="s">
        <v>22</v>
      </c>
      <c r="O360" s="1" t="str">
        <f t="shared" ca="1" si="3"/>
        <v>Please solve the LeetCode problem '1071. Greatest Common Divisor of Strings'.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1" spans="1:15" x14ac:dyDescent="0.25">
      <c r="A361" s="1">
        <v>403</v>
      </c>
      <c r="B361" s="2" t="str">
        <f>HYPERLINK("https://leetcode.com/problems/frog-jump/", "Frog Jump")</f>
        <v>Frog Jump</v>
      </c>
      <c r="C361" s="1">
        <v>5948</v>
      </c>
      <c r="D361" s="1">
        <v>275</v>
      </c>
      <c r="E361" s="3">
        <f t="shared" si="2"/>
        <v>0.95580909529165992</v>
      </c>
      <c r="F361" s="1" t="s">
        <v>30</v>
      </c>
      <c r="G361" s="1" t="s">
        <v>28</v>
      </c>
      <c r="H361" s="1">
        <v>327953</v>
      </c>
      <c r="I361" s="1">
        <v>697250</v>
      </c>
      <c r="J361" s="7">
        <v>0.47</v>
      </c>
      <c r="K361" s="1" t="s">
        <v>21</v>
      </c>
      <c r="L361" s="1" t="s">
        <v>21</v>
      </c>
      <c r="M361" s="1" t="s">
        <v>29</v>
      </c>
      <c r="N361" s="1" t="s">
        <v>22</v>
      </c>
      <c r="O361" s="1" t="str">
        <f t="shared" ca="1" si="3"/>
        <v>Please solve the LeetCode problem '403. Frog Jump'.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2" spans="1:15" x14ac:dyDescent="0.25">
      <c r="A362" s="1">
        <v>834</v>
      </c>
      <c r="B362" s="2" t="str">
        <f>HYPERLINK("https://leetcode.com/problems/sum-of-distances-in-tree/", "Sum of Distances in Tree")</f>
        <v>Sum of Distances in Tree</v>
      </c>
      <c r="C362" s="1">
        <v>5928</v>
      </c>
      <c r="D362" s="1">
        <v>139</v>
      </c>
      <c r="E362" s="3">
        <f t="shared" si="2"/>
        <v>0.97708917092467451</v>
      </c>
      <c r="F362" s="1" t="s">
        <v>230</v>
      </c>
      <c r="G362" s="1" t="s">
        <v>28</v>
      </c>
      <c r="H362" s="1">
        <v>179267</v>
      </c>
      <c r="I362" s="1">
        <v>273740</v>
      </c>
      <c r="J362" s="7">
        <v>0.65500000000000003</v>
      </c>
      <c r="K362" s="1" t="s">
        <v>21</v>
      </c>
      <c r="L362" s="1" t="s">
        <v>21</v>
      </c>
      <c r="M362" s="1" t="s">
        <v>29</v>
      </c>
      <c r="N362" s="1" t="s">
        <v>22</v>
      </c>
      <c r="O362" s="1" t="str">
        <f t="shared" ca="1" si="3"/>
        <v>Please solve the LeetCode problem '834. Sum of Distances in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3" spans="1:15" x14ac:dyDescent="0.25">
      <c r="A363" s="1">
        <v>1365</v>
      </c>
      <c r="B363" s="2" t="str">
        <f>HYPERLINK("https://leetcode.com/problems/how-many-numbers-are-smaller-than-the-current-number/", "How Many Numbers Are Smaller Than the Current Number")</f>
        <v>How Many Numbers Are Smaller Than the Current Number</v>
      </c>
      <c r="C363" s="1">
        <v>5926</v>
      </c>
      <c r="D363" s="1">
        <v>157</v>
      </c>
      <c r="E363" s="3">
        <f t="shared" si="2"/>
        <v>0.9741903665954299</v>
      </c>
      <c r="F363" s="1" t="s">
        <v>229</v>
      </c>
      <c r="G363" s="1" t="s">
        <v>20</v>
      </c>
      <c r="H363" s="1">
        <v>803773</v>
      </c>
      <c r="I363" s="1">
        <v>919252</v>
      </c>
      <c r="J363" s="7">
        <v>0.874</v>
      </c>
      <c r="K363" s="1" t="s">
        <v>21</v>
      </c>
      <c r="L363" s="1" t="s">
        <v>29</v>
      </c>
      <c r="M363" s="1" t="s">
        <v>29</v>
      </c>
      <c r="N363" s="1" t="s">
        <v>22</v>
      </c>
      <c r="O363" s="1" t="str">
        <f t="shared" ca="1" si="3"/>
        <v>Please solve the LeetCode problem '1365. How Many Numbers Are Smaller Than the Current Number'.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4" spans="1:15" x14ac:dyDescent="0.25">
      <c r="A364" s="1">
        <v>1277</v>
      </c>
      <c r="B364" s="2" t="str">
        <f>HYPERLINK("https://leetcode.com/problems/count-square-submatrices-with-all-ones/", "Count Square Submatrices with All Ones")</f>
        <v>Count Square Submatrices with All Ones</v>
      </c>
      <c r="C364" s="1">
        <v>5919</v>
      </c>
      <c r="D364" s="1">
        <v>114</v>
      </c>
      <c r="E364" s="3">
        <f t="shared" si="2"/>
        <v>0.98110392839383387</v>
      </c>
      <c r="F364" s="1" t="s">
        <v>94</v>
      </c>
      <c r="G364" s="1" t="s">
        <v>24</v>
      </c>
      <c r="H364" s="1">
        <v>469654</v>
      </c>
      <c r="I364" s="1">
        <v>582370</v>
      </c>
      <c r="J364" s="7">
        <v>0.80600000000000005</v>
      </c>
      <c r="K364" s="1" t="s">
        <v>21</v>
      </c>
      <c r="L364" s="1" t="s">
        <v>21</v>
      </c>
      <c r="M364" s="1" t="s">
        <v>29</v>
      </c>
      <c r="N364" s="1" t="s">
        <v>22</v>
      </c>
      <c r="O364" s="1" t="str">
        <f t="shared" ca="1" si="3"/>
        <v>Please solve the LeetCode problem '1277. Count Square Submatrices with All Ones'.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5" spans="1:15" x14ac:dyDescent="0.25">
      <c r="A365" s="1">
        <v>986</v>
      </c>
      <c r="B365" s="2" t="str">
        <f>HYPERLINK("https://leetcode.com/problems/interval-list-intersections/", "Interval List Intersections")</f>
        <v>Interval List Intersections</v>
      </c>
      <c r="C365" s="1">
        <v>5885</v>
      </c>
      <c r="D365" s="1">
        <v>128</v>
      </c>
      <c r="E365" s="3">
        <f t="shared" si="2"/>
        <v>0.97871278895725922</v>
      </c>
      <c r="F365" s="1" t="s">
        <v>232</v>
      </c>
      <c r="G365" s="1" t="s">
        <v>24</v>
      </c>
      <c r="H365" s="1">
        <v>553475</v>
      </c>
      <c r="I365" s="1">
        <v>759309</v>
      </c>
      <c r="J365" s="7">
        <v>0.72899999999999998</v>
      </c>
      <c r="K365" s="1" t="s">
        <v>21</v>
      </c>
      <c r="L365" s="1" t="s">
        <v>21</v>
      </c>
      <c r="M365" s="1" t="s">
        <v>29</v>
      </c>
      <c r="N365" s="1" t="s">
        <v>22</v>
      </c>
      <c r="O365" s="1" t="str">
        <f t="shared" ca="1" si="3"/>
        <v>Please solve the LeetCode problem '986. Interval List Intersections'.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6" spans="1:15" x14ac:dyDescent="0.25">
      <c r="A366" s="1">
        <v>421</v>
      </c>
      <c r="B366" s="2" t="str">
        <f>HYPERLINK("https://leetcode.com/problems/maximum-xor-of-two-numbers-in-an-array/", "Maximum XOR of Two Numbers in an Array")</f>
        <v>Maximum XOR of Two Numbers in an Array</v>
      </c>
      <c r="C366" s="1">
        <v>5883</v>
      </c>
      <c r="D366" s="1">
        <v>419</v>
      </c>
      <c r="E366" s="3">
        <f t="shared" si="2"/>
        <v>0.93351317042208826</v>
      </c>
      <c r="F366" s="1" t="s">
        <v>231</v>
      </c>
      <c r="G366" s="1" t="s">
        <v>24</v>
      </c>
      <c r="H366" s="1">
        <v>212779</v>
      </c>
      <c r="I366" s="1">
        <v>398360</v>
      </c>
      <c r="J366" s="7">
        <v>0.53400000000000003</v>
      </c>
      <c r="K366" s="1" t="s">
        <v>21</v>
      </c>
      <c r="L366" s="1" t="s">
        <v>21</v>
      </c>
      <c r="M366" s="1" t="s">
        <v>29</v>
      </c>
      <c r="N366" s="1" t="s">
        <v>22</v>
      </c>
      <c r="O366" s="1" t="str">
        <f t="shared" ca="1" si="3"/>
        <v>Please solve the LeetCode problem '421. Maximum XOR of Two Numbers in an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7" spans="1:15" x14ac:dyDescent="0.25">
      <c r="A367" s="1">
        <v>132</v>
      </c>
      <c r="B367" s="2" t="str">
        <f>HYPERLINK("https://leetcode.com/problems/palindrome-partitioning-ii/", "Palindrome Partitioning II")</f>
        <v>Palindrome Partitioning II</v>
      </c>
      <c r="C367" s="1">
        <v>5881</v>
      </c>
      <c r="D367" s="1">
        <v>156</v>
      </c>
      <c r="E367" s="3">
        <f t="shared" si="2"/>
        <v>0.97415935067086301</v>
      </c>
      <c r="F367" s="1" t="s">
        <v>82</v>
      </c>
      <c r="G367" s="1" t="s">
        <v>28</v>
      </c>
      <c r="H367" s="1">
        <v>388517</v>
      </c>
      <c r="I367" s="1">
        <v>1067354</v>
      </c>
      <c r="J367" s="7">
        <v>0.36399999999999999</v>
      </c>
      <c r="K367" s="1" t="s">
        <v>21</v>
      </c>
      <c r="L367" s="1" t="s">
        <v>21</v>
      </c>
      <c r="M367" s="1" t="s">
        <v>29</v>
      </c>
      <c r="N367" s="1" t="s">
        <v>22</v>
      </c>
      <c r="O367" s="1" t="str">
        <f t="shared" ca="1" si="3"/>
        <v>Please solve the LeetCode problem '132. Palindrome Partitioning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8" spans="1:15" x14ac:dyDescent="0.25">
      <c r="A368" s="1">
        <v>1092</v>
      </c>
      <c r="B368" s="2" t="str">
        <f>HYPERLINK("https://leetcode.com/problems/shortest-common-supersequence/", "Shortest Common Supersequence ")</f>
        <v xml:space="preserve">Shortest Common Supersequence </v>
      </c>
      <c r="C368" s="1">
        <v>5864</v>
      </c>
      <c r="D368" s="1">
        <v>101</v>
      </c>
      <c r="E368" s="3">
        <f t="shared" si="2"/>
        <v>0.98306789606035205</v>
      </c>
      <c r="F368" s="1" t="s">
        <v>82</v>
      </c>
      <c r="G368" s="1" t="s">
        <v>28</v>
      </c>
      <c r="H368" s="1">
        <v>295548</v>
      </c>
      <c r="I368" s="1">
        <v>479045</v>
      </c>
      <c r="J368" s="7">
        <v>0.61699999999999999</v>
      </c>
      <c r="K368" s="1" t="s">
        <v>21</v>
      </c>
      <c r="L368" s="1" t="s">
        <v>21</v>
      </c>
      <c r="M368" s="1" t="s">
        <v>29</v>
      </c>
      <c r="N368" s="1" t="s">
        <v>22</v>
      </c>
      <c r="O368" s="1" t="str">
        <f t="shared" ca="1" si="3"/>
        <v>Please solve the LeetCode problem '1092. Shortest Common Supersequence 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9" spans="1:15" x14ac:dyDescent="0.25">
      <c r="A369" s="1">
        <v>665</v>
      </c>
      <c r="B369" s="2" t="str">
        <f>HYPERLINK("https://leetcode.com/problems/non-decreasing-array/", "Non-decreasing Array")</f>
        <v>Non-decreasing Array</v>
      </c>
      <c r="C369" s="1">
        <v>5847</v>
      </c>
      <c r="D369" s="1">
        <v>787</v>
      </c>
      <c r="E369" s="3">
        <f t="shared" si="2"/>
        <v>0.88136870666264699</v>
      </c>
      <c r="F369" s="1" t="s">
        <v>113</v>
      </c>
      <c r="G369" s="1" t="s">
        <v>24</v>
      </c>
      <c r="H369" s="1">
        <v>290370</v>
      </c>
      <c r="I369" s="1">
        <v>1146642</v>
      </c>
      <c r="J369" s="7">
        <v>0.253</v>
      </c>
      <c r="K369" s="1" t="s">
        <v>21</v>
      </c>
      <c r="L369" s="1" t="s">
        <v>21</v>
      </c>
      <c r="M369" s="1" t="s">
        <v>29</v>
      </c>
      <c r="N369" s="1" t="s">
        <v>22</v>
      </c>
      <c r="O369" s="1" t="str">
        <f t="shared" ca="1" si="3"/>
        <v>Please solve the LeetCode problem '665. Non-decreasing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0" spans="1:15" x14ac:dyDescent="0.25">
      <c r="A370" s="1">
        <v>1512</v>
      </c>
      <c r="B370" s="2" t="str">
        <f>HYPERLINK("https://leetcode.com/problems/number-of-good-pairs/", "Number of Good Pairs")</f>
        <v>Number of Good Pairs</v>
      </c>
      <c r="C370" s="1">
        <v>5820</v>
      </c>
      <c r="D370" s="1">
        <v>283</v>
      </c>
      <c r="E370" s="3">
        <f t="shared" si="2"/>
        <v>0.95362936260855313</v>
      </c>
      <c r="F370" s="1" t="s">
        <v>233</v>
      </c>
      <c r="G370" s="1" t="s">
        <v>20</v>
      </c>
      <c r="H370" s="1">
        <v>1013883</v>
      </c>
      <c r="I370" s="1">
        <v>1129949</v>
      </c>
      <c r="J370" s="7">
        <v>0.89700000000000002</v>
      </c>
      <c r="K370" s="1" t="s">
        <v>21</v>
      </c>
      <c r="L370" s="1" t="s">
        <v>21</v>
      </c>
      <c r="M370" s="1" t="s">
        <v>29</v>
      </c>
      <c r="N370" s="1" t="s">
        <v>22</v>
      </c>
      <c r="O370" s="1" t="str">
        <f t="shared" ca="1" si="3"/>
        <v>Please solve the LeetCode problem '1512. Number of Good Pairs'.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1" spans="1:15" x14ac:dyDescent="0.25">
      <c r="A371" s="1">
        <v>792</v>
      </c>
      <c r="B371" s="2" t="str">
        <f>HYPERLINK("https://leetcode.com/problems/number-of-matching-subsequences/", "Number of Matching Subsequences")</f>
        <v>Number of Matching Subsequences</v>
      </c>
      <c r="C371" s="1">
        <v>5774</v>
      </c>
      <c r="D371" s="1">
        <v>244</v>
      </c>
      <c r="E371" s="3">
        <f t="shared" si="2"/>
        <v>0.95945496842804923</v>
      </c>
      <c r="F371" s="1" t="s">
        <v>234</v>
      </c>
      <c r="G371" s="1" t="s">
        <v>24</v>
      </c>
      <c r="H371" s="1">
        <v>269410</v>
      </c>
      <c r="I371" s="1">
        <v>532011</v>
      </c>
      <c r="J371" s="7">
        <v>0.50600000000000001</v>
      </c>
      <c r="K371" s="1" t="s">
        <v>21</v>
      </c>
      <c r="L371" s="1" t="s">
        <v>21</v>
      </c>
      <c r="M371" s="1" t="s">
        <v>29</v>
      </c>
      <c r="N371" s="1" t="s">
        <v>22</v>
      </c>
      <c r="O371" s="1" t="str">
        <f t="shared" ca="1" si="3"/>
        <v>Please solve the LeetCode problem '792. Number of Matching Subsequences'.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2" spans="1:15" x14ac:dyDescent="0.25">
      <c r="A372" s="1">
        <v>404</v>
      </c>
      <c r="B372" s="2" t="str">
        <f>HYPERLINK("https://leetcode.com/problems/sum-of-left-leaves/", "Sum of Left Leaves")</f>
        <v>Sum of Left Leaves</v>
      </c>
      <c r="C372" s="1">
        <v>5760</v>
      </c>
      <c r="D372" s="1">
        <v>321</v>
      </c>
      <c r="E372" s="3">
        <f t="shared" si="2"/>
        <v>0.94721262950172669</v>
      </c>
      <c r="F372" s="1" t="s">
        <v>80</v>
      </c>
      <c r="G372" s="1" t="s">
        <v>20</v>
      </c>
      <c r="H372" s="1">
        <v>767314</v>
      </c>
      <c r="I372" s="1">
        <v>1232276</v>
      </c>
      <c r="J372" s="7">
        <v>0.623</v>
      </c>
      <c r="K372" s="1" t="s">
        <v>21</v>
      </c>
      <c r="L372" s="1" t="s">
        <v>21</v>
      </c>
      <c r="M372" s="1" t="s">
        <v>29</v>
      </c>
      <c r="N372" s="1" t="s">
        <v>22</v>
      </c>
      <c r="O372" s="1" t="str">
        <f t="shared" ca="1" si="3"/>
        <v>Please solve the LeetCode problem '404. Sum of Left Leaves'.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3" spans="1:15" x14ac:dyDescent="0.25">
      <c r="A373" s="1">
        <v>934</v>
      </c>
      <c r="B373" s="2" t="str">
        <f>HYPERLINK("https://leetcode.com/problems/shortest-bridge/", "Shortest Bridge")</f>
        <v>Shortest Bridge</v>
      </c>
      <c r="C373" s="1">
        <v>5736</v>
      </c>
      <c r="D373" s="1">
        <v>220</v>
      </c>
      <c r="E373" s="3">
        <f t="shared" si="2"/>
        <v>0.96306245802552048</v>
      </c>
      <c r="F373" s="1" t="s">
        <v>143</v>
      </c>
      <c r="G373" s="1" t="s">
        <v>24</v>
      </c>
      <c r="H373" s="1">
        <v>267667</v>
      </c>
      <c r="I373" s="1">
        <v>452440</v>
      </c>
      <c r="J373" s="7">
        <v>0.59199999999999997</v>
      </c>
      <c r="K373" s="1" t="s">
        <v>21</v>
      </c>
      <c r="L373" s="1" t="s">
        <v>21</v>
      </c>
      <c r="M373" s="1" t="s">
        <v>29</v>
      </c>
      <c r="N373" s="1" t="s">
        <v>22</v>
      </c>
      <c r="O373" s="1" t="str">
        <f t="shared" ca="1" si="3"/>
        <v>Please solve the LeetCode problem '934. Shortest Bridge'.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4" spans="1:15" x14ac:dyDescent="0.25">
      <c r="A374" s="1">
        <v>1658</v>
      </c>
      <c r="B374" s="2" t="str">
        <f>HYPERLINK("https://leetcode.com/problems/minimum-operations-to-reduce-x-to-zero/", "Minimum Operations to Reduce X to Zero")</f>
        <v>Minimum Operations to Reduce X to Zero</v>
      </c>
      <c r="C374" s="1">
        <v>5728</v>
      </c>
      <c r="D374" s="1">
        <v>126</v>
      </c>
      <c r="E374" s="3">
        <f t="shared" si="2"/>
        <v>0.97847625555175943</v>
      </c>
      <c r="F374" s="1" t="s">
        <v>235</v>
      </c>
      <c r="G374" s="1" t="s">
        <v>24</v>
      </c>
      <c r="H374" s="1">
        <v>226409</v>
      </c>
      <c r="I374" s="1">
        <v>560964</v>
      </c>
      <c r="J374" s="7">
        <v>0.40400000000000003</v>
      </c>
      <c r="K374" s="1" t="s">
        <v>21</v>
      </c>
      <c r="L374" s="1" t="s">
        <v>21</v>
      </c>
      <c r="M374" s="1" t="s">
        <v>29</v>
      </c>
      <c r="N374" s="1" t="s">
        <v>22</v>
      </c>
      <c r="O374" s="1" t="str">
        <f t="shared" ca="1" si="3"/>
        <v>Please solve the LeetCode problem '1658. Minimum Operations to Reduce X to Zero'.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5" spans="1:15" x14ac:dyDescent="0.25">
      <c r="A375" s="1">
        <v>1721</v>
      </c>
      <c r="B375" s="2" t="str">
        <f>HYPERLINK("https://leetcode.com/problems/swapping-nodes-in-a-linked-list/", "Swapping Nodes in a Linked List")</f>
        <v>Swapping Nodes in a Linked List</v>
      </c>
      <c r="C375" s="1">
        <v>5694</v>
      </c>
      <c r="D375" s="1">
        <v>206</v>
      </c>
      <c r="E375" s="3">
        <f t="shared" si="2"/>
        <v>0.96508474576271186</v>
      </c>
      <c r="F375" s="1" t="s">
        <v>53</v>
      </c>
      <c r="G375" s="1" t="s">
        <v>24</v>
      </c>
      <c r="H375" s="1">
        <v>443966</v>
      </c>
      <c r="I375" s="1">
        <v>642363</v>
      </c>
      <c r="J375" s="7">
        <v>0.69099999999999995</v>
      </c>
      <c r="K375" s="1" t="s">
        <v>21</v>
      </c>
      <c r="L375" s="1" t="s">
        <v>21</v>
      </c>
      <c r="M375" s="1" t="s">
        <v>29</v>
      </c>
      <c r="N375" s="1" t="s">
        <v>22</v>
      </c>
      <c r="O375" s="1" t="str">
        <f t="shared" ca="1" si="3"/>
        <v>Please solve the LeetCode problem '1721. Swapping Nodes in a Linked List'.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6" spans="1:15" x14ac:dyDescent="0.25">
      <c r="A376" s="1">
        <v>905</v>
      </c>
      <c r="B376" s="2" t="str">
        <f>HYPERLINK("https://leetcode.com/problems/sort-array-by-parity/", "Sort Array By Parity")</f>
        <v>Sort Array By Parity</v>
      </c>
      <c r="C376" s="1">
        <v>5647</v>
      </c>
      <c r="D376" s="1">
        <v>156</v>
      </c>
      <c r="E376" s="3">
        <f t="shared" si="2"/>
        <v>0.97311735309322767</v>
      </c>
      <c r="F376" s="1" t="s">
        <v>31</v>
      </c>
      <c r="G376" s="1" t="s">
        <v>20</v>
      </c>
      <c r="H376" s="1">
        <v>980071</v>
      </c>
      <c r="I376" s="1">
        <v>1282704</v>
      </c>
      <c r="J376" s="7">
        <v>0.76400000000000001</v>
      </c>
      <c r="K376" s="1" t="s">
        <v>21</v>
      </c>
      <c r="L376" s="1" t="s">
        <v>21</v>
      </c>
      <c r="M376" s="1" t="s">
        <v>29</v>
      </c>
      <c r="N376" s="1" t="s">
        <v>22</v>
      </c>
      <c r="O376" s="1" t="str">
        <f t="shared" ca="1" si="3"/>
        <v>Please solve the LeetCode problem '905. Sort Array By Parity'.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7" spans="1:15" x14ac:dyDescent="0.25">
      <c r="A377" s="1">
        <v>1838</v>
      </c>
      <c r="B377" s="2" t="str">
        <f>HYPERLINK("https://leetcode.com/problems/frequency-of-the-most-frequent-element/", "Frequency of the Most Frequent Element")</f>
        <v>Frequency of the Most Frequent Element</v>
      </c>
      <c r="C377" s="1">
        <v>5636</v>
      </c>
      <c r="D377" s="1">
        <v>300</v>
      </c>
      <c r="E377" s="3">
        <f t="shared" si="2"/>
        <v>0.94946091644204855</v>
      </c>
      <c r="F377" s="1" t="s">
        <v>236</v>
      </c>
      <c r="G377" s="1" t="s">
        <v>24</v>
      </c>
      <c r="H377" s="1">
        <v>253907</v>
      </c>
      <c r="I377" s="1">
        <v>570072</v>
      </c>
      <c r="J377" s="7">
        <v>0.44500000000000001</v>
      </c>
      <c r="K377" s="1" t="s">
        <v>21</v>
      </c>
      <c r="L377" s="1" t="s">
        <v>21</v>
      </c>
      <c r="M377" s="1" t="s">
        <v>29</v>
      </c>
      <c r="N377" s="1" t="s">
        <v>22</v>
      </c>
      <c r="O377" s="1" t="str">
        <f t="shared" ca="1" si="3"/>
        <v>Please solve the LeetCode problem '1838. Frequency of the Most Frequent Element'.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8" spans="1:15" x14ac:dyDescent="0.25">
      <c r="A378" s="1">
        <v>968</v>
      </c>
      <c r="B378" s="2" t="str">
        <f>HYPERLINK("https://leetcode.com/problems/binary-tree-cameras/", "Binary Tree Cameras")</f>
        <v>Binary Tree Cameras</v>
      </c>
      <c r="C378" s="1">
        <v>5623</v>
      </c>
      <c r="D378" s="1">
        <v>89</v>
      </c>
      <c r="E378" s="3">
        <f t="shared" si="2"/>
        <v>0.98441876750700286</v>
      </c>
      <c r="F378" s="1" t="s">
        <v>68</v>
      </c>
      <c r="G378" s="1" t="s">
        <v>28</v>
      </c>
      <c r="H378" s="1">
        <v>180203</v>
      </c>
      <c r="I378" s="1">
        <v>378626</v>
      </c>
      <c r="J378" s="7">
        <v>0.47599999999999998</v>
      </c>
      <c r="K378" s="1" t="s">
        <v>21</v>
      </c>
      <c r="L378" s="1" t="s">
        <v>21</v>
      </c>
      <c r="M378" s="1" t="s">
        <v>29</v>
      </c>
      <c r="N378" s="1" t="s">
        <v>22</v>
      </c>
      <c r="O378" s="1" t="str">
        <f t="shared" ca="1" si="3"/>
        <v>Please solve the LeetCode problem '968. Binary Tree Cameras'.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9" spans="1:15" x14ac:dyDescent="0.25">
      <c r="A379" s="1">
        <v>413</v>
      </c>
      <c r="B379" s="2" t="str">
        <f>HYPERLINK("https://leetcode.com/problems/arithmetic-slices/", "Arithmetic Slices")</f>
        <v>Arithmetic Slices</v>
      </c>
      <c r="C379" s="1">
        <v>5610</v>
      </c>
      <c r="D379" s="1">
        <v>305</v>
      </c>
      <c r="E379" s="3">
        <f t="shared" si="2"/>
        <v>0.94843617920541001</v>
      </c>
      <c r="F379" s="1" t="s">
        <v>239</v>
      </c>
      <c r="G379" s="1" t="s">
        <v>24</v>
      </c>
      <c r="H379" s="1">
        <v>358635</v>
      </c>
      <c r="I379" s="1">
        <v>553349</v>
      </c>
      <c r="J379" s="7">
        <v>0.64800000000000002</v>
      </c>
      <c r="K379" s="1" t="s">
        <v>21</v>
      </c>
      <c r="L379" s="1" t="s">
        <v>21</v>
      </c>
      <c r="M379" s="1" t="s">
        <v>29</v>
      </c>
      <c r="N379" s="1" t="s">
        <v>22</v>
      </c>
      <c r="O379" s="1" t="str">
        <f t="shared" ca="1" si="3"/>
        <v>Please solve the LeetCode problem '413. Arithmetic Slices'.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80" spans="1:15" x14ac:dyDescent="0.25">
      <c r="A380" s="1">
        <v>93</v>
      </c>
      <c r="B380" s="2" t="str">
        <f>HYPERLINK("https://leetcode.com/problems/restore-ip-addresses/", "Restore IP Addresses")</f>
        <v>Restore IP Addresses</v>
      </c>
      <c r="C380" s="1">
        <v>5595</v>
      </c>
      <c r="D380" s="1">
        <v>818</v>
      </c>
      <c r="E380" s="3">
        <f t="shared" si="2"/>
        <v>0.87244659285825665</v>
      </c>
      <c r="F380" s="1" t="s">
        <v>238</v>
      </c>
      <c r="G380" s="1" t="s">
        <v>24</v>
      </c>
      <c r="H380" s="1">
        <v>597289</v>
      </c>
      <c r="I380" s="1">
        <v>1086318</v>
      </c>
      <c r="J380" s="7">
        <v>0.55000000000000004</v>
      </c>
      <c r="K380" s="1" t="s">
        <v>21</v>
      </c>
      <c r="L380" s="1" t="s">
        <v>21</v>
      </c>
      <c r="M380" s="1" t="s">
        <v>29</v>
      </c>
      <c r="N380" s="1" t="s">
        <v>22</v>
      </c>
      <c r="O380" s="1" t="str">
        <f t="shared" ca="1" si="3"/>
        <v>Please solve the LeetCode problem '93. Restore IP Addresses'.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81" spans="1:15" x14ac:dyDescent="0.25">
      <c r="A381" s="1">
        <v>383</v>
      </c>
      <c r="B381" s="2" t="str">
        <f>HYPERLINK("https://leetcode.com/problems/ransom-note/", "Ransom Note")</f>
        <v>Ransom Note</v>
      </c>
      <c r="C381" s="1">
        <v>5594</v>
      </c>
      <c r="D381" s="1">
        <v>541</v>
      </c>
      <c r="E381" s="3">
        <f t="shared" si="2"/>
        <v>0.91181744091279548</v>
      </c>
      <c r="F381" s="1" t="s">
        <v>237</v>
      </c>
      <c r="G381" s="1" t="s">
        <v>20</v>
      </c>
      <c r="H381" s="1">
        <v>1849327</v>
      </c>
      <c r="I381" s="1">
        <v>2825422</v>
      </c>
      <c r="J381" s="7">
        <v>0.65500000000000003</v>
      </c>
      <c r="K381" s="1" t="s">
        <v>21</v>
      </c>
      <c r="L381" s="1" t="s">
        <v>21</v>
      </c>
      <c r="M381" s="1" t="s">
        <v>21</v>
      </c>
      <c r="N381" s="1" t="s">
        <v>22</v>
      </c>
      <c r="O381" s="1" t="str">
        <f t="shared" ca="1" si="3"/>
        <v>Please solve the LeetCode problem '383. Ransom Note'.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82" spans="1:15" x14ac:dyDescent="0.25">
      <c r="A382" s="1">
        <v>856</v>
      </c>
      <c r="B382" s="2" t="str">
        <f>HYPERLINK("https://leetcode.com/problems/score-of-parentheses/", "Score of Parentheses")</f>
        <v>Score of Parentheses</v>
      </c>
      <c r="C382" s="1">
        <v>5594</v>
      </c>
      <c r="D382" s="1">
        <v>235</v>
      </c>
      <c r="E382" s="3">
        <f t="shared" si="2"/>
        <v>0.95968433693600963</v>
      </c>
      <c r="F382" s="1" t="s">
        <v>36</v>
      </c>
      <c r="G382" s="1" t="s">
        <v>24</v>
      </c>
      <c r="H382" s="1">
        <v>217495</v>
      </c>
      <c r="I382" s="1">
        <v>341558</v>
      </c>
      <c r="J382" s="7">
        <v>0.63700000000000001</v>
      </c>
      <c r="K382" s="1" t="s">
        <v>21</v>
      </c>
      <c r="L382" s="1" t="s">
        <v>21</v>
      </c>
      <c r="M382" s="1" t="s">
        <v>29</v>
      </c>
      <c r="N382" s="1" t="s">
        <v>22</v>
      </c>
      <c r="O382" s="1" t="str">
        <f t="shared" ca="1" si="3"/>
        <v>Please solve the LeetCode problem '856. Score of Parentheses'.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83" spans="1:15" x14ac:dyDescent="0.25">
      <c r="A383" s="1">
        <v>190</v>
      </c>
      <c r="B383" s="2" t="str">
        <f>HYPERLINK("https://leetcode.com/problems/reverse-bits/", "Reverse Bits")</f>
        <v>Reverse Bits</v>
      </c>
      <c r="C383" s="1">
        <v>5578</v>
      </c>
      <c r="D383" s="1">
        <v>1643</v>
      </c>
      <c r="E383" s="3">
        <f t="shared" si="2"/>
        <v>0.77246918709320034</v>
      </c>
      <c r="F383" s="1" t="s">
        <v>195</v>
      </c>
      <c r="G383" s="1" t="s">
        <v>20</v>
      </c>
      <c r="H383" s="1">
        <v>1152482</v>
      </c>
      <c r="I383" s="1">
        <v>1758932</v>
      </c>
      <c r="J383" s="7">
        <v>0.65500000000000003</v>
      </c>
      <c r="K383" s="1" t="s">
        <v>21</v>
      </c>
      <c r="L383" s="1" t="s">
        <v>21</v>
      </c>
      <c r="M383" s="1" t="s">
        <v>29</v>
      </c>
      <c r="N383" s="1" t="s">
        <v>22</v>
      </c>
      <c r="O383" s="1" t="str">
        <f t="shared" ca="1" si="3"/>
        <v>Please solve the LeetCode problem '190. Reverse Bits'.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84" spans="1:15" x14ac:dyDescent="0.25">
      <c r="A384" s="1">
        <v>1482</v>
      </c>
      <c r="B384" s="2" t="str">
        <f>HYPERLINK("https://leetcode.com/problems/minimum-number-of-days-to-make-m-bouquets/", "Minimum Number of Days to Make m Bouquets")</f>
        <v>Minimum Number of Days to Make m Bouquets</v>
      </c>
      <c r="C384" s="1">
        <v>5557</v>
      </c>
      <c r="D384" s="1">
        <v>313</v>
      </c>
      <c r="E384" s="3">
        <f t="shared" si="2"/>
        <v>0.94667802385008515</v>
      </c>
      <c r="F384" s="1" t="s">
        <v>35</v>
      </c>
      <c r="G384" s="1" t="s">
        <v>24</v>
      </c>
      <c r="H384" s="1">
        <v>466266</v>
      </c>
      <c r="I384" s="1">
        <v>831631</v>
      </c>
      <c r="J384" s="7">
        <v>0.56100000000000005</v>
      </c>
      <c r="K384" s="1" t="s">
        <v>21</v>
      </c>
      <c r="L384" s="1" t="s">
        <v>21</v>
      </c>
      <c r="M384" s="1" t="s">
        <v>29</v>
      </c>
      <c r="N384" s="1" t="s">
        <v>22</v>
      </c>
      <c r="O384" s="1" t="str">
        <f t="shared" ca="1" si="3"/>
        <v>Please solve the LeetCode problem '1482. Minimum Number of Days to Make m Bouquets'.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85" spans="1:15" x14ac:dyDescent="0.25">
      <c r="A385" s="1">
        <v>1319</v>
      </c>
      <c r="B385" s="2" t="str">
        <f>HYPERLINK("https://leetcode.com/problems/number-of-operations-to-make-network-connected/", "Number of Operations to Make Network Connected")</f>
        <v>Number of Operations to Make Network Connected</v>
      </c>
      <c r="C385" s="1">
        <v>5548</v>
      </c>
      <c r="D385" s="1">
        <v>83</v>
      </c>
      <c r="E385" s="3">
        <f t="shared" si="2"/>
        <v>0.98526016693304919</v>
      </c>
      <c r="F385" s="1" t="s">
        <v>122</v>
      </c>
      <c r="G385" s="1" t="s">
        <v>24</v>
      </c>
      <c r="H385" s="1">
        <v>340189</v>
      </c>
      <c r="I385" s="1">
        <v>515747</v>
      </c>
      <c r="J385" s="7">
        <v>0.66</v>
      </c>
      <c r="K385" s="1" t="s">
        <v>21</v>
      </c>
      <c r="L385" s="1" t="s">
        <v>21</v>
      </c>
      <c r="M385" s="1" t="s">
        <v>29</v>
      </c>
      <c r="N385" s="1" t="s">
        <v>22</v>
      </c>
      <c r="O385" s="1" t="str">
        <f t="shared" ca="1" si="3"/>
        <v>Please solve the LeetCode problem '1319. Number of Operations to Make Network Connected'.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86" spans="1:15" x14ac:dyDescent="0.25">
      <c r="A386" s="1">
        <v>1584</v>
      </c>
      <c r="B386" s="2" t="str">
        <f>HYPERLINK("https://leetcode.com/problems/min-cost-to-connect-all-points/", "Min Cost to Connect All Points")</f>
        <v>Min Cost to Connect All Points</v>
      </c>
      <c r="C386" s="1">
        <v>5541</v>
      </c>
      <c r="D386" s="1">
        <v>144</v>
      </c>
      <c r="E386" s="3">
        <f t="shared" si="2"/>
        <v>0.97467018469656996</v>
      </c>
      <c r="F386" s="1" t="s">
        <v>240</v>
      </c>
      <c r="G386" s="1" t="s">
        <v>24</v>
      </c>
      <c r="H386" s="1">
        <v>439715</v>
      </c>
      <c r="I386" s="1">
        <v>626780</v>
      </c>
      <c r="J386" s="7">
        <v>0.70199999999999996</v>
      </c>
      <c r="K386" s="1" t="s">
        <v>21</v>
      </c>
      <c r="L386" s="1" t="s">
        <v>21</v>
      </c>
      <c r="M386" s="1" t="s">
        <v>29</v>
      </c>
      <c r="N386" s="1" t="s">
        <v>22</v>
      </c>
      <c r="O386" s="1" t="str">
        <f t="shared" ca="1" si="3"/>
        <v>Please solve the LeetCode problem '1584. Min Cost to Connect All Points'.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87" spans="1:15" x14ac:dyDescent="0.25">
      <c r="A387" s="1">
        <v>637</v>
      </c>
      <c r="B387" s="2" t="str">
        <f>HYPERLINK("https://leetcode.com/problems/average-of-levels-in-binary-tree/", "Average of Levels in Binary Tree")</f>
        <v>Average of Levels in Binary Tree</v>
      </c>
      <c r="C387" s="1">
        <v>5536</v>
      </c>
      <c r="D387" s="1">
        <v>351</v>
      </c>
      <c r="E387" s="3">
        <f t="shared" si="2"/>
        <v>0.94037710208934944</v>
      </c>
      <c r="F387" s="1" t="s">
        <v>80</v>
      </c>
      <c r="G387" s="1" t="s">
        <v>20</v>
      </c>
      <c r="H387" s="1">
        <v>716952</v>
      </c>
      <c r="I387" s="1">
        <v>960476</v>
      </c>
      <c r="J387" s="7">
        <v>0.746</v>
      </c>
      <c r="K387" s="1" t="s">
        <v>21</v>
      </c>
      <c r="L387" s="1" t="s">
        <v>21</v>
      </c>
      <c r="M387" s="1" t="s">
        <v>29</v>
      </c>
      <c r="N387" s="1" t="s">
        <v>22</v>
      </c>
      <c r="O387" s="1" t="str">
        <f t="shared" ca="1" si="3"/>
        <v>Please solve the LeetCode problem '637. Average of Levels in Binary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88" spans="1:15" x14ac:dyDescent="0.25">
      <c r="A388" s="1">
        <v>1312</v>
      </c>
      <c r="B388" s="2" t="str">
        <f>HYPERLINK("https://leetcode.com/problems/minimum-insertion-steps-to-make-a-string-palindrome/", "Minimum Insertion Steps to Make a String Palindrome")</f>
        <v>Minimum Insertion Steps to Make a String Palindrome</v>
      </c>
      <c r="C388" s="1">
        <v>5530</v>
      </c>
      <c r="D388" s="1">
        <v>75</v>
      </c>
      <c r="E388" s="3">
        <f t="shared" si="2"/>
        <v>0.98661909009812665</v>
      </c>
      <c r="F388" s="1" t="s">
        <v>82</v>
      </c>
      <c r="G388" s="1" t="s">
        <v>28</v>
      </c>
      <c r="H388" s="1">
        <v>291108</v>
      </c>
      <c r="I388" s="1">
        <v>395980</v>
      </c>
      <c r="J388" s="7">
        <v>0.73499999999999999</v>
      </c>
      <c r="K388" s="1" t="s">
        <v>21</v>
      </c>
      <c r="L388" s="1" t="s">
        <v>21</v>
      </c>
      <c r="M388" s="1" t="s">
        <v>29</v>
      </c>
      <c r="N388" s="1" t="s">
        <v>22</v>
      </c>
      <c r="O388" s="1" t="str">
        <f t="shared" ca="1" si="3"/>
        <v>Please solve the LeetCode problem '1312. Minimum Insertion Steps to Make a String Palindrome'.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89" spans="1:15" x14ac:dyDescent="0.25">
      <c r="A389" s="1">
        <v>1207</v>
      </c>
      <c r="B389" s="2" t="str">
        <f>HYPERLINK("https://leetcode.com/problems/unique-number-of-occurrences/", "Unique Number of Occurrences")</f>
        <v>Unique Number of Occurrences</v>
      </c>
      <c r="C389" s="1">
        <v>5510</v>
      </c>
      <c r="D389" s="1">
        <v>154</v>
      </c>
      <c r="E389" s="3">
        <f t="shared" si="2"/>
        <v>0.97281073446327682</v>
      </c>
      <c r="F389" s="1" t="s">
        <v>19</v>
      </c>
      <c r="G389" s="1" t="s">
        <v>20</v>
      </c>
      <c r="H389" s="1">
        <v>941651</v>
      </c>
      <c r="I389" s="1">
        <v>1198258</v>
      </c>
      <c r="J389" s="7">
        <v>0.78600000000000003</v>
      </c>
      <c r="K389" s="1" t="s">
        <v>21</v>
      </c>
      <c r="L389" s="1" t="s">
        <v>21</v>
      </c>
      <c r="M389" s="1" t="s">
        <v>21</v>
      </c>
      <c r="N389" s="1" t="s">
        <v>22</v>
      </c>
      <c r="O389" s="1" t="str">
        <f t="shared" ca="1" si="3"/>
        <v>Please solve the LeetCode problem '1207. Unique Number of Occurrences'.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90" spans="1:15" x14ac:dyDescent="0.25">
      <c r="A390" s="1">
        <v>1351</v>
      </c>
      <c r="B390" s="2" t="str">
        <f>HYPERLINK("https://leetcode.com/problems/count-negative-numbers-in-a-sorted-matrix/", "Count Negative Numbers in a Sorted Matrix")</f>
        <v>Count Negative Numbers in a Sorted Matrix</v>
      </c>
      <c r="C390" s="1">
        <v>5457</v>
      </c>
      <c r="D390" s="1">
        <v>146</v>
      </c>
      <c r="E390" s="3">
        <f t="shared" si="2"/>
        <v>0.97394253078707838</v>
      </c>
      <c r="F390" s="1" t="s">
        <v>73</v>
      </c>
      <c r="G390" s="1" t="s">
        <v>20</v>
      </c>
      <c r="H390" s="1">
        <v>641200</v>
      </c>
      <c r="I390" s="1">
        <v>806802</v>
      </c>
      <c r="J390" s="7">
        <v>0.79500000000000004</v>
      </c>
      <c r="K390" s="1" t="s">
        <v>21</v>
      </c>
      <c r="L390" s="1" t="s">
        <v>21</v>
      </c>
      <c r="M390" s="1" t="s">
        <v>29</v>
      </c>
      <c r="N390" s="1" t="s">
        <v>22</v>
      </c>
      <c r="O390" s="1" t="str">
        <f t="shared" ca="1" si="3"/>
        <v>Please solve the LeetCode problem '1351. Count Negative Numbers in a Sorted Matrix'.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91" spans="1:15" x14ac:dyDescent="0.25">
      <c r="A391" s="1">
        <v>980</v>
      </c>
      <c r="B391" s="2" t="str">
        <f>HYPERLINK("https://leetcode.com/problems/unique-paths-iii/", "Unique Paths III")</f>
        <v>Unique Paths III</v>
      </c>
      <c r="C391" s="1">
        <v>5454</v>
      </c>
      <c r="D391" s="1">
        <v>197</v>
      </c>
      <c r="E391" s="3">
        <f t="shared" si="2"/>
        <v>0.96513891346664304</v>
      </c>
      <c r="F391" s="1" t="s">
        <v>241</v>
      </c>
      <c r="G391" s="1" t="s">
        <v>28</v>
      </c>
      <c r="H391" s="1">
        <v>250785</v>
      </c>
      <c r="I391" s="1">
        <v>303271</v>
      </c>
      <c r="J391" s="7">
        <v>0.82699999999999996</v>
      </c>
      <c r="K391" s="1" t="s">
        <v>21</v>
      </c>
      <c r="L391" s="1" t="s">
        <v>21</v>
      </c>
      <c r="M391" s="1" t="s">
        <v>29</v>
      </c>
      <c r="N391" s="1" t="s">
        <v>22</v>
      </c>
      <c r="O391" s="1" t="str">
        <f t="shared" ca="1" si="3"/>
        <v>Please solve the LeetCode problem '980. Unique Paths III'.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92" spans="1:15" x14ac:dyDescent="0.25">
      <c r="A392" s="1">
        <v>771</v>
      </c>
      <c r="B392" s="2" t="str">
        <f>HYPERLINK("https://leetcode.com/problems/jewels-and-stones/", "Jewels and Stones")</f>
        <v>Jewels and Stones</v>
      </c>
      <c r="C392" s="1">
        <v>5414</v>
      </c>
      <c r="D392" s="1">
        <v>630</v>
      </c>
      <c r="E392" s="3">
        <f t="shared" si="2"/>
        <v>0.89576439444076772</v>
      </c>
      <c r="F392" s="1" t="s">
        <v>131</v>
      </c>
      <c r="G392" s="1" t="s">
        <v>20</v>
      </c>
      <c r="H392" s="1">
        <v>1329132</v>
      </c>
      <c r="I392" s="1">
        <v>1485906</v>
      </c>
      <c r="J392" s="7">
        <v>0.89400000000000002</v>
      </c>
      <c r="K392" s="1" t="s">
        <v>21</v>
      </c>
      <c r="L392" s="1" t="s">
        <v>21</v>
      </c>
      <c r="M392" s="1" t="s">
        <v>29</v>
      </c>
      <c r="N392" s="1" t="s">
        <v>22</v>
      </c>
      <c r="O392" s="1" t="str">
        <f t="shared" ca="1" si="3"/>
        <v>Please solve the LeetCode problem '771. Jewels and Stones'.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93" spans="1:15" x14ac:dyDescent="0.25">
      <c r="A393" s="1">
        <v>430</v>
      </c>
      <c r="B393" s="2" t="str">
        <f>HYPERLINK("https://leetcode.com/problems/flatten-a-multilevel-doubly-linked-list/", "Flatten a Multilevel Doubly Linked List")</f>
        <v>Flatten a Multilevel Doubly Linked List</v>
      </c>
      <c r="C393" s="1">
        <v>5409</v>
      </c>
      <c r="D393" s="1">
        <v>346</v>
      </c>
      <c r="E393" s="3">
        <f t="shared" si="2"/>
        <v>0.9398783666377063</v>
      </c>
      <c r="F393" s="1" t="s">
        <v>244</v>
      </c>
      <c r="G393" s="1" t="s">
        <v>24</v>
      </c>
      <c r="H393" s="1">
        <v>419864</v>
      </c>
      <c r="I393" s="1">
        <v>673143</v>
      </c>
      <c r="J393" s="7">
        <v>0.624</v>
      </c>
      <c r="K393" s="1" t="s">
        <v>21</v>
      </c>
      <c r="L393" s="1" t="s">
        <v>21</v>
      </c>
      <c r="M393" s="1" t="s">
        <v>29</v>
      </c>
      <c r="N393" s="1" t="s">
        <v>22</v>
      </c>
      <c r="O393" s="1" t="str">
        <f t="shared" ca="1" si="3"/>
        <v>Please solve the LeetCode problem '430. Flatten a Multilevel Doubly Linked List'.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94" spans="1:15" x14ac:dyDescent="0.25">
      <c r="A394" s="1">
        <v>415</v>
      </c>
      <c r="B394" s="2" t="str">
        <f>HYPERLINK("https://leetcode.com/problems/add-strings/", "Add Strings")</f>
        <v>Add Strings</v>
      </c>
      <c r="C394" s="1">
        <v>5407</v>
      </c>
      <c r="D394" s="1">
        <v>829</v>
      </c>
      <c r="E394" s="3">
        <f t="shared" si="2"/>
        <v>0.86706221937139194</v>
      </c>
      <c r="F394" s="1" t="s">
        <v>178</v>
      </c>
      <c r="G394" s="1" t="s">
        <v>20</v>
      </c>
      <c r="H394" s="1">
        <v>905338</v>
      </c>
      <c r="I394" s="1">
        <v>1738761</v>
      </c>
      <c r="J394" s="7">
        <v>0.52100000000000002</v>
      </c>
      <c r="K394" s="1" t="s">
        <v>21</v>
      </c>
      <c r="L394" s="1" t="s">
        <v>21</v>
      </c>
      <c r="M394" s="1" t="s">
        <v>29</v>
      </c>
      <c r="N394" s="1" t="s">
        <v>22</v>
      </c>
      <c r="O394" s="1" t="str">
        <f t="shared" ca="1" si="3"/>
        <v>Please solve the LeetCode problem '415. Add Strings'.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95" spans="1:15" x14ac:dyDescent="0.25">
      <c r="A395" s="1">
        <v>389</v>
      </c>
      <c r="B395" s="2" t="str">
        <f>HYPERLINK("https://leetcode.com/problems/find-the-difference/", "Find the Difference")</f>
        <v>Find the Difference</v>
      </c>
      <c r="C395" s="1">
        <v>5406</v>
      </c>
      <c r="D395" s="1">
        <v>510</v>
      </c>
      <c r="E395" s="3">
        <f t="shared" si="2"/>
        <v>0.91379310344827591</v>
      </c>
      <c r="F395" s="1" t="s">
        <v>243</v>
      </c>
      <c r="G395" s="1" t="s">
        <v>20</v>
      </c>
      <c r="H395" s="1">
        <v>1033211</v>
      </c>
      <c r="I395" s="1">
        <v>1721692</v>
      </c>
      <c r="J395" s="7">
        <v>0.6</v>
      </c>
      <c r="K395" s="1" t="s">
        <v>21</v>
      </c>
      <c r="L395" s="1" t="s">
        <v>21</v>
      </c>
      <c r="M395" s="1" t="s">
        <v>29</v>
      </c>
      <c r="N395" s="1" t="s">
        <v>22</v>
      </c>
      <c r="O395" s="1" t="str">
        <f t="shared" ca="1" si="3"/>
        <v>Please solve the LeetCode problem '389. Find the Difference'.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96" spans="1:15" x14ac:dyDescent="0.25">
      <c r="A396" s="1">
        <v>654</v>
      </c>
      <c r="B396" s="2" t="str">
        <f>HYPERLINK("https://leetcode.com/problems/maximum-binary-tree/", "Maximum Binary Tree")</f>
        <v>Maximum Binary Tree</v>
      </c>
      <c r="C396" s="1">
        <v>5404</v>
      </c>
      <c r="D396" s="1">
        <v>350</v>
      </c>
      <c r="E396" s="3">
        <f t="shared" si="2"/>
        <v>0.93917274939172746</v>
      </c>
      <c r="F396" s="1" t="s">
        <v>245</v>
      </c>
      <c r="G396" s="1" t="s">
        <v>24</v>
      </c>
      <c r="H396" s="1">
        <v>353441</v>
      </c>
      <c r="I396" s="1">
        <v>409871</v>
      </c>
      <c r="J396" s="7">
        <v>0.86199999999999999</v>
      </c>
      <c r="K396" s="1" t="s">
        <v>21</v>
      </c>
      <c r="L396" s="1" t="s">
        <v>21</v>
      </c>
      <c r="M396" s="1" t="s">
        <v>29</v>
      </c>
      <c r="N396" s="1" t="s">
        <v>22</v>
      </c>
      <c r="O396" s="1" t="str">
        <f t="shared" ca="1" si="3"/>
        <v>Please solve the LeetCode problem '654. Maximum Binary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97" spans="1:15" x14ac:dyDescent="0.25">
      <c r="A397" s="1">
        <v>538</v>
      </c>
      <c r="B397" s="2" t="str">
        <f>HYPERLINK("https://leetcode.com/problems/convert-bst-to-greater-tree/", "Convert BST to Greater Tree")</f>
        <v>Convert BST to Greater Tree</v>
      </c>
      <c r="C397" s="1">
        <v>5395</v>
      </c>
      <c r="D397" s="1">
        <v>183</v>
      </c>
      <c r="E397" s="3">
        <f t="shared" si="2"/>
        <v>0.96719254212979566</v>
      </c>
      <c r="F397" s="1" t="s">
        <v>69</v>
      </c>
      <c r="G397" s="1" t="s">
        <v>24</v>
      </c>
      <c r="H397" s="1">
        <v>347229</v>
      </c>
      <c r="I397" s="1">
        <v>487572</v>
      </c>
      <c r="J397" s="7">
        <v>0.71199999999999997</v>
      </c>
      <c r="K397" s="1" t="s">
        <v>21</v>
      </c>
      <c r="L397" s="1" t="s">
        <v>21</v>
      </c>
      <c r="M397" s="1" t="s">
        <v>29</v>
      </c>
      <c r="N397" s="1" t="s">
        <v>22</v>
      </c>
      <c r="O397" s="1" t="str">
        <f t="shared" ca="1" si="3"/>
        <v>Please solve the LeetCode problem '538. Convert BST to Greater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98" spans="1:15" x14ac:dyDescent="0.25">
      <c r="A398" s="1">
        <v>258</v>
      </c>
      <c r="B398" s="2" t="str">
        <f>HYPERLINK("https://leetcode.com/problems/add-digits/", "Add Digits")</f>
        <v>Add Digits</v>
      </c>
      <c r="C398" s="1">
        <v>5394</v>
      </c>
      <c r="D398" s="1">
        <v>1975</v>
      </c>
      <c r="E398" s="3">
        <f t="shared" si="2"/>
        <v>0.73198534400868498</v>
      </c>
      <c r="F398" s="1" t="s">
        <v>242</v>
      </c>
      <c r="G398" s="1" t="s">
        <v>20</v>
      </c>
      <c r="H398" s="1">
        <v>1138944</v>
      </c>
      <c r="I398" s="1">
        <v>1662729</v>
      </c>
      <c r="J398" s="7">
        <v>0.68500000000000005</v>
      </c>
      <c r="K398" s="1" t="s">
        <v>21</v>
      </c>
      <c r="L398" s="1" t="s">
        <v>21</v>
      </c>
      <c r="M398" s="1" t="s">
        <v>29</v>
      </c>
      <c r="N398" s="1" t="s">
        <v>22</v>
      </c>
      <c r="O398" s="1" t="str">
        <f t="shared" ca="1" si="3"/>
        <v>Please solve the LeetCode problem '258. Add Digits'.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99" spans="1:15" x14ac:dyDescent="0.25">
      <c r="A399" s="1">
        <v>706</v>
      </c>
      <c r="B399" s="2" t="str">
        <f>HYPERLINK("https://leetcode.com/problems/design-hashmap/", "Design HashMap")</f>
        <v>Design HashMap</v>
      </c>
      <c r="C399" s="1">
        <v>5388</v>
      </c>
      <c r="D399" s="1">
        <v>496</v>
      </c>
      <c r="E399" s="3">
        <f t="shared" si="2"/>
        <v>0.91570360299116249</v>
      </c>
      <c r="F399" s="1" t="s">
        <v>246</v>
      </c>
      <c r="G399" s="1" t="s">
        <v>20</v>
      </c>
      <c r="H399" s="1">
        <v>737543</v>
      </c>
      <c r="I399" s="1">
        <v>1112719</v>
      </c>
      <c r="J399" s="7">
        <v>0.66300000000000003</v>
      </c>
      <c r="K399" s="1" t="s">
        <v>21</v>
      </c>
      <c r="L399" s="1" t="s">
        <v>21</v>
      </c>
      <c r="M399" s="1" t="s">
        <v>29</v>
      </c>
      <c r="N399" s="1" t="s">
        <v>22</v>
      </c>
      <c r="O399" s="1" t="str">
        <f t="shared" ca="1" si="3"/>
        <v>Please solve the LeetCode problem '706. Design HashMap'.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00" spans="1:15" x14ac:dyDescent="0.25">
      <c r="A400" s="1">
        <v>343</v>
      </c>
      <c r="B400" s="2" t="str">
        <f>HYPERLINK("https://leetcode.com/problems/integer-break/", "Integer Break")</f>
        <v>Integer Break</v>
      </c>
      <c r="C400" s="1">
        <v>5343</v>
      </c>
      <c r="D400" s="1">
        <v>465</v>
      </c>
      <c r="E400" s="3">
        <f t="shared" si="2"/>
        <v>0.9199380165289256</v>
      </c>
      <c r="F400" s="1" t="s">
        <v>250</v>
      </c>
      <c r="G400" s="1" t="s">
        <v>24</v>
      </c>
      <c r="H400" s="1">
        <v>425601</v>
      </c>
      <c r="I400" s="1">
        <v>689262</v>
      </c>
      <c r="J400" s="7">
        <v>0.61699999999999999</v>
      </c>
      <c r="K400" s="1" t="s">
        <v>21</v>
      </c>
      <c r="L400" s="1" t="s">
        <v>21</v>
      </c>
      <c r="M400" s="1" t="s">
        <v>29</v>
      </c>
      <c r="N400" s="1" t="s">
        <v>22</v>
      </c>
      <c r="O400" s="1" t="str">
        <f t="shared" ca="1" si="3"/>
        <v>Please solve the LeetCode problem '343. Integer Break'.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01" spans="1:15" x14ac:dyDescent="0.25">
      <c r="A401" s="1">
        <v>304</v>
      </c>
      <c r="B401" s="2" t="str">
        <f>HYPERLINK("https://leetcode.com/problems/range-sum-query-2d-immutable/", "Range Sum Query 2D - Immutable")</f>
        <v>Range Sum Query 2D - Immutable</v>
      </c>
      <c r="C401" s="1">
        <v>5328</v>
      </c>
      <c r="D401" s="1">
        <v>369</v>
      </c>
      <c r="E401" s="3">
        <f t="shared" si="2"/>
        <v>0.93522906793048977</v>
      </c>
      <c r="F401" s="1" t="s">
        <v>249</v>
      </c>
      <c r="G401" s="1" t="s">
        <v>24</v>
      </c>
      <c r="H401" s="1">
        <v>460675</v>
      </c>
      <c r="I401" s="1">
        <v>799532</v>
      </c>
      <c r="J401" s="7">
        <v>0.57599999999999996</v>
      </c>
      <c r="K401" s="1" t="s">
        <v>21</v>
      </c>
      <c r="L401" s="1" t="s">
        <v>21</v>
      </c>
      <c r="M401" s="1" t="s">
        <v>21</v>
      </c>
      <c r="N401" s="1" t="s">
        <v>22</v>
      </c>
      <c r="O401" s="1" t="str">
        <f t="shared" ca="1" si="3"/>
        <v>Please solve the LeetCode problem '304. Range Sum Query 2D - Immutable'.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02" spans="1:15" x14ac:dyDescent="0.25">
      <c r="A402" s="1">
        <v>1248</v>
      </c>
      <c r="B402" s="2" t="str">
        <f>HYPERLINK("https://leetcode.com/problems/count-number-of-nice-subarrays/", "Count Number of Nice Subarrays")</f>
        <v>Count Number of Nice Subarrays</v>
      </c>
      <c r="C402" s="1">
        <v>5311</v>
      </c>
      <c r="D402" s="1">
        <v>141</v>
      </c>
      <c r="E402" s="3">
        <f t="shared" si="2"/>
        <v>0.97413793103448276</v>
      </c>
      <c r="F402" s="1" t="s">
        <v>248</v>
      </c>
      <c r="G402" s="1" t="s">
        <v>24</v>
      </c>
      <c r="H402" s="1">
        <v>449382</v>
      </c>
      <c r="I402" s="1">
        <v>602444</v>
      </c>
      <c r="J402" s="7">
        <v>0.746</v>
      </c>
      <c r="K402" s="1" t="s">
        <v>21</v>
      </c>
      <c r="L402" s="1" t="s">
        <v>21</v>
      </c>
      <c r="M402" s="1" t="s">
        <v>29</v>
      </c>
      <c r="N402" s="1" t="s">
        <v>22</v>
      </c>
      <c r="O402" s="1" t="str">
        <f t="shared" ca="1" si="3"/>
        <v>Please solve the LeetCode problem '1248. Count Number of Nice Subarrays'.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03" spans="1:15" x14ac:dyDescent="0.25">
      <c r="A403" s="1">
        <v>1155</v>
      </c>
      <c r="B403" s="2" t="str">
        <f>HYPERLINK("https://leetcode.com/problems/number-of-dice-rolls-with-target-sum/", "Number of Dice Rolls With Target Sum")</f>
        <v>Number of Dice Rolls With Target Sum</v>
      </c>
      <c r="C403" s="1">
        <v>5301</v>
      </c>
      <c r="D403" s="1">
        <v>185</v>
      </c>
      <c r="E403" s="3">
        <f t="shared" si="2"/>
        <v>0.9662777980313525</v>
      </c>
      <c r="F403" s="1" t="s">
        <v>251</v>
      </c>
      <c r="G403" s="1" t="s">
        <v>24</v>
      </c>
      <c r="H403" s="1">
        <v>345050</v>
      </c>
      <c r="I403" s="1">
        <v>555591</v>
      </c>
      <c r="J403" s="7">
        <v>0.621</v>
      </c>
      <c r="K403" s="1" t="s">
        <v>21</v>
      </c>
      <c r="L403" s="1" t="s">
        <v>21</v>
      </c>
      <c r="M403" s="1" t="s">
        <v>29</v>
      </c>
      <c r="N403" s="1" t="s">
        <v>22</v>
      </c>
      <c r="O403" s="1" t="str">
        <f t="shared" ca="1" si="3"/>
        <v>Please solve the LeetCode problem '1155. Number of Dice Rolls With Target Sum'.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04" spans="1:15" x14ac:dyDescent="0.25">
      <c r="A404" s="1">
        <v>645</v>
      </c>
      <c r="B404" s="2" t="str">
        <f>HYPERLINK("https://leetcode.com/problems/set-mismatch/", "Set Mismatch")</f>
        <v>Set Mismatch</v>
      </c>
      <c r="C404" s="1">
        <v>5297</v>
      </c>
      <c r="D404" s="1">
        <v>1300</v>
      </c>
      <c r="E404" s="3">
        <f t="shared" si="2"/>
        <v>0.80294073063513716</v>
      </c>
      <c r="F404" s="1" t="s">
        <v>247</v>
      </c>
      <c r="G404" s="1" t="s">
        <v>20</v>
      </c>
      <c r="H404" s="1">
        <v>653355</v>
      </c>
      <c r="I404" s="1">
        <v>1465242</v>
      </c>
      <c r="J404" s="7">
        <v>0.44600000000000001</v>
      </c>
      <c r="K404" s="1" t="s">
        <v>21</v>
      </c>
      <c r="L404" s="1" t="s">
        <v>21</v>
      </c>
      <c r="M404" s="1" t="s">
        <v>29</v>
      </c>
      <c r="N404" s="1" t="s">
        <v>22</v>
      </c>
      <c r="O404" s="1" t="str">
        <f t="shared" ca="1" si="3"/>
        <v>Please solve the LeetCode problem '645. Set Mismatch'.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05" spans="1:15" x14ac:dyDescent="0.25">
      <c r="A405" s="1">
        <v>376</v>
      </c>
      <c r="B405" s="2" t="str">
        <f>HYPERLINK("https://leetcode.com/problems/wiggle-subsequence/", "Wiggle Subsequence")</f>
        <v>Wiggle Subsequence</v>
      </c>
      <c r="C405" s="1">
        <v>5288</v>
      </c>
      <c r="D405" s="1">
        <v>168</v>
      </c>
      <c r="E405" s="3">
        <f t="shared" si="2"/>
        <v>0.96920821114369504</v>
      </c>
      <c r="F405" s="1" t="s">
        <v>50</v>
      </c>
      <c r="G405" s="1" t="s">
        <v>24</v>
      </c>
      <c r="H405" s="1">
        <v>286547</v>
      </c>
      <c r="I405" s="1">
        <v>582494</v>
      </c>
      <c r="J405" s="7">
        <v>0.49199999999999999</v>
      </c>
      <c r="K405" s="1" t="s">
        <v>21</v>
      </c>
      <c r="L405" s="1" t="s">
        <v>21</v>
      </c>
      <c r="M405" s="1" t="s">
        <v>29</v>
      </c>
      <c r="N405" s="1" t="s">
        <v>22</v>
      </c>
      <c r="O405" s="1" t="str">
        <f t="shared" ca="1" si="3"/>
        <v>Please solve the LeetCode problem '376. Wiggle Subsequence'.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06" spans="1:15" x14ac:dyDescent="0.25">
      <c r="A406" s="1">
        <v>345</v>
      </c>
      <c r="B406" s="2" t="str">
        <f>HYPERLINK("https://leetcode.com/problems/reverse-vowels-of-a-string/", "Reverse Vowels of a String")</f>
        <v>Reverse Vowels of a String</v>
      </c>
      <c r="C406" s="1">
        <v>5267</v>
      </c>
      <c r="D406" s="1">
        <v>2850</v>
      </c>
      <c r="E406" s="3">
        <f t="shared" si="2"/>
        <v>0.64888505605519275</v>
      </c>
      <c r="F406" s="1" t="s">
        <v>117</v>
      </c>
      <c r="G406" s="1" t="s">
        <v>20</v>
      </c>
      <c r="H406" s="1">
        <v>1496192</v>
      </c>
      <c r="I406" s="1">
        <v>2482544</v>
      </c>
      <c r="J406" s="7">
        <v>0.60299999999999998</v>
      </c>
      <c r="K406" s="1" t="s">
        <v>21</v>
      </c>
      <c r="L406" s="1" t="s">
        <v>21</v>
      </c>
      <c r="M406" s="1" t="s">
        <v>21</v>
      </c>
      <c r="N406" s="1" t="s">
        <v>22</v>
      </c>
      <c r="O406" s="1" t="str">
        <f t="shared" ca="1" si="3"/>
        <v>Please solve the LeetCode problem '345. Reverse Vowels of a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07" spans="1:15" x14ac:dyDescent="0.25">
      <c r="A407" s="1">
        <v>119</v>
      </c>
      <c r="B407" s="2" t="str">
        <f>HYPERLINK("https://leetcode.com/problems/pascals-triangle-ii/", "Pascal's Triangle II")</f>
        <v>Pascal's Triangle II</v>
      </c>
      <c r="C407" s="1">
        <v>5248</v>
      </c>
      <c r="D407" s="1">
        <v>366</v>
      </c>
      <c r="E407" s="3">
        <f t="shared" si="2"/>
        <v>0.93480584253651589</v>
      </c>
      <c r="F407" s="1" t="s">
        <v>30</v>
      </c>
      <c r="G407" s="1" t="s">
        <v>20</v>
      </c>
      <c r="H407" s="1">
        <v>1170534</v>
      </c>
      <c r="I407" s="1">
        <v>1748539</v>
      </c>
      <c r="J407" s="7">
        <v>0.66900000000000004</v>
      </c>
      <c r="K407" s="1" t="s">
        <v>21</v>
      </c>
      <c r="L407" s="1" t="s">
        <v>21</v>
      </c>
      <c r="M407" s="1" t="s">
        <v>29</v>
      </c>
      <c r="N407" s="1" t="s">
        <v>22</v>
      </c>
      <c r="O407" s="1" t="str">
        <f t="shared" ca="1" si="3"/>
        <v>Please solve the LeetCode problem '119. Pascal's Triangle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08" spans="1:15" x14ac:dyDescent="0.25">
      <c r="A408" s="1">
        <v>894</v>
      </c>
      <c r="B408" s="2" t="str">
        <f>HYPERLINK("https://leetcode.com/problems/all-possible-full-binary-trees/", "All Possible Full Binary Trees")</f>
        <v>All Possible Full Binary Trees</v>
      </c>
      <c r="C408" s="1">
        <v>5226</v>
      </c>
      <c r="D408" s="1">
        <v>367</v>
      </c>
      <c r="E408" s="3">
        <f t="shared" si="2"/>
        <v>0.93438226354371534</v>
      </c>
      <c r="F408" s="1" t="s">
        <v>253</v>
      </c>
      <c r="G408" s="1" t="s">
        <v>24</v>
      </c>
      <c r="H408" s="1">
        <v>210881</v>
      </c>
      <c r="I408" s="1">
        <v>254847</v>
      </c>
      <c r="J408" s="7">
        <v>0.82699999999999996</v>
      </c>
      <c r="K408" s="1" t="s">
        <v>21</v>
      </c>
      <c r="L408" s="1" t="s">
        <v>21</v>
      </c>
      <c r="M408" s="1" t="s">
        <v>29</v>
      </c>
      <c r="N408" s="1" t="s">
        <v>22</v>
      </c>
      <c r="O408" s="1" t="str">
        <f t="shared" ca="1" si="3"/>
        <v>Please solve the LeetCode problem '894. All Possible Full Binary Trees'.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09" spans="1:15" x14ac:dyDescent="0.25">
      <c r="A409" s="1">
        <v>981</v>
      </c>
      <c r="B409" s="2" t="str">
        <f>HYPERLINK("https://leetcode.com/problems/time-based-key-value-store/", "Time Based Key-Value Store")</f>
        <v>Time Based Key-Value Store</v>
      </c>
      <c r="C409" s="1">
        <v>5206</v>
      </c>
      <c r="D409" s="1">
        <v>716</v>
      </c>
      <c r="E409" s="3">
        <f t="shared" si="2"/>
        <v>0.87909490037149607</v>
      </c>
      <c r="F409" s="1" t="s">
        <v>252</v>
      </c>
      <c r="G409" s="1" t="s">
        <v>24</v>
      </c>
      <c r="H409" s="1">
        <v>689712</v>
      </c>
      <c r="I409" s="1">
        <v>1389029</v>
      </c>
      <c r="J409" s="7">
        <v>0.497</v>
      </c>
      <c r="K409" s="1" t="s">
        <v>21</v>
      </c>
      <c r="L409" s="1" t="s">
        <v>21</v>
      </c>
      <c r="M409" s="1" t="s">
        <v>29</v>
      </c>
      <c r="N409" s="1" t="s">
        <v>22</v>
      </c>
      <c r="O409" s="1" t="str">
        <f t="shared" ca="1" si="3"/>
        <v>Please solve the LeetCode problem '981. Time Based Key-Value Store'.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10" spans="1:15" x14ac:dyDescent="0.25">
      <c r="A410" s="1">
        <v>862</v>
      </c>
      <c r="B410" s="2" t="str">
        <f>HYPERLINK("https://leetcode.com/problems/shortest-subarray-with-sum-at-least-k/", "Shortest Subarray with Sum at Least K")</f>
        <v>Shortest Subarray with Sum at Least K</v>
      </c>
      <c r="C410" s="1">
        <v>5140</v>
      </c>
      <c r="D410" s="1">
        <v>143</v>
      </c>
      <c r="E410" s="3">
        <f t="shared" si="2"/>
        <v>0.97293204618587925</v>
      </c>
      <c r="F410" s="1" t="s">
        <v>254</v>
      </c>
      <c r="G410" s="1" t="s">
        <v>28</v>
      </c>
      <c r="H410" s="1">
        <v>203449</v>
      </c>
      <c r="I410" s="1">
        <v>625388</v>
      </c>
      <c r="J410" s="7">
        <v>0.32500000000000001</v>
      </c>
      <c r="K410" s="1" t="s">
        <v>21</v>
      </c>
      <c r="L410" s="1" t="s">
        <v>21</v>
      </c>
      <c r="M410" s="1" t="s">
        <v>29</v>
      </c>
      <c r="N410" s="1" t="s">
        <v>22</v>
      </c>
      <c r="O410" s="1" t="str">
        <f t="shared" ca="1" si="3"/>
        <v>Please solve the LeetCode problem '862. Shortest Subarray with Sum at Least K'.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11" spans="1:15" x14ac:dyDescent="0.25">
      <c r="A411" s="1">
        <v>107</v>
      </c>
      <c r="B411" s="2" t="str">
        <f>HYPERLINK("https://leetcode.com/problems/binary-tree-level-order-traversal-ii/", "Binary Tree Level Order Traversal II")</f>
        <v>Binary Tree Level Order Traversal II</v>
      </c>
      <c r="C411" s="1">
        <v>5126</v>
      </c>
      <c r="D411" s="1">
        <v>333</v>
      </c>
      <c r="E411" s="3">
        <f t="shared" si="2"/>
        <v>0.93899981681626676</v>
      </c>
      <c r="F411" s="1" t="s">
        <v>79</v>
      </c>
      <c r="G411" s="1" t="s">
        <v>24</v>
      </c>
      <c r="H411" s="1">
        <v>799815</v>
      </c>
      <c r="I411" s="1">
        <v>1186807</v>
      </c>
      <c r="J411" s="7">
        <v>0.67400000000000004</v>
      </c>
      <c r="K411" s="1" t="s">
        <v>21</v>
      </c>
      <c r="L411" s="1" t="s">
        <v>21</v>
      </c>
      <c r="M411" s="1" t="s">
        <v>29</v>
      </c>
      <c r="N411" s="1" t="s">
        <v>22</v>
      </c>
      <c r="O411" s="1" t="str">
        <f t="shared" ca="1" si="3"/>
        <v>Please solve the LeetCode problem '107. Binary Tree Level Order Traversal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12" spans="1:15" x14ac:dyDescent="0.25">
      <c r="A412" s="1">
        <v>1268</v>
      </c>
      <c r="B412" s="2" t="str">
        <f>HYPERLINK("https://leetcode.com/problems/search-suggestions-system/", "Search Suggestions System")</f>
        <v>Search Suggestions System</v>
      </c>
      <c r="C412" s="1">
        <v>5093</v>
      </c>
      <c r="D412" s="1">
        <v>261</v>
      </c>
      <c r="E412" s="3">
        <f t="shared" si="2"/>
        <v>0.95125140082181547</v>
      </c>
      <c r="F412" s="1" t="s">
        <v>256</v>
      </c>
      <c r="G412" s="1" t="s">
        <v>24</v>
      </c>
      <c r="H412" s="1">
        <v>427966</v>
      </c>
      <c r="I412" s="1">
        <v>657103</v>
      </c>
      <c r="J412" s="7">
        <v>0.65100000000000002</v>
      </c>
      <c r="K412" s="1" t="s">
        <v>21</v>
      </c>
      <c r="L412" s="1" t="s">
        <v>21</v>
      </c>
      <c r="M412" s="1" t="s">
        <v>29</v>
      </c>
      <c r="N412" s="1" t="s">
        <v>22</v>
      </c>
      <c r="O412" s="1" t="str">
        <f t="shared" ca="1" si="3"/>
        <v>Please solve the LeetCode problem '1268. Search Suggestions System'.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13" spans="1:15" x14ac:dyDescent="0.25">
      <c r="A413" s="1">
        <v>752</v>
      </c>
      <c r="B413" s="2" t="str">
        <f>HYPERLINK("https://leetcode.com/problems/open-the-lock/", "Open the Lock")</f>
        <v>Open the Lock</v>
      </c>
      <c r="C413" s="1">
        <v>5082</v>
      </c>
      <c r="D413" s="1">
        <v>233</v>
      </c>
      <c r="E413" s="3">
        <f t="shared" si="2"/>
        <v>0.95616180620884295</v>
      </c>
      <c r="F413" s="1" t="s">
        <v>257</v>
      </c>
      <c r="G413" s="1" t="s">
        <v>24</v>
      </c>
      <c r="H413" s="1">
        <v>390415</v>
      </c>
      <c r="I413" s="1">
        <v>639477</v>
      </c>
      <c r="J413" s="7">
        <v>0.61099999999999999</v>
      </c>
      <c r="K413" s="1" t="s">
        <v>21</v>
      </c>
      <c r="L413" s="1" t="s">
        <v>21</v>
      </c>
      <c r="M413" s="1" t="s">
        <v>29</v>
      </c>
      <c r="N413" s="1" t="s">
        <v>22</v>
      </c>
      <c r="O413" s="1" t="str">
        <f t="shared" ca="1" si="3"/>
        <v>Please solve the LeetCode problem '752. Open the Lock'.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14" spans="1:15" x14ac:dyDescent="0.25">
      <c r="A414" s="1">
        <v>307</v>
      </c>
      <c r="B414" s="2" t="str">
        <f>HYPERLINK("https://leetcode.com/problems/range-sum-query-mutable/", "Range Sum Query - Mutable")</f>
        <v>Range Sum Query - Mutable</v>
      </c>
      <c r="C414" s="1">
        <v>5078</v>
      </c>
      <c r="D414" s="1">
        <v>268</v>
      </c>
      <c r="E414" s="3">
        <f t="shared" si="2"/>
        <v>0.9498690609801721</v>
      </c>
      <c r="F414" s="1" t="s">
        <v>255</v>
      </c>
      <c r="G414" s="1" t="s">
        <v>24</v>
      </c>
      <c r="H414" s="1">
        <v>331768</v>
      </c>
      <c r="I414" s="1">
        <v>782610</v>
      </c>
      <c r="J414" s="7">
        <v>0.42399999999999999</v>
      </c>
      <c r="K414" s="1" t="s">
        <v>21</v>
      </c>
      <c r="L414" s="1" t="s">
        <v>21</v>
      </c>
      <c r="M414" s="1" t="s">
        <v>29</v>
      </c>
      <c r="N414" s="1" t="s">
        <v>22</v>
      </c>
      <c r="O414" s="1" t="str">
        <f t="shared" ca="1" si="3"/>
        <v>Please solve the LeetCode problem '307. Range Sum Query - Mutable'.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15" spans="1:15" x14ac:dyDescent="0.25">
      <c r="A415" s="1">
        <v>1026</v>
      </c>
      <c r="B415" s="2" t="str">
        <f>HYPERLINK("https://leetcode.com/problems/maximum-difference-between-node-and-ancestor/", "Maximum Difference Between Node and Ancestor")</f>
        <v>Maximum Difference Between Node and Ancestor</v>
      </c>
      <c r="C415" s="1">
        <v>5078</v>
      </c>
      <c r="D415" s="1">
        <v>170</v>
      </c>
      <c r="E415" s="3">
        <f t="shared" si="2"/>
        <v>0.96760670731707321</v>
      </c>
      <c r="F415" s="1" t="s">
        <v>67</v>
      </c>
      <c r="G415" s="1" t="s">
        <v>24</v>
      </c>
      <c r="H415" s="1">
        <v>376967</v>
      </c>
      <c r="I415" s="1">
        <v>482641</v>
      </c>
      <c r="J415" s="7">
        <v>0.78100000000000003</v>
      </c>
      <c r="K415" s="1" t="s">
        <v>21</v>
      </c>
      <c r="L415" s="1" t="s">
        <v>21</v>
      </c>
      <c r="M415" s="1" t="s">
        <v>29</v>
      </c>
      <c r="N415" s="1" t="s">
        <v>22</v>
      </c>
      <c r="O415" s="1" t="str">
        <f t="shared" ca="1" si="3"/>
        <v>Please solve the LeetCode problem '1026. Maximum Difference Between Node and Ancestor'.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16" spans="1:15" x14ac:dyDescent="0.25">
      <c r="A416" s="1">
        <v>454</v>
      </c>
      <c r="B416" s="2" t="str">
        <f>HYPERLINK("https://leetcode.com/problems/4sum-ii/", "4Sum II")</f>
        <v>4Sum II</v>
      </c>
      <c r="C416" s="1">
        <v>5065</v>
      </c>
      <c r="D416" s="1">
        <v>151</v>
      </c>
      <c r="E416" s="3">
        <f t="shared" si="2"/>
        <v>0.97105061349693256</v>
      </c>
      <c r="F416" s="1" t="s">
        <v>19</v>
      </c>
      <c r="G416" s="1" t="s">
        <v>24</v>
      </c>
      <c r="H416" s="1">
        <v>378051</v>
      </c>
      <c r="I416" s="1">
        <v>654067</v>
      </c>
      <c r="J416" s="7">
        <v>0.57799999999999996</v>
      </c>
      <c r="K416" s="1" t="s">
        <v>21</v>
      </c>
      <c r="L416" s="1" t="s">
        <v>21</v>
      </c>
      <c r="M416" s="1" t="s">
        <v>29</v>
      </c>
      <c r="N416" s="1" t="s">
        <v>22</v>
      </c>
      <c r="O416" s="1" t="str">
        <f t="shared" ca="1" si="3"/>
        <v>Please solve the LeetCode problem '454. 4Sum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17" spans="1:15" x14ac:dyDescent="0.25">
      <c r="A417" s="1">
        <v>171</v>
      </c>
      <c r="B417" s="2" t="str">
        <f>HYPERLINK("https://leetcode.com/problems/excel-sheet-column-number/", "Excel Sheet Column Number")</f>
        <v>Excel Sheet Column Number</v>
      </c>
      <c r="C417" s="1">
        <v>5061</v>
      </c>
      <c r="D417" s="1">
        <v>396</v>
      </c>
      <c r="E417" s="3">
        <f t="shared" si="2"/>
        <v>0.92743265530511265</v>
      </c>
      <c r="F417" s="1" t="s">
        <v>228</v>
      </c>
      <c r="G417" s="1" t="s">
        <v>20</v>
      </c>
      <c r="H417" s="1">
        <v>868904</v>
      </c>
      <c r="I417" s="1">
        <v>1296035</v>
      </c>
      <c r="J417" s="7">
        <v>0.67</v>
      </c>
      <c r="K417" s="1" t="s">
        <v>21</v>
      </c>
      <c r="L417" s="1" t="s">
        <v>21</v>
      </c>
      <c r="M417" s="1" t="s">
        <v>29</v>
      </c>
      <c r="N417" s="1" t="s">
        <v>22</v>
      </c>
      <c r="O417" s="1" t="str">
        <f t="shared" ca="1" si="3"/>
        <v>Please solve the LeetCode problem '171. Excel Sheet Column Number'.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18" spans="1:15" x14ac:dyDescent="0.25">
      <c r="A418" s="1">
        <v>953</v>
      </c>
      <c r="B418" s="2" t="str">
        <f>HYPERLINK("https://leetcode.com/problems/verifying-an-alien-dictionary/", "Verifying an Alien Dictionary")</f>
        <v>Verifying an Alien Dictionary</v>
      </c>
      <c r="C418" s="1">
        <v>5057</v>
      </c>
      <c r="D418" s="1">
        <v>1680</v>
      </c>
      <c r="E418" s="3">
        <f t="shared" si="2"/>
        <v>0.75063084458957996</v>
      </c>
      <c r="F418" s="1" t="s">
        <v>258</v>
      </c>
      <c r="G418" s="1" t="s">
        <v>20</v>
      </c>
      <c r="H418" s="1">
        <v>573620</v>
      </c>
      <c r="I418" s="1">
        <v>1027711</v>
      </c>
      <c r="J418" s="7">
        <v>0.55800000000000005</v>
      </c>
      <c r="K418" s="1" t="s">
        <v>21</v>
      </c>
      <c r="L418" s="1" t="s">
        <v>21</v>
      </c>
      <c r="M418" s="1" t="s">
        <v>29</v>
      </c>
      <c r="N418" s="1" t="s">
        <v>22</v>
      </c>
      <c r="O418" s="1" t="str">
        <f t="shared" ca="1" si="3"/>
        <v>Please solve the LeetCode problem '953. Verifying an Alien Dictionary'.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19" spans="1:15" x14ac:dyDescent="0.25">
      <c r="A419" s="1">
        <v>341</v>
      </c>
      <c r="B419" s="2" t="str">
        <f>HYPERLINK("https://leetcode.com/problems/flatten-nested-list-iterator/", "Flatten Nested List Iterator")</f>
        <v>Flatten Nested List Iterator</v>
      </c>
      <c r="C419" s="1">
        <v>5049</v>
      </c>
      <c r="D419" s="1">
        <v>1794</v>
      </c>
      <c r="E419" s="3">
        <f t="shared" si="2"/>
        <v>0.73783428320911881</v>
      </c>
      <c r="F419" s="1" t="s">
        <v>259</v>
      </c>
      <c r="G419" s="1" t="s">
        <v>24</v>
      </c>
      <c r="H419" s="1">
        <v>525502</v>
      </c>
      <c r="I419" s="1">
        <v>801763</v>
      </c>
      <c r="J419" s="7">
        <v>0.65500000000000003</v>
      </c>
      <c r="K419" s="1" t="s">
        <v>21</v>
      </c>
      <c r="L419" s="1" t="s">
        <v>21</v>
      </c>
      <c r="M419" s="1" t="s">
        <v>29</v>
      </c>
      <c r="N419" s="1" t="s">
        <v>22</v>
      </c>
      <c r="O419" s="1" t="str">
        <f t="shared" ca="1" si="3"/>
        <v>Please solve the LeetCode problem '341. Flatten Nested List Iterator'.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20" spans="1:15" x14ac:dyDescent="0.25">
      <c r="A420" s="1">
        <v>1647</v>
      </c>
      <c r="B420" s="2" t="str">
        <f>HYPERLINK("https://leetcode.com/problems/minimum-deletions-to-make-character-frequencies-unique/", "Minimum Deletions to Make Character Frequencies Unique")</f>
        <v>Minimum Deletions to Make Character Frequencies Unique</v>
      </c>
      <c r="C420" s="1">
        <v>5045</v>
      </c>
      <c r="D420" s="1">
        <v>76</v>
      </c>
      <c r="E420" s="3">
        <f t="shared" si="2"/>
        <v>0.98515914860378828</v>
      </c>
      <c r="F420" s="1" t="s">
        <v>260</v>
      </c>
      <c r="G420" s="1" t="s">
        <v>24</v>
      </c>
      <c r="H420" s="1">
        <v>297367</v>
      </c>
      <c r="I420" s="1">
        <v>484119</v>
      </c>
      <c r="J420" s="7">
        <v>0.61399999999999999</v>
      </c>
      <c r="K420" s="1" t="s">
        <v>21</v>
      </c>
      <c r="L420" s="1" t="s">
        <v>21</v>
      </c>
      <c r="M420" s="1" t="s">
        <v>29</v>
      </c>
      <c r="N420" s="1" t="s">
        <v>22</v>
      </c>
      <c r="O420" s="1" t="str">
        <f t="shared" ca="1" si="3"/>
        <v>Please solve the LeetCode problem '1647. Minimum Deletions to Make Character Frequencies Unique'.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21" spans="1:15" x14ac:dyDescent="0.25">
      <c r="A421" s="1">
        <v>154</v>
      </c>
      <c r="B421" s="2" t="str">
        <f>HYPERLINK("https://leetcode.com/problems/find-minimum-in-rotated-sorted-array-ii/", "Find Minimum in Rotated Sorted Array II")</f>
        <v>Find Minimum in Rotated Sorted Array II</v>
      </c>
      <c r="C421" s="1">
        <v>5033</v>
      </c>
      <c r="D421" s="1">
        <v>516</v>
      </c>
      <c r="E421" s="3">
        <f t="shared" si="2"/>
        <v>0.90701027212110286</v>
      </c>
      <c r="F421" s="1" t="s">
        <v>35</v>
      </c>
      <c r="G421" s="1" t="s">
        <v>28</v>
      </c>
      <c r="H421" s="1">
        <v>586981</v>
      </c>
      <c r="I421" s="1">
        <v>1318642</v>
      </c>
      <c r="J421" s="7">
        <v>0.44500000000000001</v>
      </c>
      <c r="K421" s="1" t="s">
        <v>21</v>
      </c>
      <c r="L421" s="1" t="s">
        <v>21</v>
      </c>
      <c r="M421" s="1" t="s">
        <v>29</v>
      </c>
      <c r="N421" s="1" t="s">
        <v>22</v>
      </c>
      <c r="O421" s="1" t="str">
        <f t="shared" ca="1" si="3"/>
        <v>Please solve the LeetCode problem '154. Find Minimum in Rotated Sorted Array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22" spans="1:15" x14ac:dyDescent="0.25">
      <c r="A422" s="1">
        <v>38</v>
      </c>
      <c r="B422" s="2" t="str">
        <f>HYPERLINK("https://leetcode.com/problems/count-and-say/", "Count and Say")</f>
        <v>Count and Say</v>
      </c>
      <c r="C422" s="1">
        <v>5024</v>
      </c>
      <c r="D422" s="1">
        <v>9016</v>
      </c>
      <c r="E422" s="3">
        <f t="shared" si="2"/>
        <v>0.35783475783475782</v>
      </c>
      <c r="F422" s="1" t="s">
        <v>146</v>
      </c>
      <c r="G422" s="1" t="s">
        <v>24</v>
      </c>
      <c r="H422" s="1">
        <v>1353655</v>
      </c>
      <c r="I422" s="1">
        <v>2181440</v>
      </c>
      <c r="J422" s="7">
        <v>0.621</v>
      </c>
      <c r="K422" s="1" t="s">
        <v>21</v>
      </c>
      <c r="L422" s="1" t="s">
        <v>21</v>
      </c>
      <c r="M422" s="1" t="s">
        <v>29</v>
      </c>
      <c r="N422" s="1" t="s">
        <v>22</v>
      </c>
      <c r="O422" s="1" t="str">
        <f t="shared" ca="1" si="3"/>
        <v>Please solve the LeetCode problem '38. Count and Say'.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23" spans="1:15" x14ac:dyDescent="0.25">
      <c r="A423" s="1">
        <v>1043</v>
      </c>
      <c r="B423" s="2" t="str">
        <f>HYPERLINK("https://leetcode.com/problems/partition-array-for-maximum-sum/", "Partition Array for Maximum Sum")</f>
        <v>Partition Array for Maximum Sum</v>
      </c>
      <c r="C423" s="1">
        <v>5018</v>
      </c>
      <c r="D423" s="1">
        <v>439</v>
      </c>
      <c r="E423" s="3">
        <f t="shared" si="2"/>
        <v>0.91955286787612245</v>
      </c>
      <c r="F423" s="1" t="s">
        <v>30</v>
      </c>
      <c r="G423" s="1" t="s">
        <v>24</v>
      </c>
      <c r="H423" s="1">
        <v>256349</v>
      </c>
      <c r="I423" s="1">
        <v>331673</v>
      </c>
      <c r="J423" s="7">
        <v>0.77300000000000002</v>
      </c>
      <c r="K423" s="1" t="s">
        <v>21</v>
      </c>
      <c r="L423" s="1" t="s">
        <v>21</v>
      </c>
      <c r="M423" s="1" t="s">
        <v>29</v>
      </c>
      <c r="N423" s="1" t="s">
        <v>22</v>
      </c>
      <c r="O423" s="1" t="str">
        <f t="shared" ca="1" si="3"/>
        <v>Please solve the LeetCode problem '1043. Partition Array for Maximum Sum'.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24" spans="1:15" x14ac:dyDescent="0.25">
      <c r="A424" s="1">
        <v>407</v>
      </c>
      <c r="B424" s="2" t="str">
        <f>HYPERLINK("https://leetcode.com/problems/trapping-rain-water-ii/", "Trapping Rain Water II")</f>
        <v>Trapping Rain Water II</v>
      </c>
      <c r="C424" s="1">
        <v>4977</v>
      </c>
      <c r="D424" s="1">
        <v>169</v>
      </c>
      <c r="E424" s="3">
        <f t="shared" si="2"/>
        <v>0.96715895841430233</v>
      </c>
      <c r="F424" s="1" t="s">
        <v>261</v>
      </c>
      <c r="G424" s="1" t="s">
        <v>28</v>
      </c>
      <c r="H424" s="1">
        <v>260984</v>
      </c>
      <c r="I424" s="1">
        <v>408206</v>
      </c>
      <c r="J424" s="7">
        <v>0.63900000000000001</v>
      </c>
      <c r="K424" s="1" t="s">
        <v>21</v>
      </c>
      <c r="L424" s="1" t="s">
        <v>21</v>
      </c>
      <c r="M424" s="1" t="s">
        <v>29</v>
      </c>
      <c r="N424" s="1" t="s">
        <v>22</v>
      </c>
      <c r="O424" s="1" t="str">
        <f t="shared" ca="1" si="3"/>
        <v>Please solve the LeetCode problem '407. Trapping Rain Water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25" spans="1:15" x14ac:dyDescent="0.25">
      <c r="A425" s="1">
        <v>827</v>
      </c>
      <c r="B425" s="2" t="str">
        <f>HYPERLINK("https://leetcode.com/problems/making-a-large-island/", "Making A Large Island")</f>
        <v>Making A Large Island</v>
      </c>
      <c r="C425" s="1">
        <v>4976</v>
      </c>
      <c r="D425" s="1">
        <v>99</v>
      </c>
      <c r="E425" s="3">
        <f t="shared" si="2"/>
        <v>0.98049261083743844</v>
      </c>
      <c r="F425" s="1" t="s">
        <v>40</v>
      </c>
      <c r="G425" s="1" t="s">
        <v>28</v>
      </c>
      <c r="H425" s="1">
        <v>403290</v>
      </c>
      <c r="I425" s="1">
        <v>718778</v>
      </c>
      <c r="J425" s="7">
        <v>0.56100000000000005</v>
      </c>
      <c r="K425" s="1" t="s">
        <v>21</v>
      </c>
      <c r="L425" s="1" t="s">
        <v>21</v>
      </c>
      <c r="M425" s="1" t="s">
        <v>29</v>
      </c>
      <c r="N425" s="1" t="s">
        <v>22</v>
      </c>
      <c r="O425" s="1" t="str">
        <f t="shared" ca="1" si="3"/>
        <v>Please solve the LeetCode problem '827. Making A Large Island'.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26" spans="1:15" x14ac:dyDescent="0.25">
      <c r="A426" s="1">
        <v>1431</v>
      </c>
      <c r="B426" s="2" t="str">
        <f>HYPERLINK("https://leetcode.com/problems/kids-with-the-greatest-number-of-candies/", "Kids With the Greatest Number of Candies")</f>
        <v>Kids With the Greatest Number of Candies</v>
      </c>
      <c r="C426" s="1">
        <v>4915</v>
      </c>
      <c r="D426" s="1">
        <v>631</v>
      </c>
      <c r="E426" s="3">
        <f t="shared" si="2"/>
        <v>0.88622430580598632</v>
      </c>
      <c r="F426" s="1" t="s">
        <v>113</v>
      </c>
      <c r="G426" s="1" t="s">
        <v>20</v>
      </c>
      <c r="H426" s="1">
        <v>1442118</v>
      </c>
      <c r="I426" s="1">
        <v>1638000</v>
      </c>
      <c r="J426" s="7">
        <v>0.88</v>
      </c>
      <c r="K426" s="1" t="s">
        <v>21</v>
      </c>
      <c r="L426" s="1" t="s">
        <v>21</v>
      </c>
      <c r="M426" s="1" t="s">
        <v>29</v>
      </c>
      <c r="N426" s="1" t="s">
        <v>22</v>
      </c>
      <c r="O426" s="1" t="str">
        <f t="shared" ca="1" si="3"/>
        <v>Please solve the LeetCode problem '1431. Kids With the Greatest Number of Candies'.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27" spans="1:15" x14ac:dyDescent="0.25">
      <c r="A427" s="1">
        <v>921</v>
      </c>
      <c r="B427" s="2" t="str">
        <f>HYPERLINK("https://leetcode.com/problems/minimum-add-to-make-parentheses-valid/", "Minimum Add to Make Parentheses Valid")</f>
        <v>Minimum Add to Make Parentheses Valid</v>
      </c>
      <c r="C427" s="1">
        <v>4909</v>
      </c>
      <c r="D427" s="1">
        <v>247</v>
      </c>
      <c r="E427" s="3">
        <f t="shared" si="2"/>
        <v>0.95209464701318847</v>
      </c>
      <c r="F427" s="1" t="s">
        <v>263</v>
      </c>
      <c r="G427" s="1" t="s">
        <v>24</v>
      </c>
      <c r="H427" s="1">
        <v>680471</v>
      </c>
      <c r="I427" s="1">
        <v>913501</v>
      </c>
      <c r="J427" s="7">
        <v>0.745</v>
      </c>
      <c r="K427" s="1" t="s">
        <v>21</v>
      </c>
      <c r="L427" s="1" t="s">
        <v>21</v>
      </c>
      <c r="M427" s="1" t="s">
        <v>29</v>
      </c>
      <c r="N427" s="1" t="s">
        <v>22</v>
      </c>
      <c r="O427" s="1" t="str">
        <f t="shared" ca="1" si="3"/>
        <v>Please solve the LeetCode problem '921. Minimum Add to Make Parentheses Valid'.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28" spans="1:15" x14ac:dyDescent="0.25">
      <c r="A428" s="1">
        <v>895</v>
      </c>
      <c r="B428" s="2" t="str">
        <f>HYPERLINK("https://leetcode.com/problems/maximum-frequency-stack/", "Maximum Frequency Stack")</f>
        <v>Maximum Frequency Stack</v>
      </c>
      <c r="C428" s="1">
        <v>4907</v>
      </c>
      <c r="D428" s="1">
        <v>77</v>
      </c>
      <c r="E428" s="3">
        <f t="shared" si="2"/>
        <v>0.9845505617977528</v>
      </c>
      <c r="F428" s="1" t="s">
        <v>262</v>
      </c>
      <c r="G428" s="1" t="s">
        <v>28</v>
      </c>
      <c r="H428" s="1">
        <v>217999</v>
      </c>
      <c r="I428" s="1">
        <v>327530</v>
      </c>
      <c r="J428" s="7">
        <v>0.66600000000000004</v>
      </c>
      <c r="K428" s="1" t="s">
        <v>21</v>
      </c>
      <c r="L428" s="1" t="s">
        <v>21</v>
      </c>
      <c r="M428" s="1" t="s">
        <v>29</v>
      </c>
      <c r="N428" s="1" t="s">
        <v>22</v>
      </c>
      <c r="O428" s="1" t="str">
        <f t="shared" ca="1" si="3"/>
        <v>Please solve the LeetCode problem '895. Maximum Frequency Stack'.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29" spans="1:15" x14ac:dyDescent="0.25">
      <c r="A429" s="1">
        <v>886</v>
      </c>
      <c r="B429" s="2" t="str">
        <f>HYPERLINK("https://leetcode.com/problems/possible-bipartition/", "Possible Bipartition")</f>
        <v>Possible Bipartition</v>
      </c>
      <c r="C429" s="1">
        <v>4892</v>
      </c>
      <c r="D429" s="1">
        <v>119</v>
      </c>
      <c r="E429" s="3">
        <f t="shared" si="2"/>
        <v>0.97625224506086605</v>
      </c>
      <c r="F429" s="1" t="s">
        <v>122</v>
      </c>
      <c r="G429" s="1" t="s">
        <v>24</v>
      </c>
      <c r="H429" s="1">
        <v>258091</v>
      </c>
      <c r="I429" s="1">
        <v>494121</v>
      </c>
      <c r="J429" s="7">
        <v>0.52200000000000002</v>
      </c>
      <c r="K429" s="1" t="s">
        <v>21</v>
      </c>
      <c r="L429" s="1" t="s">
        <v>21</v>
      </c>
      <c r="M429" s="1" t="s">
        <v>29</v>
      </c>
      <c r="N429" s="1" t="s">
        <v>22</v>
      </c>
      <c r="O429" s="1" t="str">
        <f t="shared" ca="1" si="3"/>
        <v>Please solve the LeetCode problem '886. Possible Bipartition'.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30" spans="1:15" x14ac:dyDescent="0.25">
      <c r="A430" s="1">
        <v>1027</v>
      </c>
      <c r="B430" s="2" t="str">
        <f>HYPERLINK("https://leetcode.com/problems/longest-arithmetic-subsequence/", "Longest Arithmetic Subsequence")</f>
        <v>Longest Arithmetic Subsequence</v>
      </c>
      <c r="C430" s="1">
        <v>4890</v>
      </c>
      <c r="D430" s="1">
        <v>219</v>
      </c>
      <c r="E430" s="3">
        <f t="shared" si="2"/>
        <v>0.9571344685848503</v>
      </c>
      <c r="F430" s="1" t="s">
        <v>264</v>
      </c>
      <c r="G430" s="1" t="s">
        <v>24</v>
      </c>
      <c r="H430" s="1">
        <v>208067</v>
      </c>
      <c r="I430" s="1">
        <v>417712</v>
      </c>
      <c r="J430" s="7">
        <v>0.498</v>
      </c>
      <c r="K430" s="1" t="s">
        <v>21</v>
      </c>
      <c r="L430" s="1" t="s">
        <v>21</v>
      </c>
      <c r="M430" s="1" t="s">
        <v>29</v>
      </c>
      <c r="N430" s="1" t="s">
        <v>22</v>
      </c>
      <c r="O430" s="1" t="str">
        <f t="shared" ca="1" si="3"/>
        <v>Please solve the LeetCode problem '1027. Longest Arithmetic Subsequence'.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31" spans="1:15" x14ac:dyDescent="0.25">
      <c r="A431" s="1">
        <v>646</v>
      </c>
      <c r="B431" s="2" t="str">
        <f>HYPERLINK("https://leetcode.com/problems/maximum-length-of-pair-chain/", "Maximum Length of Pair Chain")</f>
        <v>Maximum Length of Pair Chain</v>
      </c>
      <c r="C431" s="1">
        <v>4871</v>
      </c>
      <c r="D431" s="1">
        <v>137</v>
      </c>
      <c r="E431" s="3">
        <f t="shared" si="2"/>
        <v>0.97264376996805113</v>
      </c>
      <c r="F431" s="1" t="s">
        <v>154</v>
      </c>
      <c r="G431" s="1" t="s">
        <v>24</v>
      </c>
      <c r="H431" s="1">
        <v>302976</v>
      </c>
      <c r="I431" s="1">
        <v>493022</v>
      </c>
      <c r="J431" s="7">
        <v>0.61499999999999999</v>
      </c>
      <c r="K431" s="1" t="s">
        <v>21</v>
      </c>
      <c r="L431" s="1" t="s">
        <v>21</v>
      </c>
      <c r="M431" s="1" t="s">
        <v>29</v>
      </c>
      <c r="N431" s="1" t="s">
        <v>22</v>
      </c>
      <c r="O431" s="1" t="str">
        <f t="shared" ca="1" si="3"/>
        <v>Please solve the LeetCode problem '646. Maximum Length of Pair Chain'.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32" spans="1:15" x14ac:dyDescent="0.25">
      <c r="A432" s="1">
        <v>455</v>
      </c>
      <c r="B432" s="2" t="str">
        <f>HYPERLINK("https://leetcode.com/problems/assign-cookies/", "Assign Cookies")</f>
        <v>Assign Cookies</v>
      </c>
      <c r="C432" s="1">
        <v>4862</v>
      </c>
      <c r="D432" s="1">
        <v>448</v>
      </c>
      <c r="E432" s="3">
        <f t="shared" si="2"/>
        <v>0.91563088512241053</v>
      </c>
      <c r="F432" s="1" t="s">
        <v>203</v>
      </c>
      <c r="G432" s="1" t="s">
        <v>20</v>
      </c>
      <c r="H432" s="1">
        <v>863970</v>
      </c>
      <c r="I432" s="1">
        <v>1583310</v>
      </c>
      <c r="J432" s="7">
        <v>0.54600000000000004</v>
      </c>
      <c r="K432" s="1" t="s">
        <v>21</v>
      </c>
      <c r="L432" s="1" t="s">
        <v>21</v>
      </c>
      <c r="M432" s="1" t="s">
        <v>29</v>
      </c>
      <c r="N432" s="1" t="s">
        <v>22</v>
      </c>
      <c r="O432" s="1" t="str">
        <f t="shared" ca="1" si="3"/>
        <v>Please solve the LeetCode problem '455. Assign Cookies'.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33" spans="1:15" x14ac:dyDescent="0.25">
      <c r="A433" s="1">
        <v>1029</v>
      </c>
      <c r="B433" s="2" t="str">
        <f>HYPERLINK("https://leetcode.com/problems/two-city-scheduling/", "Two City Scheduling")</f>
        <v>Two City Scheduling</v>
      </c>
      <c r="C433" s="1">
        <v>4861</v>
      </c>
      <c r="D433" s="1">
        <v>365</v>
      </c>
      <c r="E433" s="3">
        <f t="shared" si="2"/>
        <v>0.93015690776884807</v>
      </c>
      <c r="F433" s="1" t="s">
        <v>169</v>
      </c>
      <c r="G433" s="1" t="s">
        <v>24</v>
      </c>
      <c r="H433" s="1">
        <v>281003</v>
      </c>
      <c r="I433" s="1">
        <v>411697</v>
      </c>
      <c r="J433" s="7">
        <v>0.68300000000000005</v>
      </c>
      <c r="K433" s="1" t="s">
        <v>21</v>
      </c>
      <c r="L433" s="1" t="s">
        <v>21</v>
      </c>
      <c r="M433" s="1" t="s">
        <v>29</v>
      </c>
      <c r="N433" s="1" t="s">
        <v>22</v>
      </c>
      <c r="O433" s="1" t="str">
        <f t="shared" ca="1" si="3"/>
        <v>Please solve the LeetCode problem '1029. Two City Scheduling'.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34" spans="1:15" x14ac:dyDescent="0.25">
      <c r="A434" s="1">
        <v>871</v>
      </c>
      <c r="B434" s="2" t="str">
        <f>HYPERLINK("https://leetcode.com/problems/minimum-number-of-refueling-stops/", "Minimum Number of Refueling Stops")</f>
        <v>Minimum Number of Refueling Stops</v>
      </c>
      <c r="C434" s="1">
        <v>4849</v>
      </c>
      <c r="D434" s="1">
        <v>93</v>
      </c>
      <c r="E434" s="3">
        <f t="shared" si="2"/>
        <v>0.98118170781060299</v>
      </c>
      <c r="F434" s="1" t="s">
        <v>265</v>
      </c>
      <c r="G434" s="1" t="s">
        <v>28</v>
      </c>
      <c r="H434" s="1">
        <v>160743</v>
      </c>
      <c r="I434" s="1">
        <v>391787</v>
      </c>
      <c r="J434" s="7">
        <v>0.41</v>
      </c>
      <c r="K434" s="1" t="s">
        <v>21</v>
      </c>
      <c r="L434" s="1" t="s">
        <v>21</v>
      </c>
      <c r="M434" s="1" t="s">
        <v>29</v>
      </c>
      <c r="N434" s="1" t="s">
        <v>22</v>
      </c>
      <c r="O434" s="1" t="str">
        <f t="shared" ca="1" si="3"/>
        <v>Please solve the LeetCode problem '871. Minimum Number of Refueling Stops'.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35" spans="1:15" x14ac:dyDescent="0.25">
      <c r="A435" s="1">
        <v>2095</v>
      </c>
      <c r="B435" s="2" t="str">
        <f>HYPERLINK("https://leetcode.com/problems/delete-the-middle-node-of-a-linked-list/", "Delete the Middle Node of a Linked List")</f>
        <v>Delete the Middle Node of a Linked List</v>
      </c>
      <c r="C435" s="1">
        <v>4847</v>
      </c>
      <c r="D435" s="1">
        <v>105</v>
      </c>
      <c r="E435" s="3">
        <f t="shared" si="2"/>
        <v>0.97879644588045234</v>
      </c>
      <c r="F435" s="1" t="s">
        <v>53</v>
      </c>
      <c r="G435" s="1" t="s">
        <v>24</v>
      </c>
      <c r="H435" s="1">
        <v>872518</v>
      </c>
      <c r="I435" s="1">
        <v>1467233</v>
      </c>
      <c r="J435" s="7">
        <v>0.59499999999999997</v>
      </c>
      <c r="K435" s="1" t="s">
        <v>21</v>
      </c>
      <c r="L435" s="1" t="s">
        <v>21</v>
      </c>
      <c r="M435" s="1" t="s">
        <v>29</v>
      </c>
      <c r="N435" s="1" t="s">
        <v>22</v>
      </c>
      <c r="O435" s="1" t="str">
        <f t="shared" ca="1" si="3"/>
        <v>Please solve the LeetCode problem '2095. Delete the Middle Node of a Linked List'.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36" spans="1:15" x14ac:dyDescent="0.25">
      <c r="A436" s="1">
        <v>744</v>
      </c>
      <c r="B436" s="2" t="str">
        <f>HYPERLINK("https://leetcode.com/problems/find-smallest-letter-greater-than-target/", "Find Smallest Letter Greater Than Target")</f>
        <v>Find Smallest Letter Greater Than Target</v>
      </c>
      <c r="C436" s="1">
        <v>4837</v>
      </c>
      <c r="D436" s="1">
        <v>2222</v>
      </c>
      <c r="E436" s="3">
        <f t="shared" si="2"/>
        <v>0.68522453605326539</v>
      </c>
      <c r="F436" s="1" t="s">
        <v>35</v>
      </c>
      <c r="G436" s="1" t="s">
        <v>20</v>
      </c>
      <c r="H436" s="1">
        <v>670633</v>
      </c>
      <c r="I436" s="1">
        <v>1216802</v>
      </c>
      <c r="J436" s="7">
        <v>0.55100000000000005</v>
      </c>
      <c r="K436" s="1" t="s">
        <v>21</v>
      </c>
      <c r="L436" s="1" t="s">
        <v>21</v>
      </c>
      <c r="M436" s="1" t="s">
        <v>29</v>
      </c>
      <c r="N436" s="1" t="s">
        <v>22</v>
      </c>
      <c r="O436" s="1" t="str">
        <f t="shared" ca="1" si="3"/>
        <v>Please solve the LeetCode problem '744. Find Smallest Letter Greater Than Target'.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37" spans="1:15" x14ac:dyDescent="0.25">
      <c r="A437" s="1">
        <v>1302</v>
      </c>
      <c r="B437" s="2" t="str">
        <f>HYPERLINK("https://leetcode.com/problems/deepest-leaves-sum/", "Deepest Leaves Sum")</f>
        <v>Deepest Leaves Sum</v>
      </c>
      <c r="C437" s="1">
        <v>4819</v>
      </c>
      <c r="D437" s="1">
        <v>126</v>
      </c>
      <c r="E437" s="3">
        <f t="shared" si="2"/>
        <v>0.97451971688574313</v>
      </c>
      <c r="F437" s="1" t="s">
        <v>80</v>
      </c>
      <c r="G437" s="1" t="s">
        <v>24</v>
      </c>
      <c r="H437" s="1">
        <v>396302</v>
      </c>
      <c r="I437" s="1">
        <v>458329</v>
      </c>
      <c r="J437" s="7">
        <v>0.86499999999999999</v>
      </c>
      <c r="K437" s="1" t="s">
        <v>21</v>
      </c>
      <c r="L437" s="1" t="s">
        <v>21</v>
      </c>
      <c r="M437" s="1" t="s">
        <v>29</v>
      </c>
      <c r="N437" s="1" t="s">
        <v>22</v>
      </c>
      <c r="O437" s="1" t="str">
        <f t="shared" ca="1" si="3"/>
        <v>Please solve the LeetCode problem '1302. Deepest Leaves Sum'.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38" spans="1:15" x14ac:dyDescent="0.25">
      <c r="A438" s="1">
        <v>784</v>
      </c>
      <c r="B438" s="2" t="str">
        <f>HYPERLINK("https://leetcode.com/problems/letter-case-permutation/", "Letter Case Permutation")</f>
        <v>Letter Case Permutation</v>
      </c>
      <c r="C438" s="1">
        <v>4818</v>
      </c>
      <c r="D438" s="1">
        <v>159</v>
      </c>
      <c r="E438" s="3">
        <f t="shared" si="2"/>
        <v>0.9680530440024111</v>
      </c>
      <c r="F438" s="1" t="s">
        <v>267</v>
      </c>
      <c r="G438" s="1" t="s">
        <v>24</v>
      </c>
      <c r="H438" s="1">
        <v>363150</v>
      </c>
      <c r="I438" s="1">
        <v>480189</v>
      </c>
      <c r="J438" s="7">
        <v>0.75600000000000001</v>
      </c>
      <c r="K438" s="1" t="s">
        <v>21</v>
      </c>
      <c r="L438" s="1" t="s">
        <v>21</v>
      </c>
      <c r="M438" s="1" t="s">
        <v>29</v>
      </c>
      <c r="N438" s="1" t="s">
        <v>22</v>
      </c>
      <c r="O438" s="1" t="str">
        <f t="shared" ca="1" si="3"/>
        <v>Please solve the LeetCode problem '784. Letter Case Permutation'.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39" spans="1:15" x14ac:dyDescent="0.25">
      <c r="A439" s="1">
        <v>1768</v>
      </c>
      <c r="B439" s="2" t="str">
        <f>HYPERLINK("https://leetcode.com/problems/merge-strings-alternately/", "Merge Strings Alternately")</f>
        <v>Merge Strings Alternately</v>
      </c>
      <c r="C439" s="1">
        <v>4817</v>
      </c>
      <c r="D439" s="1">
        <v>140</v>
      </c>
      <c r="E439" s="3">
        <f t="shared" si="2"/>
        <v>0.9717571111559411</v>
      </c>
      <c r="F439" s="1" t="s">
        <v>117</v>
      </c>
      <c r="G439" s="1" t="s">
        <v>20</v>
      </c>
      <c r="H439" s="1">
        <v>1941470</v>
      </c>
      <c r="I439" s="1">
        <v>2365508</v>
      </c>
      <c r="J439" s="7">
        <v>0.82099999999999995</v>
      </c>
      <c r="K439" s="1" t="s">
        <v>21</v>
      </c>
      <c r="L439" s="1" t="s">
        <v>21</v>
      </c>
      <c r="M439" s="1" t="s">
        <v>21</v>
      </c>
      <c r="N439" s="1" t="s">
        <v>22</v>
      </c>
      <c r="O439" s="1" t="str">
        <f t="shared" ca="1" si="3"/>
        <v>Please solve the LeetCode problem '1768. Merge Strings Alternately'.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40" spans="1:15" x14ac:dyDescent="0.25">
      <c r="A440" s="1">
        <v>1672</v>
      </c>
      <c r="B440" s="2" t="str">
        <f>HYPERLINK("https://leetcode.com/problems/richest-customer-wealth/", "Richest Customer Wealth")</f>
        <v>Richest Customer Wealth</v>
      </c>
      <c r="C440" s="1">
        <v>4803</v>
      </c>
      <c r="D440" s="1">
        <v>385</v>
      </c>
      <c r="E440" s="3">
        <f t="shared" si="2"/>
        <v>0.92579028527370855</v>
      </c>
      <c r="F440" s="1" t="s">
        <v>266</v>
      </c>
      <c r="G440" s="1" t="s">
        <v>20</v>
      </c>
      <c r="H440" s="1">
        <v>1177662</v>
      </c>
      <c r="I440" s="1">
        <v>1328901</v>
      </c>
      <c r="J440" s="7">
        <v>0.88600000000000001</v>
      </c>
      <c r="K440" s="1" t="s">
        <v>21</v>
      </c>
      <c r="L440" s="1" t="s">
        <v>21</v>
      </c>
      <c r="M440" s="1" t="s">
        <v>21</v>
      </c>
      <c r="N440" s="1" t="s">
        <v>22</v>
      </c>
      <c r="O440" s="1" t="str">
        <f t="shared" ca="1" si="3"/>
        <v>Please solve the LeetCode problem '1672. Richest Customer Wealth'.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41" spans="1:15" x14ac:dyDescent="0.25">
      <c r="A441" s="1">
        <v>729</v>
      </c>
      <c r="B441" s="2" t="str">
        <f>HYPERLINK("https://leetcode.com/problems/my-calendar-i/", "My Calendar I")</f>
        <v>My Calendar I</v>
      </c>
      <c r="C441" s="1">
        <v>4794</v>
      </c>
      <c r="D441" s="1">
        <v>136</v>
      </c>
      <c r="E441" s="3">
        <f t="shared" si="2"/>
        <v>0.97241379310344822</v>
      </c>
      <c r="F441" s="1" t="s">
        <v>269</v>
      </c>
      <c r="G441" s="1" t="s">
        <v>24</v>
      </c>
      <c r="H441" s="1">
        <v>449595</v>
      </c>
      <c r="I441" s="1">
        <v>772132</v>
      </c>
      <c r="J441" s="7">
        <v>0.58199999999999996</v>
      </c>
      <c r="K441" s="1" t="s">
        <v>21</v>
      </c>
      <c r="L441" s="1" t="s">
        <v>21</v>
      </c>
      <c r="M441" s="1" t="s">
        <v>29</v>
      </c>
      <c r="N441" s="1" t="s">
        <v>22</v>
      </c>
      <c r="O441" s="1" t="str">
        <f t="shared" ca="1" si="3"/>
        <v>Please solve the LeetCode problem '729. My Calendar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42" spans="1:15" x14ac:dyDescent="0.25">
      <c r="A442" s="1">
        <v>1293</v>
      </c>
      <c r="B442" s="2" t="str">
        <f>HYPERLINK("https://leetcode.com/problems/shortest-path-in-a-grid-with-obstacles-elimination/", "Shortest Path in a Grid with Obstacles Elimination")</f>
        <v>Shortest Path in a Grid with Obstacles Elimination</v>
      </c>
      <c r="C442" s="1">
        <v>4792</v>
      </c>
      <c r="D442" s="1">
        <v>90</v>
      </c>
      <c r="E442" s="3">
        <f t="shared" si="2"/>
        <v>0.98156493240475218</v>
      </c>
      <c r="F442" s="1" t="s">
        <v>86</v>
      </c>
      <c r="G442" s="1" t="s">
        <v>28</v>
      </c>
      <c r="H442" s="1">
        <v>264147</v>
      </c>
      <c r="I442" s="1">
        <v>574197</v>
      </c>
      <c r="J442" s="7">
        <v>0.46</v>
      </c>
      <c r="K442" s="1" t="s">
        <v>21</v>
      </c>
      <c r="L442" s="1" t="s">
        <v>21</v>
      </c>
      <c r="M442" s="1" t="s">
        <v>29</v>
      </c>
      <c r="N442" s="1" t="s">
        <v>22</v>
      </c>
      <c r="O442" s="1" t="str">
        <f t="shared" ca="1" si="3"/>
        <v>Please solve the LeetCode problem '1293. Shortest Path in a Grid with Obstacles Elimination'.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43" spans="1:15" x14ac:dyDescent="0.25">
      <c r="A443" s="1">
        <v>1094</v>
      </c>
      <c r="B443" s="2" t="str">
        <f>HYPERLINK("https://leetcode.com/problems/car-pooling/", "Car Pooling")</f>
        <v>Car Pooling</v>
      </c>
      <c r="C443" s="1">
        <v>4786</v>
      </c>
      <c r="D443" s="1">
        <v>122</v>
      </c>
      <c r="E443" s="3">
        <f t="shared" si="2"/>
        <v>0.97514262428687859</v>
      </c>
      <c r="F443" s="1" t="s">
        <v>268</v>
      </c>
      <c r="G443" s="1" t="s">
        <v>24</v>
      </c>
      <c r="H443" s="1">
        <v>306352</v>
      </c>
      <c r="I443" s="1">
        <v>545680</v>
      </c>
      <c r="J443" s="7">
        <v>0.56100000000000005</v>
      </c>
      <c r="K443" s="1" t="s">
        <v>21</v>
      </c>
      <c r="L443" s="1" t="s">
        <v>21</v>
      </c>
      <c r="M443" s="1" t="s">
        <v>29</v>
      </c>
      <c r="N443" s="1" t="s">
        <v>22</v>
      </c>
      <c r="O443" s="1" t="str">
        <f t="shared" ca="1" si="3"/>
        <v>Please solve the LeetCode problem '1094. Car Pooling'.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44" spans="1:15" x14ac:dyDescent="0.25">
      <c r="A444" s="1">
        <v>27</v>
      </c>
      <c r="B444" s="2" t="str">
        <f>HYPERLINK("https://leetcode.com/problems/remove-element/", "Remove Element")</f>
        <v>Remove Element</v>
      </c>
      <c r="C444" s="1">
        <v>4784</v>
      </c>
      <c r="D444" s="1">
        <v>5226</v>
      </c>
      <c r="E444" s="3">
        <f t="shared" si="2"/>
        <v>0.47792207792207791</v>
      </c>
      <c r="F444" s="1" t="s">
        <v>51</v>
      </c>
      <c r="G444" s="1" t="s">
        <v>20</v>
      </c>
      <c r="H444" s="1">
        <v>4896924</v>
      </c>
      <c r="I444" s="1">
        <v>8010677</v>
      </c>
      <c r="J444" s="7">
        <v>0.61099999999999999</v>
      </c>
      <c r="K444" s="1" t="s">
        <v>21</v>
      </c>
      <c r="L444" s="1" t="s">
        <v>21</v>
      </c>
      <c r="M444" s="1" t="s">
        <v>21</v>
      </c>
      <c r="N444" s="1" t="s">
        <v>22</v>
      </c>
      <c r="O444" s="1" t="str">
        <f t="shared" ca="1" si="3"/>
        <v>Please solve the LeetCode problem '27. Remove Element'.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45" spans="1:15" x14ac:dyDescent="0.25">
      <c r="A445" s="1">
        <v>1547</v>
      </c>
      <c r="B445" s="2" t="str">
        <f>HYPERLINK("https://leetcode.com/problems/minimum-cost-to-cut-a-stick/", "Minimum Cost to Cut a Stick")</f>
        <v>Minimum Cost to Cut a Stick</v>
      </c>
      <c r="C445" s="1">
        <v>4776</v>
      </c>
      <c r="D445" s="1">
        <v>157</v>
      </c>
      <c r="E445" s="3">
        <f t="shared" si="2"/>
        <v>0.96817352523819178</v>
      </c>
      <c r="F445" s="1" t="s">
        <v>270</v>
      </c>
      <c r="G445" s="1" t="s">
        <v>28</v>
      </c>
      <c r="H445" s="1">
        <v>213662</v>
      </c>
      <c r="I445" s="1">
        <v>340873</v>
      </c>
      <c r="J445" s="7">
        <v>0.627</v>
      </c>
      <c r="K445" s="1" t="s">
        <v>21</v>
      </c>
      <c r="L445" s="1" t="s">
        <v>21</v>
      </c>
      <c r="M445" s="1" t="s">
        <v>29</v>
      </c>
      <c r="N445" s="1" t="s">
        <v>22</v>
      </c>
      <c r="O445" s="1" t="str">
        <f t="shared" ca="1" si="3"/>
        <v>Please solve the LeetCode problem '1547. Minimum Cost to Cut a Stick'.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46" spans="1:15" x14ac:dyDescent="0.25">
      <c r="A446" s="1">
        <v>1110</v>
      </c>
      <c r="B446" s="2" t="str">
        <f>HYPERLINK("https://leetcode.com/problems/delete-nodes-and-return-forest/", "Delete Nodes And Return Forest")</f>
        <v>Delete Nodes And Return Forest</v>
      </c>
      <c r="C446" s="1">
        <v>4775</v>
      </c>
      <c r="D446" s="1">
        <v>144</v>
      </c>
      <c r="E446" s="3">
        <f t="shared" si="2"/>
        <v>0.97072575726773735</v>
      </c>
      <c r="F446" s="1" t="s">
        <v>271</v>
      </c>
      <c r="G446" s="1" t="s">
        <v>24</v>
      </c>
      <c r="H446" s="1">
        <v>386678</v>
      </c>
      <c r="I446" s="1">
        <v>533708</v>
      </c>
      <c r="J446" s="7">
        <v>0.72499999999999998</v>
      </c>
      <c r="K446" s="1" t="s">
        <v>21</v>
      </c>
      <c r="L446" s="1" t="s">
        <v>21</v>
      </c>
      <c r="M446" s="1" t="s">
        <v>29</v>
      </c>
      <c r="N446" s="1" t="s">
        <v>22</v>
      </c>
      <c r="O446" s="1" t="str">
        <f t="shared" ca="1" si="3"/>
        <v>Please solve the LeetCode problem '1110. Delete Nodes And Return Forest'.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47" spans="1:15" x14ac:dyDescent="0.25">
      <c r="A447" s="1">
        <v>1137</v>
      </c>
      <c r="B447" s="2" t="str">
        <f>HYPERLINK("https://leetcode.com/problems/n-th-tribonacci-number/", "N-th Tribonacci Number")</f>
        <v>N-th Tribonacci Number</v>
      </c>
      <c r="C447" s="1">
        <v>4775</v>
      </c>
      <c r="D447" s="1">
        <v>211</v>
      </c>
      <c r="E447" s="3">
        <f t="shared" si="2"/>
        <v>0.95768150822302445</v>
      </c>
      <c r="F447" s="1" t="s">
        <v>43</v>
      </c>
      <c r="G447" s="1" t="s">
        <v>20</v>
      </c>
      <c r="H447" s="1">
        <v>1043277</v>
      </c>
      <c r="I447" s="1">
        <v>1647198</v>
      </c>
      <c r="J447" s="7">
        <v>0.63300000000000001</v>
      </c>
      <c r="K447" s="1" t="s">
        <v>21</v>
      </c>
      <c r="L447" s="1" t="s">
        <v>21</v>
      </c>
      <c r="M447" s="1" t="s">
        <v>29</v>
      </c>
      <c r="N447" s="1" t="s">
        <v>22</v>
      </c>
      <c r="O447" s="1" t="str">
        <f t="shared" ca="1" si="3"/>
        <v>Please solve the LeetCode problem '1137. N-th Tribonacci Number'.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48" spans="1:15" x14ac:dyDescent="0.25">
      <c r="A448" s="1">
        <v>1752</v>
      </c>
      <c r="B448" s="2" t="str">
        <f>HYPERLINK("https://leetcode.com/problems/check-if-array-is-sorted-and-rotated/", "Check if Array Is Sorted and Rotated")</f>
        <v>Check if Array Is Sorted and Rotated</v>
      </c>
      <c r="C448" s="1">
        <v>4774</v>
      </c>
      <c r="D448" s="1">
        <v>280</v>
      </c>
      <c r="E448" s="3">
        <f t="shared" si="2"/>
        <v>0.94459833795013848</v>
      </c>
      <c r="F448" s="1" t="s">
        <v>113</v>
      </c>
      <c r="G448" s="1" t="s">
        <v>20</v>
      </c>
      <c r="H448" s="1">
        <v>787362</v>
      </c>
      <c r="I448" s="1">
        <v>1416377</v>
      </c>
      <c r="J448" s="7">
        <v>0.55600000000000005</v>
      </c>
      <c r="K448" s="1" t="s">
        <v>21</v>
      </c>
      <c r="L448" s="1" t="s">
        <v>21</v>
      </c>
      <c r="M448" s="1" t="s">
        <v>29</v>
      </c>
      <c r="N448" s="1" t="s">
        <v>22</v>
      </c>
      <c r="O448" s="1" t="str">
        <f t="shared" ca="1" si="3"/>
        <v>Please solve the LeetCode problem '1752. Check if Array Is Sorted and Rotated'.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49" spans="1:15" x14ac:dyDescent="0.25">
      <c r="A449" s="1">
        <v>1493</v>
      </c>
      <c r="B449" s="2" t="str">
        <f>HYPERLINK("https://leetcode.com/problems/longest-subarray-of-1s-after-deleting-one-element/", "Longest Subarray of 1's After Deleting One Element")</f>
        <v>Longest Subarray of 1's After Deleting One Element</v>
      </c>
      <c r="C449" s="1">
        <v>4745</v>
      </c>
      <c r="D449" s="1">
        <v>109</v>
      </c>
      <c r="E449" s="3">
        <f t="shared" si="2"/>
        <v>0.97754429336629589</v>
      </c>
      <c r="F449" s="1" t="s">
        <v>239</v>
      </c>
      <c r="G449" s="1" t="s">
        <v>24</v>
      </c>
      <c r="H449" s="1">
        <v>609489</v>
      </c>
      <c r="I449" s="1">
        <v>858516</v>
      </c>
      <c r="J449" s="7">
        <v>0.71</v>
      </c>
      <c r="K449" s="1" t="s">
        <v>21</v>
      </c>
      <c r="L449" s="1" t="s">
        <v>21</v>
      </c>
      <c r="M449" s="1" t="s">
        <v>29</v>
      </c>
      <c r="N449" s="1" t="s">
        <v>22</v>
      </c>
      <c r="O449" s="1" t="str">
        <f t="shared" ca="1" si="3"/>
        <v>Please solve the LeetCode problem '1493. Longest Subarray of 1's After Deleting One Element'.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50" spans="1:15" x14ac:dyDescent="0.25">
      <c r="A450" s="1">
        <v>796</v>
      </c>
      <c r="B450" s="2" t="str">
        <f>HYPERLINK("https://leetcode.com/problems/rotate-string/", "Rotate String")</f>
        <v>Rotate String</v>
      </c>
      <c r="C450" s="1">
        <v>4744</v>
      </c>
      <c r="D450" s="1">
        <v>415</v>
      </c>
      <c r="E450" s="3">
        <f t="shared" si="2"/>
        <v>0.9195580538864121</v>
      </c>
      <c r="F450" s="1" t="s">
        <v>207</v>
      </c>
      <c r="G450" s="1" t="s">
        <v>20</v>
      </c>
      <c r="H450" s="1">
        <v>751281</v>
      </c>
      <c r="I450" s="1">
        <v>1157397</v>
      </c>
      <c r="J450" s="7">
        <v>0.64900000000000002</v>
      </c>
      <c r="K450" s="1" t="s">
        <v>21</v>
      </c>
      <c r="L450" s="1" t="s">
        <v>21</v>
      </c>
      <c r="M450" s="1" t="s">
        <v>29</v>
      </c>
      <c r="N450" s="1" t="s">
        <v>22</v>
      </c>
      <c r="O450" s="1" t="str">
        <f t="shared" ca="1" si="3"/>
        <v>Please solve the LeetCode problem '796. Rotate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51" spans="1:15" x14ac:dyDescent="0.25">
      <c r="A451" s="1">
        <v>1254</v>
      </c>
      <c r="B451" s="2" t="str">
        <f>HYPERLINK("https://leetcode.com/problems/number-of-closed-islands/", "Number of Closed Islands")</f>
        <v>Number of Closed Islands</v>
      </c>
      <c r="C451" s="1">
        <v>4741</v>
      </c>
      <c r="D451" s="1">
        <v>188</v>
      </c>
      <c r="E451" s="3">
        <f t="shared" si="2"/>
        <v>0.9618583891255833</v>
      </c>
      <c r="F451" s="1" t="s">
        <v>40</v>
      </c>
      <c r="G451" s="1" t="s">
        <v>24</v>
      </c>
      <c r="H451" s="1">
        <v>272415</v>
      </c>
      <c r="I451" s="1">
        <v>406860</v>
      </c>
      <c r="J451" s="7">
        <v>0.67</v>
      </c>
      <c r="K451" s="1" t="s">
        <v>21</v>
      </c>
      <c r="L451" s="1" t="s">
        <v>21</v>
      </c>
      <c r="M451" s="1" t="s">
        <v>29</v>
      </c>
      <c r="N451" s="1" t="s">
        <v>22</v>
      </c>
      <c r="O451" s="1" t="str">
        <f t="shared" ca="1" si="3"/>
        <v>Please solve the LeetCode problem '1254. Number of Closed Islands'.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52" spans="1:15" x14ac:dyDescent="0.25">
      <c r="A452" s="1">
        <v>930</v>
      </c>
      <c r="B452" s="2" t="str">
        <f>HYPERLINK("https://leetcode.com/problems/binary-subarrays-with-sum/", "Binary Subarrays With Sum")</f>
        <v>Binary Subarrays With Sum</v>
      </c>
      <c r="C452" s="1">
        <v>4716</v>
      </c>
      <c r="D452" s="1">
        <v>161</v>
      </c>
      <c r="E452" s="3">
        <f t="shared" si="2"/>
        <v>0.96698790239901578</v>
      </c>
      <c r="F452" s="1" t="s">
        <v>272</v>
      </c>
      <c r="G452" s="1" t="s">
        <v>24</v>
      </c>
      <c r="H452" s="1">
        <v>469815</v>
      </c>
      <c r="I452" s="1">
        <v>692076</v>
      </c>
      <c r="J452" s="7">
        <v>0.67900000000000005</v>
      </c>
      <c r="K452" s="1" t="s">
        <v>21</v>
      </c>
      <c r="L452" s="1" t="s">
        <v>21</v>
      </c>
      <c r="M452" s="1" t="s">
        <v>29</v>
      </c>
      <c r="N452" s="1" t="s">
        <v>22</v>
      </c>
      <c r="O452" s="1" t="str">
        <f t="shared" ca="1" si="3"/>
        <v>Please solve the LeetCode problem '930. Binary Subarrays With Sum'.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53" spans="1:15" x14ac:dyDescent="0.25">
      <c r="A453" s="1">
        <v>530</v>
      </c>
      <c r="B453" s="2" t="str">
        <f>HYPERLINK("https://leetcode.com/problems/minimum-absolute-difference-in-bst/", "Minimum Absolute Difference in BST")</f>
        <v>Minimum Absolute Difference in BST</v>
      </c>
      <c r="C453" s="1">
        <v>4714</v>
      </c>
      <c r="D453" s="1">
        <v>270</v>
      </c>
      <c r="E453" s="3">
        <f t="shared" si="2"/>
        <v>0.9458266452648475</v>
      </c>
      <c r="F453" s="1" t="s">
        <v>273</v>
      </c>
      <c r="G453" s="1" t="s">
        <v>20</v>
      </c>
      <c r="H453" s="1">
        <v>585787</v>
      </c>
      <c r="I453" s="1">
        <v>990455</v>
      </c>
      <c r="J453" s="7">
        <v>0.59099999999999997</v>
      </c>
      <c r="K453" s="1" t="s">
        <v>21</v>
      </c>
      <c r="L453" s="1" t="s">
        <v>21</v>
      </c>
      <c r="M453" s="1" t="s">
        <v>29</v>
      </c>
      <c r="N453" s="1" t="s">
        <v>22</v>
      </c>
      <c r="O453" s="1" t="str">
        <f t="shared" ca="1" si="3"/>
        <v>Please solve the LeetCode problem '530. Minimum Absolute Difference in BST'.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54" spans="1:15" x14ac:dyDescent="0.25">
      <c r="A454" s="1">
        <v>725</v>
      </c>
      <c r="B454" s="2" t="str">
        <f>HYPERLINK("https://leetcode.com/problems/split-linked-list-in-parts/", "Split Linked List in Parts")</f>
        <v>Split Linked List in Parts</v>
      </c>
      <c r="C454" s="1">
        <v>4689</v>
      </c>
      <c r="D454" s="1">
        <v>373</v>
      </c>
      <c r="E454" s="3">
        <f t="shared" si="2"/>
        <v>0.92631370999604901</v>
      </c>
      <c r="F454" s="1" t="s">
        <v>104</v>
      </c>
      <c r="G454" s="1" t="s">
        <v>24</v>
      </c>
      <c r="H454" s="1">
        <v>349343</v>
      </c>
      <c r="I454" s="1">
        <v>495857</v>
      </c>
      <c r="J454" s="7">
        <v>0.70499999999999996</v>
      </c>
      <c r="K454" s="1" t="s">
        <v>21</v>
      </c>
      <c r="L454" s="1" t="s">
        <v>21</v>
      </c>
      <c r="M454" s="1" t="s">
        <v>29</v>
      </c>
      <c r="N454" s="1" t="s">
        <v>22</v>
      </c>
      <c r="O454" s="1" t="str">
        <f t="shared" ca="1" si="3"/>
        <v>Please solve the LeetCode problem '725. Split Linked List in Parts'.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55" spans="1:15" x14ac:dyDescent="0.25">
      <c r="A455" s="1">
        <v>269</v>
      </c>
      <c r="B455" s="2" t="str">
        <f>HYPERLINK("https://leetcode.com/problems/alien-dictionary/", "Alien Dictionary")</f>
        <v>Alien Dictionary</v>
      </c>
      <c r="C455" s="1">
        <v>4661</v>
      </c>
      <c r="D455" s="1">
        <v>1037</v>
      </c>
      <c r="E455" s="3">
        <f t="shared" si="2"/>
        <v>0.81800631800631796</v>
      </c>
      <c r="F455" s="1" t="s">
        <v>274</v>
      </c>
      <c r="G455" s="1" t="s">
        <v>28</v>
      </c>
      <c r="H455" s="1">
        <v>474279</v>
      </c>
      <c r="I455" s="1">
        <v>1281441</v>
      </c>
      <c r="J455" s="7">
        <v>0.37</v>
      </c>
      <c r="K455" s="1" t="s">
        <v>29</v>
      </c>
      <c r="L455" s="1" t="s">
        <v>21</v>
      </c>
      <c r="M455" s="1" t="s">
        <v>29</v>
      </c>
      <c r="N455" s="1" t="s">
        <v>22</v>
      </c>
      <c r="O455" s="1" t="str">
        <f t="shared" ca="1" si="3"/>
        <v>Please solve the LeetCode problem '269. Alien Dictionary'.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56" spans="1:15" x14ac:dyDescent="0.25">
      <c r="A456" s="1">
        <v>1290</v>
      </c>
      <c r="B456" s="2" t="str">
        <f>HYPERLINK("https://leetcode.com/problems/convert-binary-number-in-a-linked-list-to-integer/", "Convert Binary Number in a Linked List to Integer")</f>
        <v>Convert Binary Number in a Linked List to Integer</v>
      </c>
      <c r="C456" s="1">
        <v>4658</v>
      </c>
      <c r="D456" s="1">
        <v>177</v>
      </c>
      <c r="E456" s="3">
        <f t="shared" si="2"/>
        <v>0.96339193381592558</v>
      </c>
      <c r="F456" s="1" t="s">
        <v>275</v>
      </c>
      <c r="G456" s="1" t="s">
        <v>20</v>
      </c>
      <c r="H456" s="1">
        <v>710010</v>
      </c>
      <c r="I456" s="1">
        <v>862580</v>
      </c>
      <c r="J456" s="7">
        <v>0.82299999999999995</v>
      </c>
      <c r="K456" s="1" t="s">
        <v>21</v>
      </c>
      <c r="L456" s="1" t="s">
        <v>21</v>
      </c>
      <c r="M456" s="1" t="s">
        <v>29</v>
      </c>
      <c r="N456" s="1" t="s">
        <v>22</v>
      </c>
      <c r="O456" s="1" t="str">
        <f t="shared" ca="1" si="3"/>
        <v>Please solve the LeetCode problem '1290. Convert Binary Number in a Linked List to Integer'.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57" spans="1:15" x14ac:dyDescent="0.25">
      <c r="A457" s="1">
        <v>814</v>
      </c>
      <c r="B457" s="2" t="str">
        <f>HYPERLINK("https://leetcode.com/problems/binary-tree-pruning/", "Binary Tree Pruning")</f>
        <v>Binary Tree Pruning</v>
      </c>
      <c r="C457" s="1">
        <v>4654</v>
      </c>
      <c r="D457" s="1">
        <v>122</v>
      </c>
      <c r="E457" s="3">
        <f t="shared" si="2"/>
        <v>0.9744556113902848</v>
      </c>
      <c r="F457" s="1" t="s">
        <v>67</v>
      </c>
      <c r="G457" s="1" t="s">
        <v>24</v>
      </c>
      <c r="H457" s="1">
        <v>281379</v>
      </c>
      <c r="I457" s="1">
        <v>388582</v>
      </c>
      <c r="J457" s="7">
        <v>0.72399999999999998</v>
      </c>
      <c r="K457" s="1" t="s">
        <v>21</v>
      </c>
      <c r="L457" s="1" t="s">
        <v>21</v>
      </c>
      <c r="M457" s="1" t="s">
        <v>29</v>
      </c>
      <c r="N457" s="1" t="s">
        <v>22</v>
      </c>
      <c r="O457" s="1" t="str">
        <f t="shared" ca="1" si="3"/>
        <v>Please solve the LeetCode problem '814. Binary Tree Pruning'.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58" spans="1:15" x14ac:dyDescent="0.25">
      <c r="A458" s="1">
        <v>815</v>
      </c>
      <c r="B458" s="2" t="str">
        <f>HYPERLINK("https://leetcode.com/problems/bus-routes/", "Bus Routes")</f>
        <v>Bus Routes</v>
      </c>
      <c r="C458" s="1">
        <v>4632</v>
      </c>
      <c r="D458" s="1">
        <v>134</v>
      </c>
      <c r="E458" s="3">
        <f t="shared" si="2"/>
        <v>0.97188417960553919</v>
      </c>
      <c r="F458" s="1" t="s">
        <v>276</v>
      </c>
      <c r="G458" s="1" t="s">
        <v>28</v>
      </c>
      <c r="H458" s="1">
        <v>273653</v>
      </c>
      <c r="I458" s="1">
        <v>581800</v>
      </c>
      <c r="J458" s="7">
        <v>0.47</v>
      </c>
      <c r="K458" s="1" t="s">
        <v>21</v>
      </c>
      <c r="L458" s="1" t="s">
        <v>21</v>
      </c>
      <c r="M458" s="1" t="s">
        <v>29</v>
      </c>
      <c r="N458" s="1" t="s">
        <v>22</v>
      </c>
      <c r="O458" s="1" t="str">
        <f t="shared" ca="1" si="3"/>
        <v>Please solve the LeetCode problem '815. Bus Routes'.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59" spans="1:15" x14ac:dyDescent="0.25">
      <c r="A459" s="1">
        <v>741</v>
      </c>
      <c r="B459" s="2" t="str">
        <f>HYPERLINK("https://leetcode.com/problems/cherry-pickup/", "Cherry Pickup")</f>
        <v>Cherry Pickup</v>
      </c>
      <c r="C459" s="1">
        <v>4630</v>
      </c>
      <c r="D459" s="1">
        <v>170</v>
      </c>
      <c r="E459" s="3">
        <f t="shared" si="2"/>
        <v>0.96458333333333335</v>
      </c>
      <c r="F459" s="1" t="s">
        <v>94</v>
      </c>
      <c r="G459" s="1" t="s">
        <v>28</v>
      </c>
      <c r="H459" s="1">
        <v>107348</v>
      </c>
      <c r="I459" s="1">
        <v>275761</v>
      </c>
      <c r="J459" s="7">
        <v>0.38900000000000001</v>
      </c>
      <c r="K459" s="1" t="s">
        <v>21</v>
      </c>
      <c r="L459" s="1" t="s">
        <v>21</v>
      </c>
      <c r="M459" s="1" t="s">
        <v>29</v>
      </c>
      <c r="N459" s="1" t="s">
        <v>22</v>
      </c>
      <c r="O459" s="1" t="str">
        <f t="shared" ca="1" si="3"/>
        <v>Please solve the LeetCode problem '741. Cherry Pickup'.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60" spans="1:15" x14ac:dyDescent="0.25">
      <c r="A460" s="1">
        <v>1498</v>
      </c>
      <c r="B460" s="2" t="str">
        <f>HYPERLINK("https://leetcode.com/problems/number-of-subsequences-that-satisfy-the-given-sum-condition/", "Number of Subsequences That Satisfy the Given Sum Condition")</f>
        <v>Number of Subsequences That Satisfy the Given Sum Condition</v>
      </c>
      <c r="C460" s="1">
        <v>4628</v>
      </c>
      <c r="D460" s="1">
        <v>435</v>
      </c>
      <c r="E460" s="3">
        <f t="shared" si="2"/>
        <v>0.91408255974718544</v>
      </c>
      <c r="F460" s="1" t="s">
        <v>277</v>
      </c>
      <c r="G460" s="1" t="s">
        <v>24</v>
      </c>
      <c r="H460" s="1">
        <v>245466</v>
      </c>
      <c r="I460" s="1">
        <v>497769</v>
      </c>
      <c r="J460" s="7">
        <v>0.49299999999999999</v>
      </c>
      <c r="K460" s="1" t="s">
        <v>21</v>
      </c>
      <c r="L460" s="1" t="s">
        <v>21</v>
      </c>
      <c r="M460" s="1" t="s">
        <v>29</v>
      </c>
      <c r="N460" s="1" t="s">
        <v>22</v>
      </c>
      <c r="O460" s="1" t="str">
        <f t="shared" ca="1" si="3"/>
        <v>Please solve the LeetCode problem '1498. Number of Subsequences That Satisfy the Given Sum Condition'.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61" spans="1:15" x14ac:dyDescent="0.25">
      <c r="A461" s="1">
        <v>371</v>
      </c>
      <c r="B461" s="2" t="str">
        <f>HYPERLINK("https://leetcode.com/problems/sum-of-two-integers/", "Sum of Two Integers")</f>
        <v>Sum of Two Integers</v>
      </c>
      <c r="C461" s="1">
        <v>4624</v>
      </c>
      <c r="D461" s="1">
        <v>5837</v>
      </c>
      <c r="E461" s="3">
        <f t="shared" si="2"/>
        <v>0.44202275117101614</v>
      </c>
      <c r="F461" s="1" t="s">
        <v>227</v>
      </c>
      <c r="G461" s="1" t="s">
        <v>24</v>
      </c>
      <c r="H461" s="1">
        <v>664566</v>
      </c>
      <c r="I461" s="1">
        <v>1212443</v>
      </c>
      <c r="J461" s="7">
        <v>0.54800000000000004</v>
      </c>
      <c r="K461" s="1" t="s">
        <v>21</v>
      </c>
      <c r="L461" s="1" t="s">
        <v>21</v>
      </c>
      <c r="M461" s="1" t="s">
        <v>29</v>
      </c>
      <c r="N461" s="1" t="s">
        <v>22</v>
      </c>
      <c r="O461" s="1" t="str">
        <f t="shared" ca="1" si="3"/>
        <v>Please solve the LeetCode problem '371. Sum of Two Integers'.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62" spans="1:15" x14ac:dyDescent="0.25">
      <c r="A462" s="1">
        <v>336</v>
      </c>
      <c r="B462" s="2" t="str">
        <f>HYPERLINK("https://leetcode.com/problems/palindrome-pairs/", "Palindrome Pairs")</f>
        <v>Palindrome Pairs</v>
      </c>
      <c r="C462" s="1">
        <v>4619</v>
      </c>
      <c r="D462" s="1">
        <v>475</v>
      </c>
      <c r="E462" s="3">
        <f t="shared" si="2"/>
        <v>0.90675304279544566</v>
      </c>
      <c r="F462" s="1" t="s">
        <v>279</v>
      </c>
      <c r="G462" s="1" t="s">
        <v>28</v>
      </c>
      <c r="H462" s="1">
        <v>236348</v>
      </c>
      <c r="I462" s="1">
        <v>641230</v>
      </c>
      <c r="J462" s="7">
        <v>0.36899999999999999</v>
      </c>
      <c r="K462" s="1" t="s">
        <v>21</v>
      </c>
      <c r="L462" s="1" t="s">
        <v>21</v>
      </c>
      <c r="M462" s="1" t="s">
        <v>29</v>
      </c>
      <c r="N462" s="1" t="s">
        <v>22</v>
      </c>
      <c r="O462" s="1" t="str">
        <f t="shared" ca="1" si="3"/>
        <v>Please solve the LeetCode problem '336. Palindrome Pairs'.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63" spans="1:15" x14ac:dyDescent="0.25">
      <c r="A463" s="1">
        <v>367</v>
      </c>
      <c r="B463" s="2" t="str">
        <f>HYPERLINK("https://leetcode.com/problems/valid-perfect-square/", "Valid Perfect Square")</f>
        <v>Valid Perfect Square</v>
      </c>
      <c r="C463" s="1">
        <v>4609</v>
      </c>
      <c r="D463" s="1">
        <v>334</v>
      </c>
      <c r="E463" s="3">
        <f t="shared" si="2"/>
        <v>0.93242969856362534</v>
      </c>
      <c r="F463" s="1" t="s">
        <v>139</v>
      </c>
      <c r="G463" s="1" t="s">
        <v>20</v>
      </c>
      <c r="H463" s="1">
        <v>871938</v>
      </c>
      <c r="I463" s="1">
        <v>1953901</v>
      </c>
      <c r="J463" s="7">
        <v>0.44600000000000001</v>
      </c>
      <c r="K463" s="1" t="s">
        <v>21</v>
      </c>
      <c r="L463" s="1" t="s">
        <v>21</v>
      </c>
      <c r="M463" s="1" t="s">
        <v>29</v>
      </c>
      <c r="N463" s="1" t="s">
        <v>22</v>
      </c>
      <c r="O463" s="1" t="str">
        <f t="shared" ca="1" si="3"/>
        <v>Please solve the LeetCode problem '367. Valid Perfect Square'.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64" spans="1:15" x14ac:dyDescent="0.25">
      <c r="A464" s="1">
        <v>1466</v>
      </c>
      <c r="B464" s="2" t="str">
        <f>HYPERLINK("https://leetcode.com/problems/reorder-routes-to-make-all-paths-lead-to-the-city-zero/", "Reorder Routes to Make All Paths Lead to the City Zero")</f>
        <v>Reorder Routes to Make All Paths Lead to the City Zero</v>
      </c>
      <c r="C464" s="1">
        <v>4601</v>
      </c>
      <c r="D464" s="1">
        <v>147</v>
      </c>
      <c r="E464" s="3">
        <f t="shared" si="2"/>
        <v>0.96903959561920805</v>
      </c>
      <c r="F464" s="1" t="s">
        <v>212</v>
      </c>
      <c r="G464" s="1" t="s">
        <v>24</v>
      </c>
      <c r="H464" s="1">
        <v>305326</v>
      </c>
      <c r="I464" s="1">
        <v>465995</v>
      </c>
      <c r="J464" s="7">
        <v>0.65500000000000003</v>
      </c>
      <c r="K464" s="1" t="s">
        <v>21</v>
      </c>
      <c r="L464" s="1" t="s">
        <v>21</v>
      </c>
      <c r="M464" s="1" t="s">
        <v>29</v>
      </c>
      <c r="N464" s="1" t="s">
        <v>22</v>
      </c>
      <c r="O464" s="1" t="str">
        <f t="shared" ca="1" si="3"/>
        <v>Please solve the LeetCode problem '1466. Reorder Routes to Make All Paths Lead to the City Zero'.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65" spans="1:15" x14ac:dyDescent="0.25">
      <c r="A465" s="1">
        <v>847</v>
      </c>
      <c r="B465" s="2" t="str">
        <f>HYPERLINK("https://leetcode.com/problems/shortest-path-visiting-all-nodes/", "Shortest Path Visiting All Nodes")</f>
        <v>Shortest Path Visiting All Nodes</v>
      </c>
      <c r="C465" s="1">
        <v>4590</v>
      </c>
      <c r="D465" s="1">
        <v>181</v>
      </c>
      <c r="E465" s="3">
        <f t="shared" si="2"/>
        <v>0.96206246070006285</v>
      </c>
      <c r="F465" s="1" t="s">
        <v>1353</v>
      </c>
      <c r="G465" s="1" t="s">
        <v>28</v>
      </c>
      <c r="H465" s="1">
        <v>146230</v>
      </c>
      <c r="I465" s="1">
        <v>222491</v>
      </c>
      <c r="J465" s="7">
        <v>0.65700000000000003</v>
      </c>
      <c r="K465" s="1" t="s">
        <v>21</v>
      </c>
      <c r="L465" s="1" t="s">
        <v>21</v>
      </c>
      <c r="M465" s="1" t="s">
        <v>29</v>
      </c>
      <c r="N465" s="1" t="s">
        <v>22</v>
      </c>
      <c r="O465" s="1" t="str">
        <f t="shared" ca="1" si="3"/>
        <v>Please solve the LeetCode problem '847. Shortest Path Visiting All Nodes'.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66" spans="1:15" x14ac:dyDescent="0.25">
      <c r="A466" s="1">
        <v>355</v>
      </c>
      <c r="B466" s="2" t="str">
        <f>HYPERLINK("https://leetcode.com/problems/design-twitter/", "Design Twitter")</f>
        <v>Design Twitter</v>
      </c>
      <c r="C466" s="1">
        <v>4588</v>
      </c>
      <c r="D466" s="1">
        <v>655</v>
      </c>
      <c r="E466" s="3">
        <f t="shared" si="2"/>
        <v>0.87507152393667742</v>
      </c>
      <c r="F466" s="1" t="s">
        <v>278</v>
      </c>
      <c r="G466" s="1" t="s">
        <v>24</v>
      </c>
      <c r="H466" s="1">
        <v>315945</v>
      </c>
      <c r="I466" s="1">
        <v>718415</v>
      </c>
      <c r="J466" s="7">
        <v>0.44</v>
      </c>
      <c r="K466" s="1" t="s">
        <v>21</v>
      </c>
      <c r="L466" s="1" t="s">
        <v>29</v>
      </c>
      <c r="M466" s="1" t="s">
        <v>29</v>
      </c>
      <c r="N466" s="1" t="s">
        <v>22</v>
      </c>
      <c r="O466" s="1" t="str">
        <f t="shared" ca="1" si="3"/>
        <v>Please solve the LeetCode problem '355. Design Twitter'.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67" spans="1:15" x14ac:dyDescent="0.25">
      <c r="A467" s="1">
        <v>659</v>
      </c>
      <c r="B467" s="2" t="str">
        <f>HYPERLINK("https://leetcode.com/problems/split-array-into-consecutive-subsequences/", "Split Array into Consecutive Subsequences")</f>
        <v>Split Array into Consecutive Subsequences</v>
      </c>
      <c r="C467" s="1">
        <v>4563</v>
      </c>
      <c r="D467" s="1">
        <v>814</v>
      </c>
      <c r="E467" s="3">
        <f t="shared" si="2"/>
        <v>0.84861446903477777</v>
      </c>
      <c r="F467" s="1" t="s">
        <v>281</v>
      </c>
      <c r="G467" s="1" t="s">
        <v>24</v>
      </c>
      <c r="H467" s="1">
        <v>146024</v>
      </c>
      <c r="I467" s="1">
        <v>281068</v>
      </c>
      <c r="J467" s="7">
        <v>0.52</v>
      </c>
      <c r="K467" s="1" t="s">
        <v>21</v>
      </c>
      <c r="L467" s="1" t="s">
        <v>21</v>
      </c>
      <c r="M467" s="1" t="s">
        <v>29</v>
      </c>
      <c r="N467" s="1" t="s">
        <v>22</v>
      </c>
      <c r="O467" s="1" t="str">
        <f t="shared" ca="1" si="3"/>
        <v>Please solve the LeetCode problem '659. Split Array into Consecutive Subsequences'.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68" spans="1:15" x14ac:dyDescent="0.25">
      <c r="A468" s="1">
        <v>1020</v>
      </c>
      <c r="B468" s="2" t="str">
        <f>HYPERLINK("https://leetcode.com/problems/number-of-enclaves/", "Number of Enclaves")</f>
        <v>Number of Enclaves</v>
      </c>
      <c r="C468" s="1">
        <v>4559</v>
      </c>
      <c r="D468" s="1">
        <v>89</v>
      </c>
      <c r="E468" s="3">
        <f t="shared" si="2"/>
        <v>0.98085197934595525</v>
      </c>
      <c r="F468" s="1" t="s">
        <v>40</v>
      </c>
      <c r="G468" s="1" t="s">
        <v>24</v>
      </c>
      <c r="H468" s="1">
        <v>387336</v>
      </c>
      <c r="I468" s="1">
        <v>542642</v>
      </c>
      <c r="J468" s="7">
        <v>0.71399999999999997</v>
      </c>
      <c r="K468" s="1" t="s">
        <v>21</v>
      </c>
      <c r="L468" s="1" t="s">
        <v>21</v>
      </c>
      <c r="M468" s="1" t="s">
        <v>29</v>
      </c>
      <c r="N468" s="1" t="s">
        <v>22</v>
      </c>
      <c r="O468" s="1" t="str">
        <f t="shared" ca="1" si="3"/>
        <v>Please solve the LeetCode problem '1020. Number of Enclaves'.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69" spans="1:15" x14ac:dyDescent="0.25">
      <c r="A469" s="1">
        <v>926</v>
      </c>
      <c r="B469" s="2" t="str">
        <f>HYPERLINK("https://leetcode.com/problems/flip-string-to-monotone-increasing/", "Flip String to Monotone Increasing")</f>
        <v>Flip String to Monotone Increasing</v>
      </c>
      <c r="C469" s="1">
        <v>4558</v>
      </c>
      <c r="D469" s="1">
        <v>184</v>
      </c>
      <c r="E469" s="3">
        <f t="shared" si="2"/>
        <v>0.96119780683256006</v>
      </c>
      <c r="F469" s="1" t="s">
        <v>82</v>
      </c>
      <c r="G469" s="1" t="s">
        <v>24</v>
      </c>
      <c r="H469" s="1">
        <v>212912</v>
      </c>
      <c r="I469" s="1">
        <v>344699</v>
      </c>
      <c r="J469" s="7">
        <v>0.61799999999999999</v>
      </c>
      <c r="K469" s="1" t="s">
        <v>21</v>
      </c>
      <c r="L469" s="1" t="s">
        <v>21</v>
      </c>
      <c r="M469" s="1" t="s">
        <v>29</v>
      </c>
      <c r="N469" s="1" t="s">
        <v>22</v>
      </c>
      <c r="O469" s="1" t="str">
        <f t="shared" ca="1" si="3"/>
        <v>Please solve the LeetCode problem '926. Flip String to Monotone Increasing'.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70" spans="1:15" x14ac:dyDescent="0.25">
      <c r="A470" s="1">
        <v>1239</v>
      </c>
      <c r="B470" s="2" t="str">
        <f>HYPERLINK("https://leetcode.com/problems/maximum-length-of-a-concatenated-string-with-unique-characters/", "Maximum Length of a Concatenated String with Unique Characters")</f>
        <v>Maximum Length of a Concatenated String with Unique Characters</v>
      </c>
      <c r="C470" s="1">
        <v>4552</v>
      </c>
      <c r="D470" s="1">
        <v>339</v>
      </c>
      <c r="E470" s="3">
        <f t="shared" si="2"/>
        <v>0.93068902065017378</v>
      </c>
      <c r="F470" s="1" t="s">
        <v>282</v>
      </c>
      <c r="G470" s="1" t="s">
        <v>24</v>
      </c>
      <c r="H470" s="1">
        <v>317772</v>
      </c>
      <c r="I470" s="1">
        <v>582427</v>
      </c>
      <c r="J470" s="7">
        <v>0.54600000000000004</v>
      </c>
      <c r="K470" s="1" t="s">
        <v>21</v>
      </c>
      <c r="L470" s="1" t="s">
        <v>21</v>
      </c>
      <c r="M470" s="1" t="s">
        <v>21</v>
      </c>
      <c r="N470" s="1" t="s">
        <v>22</v>
      </c>
      <c r="O470" s="1" t="str">
        <f t="shared" ca="1" si="3"/>
        <v>Please solve the LeetCode problem '1239. Maximum Length of a Concatenated String with Unique Characters'.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71" spans="1:15" x14ac:dyDescent="0.25">
      <c r="A471" s="1">
        <v>214</v>
      </c>
      <c r="B471" s="2" t="str">
        <f>HYPERLINK("https://leetcode.com/problems/shortest-palindrome/", "Shortest Palindrome")</f>
        <v>Shortest Palindrome</v>
      </c>
      <c r="C471" s="1">
        <v>4531</v>
      </c>
      <c r="D471" s="1">
        <v>292</v>
      </c>
      <c r="E471" s="3">
        <f t="shared" si="2"/>
        <v>0.93945676964544889</v>
      </c>
      <c r="F471" s="1" t="s">
        <v>283</v>
      </c>
      <c r="G471" s="1" t="s">
        <v>28</v>
      </c>
      <c r="H471" s="1">
        <v>339325</v>
      </c>
      <c r="I471" s="1">
        <v>815170</v>
      </c>
      <c r="J471" s="7">
        <v>0.41599999999999998</v>
      </c>
      <c r="K471" s="1" t="s">
        <v>21</v>
      </c>
      <c r="L471" s="1" t="s">
        <v>21</v>
      </c>
      <c r="M471" s="1" t="s">
        <v>29</v>
      </c>
      <c r="N471" s="1" t="s">
        <v>22</v>
      </c>
      <c r="O471" s="1" t="str">
        <f t="shared" ca="1" si="3"/>
        <v>Please solve the LeetCode problem '214. Shortest Palindrome'.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72" spans="1:15" x14ac:dyDescent="0.25">
      <c r="A472" s="1">
        <v>1038</v>
      </c>
      <c r="B472" s="2" t="str">
        <f>HYPERLINK("https://leetcode.com/problems/binary-search-tree-to-greater-sum-tree/", "Binary Search Tree to Greater Sum Tree")</f>
        <v>Binary Search Tree to Greater Sum Tree</v>
      </c>
      <c r="C472" s="1">
        <v>4529</v>
      </c>
      <c r="D472" s="1">
        <v>169</v>
      </c>
      <c r="E472" s="3">
        <f t="shared" si="2"/>
        <v>0.96402724563644104</v>
      </c>
      <c r="F472" s="1" t="s">
        <v>69</v>
      </c>
      <c r="G472" s="1" t="s">
        <v>24</v>
      </c>
      <c r="H472" s="1">
        <v>335466</v>
      </c>
      <c r="I472" s="1">
        <v>379722</v>
      </c>
      <c r="J472" s="7">
        <v>0.88300000000000001</v>
      </c>
      <c r="K472" s="1" t="s">
        <v>21</v>
      </c>
      <c r="L472" s="1" t="s">
        <v>21</v>
      </c>
      <c r="M472" s="1" t="s">
        <v>29</v>
      </c>
      <c r="N472" s="1" t="s">
        <v>22</v>
      </c>
      <c r="O472" s="1" t="str">
        <f t="shared" ca="1" si="3"/>
        <v>Please solve the LeetCode problem '1038. Binary Search Tree to Greater Sum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73" spans="1:15" x14ac:dyDescent="0.25">
      <c r="A473" s="1">
        <v>778</v>
      </c>
      <c r="B473" s="2" t="str">
        <f>HYPERLINK("https://leetcode.com/problems/swim-in-rising-water/", "Swim in Rising Water")</f>
        <v>Swim in Rising Water</v>
      </c>
      <c r="C473" s="1">
        <v>4528</v>
      </c>
      <c r="D473" s="1">
        <v>315</v>
      </c>
      <c r="E473" s="3">
        <f t="shared" si="2"/>
        <v>0.93495767086516623</v>
      </c>
      <c r="F473" s="1" t="s">
        <v>208</v>
      </c>
      <c r="G473" s="1" t="s">
        <v>28</v>
      </c>
      <c r="H473" s="1">
        <v>353108</v>
      </c>
      <c r="I473" s="1">
        <v>523374</v>
      </c>
      <c r="J473" s="7">
        <v>0.67500000000000004</v>
      </c>
      <c r="K473" s="1" t="s">
        <v>21</v>
      </c>
      <c r="L473" s="1" t="s">
        <v>21</v>
      </c>
      <c r="M473" s="1" t="s">
        <v>29</v>
      </c>
      <c r="N473" s="1" t="s">
        <v>22</v>
      </c>
      <c r="O473" s="1" t="str">
        <f t="shared" ca="1" si="3"/>
        <v>Please solve the LeetCode problem '778. Swim in Rising Water'.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74" spans="1:15" x14ac:dyDescent="0.25">
      <c r="A474" s="1">
        <v>958</v>
      </c>
      <c r="B474" s="2" t="str">
        <f>HYPERLINK("https://leetcode.com/problems/check-completeness-of-a-binary-tree/", "Check Completeness of a Binary Tree")</f>
        <v>Check Completeness of a Binary Tree</v>
      </c>
      <c r="C474" s="1">
        <v>4519</v>
      </c>
      <c r="D474" s="1">
        <v>62</v>
      </c>
      <c r="E474" s="3">
        <f t="shared" si="2"/>
        <v>0.98646583715345992</v>
      </c>
      <c r="F474" s="1" t="s">
        <v>79</v>
      </c>
      <c r="G474" s="1" t="s">
        <v>24</v>
      </c>
      <c r="H474" s="1">
        <v>311524</v>
      </c>
      <c r="I474" s="1">
        <v>529217</v>
      </c>
      <c r="J474" s="7">
        <v>0.58899999999999997</v>
      </c>
      <c r="K474" s="1" t="s">
        <v>21</v>
      </c>
      <c r="L474" s="1" t="s">
        <v>21</v>
      </c>
      <c r="M474" s="1" t="s">
        <v>29</v>
      </c>
      <c r="N474" s="1" t="s">
        <v>22</v>
      </c>
      <c r="O474" s="1" t="str">
        <f t="shared" ca="1" si="3"/>
        <v>Please solve the LeetCode problem '958. Check Completeness of a Binary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75" spans="1:15" x14ac:dyDescent="0.25">
      <c r="A475" s="1">
        <v>712</v>
      </c>
      <c r="B475" s="2" t="str">
        <f>HYPERLINK("https://leetcode.com/problems/minimum-ascii-delete-sum-for-two-strings/", "Minimum ASCII Delete Sum for Two Strings")</f>
        <v>Minimum ASCII Delete Sum for Two Strings</v>
      </c>
      <c r="C475" s="1">
        <v>4517</v>
      </c>
      <c r="D475" s="1">
        <v>128</v>
      </c>
      <c r="E475" s="3">
        <f t="shared" si="2"/>
        <v>0.972443487621098</v>
      </c>
      <c r="F475" s="1" t="s">
        <v>82</v>
      </c>
      <c r="G475" s="1" t="s">
        <v>24</v>
      </c>
      <c r="H475" s="1">
        <v>268796</v>
      </c>
      <c r="I475" s="1">
        <v>379675</v>
      </c>
      <c r="J475" s="7">
        <v>0.70799999999999996</v>
      </c>
      <c r="K475" s="1" t="s">
        <v>21</v>
      </c>
      <c r="L475" s="1" t="s">
        <v>21</v>
      </c>
      <c r="M475" s="1" t="s">
        <v>29</v>
      </c>
      <c r="N475" s="1" t="s">
        <v>22</v>
      </c>
      <c r="O475" s="1" t="str">
        <f t="shared" ca="1" si="3"/>
        <v>Please solve the LeetCode problem '712. Minimum ASCII Delete Sum for Two Strings'.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76" spans="1:15" x14ac:dyDescent="0.25">
      <c r="A476" s="1">
        <v>628</v>
      </c>
      <c r="B476" s="2" t="str">
        <f>HYPERLINK("https://leetcode.com/problems/maximum-product-of-three-numbers/", "Maximum Product of Three Numbers")</f>
        <v>Maximum Product of Three Numbers</v>
      </c>
      <c r="C476" s="1">
        <v>4497</v>
      </c>
      <c r="D476" s="1">
        <v>713</v>
      </c>
      <c r="E476" s="3">
        <f t="shared" si="2"/>
        <v>0.86314779270633402</v>
      </c>
      <c r="F476" s="1" t="s">
        <v>284</v>
      </c>
      <c r="G476" s="1" t="s">
        <v>20</v>
      </c>
      <c r="H476" s="1">
        <v>465014</v>
      </c>
      <c r="I476" s="1">
        <v>1018621</v>
      </c>
      <c r="J476" s="7">
        <v>0.45700000000000002</v>
      </c>
      <c r="K476" s="1" t="s">
        <v>21</v>
      </c>
      <c r="L476" s="1" t="s">
        <v>21</v>
      </c>
      <c r="M476" s="1" t="s">
        <v>29</v>
      </c>
      <c r="N476" s="1" t="s">
        <v>22</v>
      </c>
      <c r="O476" s="1" t="str">
        <f t="shared" ca="1" si="3"/>
        <v>Please solve the LeetCode problem '628. Maximum Product of Three Numbers'.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77" spans="1:15" x14ac:dyDescent="0.25">
      <c r="A477" s="1">
        <v>1002</v>
      </c>
      <c r="B477" s="2" t="str">
        <f>HYPERLINK("https://leetcode.com/problems/find-common-characters/", "Find Common Characters")</f>
        <v>Find Common Characters</v>
      </c>
      <c r="C477" s="1">
        <v>4488</v>
      </c>
      <c r="D477" s="1">
        <v>435</v>
      </c>
      <c r="E477" s="3">
        <f t="shared" si="2"/>
        <v>0.91163924436319321</v>
      </c>
      <c r="F477" s="1" t="s">
        <v>258</v>
      </c>
      <c r="G477" s="1" t="s">
        <v>20</v>
      </c>
      <c r="H477" s="1">
        <v>420952</v>
      </c>
      <c r="I477" s="1">
        <v>564054</v>
      </c>
      <c r="J477" s="7">
        <v>0.746</v>
      </c>
      <c r="K477" s="1" t="s">
        <v>21</v>
      </c>
      <c r="L477" s="1" t="s">
        <v>21</v>
      </c>
      <c r="M477" s="1" t="s">
        <v>29</v>
      </c>
      <c r="N477" s="1" t="s">
        <v>22</v>
      </c>
      <c r="O477" s="1" t="str">
        <f t="shared" ca="1" si="3"/>
        <v>Please solve the LeetCode problem '1002. Find Common Characters'.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78" spans="1:15" x14ac:dyDescent="0.25">
      <c r="A478" s="1">
        <v>228</v>
      </c>
      <c r="B478" s="2" t="str">
        <f>HYPERLINK("https://leetcode.com/problems/summary-ranges/", "Summary Ranges")</f>
        <v>Summary Ranges</v>
      </c>
      <c r="C478" s="1">
        <v>4482</v>
      </c>
      <c r="D478" s="1">
        <v>2365</v>
      </c>
      <c r="E478" s="3">
        <f t="shared" si="2"/>
        <v>0.65459325251935152</v>
      </c>
      <c r="F478" s="1" t="s">
        <v>113</v>
      </c>
      <c r="G478" s="1" t="s">
        <v>20</v>
      </c>
      <c r="H478" s="1">
        <v>896783</v>
      </c>
      <c r="I478" s="1">
        <v>1667108</v>
      </c>
      <c r="J478" s="7">
        <v>0.53800000000000003</v>
      </c>
      <c r="K478" s="1" t="s">
        <v>21</v>
      </c>
      <c r="L478" s="1" t="s">
        <v>21</v>
      </c>
      <c r="M478" s="1" t="s">
        <v>29</v>
      </c>
      <c r="N478" s="1" t="s">
        <v>22</v>
      </c>
      <c r="O478" s="1" t="str">
        <f t="shared" ca="1" si="3"/>
        <v>Please solve the LeetCode problem '228. Summary Ranges'.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79" spans="1:15" x14ac:dyDescent="0.25">
      <c r="A479" s="1">
        <v>149</v>
      </c>
      <c r="B479" s="2" t="str">
        <f>HYPERLINK("https://leetcode.com/problems/max-points-on-a-line/", "Max Points on a Line")</f>
        <v>Max Points on a Line</v>
      </c>
      <c r="C479" s="1">
        <v>4474</v>
      </c>
      <c r="D479" s="1">
        <v>579</v>
      </c>
      <c r="E479" s="3">
        <f t="shared" si="2"/>
        <v>0.88541460518503856</v>
      </c>
      <c r="F479" s="1" t="s">
        <v>286</v>
      </c>
      <c r="G479" s="1" t="s">
        <v>28</v>
      </c>
      <c r="H479" s="1">
        <v>505683</v>
      </c>
      <c r="I479" s="1">
        <v>1681788</v>
      </c>
      <c r="J479" s="7">
        <v>0.30099999999999999</v>
      </c>
      <c r="K479" s="1" t="s">
        <v>21</v>
      </c>
      <c r="L479" s="1" t="s">
        <v>21</v>
      </c>
      <c r="M479" s="1" t="s">
        <v>29</v>
      </c>
      <c r="N479" s="1" t="s">
        <v>22</v>
      </c>
      <c r="O479" s="1" t="str">
        <f t="shared" ca="1" si="3"/>
        <v>Please solve the LeetCode problem '149. Max Points on a Line'.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80" spans="1:15" x14ac:dyDescent="0.25">
      <c r="A480" s="1">
        <v>68</v>
      </c>
      <c r="B480" s="2" t="str">
        <f>HYPERLINK("https://leetcode.com/problems/text-justification/", "Text Justification")</f>
        <v>Text Justification</v>
      </c>
      <c r="C480" s="1">
        <v>4470</v>
      </c>
      <c r="D480" s="1">
        <v>5316</v>
      </c>
      <c r="E480" s="3">
        <f t="shared" si="2"/>
        <v>0.45677498467198036</v>
      </c>
      <c r="F480" s="1" t="s">
        <v>285</v>
      </c>
      <c r="G480" s="1" t="s">
        <v>28</v>
      </c>
      <c r="H480" s="1">
        <v>617491</v>
      </c>
      <c r="I480" s="1">
        <v>1232076</v>
      </c>
      <c r="J480" s="7">
        <v>0.501</v>
      </c>
      <c r="K480" s="1" t="s">
        <v>21</v>
      </c>
      <c r="L480" s="1" t="s">
        <v>21</v>
      </c>
      <c r="M480" s="1" t="s">
        <v>29</v>
      </c>
      <c r="N480" s="1" t="s">
        <v>22</v>
      </c>
      <c r="O480" s="1" t="str">
        <f t="shared" ca="1" si="3"/>
        <v>Please solve the LeetCode problem '68. Text Justification'.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81" spans="1:15" x14ac:dyDescent="0.25">
      <c r="A481" s="1">
        <v>897</v>
      </c>
      <c r="B481" s="2" t="str">
        <f>HYPERLINK("https://leetcode.com/problems/increasing-order-search-tree/", "Increasing Order Search Tree")</f>
        <v>Increasing Order Search Tree</v>
      </c>
      <c r="C481" s="1">
        <v>4469</v>
      </c>
      <c r="D481" s="1">
        <v>684</v>
      </c>
      <c r="E481" s="3">
        <f t="shared" si="2"/>
        <v>0.86726178924898123</v>
      </c>
      <c r="F481" s="1" t="s">
        <v>288</v>
      </c>
      <c r="G481" s="1" t="s">
        <v>20</v>
      </c>
      <c r="H481" s="1">
        <v>331355</v>
      </c>
      <c r="I481" s="1">
        <v>419962</v>
      </c>
      <c r="J481" s="7">
        <v>0.78900000000000003</v>
      </c>
      <c r="K481" s="1" t="s">
        <v>21</v>
      </c>
      <c r="L481" s="1" t="s">
        <v>21</v>
      </c>
      <c r="M481" s="1" t="s">
        <v>29</v>
      </c>
      <c r="N481" s="1" t="s">
        <v>22</v>
      </c>
      <c r="O481" s="1" t="str">
        <f t="shared" ca="1" si="3"/>
        <v>Please solve the LeetCode problem '897. Increasing Order Search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82" spans="1:15" x14ac:dyDescent="0.25">
      <c r="A482" s="1">
        <v>1438</v>
      </c>
      <c r="B482" s="2" t="str">
        <f>HYPERLINK("https://leetcode.com/problems/longest-continuous-subarray-with-absolute-diff-less-than-or-equal-to-limit/", "Longest Continuous Subarray With Absolute Diff Less Than or Equal to Limit")</f>
        <v>Longest Continuous Subarray With Absolute Diff Less Than or Equal to Limit</v>
      </c>
      <c r="C482" s="1">
        <v>4450</v>
      </c>
      <c r="D482" s="1">
        <v>221</v>
      </c>
      <c r="E482" s="3">
        <f t="shared" si="2"/>
        <v>0.95268679083707986</v>
      </c>
      <c r="F482" s="1" t="s">
        <v>287</v>
      </c>
      <c r="G482" s="1" t="s">
        <v>24</v>
      </c>
      <c r="H482" s="1">
        <v>298193</v>
      </c>
      <c r="I482" s="1">
        <v>521364</v>
      </c>
      <c r="J482" s="7">
        <v>0.57199999999999995</v>
      </c>
      <c r="K482" s="1" t="s">
        <v>21</v>
      </c>
      <c r="L482" s="1" t="s">
        <v>21</v>
      </c>
      <c r="M482" s="1" t="s">
        <v>29</v>
      </c>
      <c r="N482" s="1" t="s">
        <v>22</v>
      </c>
      <c r="O482" s="1" t="str">
        <f t="shared" ca="1" si="3"/>
        <v>Please solve the LeetCode problem '1438. Longest Continuous Subarray With Absolute Diff Less Than or Equal to Limit'.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83" spans="1:15" x14ac:dyDescent="0.25">
      <c r="A483" s="1">
        <v>687</v>
      </c>
      <c r="B483" s="2" t="str">
        <f>HYPERLINK("https://leetcode.com/problems/longest-univalue-path/", "Longest Univalue Path")</f>
        <v>Longest Univalue Path</v>
      </c>
      <c r="C483" s="1">
        <v>4430</v>
      </c>
      <c r="D483" s="1">
        <v>679</v>
      </c>
      <c r="E483" s="3">
        <f t="shared" si="2"/>
        <v>0.86709727931101976</v>
      </c>
      <c r="F483" s="1" t="s">
        <v>67</v>
      </c>
      <c r="G483" s="1" t="s">
        <v>24</v>
      </c>
      <c r="H483" s="1">
        <v>217406</v>
      </c>
      <c r="I483" s="1">
        <v>501253</v>
      </c>
      <c r="J483" s="7">
        <v>0.434</v>
      </c>
      <c r="K483" s="1" t="s">
        <v>21</v>
      </c>
      <c r="L483" s="1" t="s">
        <v>21</v>
      </c>
      <c r="M483" s="1" t="s">
        <v>29</v>
      </c>
      <c r="N483" s="1" t="s">
        <v>22</v>
      </c>
      <c r="O483" s="1" t="str">
        <f t="shared" ca="1" si="3"/>
        <v>Please solve the LeetCode problem '687. Longest Univalue Path'.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84" spans="1:15" x14ac:dyDescent="0.25">
      <c r="A484" s="1">
        <v>342</v>
      </c>
      <c r="B484" s="2" t="str">
        <f>HYPERLINK("https://leetcode.com/problems/power-of-four/", "Power of Four")</f>
        <v>Power of Four</v>
      </c>
      <c r="C484" s="1">
        <v>4421</v>
      </c>
      <c r="D484" s="1">
        <v>417</v>
      </c>
      <c r="E484" s="3">
        <f t="shared" si="2"/>
        <v>0.91380735841256722</v>
      </c>
      <c r="F484" s="1" t="s">
        <v>172</v>
      </c>
      <c r="G484" s="1" t="s">
        <v>20</v>
      </c>
      <c r="H484" s="1">
        <v>1050790</v>
      </c>
      <c r="I484" s="1">
        <v>2036956</v>
      </c>
      <c r="J484" s="7">
        <v>0.51600000000000001</v>
      </c>
      <c r="K484" s="1" t="s">
        <v>21</v>
      </c>
      <c r="L484" s="1" t="s">
        <v>21</v>
      </c>
      <c r="M484" s="1" t="s">
        <v>29</v>
      </c>
      <c r="N484" s="1" t="s">
        <v>22</v>
      </c>
      <c r="O484" s="1" t="str">
        <f t="shared" ca="1" si="3"/>
        <v>Please solve the LeetCode problem '342. Power of Four'.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85" spans="1:15" x14ac:dyDescent="0.25">
      <c r="A485" s="1">
        <v>1463</v>
      </c>
      <c r="B485" s="2" t="str">
        <f>HYPERLINK("https://leetcode.com/problems/cherry-pickup-ii/", "Cherry Pickup II")</f>
        <v>Cherry Pickup II</v>
      </c>
      <c r="C485" s="1">
        <v>4421</v>
      </c>
      <c r="D485" s="1">
        <v>54</v>
      </c>
      <c r="E485" s="3">
        <f t="shared" si="2"/>
        <v>0.98793296089385474</v>
      </c>
      <c r="F485" s="1" t="s">
        <v>94</v>
      </c>
      <c r="G485" s="1" t="s">
        <v>28</v>
      </c>
      <c r="H485" s="1">
        <v>224500</v>
      </c>
      <c r="I485" s="1">
        <v>310824</v>
      </c>
      <c r="J485" s="7">
        <v>0.72199999999999998</v>
      </c>
      <c r="K485" s="1" t="s">
        <v>21</v>
      </c>
      <c r="L485" s="1" t="s">
        <v>21</v>
      </c>
      <c r="M485" s="1" t="s">
        <v>29</v>
      </c>
      <c r="N485" s="1" t="s">
        <v>22</v>
      </c>
      <c r="O485" s="1" t="str">
        <f t="shared" ca="1" si="3"/>
        <v>Please solve the LeetCode problem '1463. Cherry Pickup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86" spans="1:15" x14ac:dyDescent="0.25">
      <c r="A486" s="1">
        <v>1130</v>
      </c>
      <c r="B486" s="2" t="str">
        <f>HYPERLINK("https://leetcode.com/problems/minimum-cost-tree-from-leaf-values/", "Minimum Cost Tree From Leaf Values")</f>
        <v>Minimum Cost Tree From Leaf Values</v>
      </c>
      <c r="C486" s="1">
        <v>4419</v>
      </c>
      <c r="D486" s="1">
        <v>280</v>
      </c>
      <c r="E486" s="3">
        <f t="shared" si="2"/>
        <v>0.94041285379868056</v>
      </c>
      <c r="F486" s="1" t="s">
        <v>289</v>
      </c>
      <c r="G486" s="1" t="s">
        <v>24</v>
      </c>
      <c r="H486" s="1">
        <v>118645</v>
      </c>
      <c r="I486" s="1">
        <v>175076</v>
      </c>
      <c r="J486" s="7">
        <v>0.67800000000000005</v>
      </c>
      <c r="K486" s="1" t="s">
        <v>21</v>
      </c>
      <c r="L486" s="1" t="s">
        <v>29</v>
      </c>
      <c r="M486" s="1" t="s">
        <v>29</v>
      </c>
      <c r="N486" s="1" t="s">
        <v>22</v>
      </c>
      <c r="O486" s="1" t="str">
        <f t="shared" ca="1" si="3"/>
        <v>Please solve the LeetCode problem '1130. Minimum Cost Tree From Leaf Values'.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87" spans="1:15" x14ac:dyDescent="0.25">
      <c r="A487" s="1">
        <v>611</v>
      </c>
      <c r="B487" s="2" t="str">
        <f>HYPERLINK("https://leetcode.com/problems/valid-triangle-number/", "Valid Triangle Number")</f>
        <v>Valid Triangle Number</v>
      </c>
      <c r="C487" s="1">
        <v>4410</v>
      </c>
      <c r="D487" s="1">
        <v>256</v>
      </c>
      <c r="E487" s="3">
        <f t="shared" si="2"/>
        <v>0.94513501928846977</v>
      </c>
      <c r="F487" s="1" t="s">
        <v>290</v>
      </c>
      <c r="G487" s="1" t="s">
        <v>24</v>
      </c>
      <c r="H487" s="1">
        <v>354096</v>
      </c>
      <c r="I487" s="1">
        <v>625925</v>
      </c>
      <c r="J487" s="7">
        <v>0.56599999999999995</v>
      </c>
      <c r="K487" s="1" t="s">
        <v>21</v>
      </c>
      <c r="L487" s="1" t="s">
        <v>21</v>
      </c>
      <c r="M487" s="1" t="s">
        <v>29</v>
      </c>
      <c r="N487" s="1" t="s">
        <v>22</v>
      </c>
      <c r="O487" s="1" t="str">
        <f t="shared" ca="1" si="3"/>
        <v>Please solve the LeetCode problem '611. Valid Triangle Number'.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88" spans="1:15" x14ac:dyDescent="0.25">
      <c r="A488" s="1">
        <v>650</v>
      </c>
      <c r="B488" s="2" t="str">
        <f>HYPERLINK("https://leetcode.com/problems/2-keys-keyboard/", "2 Keys Keyboard")</f>
        <v>2 Keys Keyboard</v>
      </c>
      <c r="C488" s="1">
        <v>4390</v>
      </c>
      <c r="D488" s="1">
        <v>247</v>
      </c>
      <c r="E488" s="3">
        <f t="shared" si="2"/>
        <v>0.94673280138020277</v>
      </c>
      <c r="F488" s="1" t="s">
        <v>250</v>
      </c>
      <c r="G488" s="1" t="s">
        <v>24</v>
      </c>
      <c r="H488" s="1">
        <v>291930</v>
      </c>
      <c r="I488" s="1">
        <v>492640</v>
      </c>
      <c r="J488" s="7">
        <v>0.59299999999999997</v>
      </c>
      <c r="K488" s="1" t="s">
        <v>21</v>
      </c>
      <c r="L488" s="1" t="s">
        <v>21</v>
      </c>
      <c r="M488" s="1" t="s">
        <v>29</v>
      </c>
      <c r="N488" s="1" t="s">
        <v>22</v>
      </c>
      <c r="O488" s="1" t="str">
        <f t="shared" ca="1" si="3"/>
        <v>Please solve the LeetCode problem '650. 2 Keys Keyboard'.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89" spans="1:15" x14ac:dyDescent="0.25">
      <c r="A489" s="1">
        <v>1358</v>
      </c>
      <c r="B489" s="2" t="str">
        <f>HYPERLINK("https://leetcode.com/problems/number-of-substrings-containing-all-three-characters/", "Number of Substrings Containing All Three Characters")</f>
        <v>Number of Substrings Containing All Three Characters</v>
      </c>
      <c r="C489" s="1">
        <v>4354</v>
      </c>
      <c r="D489" s="1">
        <v>81</v>
      </c>
      <c r="E489" s="3">
        <f t="shared" si="2"/>
        <v>0.98173618940248031</v>
      </c>
      <c r="F489" s="1" t="s">
        <v>23</v>
      </c>
      <c r="G489" s="1" t="s">
        <v>24</v>
      </c>
      <c r="H489" s="1">
        <v>414891</v>
      </c>
      <c r="I489" s="1">
        <v>565043</v>
      </c>
      <c r="J489" s="7">
        <v>0.73399999999999999</v>
      </c>
      <c r="K489" s="1" t="s">
        <v>21</v>
      </c>
      <c r="L489" s="1" t="s">
        <v>21</v>
      </c>
      <c r="M489" s="1" t="s">
        <v>29</v>
      </c>
      <c r="N489" s="1" t="s">
        <v>22</v>
      </c>
      <c r="O489" s="1" t="str">
        <f t="shared" ca="1" si="3"/>
        <v>Please solve the LeetCode problem '1358. Number of Substrings Containing All Three Characters'.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90" spans="1:15" x14ac:dyDescent="0.25">
      <c r="A490" s="1">
        <v>632</v>
      </c>
      <c r="B490" s="2" t="str">
        <f>HYPERLINK("https://leetcode.com/problems/smallest-range-covering-elements-from-k-lists/", "Smallest Range Covering Elements from K Lists")</f>
        <v>Smallest Range Covering Elements from K Lists</v>
      </c>
      <c r="C490" s="1">
        <v>4352</v>
      </c>
      <c r="D490" s="1">
        <v>101</v>
      </c>
      <c r="E490" s="3">
        <f t="shared" si="2"/>
        <v>0.9773186615764653</v>
      </c>
      <c r="F490" s="1" t="s">
        <v>291</v>
      </c>
      <c r="G490" s="1" t="s">
        <v>28</v>
      </c>
      <c r="H490" s="1">
        <v>236146</v>
      </c>
      <c r="I490" s="1">
        <v>337480</v>
      </c>
      <c r="J490" s="7">
        <v>0.7</v>
      </c>
      <c r="K490" s="1" t="s">
        <v>21</v>
      </c>
      <c r="L490" s="1" t="s">
        <v>21</v>
      </c>
      <c r="M490" s="1" t="s">
        <v>29</v>
      </c>
      <c r="N490" s="1" t="s">
        <v>22</v>
      </c>
      <c r="O490" s="1" t="str">
        <f t="shared" ca="1" si="3"/>
        <v>Please solve the LeetCode problem '632. Smallest Range Covering Elements from K Lists'.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91" spans="1:15" x14ac:dyDescent="0.25">
      <c r="A491" s="1">
        <v>872</v>
      </c>
      <c r="B491" s="2" t="str">
        <f>HYPERLINK("https://leetcode.com/problems/leaf-similar-trees/", "Leaf-Similar Trees")</f>
        <v>Leaf-Similar Trees</v>
      </c>
      <c r="C491" s="1">
        <v>4348</v>
      </c>
      <c r="D491" s="1">
        <v>124</v>
      </c>
      <c r="E491" s="3">
        <f t="shared" si="2"/>
        <v>0.97227191413237923</v>
      </c>
      <c r="F491" s="1" t="s">
        <v>67</v>
      </c>
      <c r="G491" s="1" t="s">
        <v>20</v>
      </c>
      <c r="H491" s="1">
        <v>659942</v>
      </c>
      <c r="I491" s="1">
        <v>940495</v>
      </c>
      <c r="J491" s="7">
        <v>0.70199999999999996</v>
      </c>
      <c r="K491" s="1" t="s">
        <v>21</v>
      </c>
      <c r="L491" s="1" t="s">
        <v>21</v>
      </c>
      <c r="M491" s="1" t="s">
        <v>29</v>
      </c>
      <c r="N491" s="1" t="s">
        <v>22</v>
      </c>
      <c r="O491" s="1" t="str">
        <f t="shared" ca="1" si="3"/>
        <v>Please solve the LeetCode problem '872. Leaf-Similar Trees'.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92" spans="1:15" x14ac:dyDescent="0.25">
      <c r="A492" s="1">
        <v>1010</v>
      </c>
      <c r="B492" s="2" t="str">
        <f>HYPERLINK("https://leetcode.com/problems/pairs-of-songs-with-total-durations-divisible-by-60/", "Pairs of Songs With Total Durations Divisible by 60")</f>
        <v>Pairs of Songs With Total Durations Divisible by 60</v>
      </c>
      <c r="C492" s="1">
        <v>4324</v>
      </c>
      <c r="D492" s="1">
        <v>182</v>
      </c>
      <c r="E492" s="3">
        <f t="shared" si="2"/>
        <v>0.95960940967598762</v>
      </c>
      <c r="F492" s="1" t="s">
        <v>294</v>
      </c>
      <c r="G492" s="1" t="s">
        <v>24</v>
      </c>
      <c r="H492" s="1">
        <v>321632</v>
      </c>
      <c r="I492" s="1">
        <v>602359</v>
      </c>
      <c r="J492" s="7">
        <v>0.53400000000000003</v>
      </c>
      <c r="K492" s="1" t="s">
        <v>21</v>
      </c>
      <c r="L492" s="1" t="s">
        <v>21</v>
      </c>
      <c r="M492" s="1" t="s">
        <v>21</v>
      </c>
      <c r="N492" s="1" t="s">
        <v>22</v>
      </c>
      <c r="O492" s="1" t="str">
        <f t="shared" ca="1" si="3"/>
        <v>Please solve the LeetCode problem '1010. Pairs of Songs With Total Durations Divisible by 60'.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93" spans="1:15" x14ac:dyDescent="0.25">
      <c r="A493" s="1">
        <v>1578</v>
      </c>
      <c r="B493" s="2" t="str">
        <f>HYPERLINK("https://leetcode.com/problems/minimum-time-to-make-rope-colorful/", "Minimum Time to Make Rope Colorful")</f>
        <v>Minimum Time to Make Rope Colorful</v>
      </c>
      <c r="C493" s="1">
        <v>4324</v>
      </c>
      <c r="D493" s="1">
        <v>156</v>
      </c>
      <c r="E493" s="3">
        <f t="shared" si="2"/>
        <v>0.96517857142857144</v>
      </c>
      <c r="F493" s="1" t="s">
        <v>292</v>
      </c>
      <c r="G493" s="1" t="s">
        <v>24</v>
      </c>
      <c r="H493" s="1">
        <v>403851</v>
      </c>
      <c r="I493" s="1">
        <v>619042</v>
      </c>
      <c r="J493" s="7">
        <v>0.65200000000000002</v>
      </c>
      <c r="K493" s="1" t="s">
        <v>21</v>
      </c>
      <c r="L493" s="1" t="s">
        <v>21</v>
      </c>
      <c r="M493" s="1" t="s">
        <v>29</v>
      </c>
      <c r="N493" s="1" t="s">
        <v>22</v>
      </c>
      <c r="O493" s="1" t="str">
        <f t="shared" ca="1" si="3"/>
        <v>Please solve the LeetCode problem '1578. Minimum Time to Make Rope Colorful'.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94" spans="1:15" x14ac:dyDescent="0.25">
      <c r="A494" s="1">
        <v>1306</v>
      </c>
      <c r="B494" s="2" t="str">
        <f>HYPERLINK("https://leetcode.com/problems/jump-game-iii/", "Jump Game III")</f>
        <v>Jump Game III</v>
      </c>
      <c r="C494" s="1">
        <v>4322</v>
      </c>
      <c r="D494" s="1">
        <v>117</v>
      </c>
      <c r="E494" s="3">
        <f t="shared" si="2"/>
        <v>0.97364271232259514</v>
      </c>
      <c r="F494" s="1" t="s">
        <v>293</v>
      </c>
      <c r="G494" s="1" t="s">
        <v>24</v>
      </c>
      <c r="H494" s="1">
        <v>292005</v>
      </c>
      <c r="I494" s="1">
        <v>438344</v>
      </c>
      <c r="J494" s="7">
        <v>0.66600000000000004</v>
      </c>
      <c r="K494" s="1" t="s">
        <v>21</v>
      </c>
      <c r="L494" s="1" t="s">
        <v>21</v>
      </c>
      <c r="M494" s="1" t="s">
        <v>21</v>
      </c>
      <c r="N494" s="1" t="s">
        <v>22</v>
      </c>
      <c r="O494" s="1" t="str">
        <f t="shared" ca="1" si="3"/>
        <v>Please solve the LeetCode problem '1306. Jump Game III'.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95" spans="1:15" x14ac:dyDescent="0.25">
      <c r="A495" s="1">
        <v>1337</v>
      </c>
      <c r="B495" s="2" t="str">
        <f>HYPERLINK("https://leetcode.com/problems/the-k-weakest-rows-in-a-matrix/", "The K Weakest Rows in a Matrix")</f>
        <v>The K Weakest Rows in a Matrix</v>
      </c>
      <c r="C495" s="1">
        <v>4322</v>
      </c>
      <c r="D495" s="1">
        <v>242</v>
      </c>
      <c r="E495" s="3">
        <f t="shared" si="2"/>
        <v>0.94697633654688873</v>
      </c>
      <c r="F495" s="1" t="s">
        <v>130</v>
      </c>
      <c r="G495" s="1" t="s">
        <v>20</v>
      </c>
      <c r="H495" s="1">
        <v>415188</v>
      </c>
      <c r="I495" s="1">
        <v>559332</v>
      </c>
      <c r="J495" s="7">
        <v>0.74199999999999999</v>
      </c>
      <c r="K495" s="1" t="s">
        <v>21</v>
      </c>
      <c r="L495" s="1" t="s">
        <v>21</v>
      </c>
      <c r="M495" s="1" t="s">
        <v>29</v>
      </c>
      <c r="N495" s="1" t="s">
        <v>22</v>
      </c>
      <c r="O495" s="1" t="str">
        <f t="shared" ca="1" si="3"/>
        <v>Please solve the LeetCode problem '1337. The K Weakest Rows in a Matrix'.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96" spans="1:15" x14ac:dyDescent="0.25">
      <c r="A496" s="1">
        <v>993</v>
      </c>
      <c r="B496" s="2" t="str">
        <f>HYPERLINK("https://leetcode.com/problems/cousins-in-binary-tree/", "Cousins in Binary Tree")</f>
        <v>Cousins in Binary Tree</v>
      </c>
      <c r="C496" s="1">
        <v>4297</v>
      </c>
      <c r="D496" s="1">
        <v>232</v>
      </c>
      <c r="E496" s="3">
        <f t="shared" si="2"/>
        <v>0.94877456392139548</v>
      </c>
      <c r="F496" s="1" t="s">
        <v>80</v>
      </c>
      <c r="G496" s="1" t="s">
        <v>20</v>
      </c>
      <c r="H496" s="1">
        <v>342644</v>
      </c>
      <c r="I496" s="1">
        <v>581272</v>
      </c>
      <c r="J496" s="7">
        <v>0.58899999999999997</v>
      </c>
      <c r="K496" s="1" t="s">
        <v>21</v>
      </c>
      <c r="L496" s="1" t="s">
        <v>21</v>
      </c>
      <c r="M496" s="1" t="s">
        <v>29</v>
      </c>
      <c r="N496" s="1" t="s">
        <v>22</v>
      </c>
      <c r="O496" s="1" t="str">
        <f t="shared" ca="1" si="3"/>
        <v>Please solve the LeetCode problem '993. Cousins in Binary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97" spans="1:15" x14ac:dyDescent="0.25">
      <c r="A497" s="1">
        <v>498</v>
      </c>
      <c r="B497" s="2" t="str">
        <f>HYPERLINK("https://leetcode.com/problems/diagonal-traverse/", "Diagonal Traverse")</f>
        <v>Diagonal Traverse</v>
      </c>
      <c r="C497" s="1">
        <v>4283</v>
      </c>
      <c r="D497" s="1">
        <v>781</v>
      </c>
      <c r="E497" s="3">
        <f t="shared" si="2"/>
        <v>0.84577409162717221</v>
      </c>
      <c r="F497" s="1" t="s">
        <v>77</v>
      </c>
      <c r="G497" s="1" t="s">
        <v>24</v>
      </c>
      <c r="H497" s="1">
        <v>545122</v>
      </c>
      <c r="I497" s="1">
        <v>814668</v>
      </c>
      <c r="J497" s="7">
        <v>0.66900000000000004</v>
      </c>
      <c r="K497" s="1" t="s">
        <v>21</v>
      </c>
      <c r="L497" s="1" t="s">
        <v>21</v>
      </c>
      <c r="M497" s="1" t="s">
        <v>29</v>
      </c>
      <c r="N497" s="1" t="s">
        <v>22</v>
      </c>
      <c r="O497" s="1" t="str">
        <f t="shared" ca="1" si="3"/>
        <v>Please solve the LeetCode problem '498. Diagonal Traverse'.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98" spans="1:15" x14ac:dyDescent="0.25">
      <c r="A498" s="1">
        <v>441</v>
      </c>
      <c r="B498" s="2" t="str">
        <f>HYPERLINK("https://leetcode.com/problems/arranging-coins/", "Arranging Coins")</f>
        <v>Arranging Coins</v>
      </c>
      <c r="C498" s="1">
        <v>4281</v>
      </c>
      <c r="D498" s="1">
        <v>1373</v>
      </c>
      <c r="E498" s="3">
        <f t="shared" si="2"/>
        <v>0.75716307039264241</v>
      </c>
      <c r="F498" s="1" t="s">
        <v>139</v>
      </c>
      <c r="G498" s="1" t="s">
        <v>20</v>
      </c>
      <c r="H498" s="1">
        <v>592527</v>
      </c>
      <c r="I498" s="1">
        <v>1238420</v>
      </c>
      <c r="J498" s="7">
        <v>0.47799999999999998</v>
      </c>
      <c r="K498" s="1" t="s">
        <v>21</v>
      </c>
      <c r="L498" s="1" t="s">
        <v>21</v>
      </c>
      <c r="M498" s="1" t="s">
        <v>29</v>
      </c>
      <c r="N498" s="1" t="s">
        <v>22</v>
      </c>
      <c r="O498" s="1" t="str">
        <f t="shared" ca="1" si="3"/>
        <v>Please solve the LeetCode problem '441. Arranging Coins'.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499" spans="1:15" x14ac:dyDescent="0.25">
      <c r="A499" s="1">
        <v>670</v>
      </c>
      <c r="B499" s="2" t="str">
        <f>HYPERLINK("https://leetcode.com/problems/maximum-swap/", "Maximum Swap")</f>
        <v>Maximum Swap</v>
      </c>
      <c r="C499" s="1">
        <v>4273</v>
      </c>
      <c r="D499" s="1">
        <v>274</v>
      </c>
      <c r="E499" s="3">
        <f t="shared" si="2"/>
        <v>0.93974048823400047</v>
      </c>
      <c r="F499" s="1" t="s">
        <v>296</v>
      </c>
      <c r="G499" s="1" t="s">
        <v>24</v>
      </c>
      <c r="H499" s="1">
        <v>505734</v>
      </c>
      <c r="I499" s="1">
        <v>973977</v>
      </c>
      <c r="J499" s="7">
        <v>0.51900000000000002</v>
      </c>
      <c r="K499" s="1" t="s">
        <v>21</v>
      </c>
      <c r="L499" s="1" t="s">
        <v>21</v>
      </c>
      <c r="M499" s="1" t="s">
        <v>29</v>
      </c>
      <c r="N499" s="1" t="s">
        <v>22</v>
      </c>
      <c r="O499" s="1" t="str">
        <f t="shared" ca="1" si="3"/>
        <v>Please solve the LeetCode problem '670. Maximum Swap'.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00" spans="1:15" x14ac:dyDescent="0.25">
      <c r="A500" s="1">
        <v>1162</v>
      </c>
      <c r="B500" s="2" t="str">
        <f>HYPERLINK("https://leetcode.com/problems/as-far-from-land-as-possible/", "As Far from Land as Possible")</f>
        <v>As Far from Land as Possible</v>
      </c>
      <c r="C500" s="1">
        <v>4257</v>
      </c>
      <c r="D500" s="1">
        <v>113</v>
      </c>
      <c r="E500" s="3">
        <f t="shared" si="2"/>
        <v>0.974141876430206</v>
      </c>
      <c r="F500" s="1" t="s">
        <v>127</v>
      </c>
      <c r="G500" s="1" t="s">
        <v>24</v>
      </c>
      <c r="H500" s="1">
        <v>179578</v>
      </c>
      <c r="I500" s="1">
        <v>344637</v>
      </c>
      <c r="J500" s="7">
        <v>0.52100000000000002</v>
      </c>
      <c r="K500" s="1" t="s">
        <v>21</v>
      </c>
      <c r="L500" s="1" t="s">
        <v>21</v>
      </c>
      <c r="M500" s="1" t="s">
        <v>29</v>
      </c>
      <c r="N500" s="1" t="s">
        <v>22</v>
      </c>
      <c r="O500" s="1" t="str">
        <f t="shared" ca="1" si="3"/>
        <v>Please solve the LeetCode problem '1162. As Far from Land as Possible'.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01" spans="1:15" x14ac:dyDescent="0.25">
      <c r="A501" s="1">
        <v>1971</v>
      </c>
      <c r="B501" s="2" t="str">
        <f>HYPERLINK("https://leetcode.com/problems/find-if-path-exists-in-graph/", "Find if Path Exists in Graph")</f>
        <v>Find if Path Exists in Graph</v>
      </c>
      <c r="C501" s="1">
        <v>4251</v>
      </c>
      <c r="D501" s="1">
        <v>249</v>
      </c>
      <c r="E501" s="3">
        <f t="shared" si="2"/>
        <v>0.94466666666666665</v>
      </c>
      <c r="F501" s="1" t="s">
        <v>122</v>
      </c>
      <c r="G501" s="1" t="s">
        <v>20</v>
      </c>
      <c r="H501" s="1">
        <v>644929</v>
      </c>
      <c r="I501" s="1">
        <v>1181459</v>
      </c>
      <c r="J501" s="7">
        <v>0.54600000000000004</v>
      </c>
      <c r="K501" s="1" t="s">
        <v>21</v>
      </c>
      <c r="L501" s="1" t="s">
        <v>21</v>
      </c>
      <c r="M501" s="1" t="s">
        <v>29</v>
      </c>
      <c r="N501" s="1" t="s">
        <v>22</v>
      </c>
      <c r="O501" s="1" t="str">
        <f t="shared" ca="1" si="3"/>
        <v>Please solve the LeetCode problem '1971. Find if Path Exists in Graph'.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02" spans="1:15" x14ac:dyDescent="0.25">
      <c r="A502" s="1">
        <v>1376</v>
      </c>
      <c r="B502" s="2" t="str">
        <f>HYPERLINK("https://leetcode.com/problems/time-needed-to-inform-all-employees/", "Time Needed to Inform All Employees")</f>
        <v>Time Needed to Inform All Employees</v>
      </c>
      <c r="C502" s="1">
        <v>4242</v>
      </c>
      <c r="D502" s="1">
        <v>323</v>
      </c>
      <c r="E502" s="3">
        <f t="shared" si="2"/>
        <v>0.92924424972617747</v>
      </c>
      <c r="F502" s="1" t="s">
        <v>300</v>
      </c>
      <c r="G502" s="1" t="s">
        <v>24</v>
      </c>
      <c r="H502" s="1">
        <v>254262</v>
      </c>
      <c r="I502" s="1">
        <v>420946</v>
      </c>
      <c r="J502" s="7">
        <v>0.60399999999999998</v>
      </c>
      <c r="K502" s="1" t="s">
        <v>21</v>
      </c>
      <c r="L502" s="1" t="s">
        <v>21</v>
      </c>
      <c r="M502" s="1" t="s">
        <v>29</v>
      </c>
      <c r="N502" s="1" t="s">
        <v>22</v>
      </c>
      <c r="O502" s="1" t="str">
        <f t="shared" ca="1" si="3"/>
        <v>Please solve the LeetCode problem '1376. Time Needed to Inform All Employees'.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03" spans="1:15" x14ac:dyDescent="0.25">
      <c r="A503" s="1">
        <v>201</v>
      </c>
      <c r="B503" s="2" t="str">
        <f>HYPERLINK("https://leetcode.com/problems/bitwise-and-of-numbers-range/", "Bitwise AND of Numbers Range")</f>
        <v>Bitwise AND of Numbers Range</v>
      </c>
      <c r="C503" s="1">
        <v>4240</v>
      </c>
      <c r="D503" s="1">
        <v>318</v>
      </c>
      <c r="E503" s="3">
        <f t="shared" si="2"/>
        <v>0.93023255813953487</v>
      </c>
      <c r="F503" s="1" t="s">
        <v>298</v>
      </c>
      <c r="G503" s="1" t="s">
        <v>24</v>
      </c>
      <c r="H503" s="1">
        <v>495993</v>
      </c>
      <c r="I503" s="1">
        <v>1022098</v>
      </c>
      <c r="J503" s="7">
        <v>0.48499999999999999</v>
      </c>
      <c r="K503" s="1" t="s">
        <v>21</v>
      </c>
      <c r="L503" s="1" t="s">
        <v>21</v>
      </c>
      <c r="M503" s="1" t="s">
        <v>29</v>
      </c>
      <c r="N503" s="1" t="s">
        <v>22</v>
      </c>
      <c r="O503" s="1" t="str">
        <f t="shared" ca="1" si="3"/>
        <v>Please solve the LeetCode problem '201. Bitwise AND of Numbers Range'.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04" spans="1:15" x14ac:dyDescent="0.25">
      <c r="A504" s="1">
        <v>643</v>
      </c>
      <c r="B504" s="2" t="str">
        <f>HYPERLINK("https://leetcode.com/problems/maximum-average-subarray-i/", "Maximum Average Subarray I")</f>
        <v>Maximum Average Subarray I</v>
      </c>
      <c r="C504" s="1">
        <v>4234</v>
      </c>
      <c r="D504" s="1">
        <v>380</v>
      </c>
      <c r="E504" s="3">
        <f t="shared" si="2"/>
        <v>0.91764195925444303</v>
      </c>
      <c r="F504" s="1" t="s">
        <v>295</v>
      </c>
      <c r="G504" s="1" t="s">
        <v>20</v>
      </c>
      <c r="H504" s="1">
        <v>1064918</v>
      </c>
      <c r="I504" s="1">
        <v>2279528</v>
      </c>
      <c r="J504" s="7">
        <v>0.46700000000000003</v>
      </c>
      <c r="K504" s="1" t="s">
        <v>21</v>
      </c>
      <c r="L504" s="1" t="s">
        <v>21</v>
      </c>
      <c r="M504" s="1" t="s">
        <v>29</v>
      </c>
      <c r="N504" s="1" t="s">
        <v>22</v>
      </c>
      <c r="O504" s="1" t="str">
        <f t="shared" ca="1" si="3"/>
        <v>Please solve the LeetCode problem '643. Maximum Average Subarray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05" spans="1:15" x14ac:dyDescent="0.25">
      <c r="A505" s="1">
        <v>1342</v>
      </c>
      <c r="B505" s="2" t="str">
        <f>HYPERLINK("https://leetcode.com/problems/number-of-steps-to-reduce-a-number-to-zero/", "Number of Steps to Reduce a Number to Zero")</f>
        <v>Number of Steps to Reduce a Number to Zero</v>
      </c>
      <c r="C505" s="1">
        <v>4230</v>
      </c>
      <c r="D505" s="1">
        <v>179</v>
      </c>
      <c r="E505" s="3">
        <f t="shared" si="2"/>
        <v>0.95940122476752099</v>
      </c>
      <c r="F505" s="1" t="s">
        <v>227</v>
      </c>
      <c r="G505" s="1" t="s">
        <v>20</v>
      </c>
      <c r="H505" s="1">
        <v>884356</v>
      </c>
      <c r="I505" s="1">
        <v>1031595</v>
      </c>
      <c r="J505" s="7">
        <v>0.85699999999999998</v>
      </c>
      <c r="K505" s="1" t="s">
        <v>21</v>
      </c>
      <c r="L505" s="1" t="s">
        <v>21</v>
      </c>
      <c r="M505" s="1" t="s">
        <v>21</v>
      </c>
      <c r="N505" s="1" t="s">
        <v>22</v>
      </c>
      <c r="O505" s="1" t="str">
        <f t="shared" ca="1" si="3"/>
        <v>Please solve the LeetCode problem '1342. Number of Steps to Reduce a Number to Zero'.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06" spans="1:15" x14ac:dyDescent="0.25">
      <c r="A506" s="1">
        <v>52</v>
      </c>
      <c r="B506" s="2" t="str">
        <f>HYPERLINK("https://leetcode.com/problems/n-queens-ii/", "N-Queens II")</f>
        <v>N-Queens II</v>
      </c>
      <c r="C506" s="1">
        <v>4228</v>
      </c>
      <c r="D506" s="1">
        <v>282</v>
      </c>
      <c r="E506" s="3">
        <f t="shared" si="2"/>
        <v>0.93747228381374725</v>
      </c>
      <c r="F506" s="1" t="s">
        <v>159</v>
      </c>
      <c r="G506" s="1" t="s">
        <v>28</v>
      </c>
      <c r="H506" s="1">
        <v>564467</v>
      </c>
      <c r="I506" s="1">
        <v>724131</v>
      </c>
      <c r="J506" s="7">
        <v>0.78</v>
      </c>
      <c r="K506" s="1" t="s">
        <v>21</v>
      </c>
      <c r="L506" s="1" t="s">
        <v>21</v>
      </c>
      <c r="M506" s="1" t="s">
        <v>29</v>
      </c>
      <c r="N506" s="1" t="s">
        <v>22</v>
      </c>
      <c r="O506" s="1" t="str">
        <f t="shared" ca="1" si="3"/>
        <v>Please solve the LeetCode problem '52. N-Queens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07" spans="1:15" x14ac:dyDescent="0.25">
      <c r="A507" s="1">
        <v>853</v>
      </c>
      <c r="B507" s="2" t="str">
        <f>HYPERLINK("https://leetcode.com/problems/car-fleet/", "Car Fleet")</f>
        <v>Car Fleet</v>
      </c>
      <c r="C507" s="1">
        <v>4211</v>
      </c>
      <c r="D507" s="1">
        <v>1200</v>
      </c>
      <c r="E507" s="3">
        <f t="shared" si="2"/>
        <v>0.77822953243393089</v>
      </c>
      <c r="F507" s="1" t="s">
        <v>299</v>
      </c>
      <c r="G507" s="1" t="s">
        <v>24</v>
      </c>
      <c r="H507" s="1">
        <v>453592</v>
      </c>
      <c r="I507" s="1">
        <v>831909</v>
      </c>
      <c r="J507" s="7">
        <v>0.54500000000000004</v>
      </c>
      <c r="K507" s="1" t="s">
        <v>21</v>
      </c>
      <c r="L507" s="1" t="s">
        <v>21</v>
      </c>
      <c r="M507" s="1" t="s">
        <v>29</v>
      </c>
      <c r="N507" s="1" t="s">
        <v>22</v>
      </c>
      <c r="O507" s="1" t="str">
        <f t="shared" ca="1" si="3"/>
        <v>Please solve the LeetCode problem '853. Car Fleet'.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08" spans="1:15" x14ac:dyDescent="0.25">
      <c r="A508" s="1">
        <v>374</v>
      </c>
      <c r="B508" s="2" t="str">
        <f>HYPERLINK("https://leetcode.com/problems/guess-number-higher-or-lower/", "Guess Number Higher or Lower")</f>
        <v>Guess Number Higher or Lower</v>
      </c>
      <c r="C508" s="1">
        <v>4194</v>
      </c>
      <c r="D508" s="1">
        <v>676</v>
      </c>
      <c r="E508" s="3">
        <f t="shared" si="2"/>
        <v>0.86119096509240245</v>
      </c>
      <c r="F508" s="1" t="s">
        <v>157</v>
      </c>
      <c r="G508" s="1" t="s">
        <v>20</v>
      </c>
      <c r="H508" s="1">
        <v>962758</v>
      </c>
      <c r="I508" s="1">
        <v>1692890</v>
      </c>
      <c r="J508" s="7">
        <v>0.56899999999999995</v>
      </c>
      <c r="K508" s="1" t="s">
        <v>21</v>
      </c>
      <c r="L508" s="1" t="s">
        <v>21</v>
      </c>
      <c r="M508" s="1" t="s">
        <v>21</v>
      </c>
      <c r="N508" s="1" t="s">
        <v>22</v>
      </c>
      <c r="O508" s="1" t="str">
        <f t="shared" ca="1" si="3"/>
        <v>Please solve the LeetCode problem '374. Guess Number Higher or Lower'.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09" spans="1:15" x14ac:dyDescent="0.25">
      <c r="A509" s="1">
        <v>175</v>
      </c>
      <c r="B509" s="2" t="str">
        <f>HYPERLINK("https://leetcode.com/problems/combine-two-tables/", "Combine Two Tables")</f>
        <v>Combine Two Tables</v>
      </c>
      <c r="C509" s="1">
        <v>4186</v>
      </c>
      <c r="D509" s="1">
        <v>252</v>
      </c>
      <c r="E509" s="3">
        <f t="shared" si="2"/>
        <v>0.94321766561514198</v>
      </c>
      <c r="F509" s="1" t="s">
        <v>297</v>
      </c>
      <c r="G509" s="1" t="s">
        <v>20</v>
      </c>
      <c r="H509" s="1">
        <v>1636940</v>
      </c>
      <c r="I509" s="1">
        <v>2071337</v>
      </c>
      <c r="J509" s="7">
        <v>0.79</v>
      </c>
      <c r="K509" s="1" t="s">
        <v>21</v>
      </c>
      <c r="L509" s="1" t="s">
        <v>21</v>
      </c>
      <c r="M509" s="1" t="s">
        <v>29</v>
      </c>
      <c r="N509" s="1" t="s">
        <v>297</v>
      </c>
      <c r="O509" s="1" t="str">
        <f t="shared" ca="1" si="3"/>
        <v>Please solve the LeetCode problem '175. Combine Two Tables'.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10" spans="1:15" x14ac:dyDescent="0.25">
      <c r="A510" s="1">
        <v>696</v>
      </c>
      <c r="B510" s="2" t="str">
        <f>HYPERLINK("https://leetcode.com/problems/count-binary-substrings/", "Count Binary Substrings")</f>
        <v>Count Binary Substrings</v>
      </c>
      <c r="C510" s="1">
        <v>4173</v>
      </c>
      <c r="D510" s="1">
        <v>915</v>
      </c>
      <c r="E510" s="3">
        <f t="shared" si="2"/>
        <v>0.82016509433962259</v>
      </c>
      <c r="F510" s="1" t="s">
        <v>117</v>
      </c>
      <c r="G510" s="1" t="s">
        <v>20</v>
      </c>
      <c r="H510" s="1">
        <v>252188</v>
      </c>
      <c r="I510" s="1">
        <v>379879</v>
      </c>
      <c r="J510" s="7">
        <v>0.66400000000000003</v>
      </c>
      <c r="K510" s="1" t="s">
        <v>21</v>
      </c>
      <c r="L510" s="1" t="s">
        <v>21</v>
      </c>
      <c r="M510" s="1" t="s">
        <v>29</v>
      </c>
      <c r="N510" s="1" t="s">
        <v>22</v>
      </c>
      <c r="O510" s="1" t="str">
        <f t="shared" ca="1" si="3"/>
        <v>Please solve the LeetCode problem '696. Count Binary Substrings'.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11" spans="1:15" x14ac:dyDescent="0.25">
      <c r="A511" s="1">
        <v>176</v>
      </c>
      <c r="B511" s="2" t="str">
        <f>HYPERLINK("https://leetcode.com/problems/second-highest-salary/", "Second Highest Salary")</f>
        <v>Second Highest Salary</v>
      </c>
      <c r="C511" s="1">
        <v>4138</v>
      </c>
      <c r="D511" s="1">
        <v>1010</v>
      </c>
      <c r="E511" s="3">
        <f t="shared" si="2"/>
        <v>0.80380730380730381</v>
      </c>
      <c r="F511" s="1" t="s">
        <v>297</v>
      </c>
      <c r="G511" s="1" t="s">
        <v>24</v>
      </c>
      <c r="H511" s="1">
        <v>1417662</v>
      </c>
      <c r="I511" s="1">
        <v>3083079</v>
      </c>
      <c r="J511" s="7">
        <v>0.46</v>
      </c>
      <c r="K511" s="1" t="s">
        <v>21</v>
      </c>
      <c r="L511" s="1" t="s">
        <v>21</v>
      </c>
      <c r="M511" s="1" t="s">
        <v>29</v>
      </c>
      <c r="N511" s="1" t="s">
        <v>297</v>
      </c>
      <c r="O511" s="1" t="str">
        <f t="shared" ca="1" si="3"/>
        <v>Please solve the LeetCode problem '176. Second Highest Salary'.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12" spans="1:15" x14ac:dyDescent="0.25">
      <c r="A512" s="1">
        <v>867</v>
      </c>
      <c r="B512" s="2" t="str">
        <f>HYPERLINK("https://leetcode.com/problems/transpose-matrix/", "Transpose Matrix")</f>
        <v>Transpose Matrix</v>
      </c>
      <c r="C512" s="1">
        <v>4133</v>
      </c>
      <c r="D512" s="1">
        <v>456</v>
      </c>
      <c r="E512" s="3">
        <f t="shared" si="2"/>
        <v>0.900631945957725</v>
      </c>
      <c r="F512" s="1" t="s">
        <v>77</v>
      </c>
      <c r="G512" s="1" t="s">
        <v>20</v>
      </c>
      <c r="H512" s="1">
        <v>560651</v>
      </c>
      <c r="I512" s="1">
        <v>742196</v>
      </c>
      <c r="J512" s="7">
        <v>0.755</v>
      </c>
      <c r="K512" s="1" t="s">
        <v>21</v>
      </c>
      <c r="L512" s="1" t="s">
        <v>21</v>
      </c>
      <c r="M512" s="1" t="s">
        <v>29</v>
      </c>
      <c r="N512" s="1" t="s">
        <v>22</v>
      </c>
      <c r="O512" s="1" t="str">
        <f t="shared" ca="1" si="3"/>
        <v>Please solve the LeetCode problem '867. Transpose Matrix'.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13" spans="1:15" x14ac:dyDescent="0.25">
      <c r="A513" s="1">
        <v>532</v>
      </c>
      <c r="B513" s="2" t="str">
        <f>HYPERLINK("https://leetcode.com/problems/k-diff-pairs-in-an-array/", "K-diff Pairs in an Array")</f>
        <v>K-diff Pairs in an Array</v>
      </c>
      <c r="C513" s="1">
        <v>4129</v>
      </c>
      <c r="D513" s="1">
        <v>2287</v>
      </c>
      <c r="E513" s="3">
        <f t="shared" si="2"/>
        <v>0.64354738154613467</v>
      </c>
      <c r="F513" s="1" t="s">
        <v>167</v>
      </c>
      <c r="G513" s="1" t="s">
        <v>24</v>
      </c>
      <c r="H513" s="1">
        <v>416472</v>
      </c>
      <c r="I513" s="1">
        <v>915746</v>
      </c>
      <c r="J513" s="7">
        <v>0.45500000000000002</v>
      </c>
      <c r="K513" s="1" t="s">
        <v>21</v>
      </c>
      <c r="L513" s="1" t="s">
        <v>21</v>
      </c>
      <c r="M513" s="1" t="s">
        <v>29</v>
      </c>
      <c r="N513" s="1" t="s">
        <v>22</v>
      </c>
      <c r="O513" s="1" t="str">
        <f t="shared" ca="1" si="3"/>
        <v>Please solve the LeetCode problem '532. K-diff Pairs in an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14" spans="1:15" x14ac:dyDescent="0.25">
      <c r="A514" s="1">
        <v>502</v>
      </c>
      <c r="B514" s="2" t="str">
        <f>HYPERLINK("https://leetcode.com/problems/ipo/", "IPO")</f>
        <v>IPO</v>
      </c>
      <c r="C514" s="1">
        <v>4128</v>
      </c>
      <c r="D514" s="1">
        <v>280</v>
      </c>
      <c r="E514" s="3">
        <f t="shared" ref="E514:E768" si="4">IF(INDEX(C:C, ROW())+INDEX(D:D, ROW())=0, 0, INDEX(C:C, ROW())/(INDEX(C:C, ROW())+INDEX(D:D, ROW())))</f>
        <v>0.93647912885662432</v>
      </c>
      <c r="F514" s="1" t="s">
        <v>302</v>
      </c>
      <c r="G514" s="1" t="s">
        <v>28</v>
      </c>
      <c r="H514" s="1">
        <v>301105</v>
      </c>
      <c r="I514" s="1">
        <v>565234</v>
      </c>
      <c r="J514" s="7">
        <v>0.53300000000000003</v>
      </c>
      <c r="K514" s="1" t="s">
        <v>21</v>
      </c>
      <c r="L514" s="1" t="s">
        <v>21</v>
      </c>
      <c r="M514" s="1" t="s">
        <v>29</v>
      </c>
      <c r="N514" s="1" t="s">
        <v>22</v>
      </c>
      <c r="O514" s="1" t="str">
        <f t="shared" ref="O514:O768" ca="1" si="5"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>Please solve the LeetCode problem '502. IPO'.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15" spans="1:15" x14ac:dyDescent="0.25">
      <c r="A515" s="1">
        <v>790</v>
      </c>
      <c r="B515" s="2" t="str">
        <f>HYPERLINK("https://leetcode.com/problems/domino-and-tromino-tiling/", "Domino and Tromino Tiling")</f>
        <v>Domino and Tromino Tiling</v>
      </c>
      <c r="C515" s="1">
        <v>4122</v>
      </c>
      <c r="D515" s="1">
        <v>1314</v>
      </c>
      <c r="E515" s="3">
        <f t="shared" si="4"/>
        <v>0.75827814569536423</v>
      </c>
      <c r="F515" s="1" t="s">
        <v>251</v>
      </c>
      <c r="G515" s="1" t="s">
        <v>24</v>
      </c>
      <c r="H515" s="1">
        <v>274371</v>
      </c>
      <c r="I515" s="1">
        <v>532646</v>
      </c>
      <c r="J515" s="7">
        <v>0.51500000000000001</v>
      </c>
      <c r="K515" s="1" t="s">
        <v>21</v>
      </c>
      <c r="L515" s="1" t="s">
        <v>21</v>
      </c>
      <c r="M515" s="1" t="s">
        <v>21</v>
      </c>
      <c r="N515" s="1" t="s">
        <v>22</v>
      </c>
      <c r="O515" s="1" t="str">
        <f t="shared" ca="1" si="5"/>
        <v>Please solve the LeetCode problem '790. Domino and Tromino Tiling'.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16" spans="1:15" x14ac:dyDescent="0.25">
      <c r="A516" s="1">
        <v>515</v>
      </c>
      <c r="B516" s="2" t="str">
        <f>HYPERLINK("https://leetcode.com/problems/find-largest-value-in-each-tree-row/", "Find Largest Value in Each Tree Row")</f>
        <v>Find Largest Value in Each Tree Row</v>
      </c>
      <c r="C516" s="1">
        <v>4114</v>
      </c>
      <c r="D516" s="1">
        <v>130</v>
      </c>
      <c r="E516" s="3">
        <f t="shared" si="4"/>
        <v>0.96936852026390197</v>
      </c>
      <c r="F516" s="1" t="s">
        <v>80</v>
      </c>
      <c r="G516" s="1" t="s">
        <v>24</v>
      </c>
      <c r="H516" s="1">
        <v>509164</v>
      </c>
      <c r="I516" s="1">
        <v>768266</v>
      </c>
      <c r="J516" s="7">
        <v>0.66300000000000003</v>
      </c>
      <c r="K516" s="1" t="s">
        <v>21</v>
      </c>
      <c r="L516" s="1" t="s">
        <v>21</v>
      </c>
      <c r="M516" s="1" t="s">
        <v>29</v>
      </c>
      <c r="N516" s="1" t="s">
        <v>22</v>
      </c>
      <c r="O516" s="1" t="str">
        <f t="shared" ca="1" si="5"/>
        <v>Please solve the LeetCode problem '515. Find Largest Value in Each Tree Row'.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17" spans="1:15" x14ac:dyDescent="0.25">
      <c r="A517" s="1">
        <v>779</v>
      </c>
      <c r="B517" s="2" t="str">
        <f>HYPERLINK("https://leetcode.com/problems/k-th-symbol-in-grammar/", "K-th Symbol in Grammar")</f>
        <v>K-th Symbol in Grammar</v>
      </c>
      <c r="C517" s="1">
        <v>4108</v>
      </c>
      <c r="D517" s="1">
        <v>425</v>
      </c>
      <c r="E517" s="3">
        <f t="shared" si="4"/>
        <v>0.90624310611074343</v>
      </c>
      <c r="F517" s="1" t="s">
        <v>172</v>
      </c>
      <c r="G517" s="1" t="s">
        <v>24</v>
      </c>
      <c r="H517" s="1">
        <v>250737</v>
      </c>
      <c r="I517" s="1">
        <v>522801</v>
      </c>
      <c r="J517" s="7">
        <v>0.48</v>
      </c>
      <c r="K517" s="1" t="s">
        <v>21</v>
      </c>
      <c r="L517" s="1" t="s">
        <v>21</v>
      </c>
      <c r="M517" s="1" t="s">
        <v>29</v>
      </c>
      <c r="N517" s="1" t="s">
        <v>22</v>
      </c>
      <c r="O517" s="1" t="str">
        <f t="shared" ca="1" si="5"/>
        <v>Please solve the LeetCode problem '779. K-th Symbol in Grammar'.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18" spans="1:15" x14ac:dyDescent="0.25">
      <c r="A518" s="1">
        <v>1472</v>
      </c>
      <c r="B518" s="2" t="str">
        <f>HYPERLINK("https://leetcode.com/problems/design-browser-history/", "Design Browser History")</f>
        <v>Design Browser History</v>
      </c>
      <c r="C518" s="1">
        <v>4106</v>
      </c>
      <c r="D518" s="1">
        <v>267</v>
      </c>
      <c r="E518" s="3">
        <f t="shared" si="4"/>
        <v>0.93894351703635948</v>
      </c>
      <c r="F518" s="1" t="s">
        <v>304</v>
      </c>
      <c r="G518" s="1" t="s">
        <v>24</v>
      </c>
      <c r="H518" s="1">
        <v>325595</v>
      </c>
      <c r="I518" s="1">
        <v>416674</v>
      </c>
      <c r="J518" s="7">
        <v>0.78100000000000003</v>
      </c>
      <c r="K518" s="1" t="s">
        <v>21</v>
      </c>
      <c r="L518" s="1" t="s">
        <v>21</v>
      </c>
      <c r="M518" s="1" t="s">
        <v>29</v>
      </c>
      <c r="N518" s="1" t="s">
        <v>22</v>
      </c>
      <c r="O518" s="1" t="str">
        <f t="shared" ca="1" si="5"/>
        <v>Please solve the LeetCode problem '1472. Design Browser History'.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19" spans="1:15" x14ac:dyDescent="0.25">
      <c r="A519" s="1">
        <v>1161</v>
      </c>
      <c r="B519" s="2" t="str">
        <f>HYPERLINK("https://leetcode.com/problems/maximum-level-sum-of-a-binary-tree/", "Maximum Level Sum of a Binary Tree")</f>
        <v>Maximum Level Sum of a Binary Tree</v>
      </c>
      <c r="C519" s="1">
        <v>4095</v>
      </c>
      <c r="D519" s="1">
        <v>116</v>
      </c>
      <c r="E519" s="3">
        <f t="shared" si="4"/>
        <v>0.97245309902635957</v>
      </c>
      <c r="F519" s="1" t="s">
        <v>80</v>
      </c>
      <c r="G519" s="1" t="s">
        <v>24</v>
      </c>
      <c r="H519" s="1">
        <v>550722</v>
      </c>
      <c r="I519" s="1">
        <v>787194</v>
      </c>
      <c r="J519" s="7">
        <v>0.7</v>
      </c>
      <c r="K519" s="1" t="s">
        <v>21</v>
      </c>
      <c r="L519" s="1" t="s">
        <v>21</v>
      </c>
      <c r="M519" s="1" t="s">
        <v>29</v>
      </c>
      <c r="N519" s="1" t="s">
        <v>22</v>
      </c>
      <c r="O519" s="1" t="str">
        <f t="shared" ca="1" si="5"/>
        <v>Please solve the LeetCode problem '1161. Maximum Level Sum of a Binary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20" spans="1:15" x14ac:dyDescent="0.25">
      <c r="A520" s="1">
        <v>501</v>
      </c>
      <c r="B520" s="2" t="str">
        <f>HYPERLINK("https://leetcode.com/problems/find-mode-in-binary-search-tree/", "Find Mode in Binary Search Tree")</f>
        <v>Find Mode in Binary Search Tree</v>
      </c>
      <c r="C520" s="1">
        <v>4091</v>
      </c>
      <c r="D520" s="1">
        <v>812</v>
      </c>
      <c r="E520" s="3">
        <f t="shared" si="4"/>
        <v>0.83438710993269427</v>
      </c>
      <c r="F520" s="1" t="s">
        <v>69</v>
      </c>
      <c r="G520" s="1" t="s">
        <v>20</v>
      </c>
      <c r="H520" s="1">
        <v>379779</v>
      </c>
      <c r="I520" s="1">
        <v>651118</v>
      </c>
      <c r="J520" s="7">
        <v>0.58299999999999996</v>
      </c>
      <c r="K520" s="1" t="s">
        <v>21</v>
      </c>
      <c r="L520" s="1" t="s">
        <v>21</v>
      </c>
      <c r="M520" s="1" t="s">
        <v>29</v>
      </c>
      <c r="N520" s="1" t="s">
        <v>22</v>
      </c>
      <c r="O520" s="1" t="str">
        <f t="shared" ca="1" si="5"/>
        <v>Please solve the LeetCode problem '501. Find Mode in Binary Search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21" spans="1:15" x14ac:dyDescent="0.25">
      <c r="A521" s="1">
        <v>197</v>
      </c>
      <c r="B521" s="2" t="str">
        <f>HYPERLINK("https://leetcode.com/problems/rising-temperature/", "Rising Temperature")</f>
        <v>Rising Temperature</v>
      </c>
      <c r="C521" s="1">
        <v>4089</v>
      </c>
      <c r="D521" s="1">
        <v>731</v>
      </c>
      <c r="E521" s="3">
        <f t="shared" si="4"/>
        <v>0.84834024896265559</v>
      </c>
      <c r="F521" s="1" t="s">
        <v>297</v>
      </c>
      <c r="G521" s="1" t="s">
        <v>20</v>
      </c>
      <c r="H521" s="1">
        <v>1383183</v>
      </c>
      <c r="I521" s="1">
        <v>2716374</v>
      </c>
      <c r="J521" s="7">
        <v>0.50900000000000001</v>
      </c>
      <c r="K521" s="1" t="s">
        <v>21</v>
      </c>
      <c r="L521" s="1" t="s">
        <v>21</v>
      </c>
      <c r="M521" s="1" t="s">
        <v>29</v>
      </c>
      <c r="N521" s="1" t="s">
        <v>297</v>
      </c>
      <c r="O521" s="1" t="str">
        <f t="shared" ca="1" si="5"/>
        <v>Please solve the LeetCode problem '197. Rising Temperature'.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22" spans="1:15" x14ac:dyDescent="0.25">
      <c r="A522" s="1">
        <v>1657</v>
      </c>
      <c r="B522" s="2" t="str">
        <f>HYPERLINK("https://leetcode.com/problems/determine-if-two-strings-are-close/", "Determine if Two Strings Are Close")</f>
        <v>Determine if Two Strings Are Close</v>
      </c>
      <c r="C522" s="1">
        <v>4082</v>
      </c>
      <c r="D522" s="1">
        <v>352</v>
      </c>
      <c r="E522" s="3">
        <f t="shared" si="4"/>
        <v>0.92061344158773117</v>
      </c>
      <c r="F522" s="1" t="s">
        <v>305</v>
      </c>
      <c r="G522" s="1" t="s">
        <v>24</v>
      </c>
      <c r="H522" s="1">
        <v>544416</v>
      </c>
      <c r="I522" s="1">
        <v>1004253</v>
      </c>
      <c r="J522" s="7">
        <v>0.54200000000000004</v>
      </c>
      <c r="K522" s="1" t="s">
        <v>21</v>
      </c>
      <c r="L522" s="1" t="s">
        <v>21</v>
      </c>
      <c r="M522" s="1" t="s">
        <v>29</v>
      </c>
      <c r="N522" s="1" t="s">
        <v>22</v>
      </c>
      <c r="O522" s="1" t="str">
        <f t="shared" ca="1" si="5"/>
        <v>Please solve the LeetCode problem '1657. Determine if Two Strings Are Close'.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23" spans="1:15" x14ac:dyDescent="0.25">
      <c r="A523" s="1">
        <v>1823</v>
      </c>
      <c r="B523" s="2" t="str">
        <f>HYPERLINK("https://leetcode.com/problems/find-the-winner-of-the-circular-game/", "Find the Winner of the Circular Game")</f>
        <v>Find the Winner of the Circular Game</v>
      </c>
      <c r="C523" s="1">
        <v>4065</v>
      </c>
      <c r="D523" s="1">
        <v>126</v>
      </c>
      <c r="E523" s="3">
        <f t="shared" si="4"/>
        <v>0.96993557623478888</v>
      </c>
      <c r="F523" s="1" t="s">
        <v>307</v>
      </c>
      <c r="G523" s="1" t="s">
        <v>24</v>
      </c>
      <c r="H523" s="1">
        <v>362888</v>
      </c>
      <c r="I523" s="1">
        <v>441533</v>
      </c>
      <c r="J523" s="7">
        <v>0.82199999999999995</v>
      </c>
      <c r="K523" s="1" t="s">
        <v>21</v>
      </c>
      <c r="L523" s="1" t="s">
        <v>21</v>
      </c>
      <c r="M523" s="1" t="s">
        <v>29</v>
      </c>
      <c r="N523" s="1" t="s">
        <v>22</v>
      </c>
      <c r="O523" s="1" t="str">
        <f t="shared" ca="1" si="5"/>
        <v>Please solve the LeetCode problem '1823. Find the Winner of the Circular Game'.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24" spans="1:15" x14ac:dyDescent="0.25">
      <c r="A524" s="1">
        <v>2149</v>
      </c>
      <c r="B524" s="2" t="str">
        <f>HYPERLINK("https://leetcode.com/problems/rearrange-array-elements-by-sign/", "Rearrange Array Elements by Sign")</f>
        <v>Rearrange Array Elements by Sign</v>
      </c>
      <c r="C524" s="1">
        <v>4055</v>
      </c>
      <c r="D524" s="1">
        <v>227</v>
      </c>
      <c r="E524" s="3">
        <f t="shared" si="4"/>
        <v>0.94698738907052782</v>
      </c>
      <c r="F524" s="1" t="s">
        <v>303</v>
      </c>
      <c r="G524" s="1" t="s">
        <v>24</v>
      </c>
      <c r="H524" s="1">
        <v>773028</v>
      </c>
      <c r="I524" s="1">
        <v>914933</v>
      </c>
      <c r="J524" s="7">
        <v>0.84499999999999997</v>
      </c>
      <c r="K524" s="1" t="s">
        <v>21</v>
      </c>
      <c r="L524" s="1" t="s">
        <v>21</v>
      </c>
      <c r="M524" s="1" t="s">
        <v>29</v>
      </c>
      <c r="N524" s="1" t="s">
        <v>22</v>
      </c>
      <c r="O524" s="1" t="str">
        <f t="shared" ca="1" si="5"/>
        <v>Please solve the LeetCode problem '2149. Rearrange Array Elements by Sign'.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25" spans="1:15" x14ac:dyDescent="0.25">
      <c r="A525" s="1">
        <v>472</v>
      </c>
      <c r="B525" s="2" t="str">
        <f>HYPERLINK("https://leetcode.com/problems/concatenated-words/", "Concatenated Words")</f>
        <v>Concatenated Words</v>
      </c>
      <c r="C525" s="1">
        <v>4054</v>
      </c>
      <c r="D525" s="1">
        <v>292</v>
      </c>
      <c r="E525" s="3">
        <f t="shared" si="4"/>
        <v>0.9328117809479981</v>
      </c>
      <c r="F525" s="1" t="s">
        <v>308</v>
      </c>
      <c r="G525" s="1" t="s">
        <v>28</v>
      </c>
      <c r="H525" s="1">
        <v>262862</v>
      </c>
      <c r="I525" s="1">
        <v>529195</v>
      </c>
      <c r="J525" s="7">
        <v>0.497</v>
      </c>
      <c r="K525" s="1" t="s">
        <v>21</v>
      </c>
      <c r="L525" s="1" t="s">
        <v>21</v>
      </c>
      <c r="M525" s="1" t="s">
        <v>29</v>
      </c>
      <c r="N525" s="1" t="s">
        <v>22</v>
      </c>
      <c r="O525" s="1" t="str">
        <f t="shared" ca="1" si="5"/>
        <v>Please solve the LeetCode problem '472. Concatenated Words'.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26" spans="1:15" x14ac:dyDescent="0.25">
      <c r="A526" s="1">
        <v>890</v>
      </c>
      <c r="B526" s="2" t="str">
        <f>HYPERLINK("https://leetcode.com/problems/find-and-replace-pattern/", "Find and Replace Pattern")</f>
        <v>Find and Replace Pattern</v>
      </c>
      <c r="C526" s="1">
        <v>4020</v>
      </c>
      <c r="D526" s="1">
        <v>174</v>
      </c>
      <c r="E526" s="3">
        <f t="shared" si="4"/>
        <v>0.9585121602288984</v>
      </c>
      <c r="F526" s="1" t="s">
        <v>258</v>
      </c>
      <c r="G526" s="1" t="s">
        <v>24</v>
      </c>
      <c r="H526" s="1">
        <v>210922</v>
      </c>
      <c r="I526" s="1">
        <v>274174</v>
      </c>
      <c r="J526" s="7">
        <v>0.76900000000000002</v>
      </c>
      <c r="K526" s="1" t="s">
        <v>21</v>
      </c>
      <c r="L526" s="1" t="s">
        <v>21</v>
      </c>
      <c r="M526" s="1" t="s">
        <v>29</v>
      </c>
      <c r="N526" s="1" t="s">
        <v>22</v>
      </c>
      <c r="O526" s="1" t="str">
        <f t="shared" ca="1" si="5"/>
        <v>Please solve the LeetCode problem '890. Find and Replace Pattern'.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27" spans="1:15" x14ac:dyDescent="0.25">
      <c r="A527" s="1">
        <v>461</v>
      </c>
      <c r="B527" s="2" t="str">
        <f>HYPERLINK("https://leetcode.com/problems/hamming-distance/", "Hamming Distance")</f>
        <v>Hamming Distance</v>
      </c>
      <c r="C527" s="1">
        <v>4014</v>
      </c>
      <c r="D527" s="1">
        <v>229</v>
      </c>
      <c r="E527" s="3">
        <f t="shared" si="4"/>
        <v>0.94602875324063163</v>
      </c>
      <c r="F527" s="1" t="s">
        <v>298</v>
      </c>
      <c r="G527" s="1" t="s">
        <v>20</v>
      </c>
      <c r="H527" s="1">
        <v>672089</v>
      </c>
      <c r="I527" s="1">
        <v>878422</v>
      </c>
      <c r="J527" s="7">
        <v>0.76500000000000001</v>
      </c>
      <c r="K527" s="1" t="s">
        <v>21</v>
      </c>
      <c r="L527" s="1" t="s">
        <v>21</v>
      </c>
      <c r="M527" s="1" t="s">
        <v>29</v>
      </c>
      <c r="N527" s="1" t="s">
        <v>22</v>
      </c>
      <c r="O527" s="1" t="str">
        <f t="shared" ca="1" si="5"/>
        <v>Please solve the LeetCode problem '461. Hamming Distance'.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28" spans="1:15" x14ac:dyDescent="0.25">
      <c r="A528" s="1">
        <v>1710</v>
      </c>
      <c r="B528" s="2" t="str">
        <f>HYPERLINK("https://leetcode.com/problems/maximum-units-on-a-truck/", "Maximum Units on a Truck")</f>
        <v>Maximum Units on a Truck</v>
      </c>
      <c r="C528" s="1">
        <v>4006</v>
      </c>
      <c r="D528" s="1">
        <v>238</v>
      </c>
      <c r="E528" s="3">
        <f t="shared" si="4"/>
        <v>0.94392082940622057</v>
      </c>
      <c r="F528" s="1" t="s">
        <v>169</v>
      </c>
      <c r="G528" s="1" t="s">
        <v>20</v>
      </c>
      <c r="H528" s="1">
        <v>377742</v>
      </c>
      <c r="I528" s="1">
        <v>506339</v>
      </c>
      <c r="J528" s="7">
        <v>0.746</v>
      </c>
      <c r="K528" s="1" t="s">
        <v>21</v>
      </c>
      <c r="L528" s="1" t="s">
        <v>21</v>
      </c>
      <c r="M528" s="1" t="s">
        <v>29</v>
      </c>
      <c r="N528" s="1" t="s">
        <v>22</v>
      </c>
      <c r="O528" s="1" t="str">
        <f t="shared" ca="1" si="5"/>
        <v>Please solve the LeetCode problem '1710. Maximum Units on a Truck'.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29" spans="1:15" x14ac:dyDescent="0.25">
      <c r="A529" s="1">
        <v>688</v>
      </c>
      <c r="B529" s="2" t="str">
        <f>HYPERLINK("https://leetcode.com/problems/knight-probability-in-chessboard/", "Knight Probability in Chessboard")</f>
        <v>Knight Probability in Chessboard</v>
      </c>
      <c r="C529" s="1">
        <v>4005</v>
      </c>
      <c r="D529" s="1">
        <v>493</v>
      </c>
      <c r="E529" s="3">
        <f t="shared" si="4"/>
        <v>0.89039573143619388</v>
      </c>
      <c r="F529" s="1" t="s">
        <v>251</v>
      </c>
      <c r="G529" s="1" t="s">
        <v>24</v>
      </c>
      <c r="H529" s="1">
        <v>181257</v>
      </c>
      <c r="I529" s="1">
        <v>318848</v>
      </c>
      <c r="J529" s="7">
        <v>0.56799999999999995</v>
      </c>
      <c r="K529" s="1" t="s">
        <v>21</v>
      </c>
      <c r="L529" s="1" t="s">
        <v>21</v>
      </c>
      <c r="M529" s="1" t="s">
        <v>29</v>
      </c>
      <c r="N529" s="1" t="s">
        <v>22</v>
      </c>
      <c r="O529" s="1" t="str">
        <f t="shared" ca="1" si="5"/>
        <v>Please solve the LeetCode problem '688. Knight Probability in Chessboard'.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30" spans="1:15" x14ac:dyDescent="0.25">
      <c r="A530" s="1">
        <v>705</v>
      </c>
      <c r="B530" s="2" t="str">
        <f>HYPERLINK("https://leetcode.com/problems/design-hashset/", "Design HashSet")</f>
        <v>Design HashSet</v>
      </c>
      <c r="C530" s="1">
        <v>4004</v>
      </c>
      <c r="D530" s="1">
        <v>327</v>
      </c>
      <c r="E530" s="3">
        <f t="shared" si="4"/>
        <v>0.92449780651119828</v>
      </c>
      <c r="F530" s="1" t="s">
        <v>246</v>
      </c>
      <c r="G530" s="1" t="s">
        <v>20</v>
      </c>
      <c r="H530" s="1">
        <v>548723</v>
      </c>
      <c r="I530" s="1">
        <v>811275</v>
      </c>
      <c r="J530" s="7">
        <v>0.67600000000000005</v>
      </c>
      <c r="K530" s="1" t="s">
        <v>21</v>
      </c>
      <c r="L530" s="1" t="s">
        <v>21</v>
      </c>
      <c r="M530" s="1" t="s">
        <v>29</v>
      </c>
      <c r="N530" s="1" t="s">
        <v>22</v>
      </c>
      <c r="O530" s="1" t="str">
        <f t="shared" ca="1" si="5"/>
        <v>Please solve the LeetCode problem '705. Design HashSet'.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31" spans="1:15" x14ac:dyDescent="0.25">
      <c r="A531" s="1">
        <v>473</v>
      </c>
      <c r="B531" s="2" t="str">
        <f>HYPERLINK("https://leetcode.com/problems/matchsticks-to-square/", "Matchsticks to Square")</f>
        <v>Matchsticks to Square</v>
      </c>
      <c r="C531" s="1">
        <v>3998</v>
      </c>
      <c r="D531" s="1">
        <v>310</v>
      </c>
      <c r="E531" s="3">
        <f t="shared" si="4"/>
        <v>0.92804085422469829</v>
      </c>
      <c r="F531" s="1" t="s">
        <v>1354</v>
      </c>
      <c r="G531" s="1" t="s">
        <v>24</v>
      </c>
      <c r="H531" s="1">
        <v>207340</v>
      </c>
      <c r="I531" s="1">
        <v>499478</v>
      </c>
      <c r="J531" s="7">
        <v>0.41499999999999998</v>
      </c>
      <c r="K531" s="1" t="s">
        <v>21</v>
      </c>
      <c r="L531" s="1" t="s">
        <v>21</v>
      </c>
      <c r="M531" s="1" t="s">
        <v>29</v>
      </c>
      <c r="N531" s="1" t="s">
        <v>22</v>
      </c>
      <c r="O531" s="1" t="str">
        <f t="shared" ca="1" si="5"/>
        <v>Please solve the LeetCode problem '473. Matchsticks to Square'.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32" spans="1:15" x14ac:dyDescent="0.25">
      <c r="A532" s="1">
        <v>990</v>
      </c>
      <c r="B532" s="2" t="str">
        <f>HYPERLINK("https://leetcode.com/problems/satisfiability-of-equality-equations/", "Satisfiability of Equality Equations")</f>
        <v>Satisfiability of Equality Equations</v>
      </c>
      <c r="C532" s="1">
        <v>3993</v>
      </c>
      <c r="D532" s="1">
        <v>67</v>
      </c>
      <c r="E532" s="3">
        <f t="shared" si="4"/>
        <v>0.98349753694581277</v>
      </c>
      <c r="F532" s="1" t="s">
        <v>310</v>
      </c>
      <c r="G532" s="1" t="s">
        <v>24</v>
      </c>
      <c r="H532" s="1">
        <v>161599</v>
      </c>
      <c r="I532" s="1">
        <v>313884</v>
      </c>
      <c r="J532" s="7">
        <v>0.51500000000000001</v>
      </c>
      <c r="K532" s="1" t="s">
        <v>21</v>
      </c>
      <c r="L532" s="1" t="s">
        <v>21</v>
      </c>
      <c r="M532" s="1" t="s">
        <v>29</v>
      </c>
      <c r="N532" s="1" t="s">
        <v>22</v>
      </c>
      <c r="O532" s="1" t="str">
        <f t="shared" ca="1" si="5"/>
        <v>Please solve the LeetCode problem '990. Satisfiability of Equality Equations'.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33" spans="1:15" x14ac:dyDescent="0.25">
      <c r="A533" s="1">
        <v>1920</v>
      </c>
      <c r="B533" s="2" t="str">
        <f>HYPERLINK("https://leetcode.com/problems/build-array-from-permutation/", "Build Array from Permutation")</f>
        <v>Build Array from Permutation</v>
      </c>
      <c r="C533" s="1">
        <v>3989</v>
      </c>
      <c r="D533" s="1">
        <v>486</v>
      </c>
      <c r="E533" s="3">
        <f t="shared" si="4"/>
        <v>0.89139664804469276</v>
      </c>
      <c r="F533" s="1" t="s">
        <v>306</v>
      </c>
      <c r="G533" s="1" t="s">
        <v>20</v>
      </c>
      <c r="H533" s="1">
        <v>829556</v>
      </c>
      <c r="I533" s="1">
        <v>911005</v>
      </c>
      <c r="J533" s="7">
        <v>0.91100000000000003</v>
      </c>
      <c r="K533" s="1" t="s">
        <v>21</v>
      </c>
      <c r="L533" s="1" t="s">
        <v>21</v>
      </c>
      <c r="M533" s="1" t="s">
        <v>29</v>
      </c>
      <c r="N533" s="1" t="s">
        <v>22</v>
      </c>
      <c r="O533" s="1" t="str">
        <f t="shared" ca="1" si="5"/>
        <v>Please solve the LeetCode problem '1920. Build Array from Permutation'.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34" spans="1:15" x14ac:dyDescent="0.25">
      <c r="A534" s="1">
        <v>630</v>
      </c>
      <c r="B534" s="2" t="str">
        <f>HYPERLINK("https://leetcode.com/problems/course-schedule-iii/", "Course Schedule III")</f>
        <v>Course Schedule III</v>
      </c>
      <c r="C534" s="1">
        <v>3986</v>
      </c>
      <c r="D534" s="1">
        <v>102</v>
      </c>
      <c r="E534" s="3">
        <f t="shared" si="4"/>
        <v>0.97504892367906071</v>
      </c>
      <c r="F534" s="1" t="s">
        <v>302</v>
      </c>
      <c r="G534" s="1" t="s">
        <v>28</v>
      </c>
      <c r="H534" s="1">
        <v>135230</v>
      </c>
      <c r="I534" s="1">
        <v>327680</v>
      </c>
      <c r="J534" s="7">
        <v>0.41299999999999998</v>
      </c>
      <c r="K534" s="1" t="s">
        <v>21</v>
      </c>
      <c r="L534" s="1" t="s">
        <v>21</v>
      </c>
      <c r="M534" s="1" t="s">
        <v>29</v>
      </c>
      <c r="N534" s="1" t="s">
        <v>22</v>
      </c>
      <c r="O534" s="1" t="str">
        <f t="shared" ca="1" si="5"/>
        <v>Please solve the LeetCode problem '630. Course Schedule III'.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35" spans="1:15" x14ac:dyDescent="0.25">
      <c r="A535" s="1">
        <v>513</v>
      </c>
      <c r="B535" s="2" t="str">
        <f>HYPERLINK("https://leetcode.com/problems/find-bottom-left-tree-value/", "Find Bottom Left Tree Value")</f>
        <v>Find Bottom Left Tree Value</v>
      </c>
      <c r="C535" s="1">
        <v>3978</v>
      </c>
      <c r="D535" s="1">
        <v>300</v>
      </c>
      <c r="E535" s="3">
        <f t="shared" si="4"/>
        <v>0.92987377279102379</v>
      </c>
      <c r="F535" s="1" t="s">
        <v>80</v>
      </c>
      <c r="G535" s="1" t="s">
        <v>24</v>
      </c>
      <c r="H535" s="1">
        <v>431641</v>
      </c>
      <c r="I535" s="1">
        <v>598757</v>
      </c>
      <c r="J535" s="7">
        <v>0.72099999999999997</v>
      </c>
      <c r="K535" s="1" t="s">
        <v>21</v>
      </c>
      <c r="L535" s="1" t="s">
        <v>21</v>
      </c>
      <c r="M535" s="1" t="s">
        <v>29</v>
      </c>
      <c r="N535" s="1" t="s">
        <v>22</v>
      </c>
      <c r="O535" s="1" t="str">
        <f t="shared" ca="1" si="5"/>
        <v>Please solve the LeetCode problem '513. Find Bottom Left Tree Value'.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36" spans="1:15" x14ac:dyDescent="0.25">
      <c r="A536" s="1">
        <v>576</v>
      </c>
      <c r="B536" s="2" t="str">
        <f>HYPERLINK("https://leetcode.com/problems/out-of-boundary-paths/", "Out of Boundary Paths")</f>
        <v>Out of Boundary Paths</v>
      </c>
      <c r="C536" s="1">
        <v>3978</v>
      </c>
      <c r="D536" s="1">
        <v>295</v>
      </c>
      <c r="E536" s="3">
        <f t="shared" si="4"/>
        <v>0.93096185349871285</v>
      </c>
      <c r="F536" s="1" t="s">
        <v>251</v>
      </c>
      <c r="G536" s="1" t="s">
        <v>24</v>
      </c>
      <c r="H536" s="1">
        <v>226962</v>
      </c>
      <c r="I536" s="1">
        <v>469447</v>
      </c>
      <c r="J536" s="7">
        <v>0.48299999999999998</v>
      </c>
      <c r="K536" s="1" t="s">
        <v>21</v>
      </c>
      <c r="L536" s="1" t="s">
        <v>21</v>
      </c>
      <c r="M536" s="1" t="s">
        <v>29</v>
      </c>
      <c r="N536" s="1" t="s">
        <v>22</v>
      </c>
      <c r="O536" s="1" t="str">
        <f t="shared" ca="1" si="5"/>
        <v>Please solve the LeetCode problem '576. Out of Boundary Paths'.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37" spans="1:15" x14ac:dyDescent="0.25">
      <c r="A537" s="1">
        <v>959</v>
      </c>
      <c r="B537" s="2" t="str">
        <f>HYPERLINK("https://leetcode.com/problems/regions-cut-by-slashes/", "Regions Cut By Slashes")</f>
        <v>Regions Cut By Slashes</v>
      </c>
      <c r="C537" s="1">
        <v>3976</v>
      </c>
      <c r="D537" s="1">
        <v>871</v>
      </c>
      <c r="E537" s="3">
        <f t="shared" si="4"/>
        <v>0.82030121724778216</v>
      </c>
      <c r="F537" s="1" t="s">
        <v>311</v>
      </c>
      <c r="G537" s="1" t="s">
        <v>24</v>
      </c>
      <c r="H537" s="1">
        <v>149260</v>
      </c>
      <c r="I537" s="1">
        <v>192402</v>
      </c>
      <c r="J537" s="7">
        <v>0.77600000000000002</v>
      </c>
      <c r="K537" s="1" t="s">
        <v>21</v>
      </c>
      <c r="L537" s="1" t="s">
        <v>21</v>
      </c>
      <c r="M537" s="1" t="s">
        <v>29</v>
      </c>
      <c r="N537" s="1" t="s">
        <v>22</v>
      </c>
      <c r="O537" s="1" t="str">
        <f t="shared" ca="1" si="5"/>
        <v>Please solve the LeetCode problem '959. Regions Cut By Slashes'.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38" spans="1:15" x14ac:dyDescent="0.25">
      <c r="A538" s="1">
        <v>1353</v>
      </c>
      <c r="B538" s="2" t="str">
        <f>HYPERLINK("https://leetcode.com/problems/maximum-number-of-events-that-can-be-attended/", "Maximum Number of Events That Can Be Attended")</f>
        <v>Maximum Number of Events That Can Be Attended</v>
      </c>
      <c r="C538" s="1">
        <v>3962</v>
      </c>
      <c r="D538" s="1">
        <v>630</v>
      </c>
      <c r="E538" s="3">
        <f t="shared" si="4"/>
        <v>0.86280487804878048</v>
      </c>
      <c r="F538" s="1" t="s">
        <v>302</v>
      </c>
      <c r="G538" s="1" t="s">
        <v>24</v>
      </c>
      <c r="H538" s="1">
        <v>220010</v>
      </c>
      <c r="I538" s="1">
        <v>566641</v>
      </c>
      <c r="J538" s="7">
        <v>0.38800000000000001</v>
      </c>
      <c r="K538" s="1" t="s">
        <v>21</v>
      </c>
      <c r="L538" s="1" t="s">
        <v>21</v>
      </c>
      <c r="M538" s="1" t="s">
        <v>29</v>
      </c>
      <c r="N538" s="1" t="s">
        <v>22</v>
      </c>
      <c r="O538" s="1" t="str">
        <f t="shared" ca="1" si="5"/>
        <v>Please solve the LeetCode problem '1353. Maximum Number of Events That Can Be Attended'.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39" spans="1:15" x14ac:dyDescent="0.25">
      <c r="A539" s="1">
        <v>1929</v>
      </c>
      <c r="B539" s="2" t="str">
        <f>HYPERLINK("https://leetcode.com/problems/concatenation-of-array/", "Concatenation of Array")</f>
        <v>Concatenation of Array</v>
      </c>
      <c r="C539" s="1">
        <v>3957</v>
      </c>
      <c r="D539" s="1">
        <v>439</v>
      </c>
      <c r="E539" s="3">
        <f t="shared" si="4"/>
        <v>0.90013648771610555</v>
      </c>
      <c r="F539" s="1" t="s">
        <v>306</v>
      </c>
      <c r="G539" s="1" t="s">
        <v>20</v>
      </c>
      <c r="H539" s="1">
        <v>1265557</v>
      </c>
      <c r="I539" s="1">
        <v>1396419</v>
      </c>
      <c r="J539" s="7">
        <v>0.90600000000000003</v>
      </c>
      <c r="K539" s="1" t="s">
        <v>21</v>
      </c>
      <c r="L539" s="1" t="s">
        <v>29</v>
      </c>
      <c r="M539" s="1" t="s">
        <v>29</v>
      </c>
      <c r="N539" s="1" t="s">
        <v>22</v>
      </c>
      <c r="O539" s="1" t="str">
        <f t="shared" ca="1" si="5"/>
        <v>Please solve the LeetCode problem '1929. Concatenation of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40" spans="1:15" x14ac:dyDescent="0.25">
      <c r="A540" s="1">
        <v>1035</v>
      </c>
      <c r="B540" s="2" t="str">
        <f>HYPERLINK("https://leetcode.com/problems/uncrossed-lines/", "Uncrossed Lines")</f>
        <v>Uncrossed Lines</v>
      </c>
      <c r="C540" s="1">
        <v>3955</v>
      </c>
      <c r="D540" s="1">
        <v>63</v>
      </c>
      <c r="E540" s="3">
        <f t="shared" si="4"/>
        <v>0.98432055749128922</v>
      </c>
      <c r="F540" s="1" t="s">
        <v>30</v>
      </c>
      <c r="G540" s="1" t="s">
        <v>24</v>
      </c>
      <c r="H540" s="1">
        <v>190887</v>
      </c>
      <c r="I540" s="1">
        <v>293968</v>
      </c>
      <c r="J540" s="7">
        <v>0.64900000000000002</v>
      </c>
      <c r="K540" s="1" t="s">
        <v>21</v>
      </c>
      <c r="L540" s="1" t="s">
        <v>21</v>
      </c>
      <c r="M540" s="1" t="s">
        <v>29</v>
      </c>
      <c r="N540" s="1" t="s">
        <v>22</v>
      </c>
      <c r="O540" s="1" t="str">
        <f t="shared" ca="1" si="5"/>
        <v>Please solve the LeetCode problem '1035. Uncrossed Lines'.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41" spans="1:15" x14ac:dyDescent="0.25">
      <c r="A541" s="1">
        <v>838</v>
      </c>
      <c r="B541" s="2" t="str">
        <f>HYPERLINK("https://leetcode.com/problems/push-dominoes/", "Push Dominoes")</f>
        <v>Push Dominoes</v>
      </c>
      <c r="C541" s="1">
        <v>3945</v>
      </c>
      <c r="D541" s="1">
        <v>277</v>
      </c>
      <c r="E541" s="3">
        <f t="shared" si="4"/>
        <v>0.93439128375177638</v>
      </c>
      <c r="F541" s="1" t="s">
        <v>33</v>
      </c>
      <c r="G541" s="1" t="s">
        <v>24</v>
      </c>
      <c r="H541" s="1">
        <v>226711</v>
      </c>
      <c r="I541" s="1">
        <v>359726</v>
      </c>
      <c r="J541" s="7">
        <v>0.63</v>
      </c>
      <c r="K541" s="1" t="s">
        <v>21</v>
      </c>
      <c r="L541" s="1" t="s">
        <v>21</v>
      </c>
      <c r="M541" s="1" t="s">
        <v>29</v>
      </c>
      <c r="N541" s="1" t="s">
        <v>22</v>
      </c>
      <c r="O541" s="1" t="str">
        <f t="shared" ca="1" si="5"/>
        <v>Please solve the LeetCode problem '838. Push Dominoes'.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42" spans="1:15" x14ac:dyDescent="0.25">
      <c r="A542" s="1">
        <v>1641</v>
      </c>
      <c r="B542" s="2" t="str">
        <f>HYPERLINK("https://leetcode.com/problems/count-sorted-vowel-strings/", "Count Sorted Vowel Strings")</f>
        <v>Count Sorted Vowel Strings</v>
      </c>
      <c r="C542" s="1">
        <v>3928</v>
      </c>
      <c r="D542" s="1">
        <v>93</v>
      </c>
      <c r="E542" s="3">
        <f t="shared" si="4"/>
        <v>0.9768714250186521</v>
      </c>
      <c r="F542" s="1" t="s">
        <v>70</v>
      </c>
      <c r="G542" s="1" t="s">
        <v>24</v>
      </c>
      <c r="H542" s="1">
        <v>203695</v>
      </c>
      <c r="I542" s="1">
        <v>257332</v>
      </c>
      <c r="J542" s="7">
        <v>0.79200000000000004</v>
      </c>
      <c r="K542" s="1" t="s">
        <v>21</v>
      </c>
      <c r="L542" s="1" t="s">
        <v>21</v>
      </c>
      <c r="M542" s="1" t="s">
        <v>29</v>
      </c>
      <c r="N542" s="1" t="s">
        <v>22</v>
      </c>
      <c r="O542" s="1" t="str">
        <f t="shared" ca="1" si="5"/>
        <v>Please solve the LeetCode problem '1641. Count Sorted Vowel Strings'.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43" spans="1:15" x14ac:dyDescent="0.25">
      <c r="A543" s="1">
        <v>556</v>
      </c>
      <c r="B543" s="2" t="str">
        <f>HYPERLINK("https://leetcode.com/problems/next-greater-element-iii/", "Next Greater Element III")</f>
        <v>Next Greater Element III</v>
      </c>
      <c r="C543" s="1">
        <v>3916</v>
      </c>
      <c r="D543" s="1">
        <v>494</v>
      </c>
      <c r="E543" s="3">
        <f t="shared" si="4"/>
        <v>0.88798185941043084</v>
      </c>
      <c r="F543" s="1" t="s">
        <v>312</v>
      </c>
      <c r="G543" s="1" t="s">
        <v>24</v>
      </c>
      <c r="H543" s="1">
        <v>202941</v>
      </c>
      <c r="I543" s="1">
        <v>578920</v>
      </c>
      <c r="J543" s="7">
        <v>0.35099999999999998</v>
      </c>
      <c r="K543" s="1" t="s">
        <v>21</v>
      </c>
      <c r="L543" s="1" t="s">
        <v>21</v>
      </c>
      <c r="M543" s="1" t="s">
        <v>29</v>
      </c>
      <c r="N543" s="1" t="s">
        <v>22</v>
      </c>
      <c r="O543" s="1" t="str">
        <f t="shared" ca="1" si="5"/>
        <v>Please solve the LeetCode problem '556. Next Greater Element III'.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44" spans="1:15" x14ac:dyDescent="0.25">
      <c r="A544" s="1">
        <v>719</v>
      </c>
      <c r="B544" s="2" t="str">
        <f>HYPERLINK("https://leetcode.com/problems/find-k-th-smallest-pair-distance/", "Find K-th Smallest Pair Distance")</f>
        <v>Find K-th Smallest Pair Distance</v>
      </c>
      <c r="C544" s="1">
        <v>3902</v>
      </c>
      <c r="D544" s="1">
        <v>125</v>
      </c>
      <c r="E544" s="3">
        <f t="shared" si="4"/>
        <v>0.96895952321827661</v>
      </c>
      <c r="F544" s="1" t="s">
        <v>277</v>
      </c>
      <c r="G544" s="1" t="s">
        <v>28</v>
      </c>
      <c r="H544" s="1">
        <v>207901</v>
      </c>
      <c r="I544" s="1">
        <v>449654</v>
      </c>
      <c r="J544" s="7">
        <v>0.46200000000000002</v>
      </c>
      <c r="K544" s="1" t="s">
        <v>21</v>
      </c>
      <c r="L544" s="1" t="s">
        <v>21</v>
      </c>
      <c r="M544" s="1" t="s">
        <v>29</v>
      </c>
      <c r="N544" s="1" t="s">
        <v>22</v>
      </c>
      <c r="O544" s="1" t="str">
        <f t="shared" ca="1" si="5"/>
        <v>Please solve the LeetCode problem '719. Find K-th Smallest Pair Distance'.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45" spans="1:15" x14ac:dyDescent="0.25">
      <c r="A545" s="1">
        <v>1146</v>
      </c>
      <c r="B545" s="2" t="str">
        <f>HYPERLINK("https://leetcode.com/problems/snapshot-array/", "Snapshot Array")</f>
        <v>Snapshot Array</v>
      </c>
      <c r="C545" s="1">
        <v>3896</v>
      </c>
      <c r="D545" s="1">
        <v>537</v>
      </c>
      <c r="E545" s="3">
        <f t="shared" si="4"/>
        <v>0.87886307241145956</v>
      </c>
      <c r="F545" s="1" t="s">
        <v>313</v>
      </c>
      <c r="G545" s="1" t="s">
        <v>24</v>
      </c>
      <c r="H545" s="1">
        <v>268711</v>
      </c>
      <c r="I545" s="1">
        <v>732708</v>
      </c>
      <c r="J545" s="7">
        <v>0.36699999999999999</v>
      </c>
      <c r="K545" s="1" t="s">
        <v>21</v>
      </c>
      <c r="L545" s="1" t="s">
        <v>21</v>
      </c>
      <c r="M545" s="1" t="s">
        <v>29</v>
      </c>
      <c r="N545" s="1" t="s">
        <v>22</v>
      </c>
      <c r="O545" s="1" t="str">
        <f t="shared" ca="1" si="5"/>
        <v>Please solve the LeetCode problem '1146. Snapshot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46" spans="1:15" x14ac:dyDescent="0.25">
      <c r="A546" s="1">
        <v>1202</v>
      </c>
      <c r="B546" s="2" t="str">
        <f>HYPERLINK("https://leetcode.com/problems/smallest-string-with-swaps/", "Smallest String With Swaps")</f>
        <v>Smallest String With Swaps</v>
      </c>
      <c r="C546" s="1">
        <v>3885</v>
      </c>
      <c r="D546" s="1">
        <v>163</v>
      </c>
      <c r="E546" s="3">
        <f t="shared" si="4"/>
        <v>0.95973320158102771</v>
      </c>
      <c r="F546" s="1" t="s">
        <v>179</v>
      </c>
      <c r="G546" s="1" t="s">
        <v>24</v>
      </c>
      <c r="H546" s="1">
        <v>143870</v>
      </c>
      <c r="I546" s="1">
        <v>238884</v>
      </c>
      <c r="J546" s="7">
        <v>0.60199999999999998</v>
      </c>
      <c r="K546" s="1" t="s">
        <v>21</v>
      </c>
      <c r="L546" s="1" t="s">
        <v>21</v>
      </c>
      <c r="M546" s="1" t="s">
        <v>29</v>
      </c>
      <c r="N546" s="1" t="s">
        <v>22</v>
      </c>
      <c r="O546" s="1" t="str">
        <f t="shared" ca="1" si="5"/>
        <v>Please solve the LeetCode problem '1202. Smallest String With Swaps'.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47" spans="1:15" x14ac:dyDescent="0.25">
      <c r="A547" s="1">
        <v>2130</v>
      </c>
      <c r="B547" s="2" t="str">
        <f>HYPERLINK("https://leetcode.com/problems/maximum-twin-sum-of-a-linked-list/", "Maximum Twin Sum of a Linked List")</f>
        <v>Maximum Twin Sum of a Linked List</v>
      </c>
      <c r="C547" s="1">
        <v>3879</v>
      </c>
      <c r="D547" s="1">
        <v>121</v>
      </c>
      <c r="E547" s="3">
        <f t="shared" si="4"/>
        <v>0.96975</v>
      </c>
      <c r="F547" s="1" t="s">
        <v>315</v>
      </c>
      <c r="G547" s="1" t="s">
        <v>24</v>
      </c>
      <c r="H547" s="1">
        <v>477253</v>
      </c>
      <c r="I547" s="1">
        <v>584794</v>
      </c>
      <c r="J547" s="7">
        <v>0.81599999999999995</v>
      </c>
      <c r="K547" s="1" t="s">
        <v>21</v>
      </c>
      <c r="L547" s="1" t="s">
        <v>21</v>
      </c>
      <c r="M547" s="1" t="s">
        <v>29</v>
      </c>
      <c r="N547" s="1" t="s">
        <v>22</v>
      </c>
      <c r="O547" s="1" t="str">
        <f t="shared" ca="1" si="5"/>
        <v>Please solve the LeetCode problem '2130. Maximum Twin Sum of a Linked List'.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48" spans="1:15" x14ac:dyDescent="0.25">
      <c r="A548" s="1">
        <v>1074</v>
      </c>
      <c r="B548" s="2" t="str">
        <f>HYPERLINK("https://leetcode.com/problems/number-of-submatrices-that-sum-to-target/", "Number of Submatrices That Sum to Target")</f>
        <v>Number of Submatrices That Sum to Target</v>
      </c>
      <c r="C548" s="1">
        <v>3875</v>
      </c>
      <c r="D548" s="1">
        <v>107</v>
      </c>
      <c r="E548" s="3">
        <f t="shared" si="4"/>
        <v>0.9731290808638875</v>
      </c>
      <c r="F548" s="1" t="s">
        <v>316</v>
      </c>
      <c r="G548" s="1" t="s">
        <v>28</v>
      </c>
      <c r="H548" s="1">
        <v>169225</v>
      </c>
      <c r="I548" s="1">
        <v>226969</v>
      </c>
      <c r="J548" s="7">
        <v>0.746</v>
      </c>
      <c r="K548" s="1" t="s">
        <v>21</v>
      </c>
      <c r="L548" s="1" t="s">
        <v>21</v>
      </c>
      <c r="M548" s="1" t="s">
        <v>29</v>
      </c>
      <c r="N548" s="1" t="s">
        <v>22</v>
      </c>
      <c r="O548" s="1" t="str">
        <f t="shared" ca="1" si="5"/>
        <v>Please solve the LeetCode problem '1074. Number of Submatrices That Sum to Target'.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49" spans="1:15" x14ac:dyDescent="0.25">
      <c r="A549" s="1">
        <v>1456</v>
      </c>
      <c r="B549" s="2" t="str">
        <f>HYPERLINK("https://leetcode.com/problems/maximum-number-of-vowels-in-a-substring-of-given-length/", "Maximum Number of Vowels in a Substring of Given Length")</f>
        <v>Maximum Number of Vowels in a Substring of Given Length</v>
      </c>
      <c r="C549" s="1">
        <v>3872</v>
      </c>
      <c r="D549" s="1">
        <v>151</v>
      </c>
      <c r="E549" s="3">
        <f t="shared" si="4"/>
        <v>0.96246582152622417</v>
      </c>
      <c r="F549" s="1" t="s">
        <v>314</v>
      </c>
      <c r="G549" s="1" t="s">
        <v>24</v>
      </c>
      <c r="H549" s="1">
        <v>638681</v>
      </c>
      <c r="I549" s="1">
        <v>1041102</v>
      </c>
      <c r="J549" s="7">
        <v>0.61299999999999999</v>
      </c>
      <c r="K549" s="1" t="s">
        <v>21</v>
      </c>
      <c r="L549" s="1" t="s">
        <v>21</v>
      </c>
      <c r="M549" s="1" t="s">
        <v>29</v>
      </c>
      <c r="N549" s="1" t="s">
        <v>22</v>
      </c>
      <c r="O549" s="1" t="str">
        <f t="shared" ca="1" si="5"/>
        <v>Please solve the LeetCode problem '1456. Maximum Number of Vowels in a Substring of Given Length'.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50" spans="1:15" x14ac:dyDescent="0.25">
      <c r="A550" s="1">
        <v>1588</v>
      </c>
      <c r="B550" s="2" t="str">
        <f>HYPERLINK("https://leetcode.com/problems/sum-of-all-odd-length-subarrays/", "Sum of All Odd Length Subarrays")</f>
        <v>Sum of All Odd Length Subarrays</v>
      </c>
      <c r="C550" s="1">
        <v>3867</v>
      </c>
      <c r="D550" s="1">
        <v>326</v>
      </c>
      <c r="E550" s="3">
        <f t="shared" si="4"/>
        <v>0.92225137133317436</v>
      </c>
      <c r="F550" s="1" t="s">
        <v>317</v>
      </c>
      <c r="G550" s="1" t="s">
        <v>20</v>
      </c>
      <c r="H550" s="1">
        <v>247083</v>
      </c>
      <c r="I550" s="1">
        <v>294894</v>
      </c>
      <c r="J550" s="7">
        <v>0.83799999999999997</v>
      </c>
      <c r="K550" s="1" t="s">
        <v>21</v>
      </c>
      <c r="L550" s="1" t="s">
        <v>21</v>
      </c>
      <c r="M550" s="1" t="s">
        <v>29</v>
      </c>
      <c r="N550" s="1" t="s">
        <v>22</v>
      </c>
      <c r="O550" s="1" t="str">
        <f t="shared" ca="1" si="5"/>
        <v>Please solve the LeetCode problem '1588. Sum of All Odd Length Subarrays'.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51" spans="1:15" x14ac:dyDescent="0.25">
      <c r="A551" s="1">
        <v>1514</v>
      </c>
      <c r="B551" s="2" t="str">
        <f>HYPERLINK("https://leetcode.com/problems/path-with-maximum-probability/", "Path with Maximum Probability")</f>
        <v>Path with Maximum Probability</v>
      </c>
      <c r="C551" s="1">
        <v>3861</v>
      </c>
      <c r="D551" s="1">
        <v>109</v>
      </c>
      <c r="E551" s="3">
        <f t="shared" si="4"/>
        <v>0.97254408060453401</v>
      </c>
      <c r="F551" s="1" t="s">
        <v>318</v>
      </c>
      <c r="G551" s="1" t="s">
        <v>24</v>
      </c>
      <c r="H551" s="1">
        <v>363165</v>
      </c>
      <c r="I551" s="1">
        <v>555184</v>
      </c>
      <c r="J551" s="7">
        <v>0.65400000000000003</v>
      </c>
      <c r="K551" s="1" t="s">
        <v>21</v>
      </c>
      <c r="L551" s="1" t="s">
        <v>21</v>
      </c>
      <c r="M551" s="1" t="s">
        <v>29</v>
      </c>
      <c r="N551" s="1" t="s">
        <v>22</v>
      </c>
      <c r="O551" s="1" t="str">
        <f t="shared" ca="1" si="5"/>
        <v>Please solve the LeetCode problem '1514. Path with Maximum Probability'.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52" spans="1:15" x14ac:dyDescent="0.25">
      <c r="A552" s="1">
        <v>1345</v>
      </c>
      <c r="B552" s="2" t="str">
        <f>HYPERLINK("https://leetcode.com/problems/jump-game-iv/", "Jump Game IV")</f>
        <v>Jump Game IV</v>
      </c>
      <c r="C552" s="1">
        <v>3857</v>
      </c>
      <c r="D552" s="1">
        <v>132</v>
      </c>
      <c r="E552" s="3">
        <f t="shared" si="4"/>
        <v>0.96690899974931055</v>
      </c>
      <c r="F552" s="1" t="s">
        <v>276</v>
      </c>
      <c r="G552" s="1" t="s">
        <v>28</v>
      </c>
      <c r="H552" s="1">
        <v>161183</v>
      </c>
      <c r="I552" s="1">
        <v>348862</v>
      </c>
      <c r="J552" s="7">
        <v>0.46200000000000002</v>
      </c>
      <c r="K552" s="1" t="s">
        <v>21</v>
      </c>
      <c r="L552" s="1" t="s">
        <v>21</v>
      </c>
      <c r="M552" s="1" t="s">
        <v>29</v>
      </c>
      <c r="N552" s="1" t="s">
        <v>22</v>
      </c>
      <c r="O552" s="1" t="str">
        <f t="shared" ca="1" si="5"/>
        <v>Please solve the LeetCode problem '1345. Jump Game IV'.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53" spans="1:15" x14ac:dyDescent="0.25">
      <c r="A553" s="1">
        <v>1557</v>
      </c>
      <c r="B553" s="2" t="str">
        <f>HYPERLINK("https://leetcode.com/problems/minimum-number-of-vertices-to-reach-all-nodes/", "Minimum Number of Vertices to Reach All Nodes")</f>
        <v>Minimum Number of Vertices to Reach All Nodes</v>
      </c>
      <c r="C553" s="1">
        <v>3855</v>
      </c>
      <c r="D553" s="1">
        <v>133</v>
      </c>
      <c r="E553" s="3">
        <f t="shared" si="4"/>
        <v>0.96664994984954866</v>
      </c>
      <c r="F553" s="1" t="s">
        <v>319</v>
      </c>
      <c r="G553" s="1" t="s">
        <v>24</v>
      </c>
      <c r="H553" s="1">
        <v>225491</v>
      </c>
      <c r="I553" s="1">
        <v>276899</v>
      </c>
      <c r="J553" s="7">
        <v>0.81399999999999995</v>
      </c>
      <c r="K553" s="1" t="s">
        <v>21</v>
      </c>
      <c r="L553" s="1" t="s">
        <v>21</v>
      </c>
      <c r="M553" s="1" t="s">
        <v>29</v>
      </c>
      <c r="N553" s="1" t="s">
        <v>22</v>
      </c>
      <c r="O553" s="1" t="str">
        <f t="shared" ca="1" si="5"/>
        <v>Please solve the LeetCode problem '1557. Minimum Number of Vertices to Reach All Nodes'.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54" spans="1:15" x14ac:dyDescent="0.25">
      <c r="A554" s="1">
        <v>1041</v>
      </c>
      <c r="B554" s="2" t="str">
        <f>HYPERLINK("https://leetcode.com/problems/robot-bounded-in-circle/", "Robot Bounded In Circle")</f>
        <v>Robot Bounded In Circle</v>
      </c>
      <c r="C554" s="1">
        <v>3851</v>
      </c>
      <c r="D554" s="1">
        <v>717</v>
      </c>
      <c r="E554" s="3">
        <f t="shared" si="4"/>
        <v>0.84303852889667252</v>
      </c>
      <c r="F554" s="1" t="s">
        <v>178</v>
      </c>
      <c r="G554" s="1" t="s">
        <v>24</v>
      </c>
      <c r="H554" s="1">
        <v>269423</v>
      </c>
      <c r="I554" s="1">
        <v>477520</v>
      </c>
      <c r="J554" s="7">
        <v>0.56399999999999995</v>
      </c>
      <c r="K554" s="1" t="s">
        <v>21</v>
      </c>
      <c r="L554" s="1" t="s">
        <v>21</v>
      </c>
      <c r="M554" s="1" t="s">
        <v>29</v>
      </c>
      <c r="N554" s="1" t="s">
        <v>22</v>
      </c>
      <c r="O554" s="1" t="str">
        <f t="shared" ca="1" si="5"/>
        <v>Please solve the LeetCode problem '1041. Robot Bounded In Circle'.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55" spans="1:15" x14ac:dyDescent="0.25">
      <c r="A555" s="1">
        <v>1443</v>
      </c>
      <c r="B555" s="2" t="str">
        <f>HYPERLINK("https://leetcode.com/problems/minimum-time-to-collect-all-apples-in-a-tree/", "Minimum Time to Collect All Apples in a Tree")</f>
        <v>Minimum Time to Collect All Apples in a Tree</v>
      </c>
      <c r="C555" s="1">
        <v>3834</v>
      </c>
      <c r="D555" s="1">
        <v>333</v>
      </c>
      <c r="E555" s="3">
        <f t="shared" si="4"/>
        <v>0.92008639308855289</v>
      </c>
      <c r="F555" s="1" t="s">
        <v>320</v>
      </c>
      <c r="G555" s="1" t="s">
        <v>24</v>
      </c>
      <c r="H555" s="1">
        <v>152733</v>
      </c>
      <c r="I555" s="1">
        <v>240555</v>
      </c>
      <c r="J555" s="7">
        <v>0.63500000000000001</v>
      </c>
      <c r="K555" s="1" t="s">
        <v>21</v>
      </c>
      <c r="L555" s="1" t="s">
        <v>21</v>
      </c>
      <c r="M555" s="1" t="s">
        <v>29</v>
      </c>
      <c r="N555" s="1" t="s">
        <v>22</v>
      </c>
      <c r="O555" s="1" t="str">
        <f t="shared" ca="1" si="5"/>
        <v>Please solve the LeetCode problem '1443. Minimum Time to Collect All Apples in a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56" spans="1:15" x14ac:dyDescent="0.25">
      <c r="A556" s="1">
        <v>1382</v>
      </c>
      <c r="B556" s="2" t="str">
        <f>HYPERLINK("https://leetcode.com/problems/balance-a-binary-search-tree/", "Balance a Binary Search Tree")</f>
        <v>Balance a Binary Search Tree</v>
      </c>
      <c r="C556" s="1">
        <v>3822</v>
      </c>
      <c r="D556" s="1">
        <v>96</v>
      </c>
      <c r="E556" s="3">
        <f t="shared" si="4"/>
        <v>0.97549770290964777</v>
      </c>
      <c r="F556" s="1" t="s">
        <v>301</v>
      </c>
      <c r="G556" s="1" t="s">
        <v>24</v>
      </c>
      <c r="H556" s="1">
        <v>301334</v>
      </c>
      <c r="I556" s="1">
        <v>355852</v>
      </c>
      <c r="J556" s="7">
        <v>0.84699999999999998</v>
      </c>
      <c r="K556" s="1" t="s">
        <v>21</v>
      </c>
      <c r="L556" s="1" t="s">
        <v>21</v>
      </c>
      <c r="M556" s="1" t="s">
        <v>29</v>
      </c>
      <c r="N556" s="1" t="s">
        <v>22</v>
      </c>
      <c r="O556" s="1" t="str">
        <f t="shared" ca="1" si="5"/>
        <v>Please solve the LeetCode problem '1382. Balance a Binary Search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57" spans="1:15" x14ac:dyDescent="0.25">
      <c r="A557" s="1">
        <v>273</v>
      </c>
      <c r="B557" s="2" t="str">
        <f>HYPERLINK("https://leetcode.com/problems/integer-to-english-words/", "Integer to English Words")</f>
        <v>Integer to English Words</v>
      </c>
      <c r="C557" s="1">
        <v>3820</v>
      </c>
      <c r="D557" s="1">
        <v>6829</v>
      </c>
      <c r="E557" s="3">
        <f t="shared" si="4"/>
        <v>0.35871912855667198</v>
      </c>
      <c r="F557" s="1" t="s">
        <v>322</v>
      </c>
      <c r="G557" s="1" t="s">
        <v>28</v>
      </c>
      <c r="H557" s="1">
        <v>570366</v>
      </c>
      <c r="I557" s="1">
        <v>1640407</v>
      </c>
      <c r="J557" s="7">
        <v>0.34799999999999998</v>
      </c>
      <c r="K557" s="1" t="s">
        <v>21</v>
      </c>
      <c r="L557" s="1" t="s">
        <v>21</v>
      </c>
      <c r="M557" s="1" t="s">
        <v>29</v>
      </c>
      <c r="N557" s="1" t="s">
        <v>22</v>
      </c>
      <c r="O557" s="1" t="str">
        <f t="shared" ca="1" si="5"/>
        <v>Please solve the LeetCode problem '273. Integer to English Words'.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58" spans="1:15" x14ac:dyDescent="0.25">
      <c r="A558" s="1">
        <v>791</v>
      </c>
      <c r="B558" s="2" t="str">
        <f>HYPERLINK("https://leetcode.com/problems/custom-sort-string/", "Custom Sort String")</f>
        <v>Custom Sort String</v>
      </c>
      <c r="C558" s="1">
        <v>3814</v>
      </c>
      <c r="D558" s="1">
        <v>430</v>
      </c>
      <c r="E558" s="3">
        <f t="shared" si="4"/>
        <v>0.89868049010367579</v>
      </c>
      <c r="F558" s="1" t="s">
        <v>90</v>
      </c>
      <c r="G558" s="1" t="s">
        <v>24</v>
      </c>
      <c r="H558" s="1">
        <v>569300</v>
      </c>
      <c r="I558" s="1">
        <v>787723</v>
      </c>
      <c r="J558" s="7">
        <v>0.72299999999999998</v>
      </c>
      <c r="K558" s="1" t="s">
        <v>21</v>
      </c>
      <c r="L558" s="1" t="s">
        <v>21</v>
      </c>
      <c r="M558" s="1" t="s">
        <v>29</v>
      </c>
      <c r="N558" s="1" t="s">
        <v>22</v>
      </c>
      <c r="O558" s="1" t="str">
        <f t="shared" ca="1" si="5"/>
        <v>Please solve the LeetCode problem '791. Custom Sort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59" spans="1:15" x14ac:dyDescent="0.25">
      <c r="A559" s="1">
        <v>887</v>
      </c>
      <c r="B559" s="2" t="str">
        <f>HYPERLINK("https://leetcode.com/problems/super-egg-drop/", "Super Egg Drop")</f>
        <v>Super Egg Drop</v>
      </c>
      <c r="C559" s="1">
        <v>3811</v>
      </c>
      <c r="D559" s="1">
        <v>206</v>
      </c>
      <c r="E559" s="3">
        <f t="shared" si="4"/>
        <v>0.94871794871794868</v>
      </c>
      <c r="F559" s="1" t="s">
        <v>324</v>
      </c>
      <c r="G559" s="1" t="s">
        <v>28</v>
      </c>
      <c r="H559" s="1">
        <v>95911</v>
      </c>
      <c r="I559" s="1">
        <v>322622</v>
      </c>
      <c r="J559" s="7">
        <v>0.29699999999999999</v>
      </c>
      <c r="K559" s="1" t="s">
        <v>21</v>
      </c>
      <c r="L559" s="1" t="s">
        <v>21</v>
      </c>
      <c r="M559" s="1" t="s">
        <v>29</v>
      </c>
      <c r="N559" s="1" t="s">
        <v>22</v>
      </c>
      <c r="O559" s="1" t="str">
        <f t="shared" ca="1" si="5"/>
        <v>Please solve the LeetCode problem '887. Super Egg Drop'.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60" spans="1:15" x14ac:dyDescent="0.25">
      <c r="A560" s="1">
        <v>491</v>
      </c>
      <c r="B560" s="2" t="str">
        <f>HYPERLINK("https://leetcode.com/problems/non-decreasing-subsequences/", "Non-decreasing Subsequences")</f>
        <v>Non-decreasing Subsequences</v>
      </c>
      <c r="C560" s="1">
        <v>3801</v>
      </c>
      <c r="D560" s="1">
        <v>237</v>
      </c>
      <c r="E560" s="3">
        <f t="shared" si="4"/>
        <v>0.94130757800891529</v>
      </c>
      <c r="F560" s="1" t="s">
        <v>325</v>
      </c>
      <c r="G560" s="1" t="s">
        <v>24</v>
      </c>
      <c r="H560" s="1">
        <v>204058</v>
      </c>
      <c r="I560" s="1">
        <v>327388</v>
      </c>
      <c r="J560" s="7">
        <v>0.623</v>
      </c>
      <c r="K560" s="1" t="s">
        <v>21</v>
      </c>
      <c r="L560" s="1" t="s">
        <v>21</v>
      </c>
      <c r="M560" s="1" t="s">
        <v>29</v>
      </c>
      <c r="N560" s="1" t="s">
        <v>22</v>
      </c>
      <c r="O560" s="1" t="str">
        <f t="shared" ca="1" si="5"/>
        <v>Please solve the LeetCode problem '491. Non-decreasing Subsequences'.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61" spans="1:15" x14ac:dyDescent="0.25">
      <c r="A561" s="1">
        <v>1976</v>
      </c>
      <c r="B561" s="2" t="str">
        <f>HYPERLINK("https://leetcode.com/problems/number-of-ways-to-arrive-at-destination/", "Number of Ways to Arrive at Destination")</f>
        <v>Number of Ways to Arrive at Destination</v>
      </c>
      <c r="C561" s="1">
        <v>3797</v>
      </c>
      <c r="D561" s="1">
        <v>221</v>
      </c>
      <c r="E561" s="3">
        <f t="shared" si="4"/>
        <v>0.94499751119960185</v>
      </c>
      <c r="F561" s="1" t="s">
        <v>321</v>
      </c>
      <c r="G561" s="1" t="s">
        <v>24</v>
      </c>
      <c r="H561" s="1">
        <v>239603</v>
      </c>
      <c r="I561" s="1">
        <v>642930</v>
      </c>
      <c r="J561" s="7">
        <v>0.373</v>
      </c>
      <c r="K561" s="1" t="s">
        <v>21</v>
      </c>
      <c r="L561" s="1" t="s">
        <v>21</v>
      </c>
      <c r="M561" s="1" t="s">
        <v>29</v>
      </c>
      <c r="N561" s="1" t="s">
        <v>22</v>
      </c>
      <c r="O561" s="1" t="str">
        <f t="shared" ca="1" si="5"/>
        <v>Please solve the LeetCode problem '1976. Number of Ways to Arrive at Destination'.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62" spans="1:15" x14ac:dyDescent="0.25">
      <c r="A562" s="1">
        <v>622</v>
      </c>
      <c r="B562" s="2" t="str">
        <f>HYPERLINK("https://leetcode.com/problems/design-circular-queue/", "Design Circular Queue")</f>
        <v>Design Circular Queue</v>
      </c>
      <c r="C562" s="1">
        <v>3795</v>
      </c>
      <c r="D562" s="1">
        <v>345</v>
      </c>
      <c r="E562" s="3">
        <f t="shared" si="4"/>
        <v>0.91666666666666663</v>
      </c>
      <c r="F562" s="1" t="s">
        <v>323</v>
      </c>
      <c r="G562" s="1" t="s">
        <v>24</v>
      </c>
      <c r="H562" s="1">
        <v>444134</v>
      </c>
      <c r="I562" s="1">
        <v>826580</v>
      </c>
      <c r="J562" s="7">
        <v>0.53700000000000003</v>
      </c>
      <c r="K562" s="1" t="s">
        <v>21</v>
      </c>
      <c r="L562" s="1" t="s">
        <v>21</v>
      </c>
      <c r="M562" s="1" t="s">
        <v>29</v>
      </c>
      <c r="N562" s="1" t="s">
        <v>22</v>
      </c>
      <c r="O562" s="1" t="str">
        <f t="shared" ca="1" si="5"/>
        <v>Please solve the LeetCode problem '622. Design Circular Queue'.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63" spans="1:15" x14ac:dyDescent="0.25">
      <c r="A563" s="1">
        <v>263</v>
      </c>
      <c r="B563" s="2" t="str">
        <f>HYPERLINK("https://leetcode.com/problems/ugly-number/", "Ugly Number")</f>
        <v>Ugly Number</v>
      </c>
      <c r="C563" s="1">
        <v>3780</v>
      </c>
      <c r="D563" s="1">
        <v>1785</v>
      </c>
      <c r="E563" s="3">
        <f t="shared" si="4"/>
        <v>0.67924528301886788</v>
      </c>
      <c r="F563" s="1" t="s">
        <v>84</v>
      </c>
      <c r="G563" s="1" t="s">
        <v>20</v>
      </c>
      <c r="H563" s="1">
        <v>729049</v>
      </c>
      <c r="I563" s="1">
        <v>1695593</v>
      </c>
      <c r="J563" s="7">
        <v>0.43</v>
      </c>
      <c r="K563" s="1" t="s">
        <v>21</v>
      </c>
      <c r="L563" s="1" t="s">
        <v>21</v>
      </c>
      <c r="M563" s="1" t="s">
        <v>29</v>
      </c>
      <c r="N563" s="1" t="s">
        <v>22</v>
      </c>
      <c r="O563" s="1" t="str">
        <f t="shared" ca="1" si="5"/>
        <v>Please solve the LeetCode problem '263. Ugly Number'.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64" spans="1:15" x14ac:dyDescent="0.25">
      <c r="A564" s="1">
        <v>1572</v>
      </c>
      <c r="B564" s="2" t="str">
        <f>HYPERLINK("https://leetcode.com/problems/matrix-diagonal-sum/", "Matrix Diagonal Sum")</f>
        <v>Matrix Diagonal Sum</v>
      </c>
      <c r="C564" s="1">
        <v>3761</v>
      </c>
      <c r="D564" s="1">
        <v>65</v>
      </c>
      <c r="E564" s="3">
        <f t="shared" si="4"/>
        <v>0.98301097752221644</v>
      </c>
      <c r="F564" s="1" t="s">
        <v>266</v>
      </c>
      <c r="G564" s="1" t="s">
        <v>20</v>
      </c>
      <c r="H564" s="1">
        <v>493681</v>
      </c>
      <c r="I564" s="1">
        <v>587362</v>
      </c>
      <c r="J564" s="7">
        <v>0.84099999999999997</v>
      </c>
      <c r="K564" s="1" t="s">
        <v>21</v>
      </c>
      <c r="L564" s="1" t="s">
        <v>21</v>
      </c>
      <c r="M564" s="1" t="s">
        <v>29</v>
      </c>
      <c r="N564" s="1" t="s">
        <v>22</v>
      </c>
      <c r="O564" s="1" t="str">
        <f t="shared" ca="1" si="5"/>
        <v>Please solve the LeetCode problem '1572. Matrix Diagonal Sum'.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65" spans="1:15" x14ac:dyDescent="0.25">
      <c r="A565" s="1">
        <v>2444</v>
      </c>
      <c r="B565" s="2" t="str">
        <f>HYPERLINK("https://leetcode.com/problems/count-subarrays-with-fixed-bounds/", "Count Subarrays With Fixed Bounds")</f>
        <v>Count Subarrays With Fixed Bounds</v>
      </c>
      <c r="C565" s="1">
        <v>3744</v>
      </c>
      <c r="D565" s="1">
        <v>95</v>
      </c>
      <c r="E565" s="3">
        <f t="shared" si="4"/>
        <v>0.97525397238864286</v>
      </c>
      <c r="F565" s="1" t="s">
        <v>327</v>
      </c>
      <c r="G565" s="1" t="s">
        <v>28</v>
      </c>
      <c r="H565" s="1">
        <v>231678</v>
      </c>
      <c r="I565" s="1">
        <v>334488</v>
      </c>
      <c r="J565" s="7">
        <v>0.69299999999999995</v>
      </c>
      <c r="K565" s="1" t="s">
        <v>21</v>
      </c>
      <c r="L565" s="1" t="s">
        <v>21</v>
      </c>
      <c r="M565" s="1" t="s">
        <v>29</v>
      </c>
      <c r="N565" s="1" t="s">
        <v>22</v>
      </c>
      <c r="O565" s="1" t="str">
        <f t="shared" ca="1" si="5"/>
        <v>Please solve the LeetCode problem '2444. Count Subarrays With Fixed Bounds'.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66" spans="1:15" x14ac:dyDescent="0.25">
      <c r="A566" s="1">
        <v>799</v>
      </c>
      <c r="B566" s="2" t="str">
        <f>HYPERLINK("https://leetcode.com/problems/champagne-tower/", "Champagne Tower")</f>
        <v>Champagne Tower</v>
      </c>
      <c r="C566" s="1">
        <v>3743</v>
      </c>
      <c r="D566" s="1">
        <v>209</v>
      </c>
      <c r="E566" s="3">
        <f t="shared" si="4"/>
        <v>0.94711538461538458</v>
      </c>
      <c r="F566" s="1" t="s">
        <v>251</v>
      </c>
      <c r="G566" s="1" t="s">
        <v>24</v>
      </c>
      <c r="H566" s="1">
        <v>167216</v>
      </c>
      <c r="I566" s="1">
        <v>285642</v>
      </c>
      <c r="J566" s="7">
        <v>0.58499999999999996</v>
      </c>
      <c r="K566" s="1" t="s">
        <v>21</v>
      </c>
      <c r="L566" s="1" t="s">
        <v>21</v>
      </c>
      <c r="M566" s="1" t="s">
        <v>29</v>
      </c>
      <c r="N566" s="1" t="s">
        <v>22</v>
      </c>
      <c r="O566" s="1" t="str">
        <f t="shared" ca="1" si="5"/>
        <v>Please solve the LeetCode problem '799. Champagne Tower'.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67" spans="1:15" x14ac:dyDescent="0.25">
      <c r="A567" s="1">
        <v>282</v>
      </c>
      <c r="B567" s="2" t="str">
        <f>HYPERLINK("https://leetcode.com/problems/expression-add-operators/", "Expression Add Operators")</f>
        <v>Expression Add Operators</v>
      </c>
      <c r="C567" s="1">
        <v>3738</v>
      </c>
      <c r="D567" s="1">
        <v>717</v>
      </c>
      <c r="E567" s="3">
        <f t="shared" si="4"/>
        <v>0.83905723905723906</v>
      </c>
      <c r="F567" s="1" t="s">
        <v>328</v>
      </c>
      <c r="G567" s="1" t="s">
        <v>28</v>
      </c>
      <c r="H567" s="1">
        <v>305166</v>
      </c>
      <c r="I567" s="1">
        <v>715714</v>
      </c>
      <c r="J567" s="7">
        <v>0.42599999999999999</v>
      </c>
      <c r="K567" s="1" t="s">
        <v>21</v>
      </c>
      <c r="L567" s="1" t="s">
        <v>21</v>
      </c>
      <c r="M567" s="1" t="s">
        <v>29</v>
      </c>
      <c r="N567" s="1" t="s">
        <v>22</v>
      </c>
      <c r="O567" s="1" t="str">
        <f t="shared" ca="1" si="5"/>
        <v>Please solve the LeetCode problem '282. Expression Add Operators'.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68" spans="1:15" x14ac:dyDescent="0.25">
      <c r="A568" s="1">
        <v>303</v>
      </c>
      <c r="B568" s="2" t="str">
        <f>HYPERLINK("https://leetcode.com/problems/range-sum-query-immutable/", "Range Sum Query - Immutable")</f>
        <v>Range Sum Query - Immutable</v>
      </c>
      <c r="C568" s="1">
        <v>3738</v>
      </c>
      <c r="D568" s="1">
        <v>2006</v>
      </c>
      <c r="E568" s="3">
        <f t="shared" si="4"/>
        <v>0.65076601671309198</v>
      </c>
      <c r="F568" s="1" t="s">
        <v>326</v>
      </c>
      <c r="G568" s="1" t="s">
        <v>20</v>
      </c>
      <c r="H568" s="1">
        <v>851578</v>
      </c>
      <c r="I568" s="1">
        <v>1201014</v>
      </c>
      <c r="J568" s="7">
        <v>0.70899999999999996</v>
      </c>
      <c r="K568" s="1" t="s">
        <v>21</v>
      </c>
      <c r="L568" s="1" t="s">
        <v>21</v>
      </c>
      <c r="M568" s="1" t="s">
        <v>21</v>
      </c>
      <c r="N568" s="1" t="s">
        <v>22</v>
      </c>
      <c r="O568" s="1" t="str">
        <f t="shared" ca="1" si="5"/>
        <v>Please solve the LeetCode problem '303. Range Sum Query - Immutable'.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69" spans="1:15" x14ac:dyDescent="0.25">
      <c r="A569" s="1">
        <v>429</v>
      </c>
      <c r="B569" s="2" t="str">
        <f>HYPERLINK("https://leetcode.com/problems/n-ary-tree-level-order-traversal/", "N-ary Tree Level Order Traversal")</f>
        <v>N-ary Tree Level Order Traversal</v>
      </c>
      <c r="C569" s="1">
        <v>3737</v>
      </c>
      <c r="D569" s="1">
        <v>144</v>
      </c>
      <c r="E569" s="3">
        <f t="shared" si="4"/>
        <v>0.96289616078330331</v>
      </c>
      <c r="F569" s="1" t="s">
        <v>329</v>
      </c>
      <c r="G569" s="1" t="s">
        <v>24</v>
      </c>
      <c r="H569" s="1">
        <v>358575</v>
      </c>
      <c r="I569" s="1">
        <v>502083</v>
      </c>
      <c r="J569" s="7">
        <v>0.71399999999999997</v>
      </c>
      <c r="K569" s="1" t="s">
        <v>21</v>
      </c>
      <c r="L569" s="1" t="s">
        <v>21</v>
      </c>
      <c r="M569" s="1" t="s">
        <v>29</v>
      </c>
      <c r="N569" s="1" t="s">
        <v>22</v>
      </c>
      <c r="O569" s="1" t="str">
        <f t="shared" ca="1" si="5"/>
        <v>Please solve the LeetCode problem '429. N-ary Tree Level Order Traversal'.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70" spans="1:15" x14ac:dyDescent="0.25">
      <c r="A570" s="1">
        <v>1372</v>
      </c>
      <c r="B570" s="2" t="str">
        <f>HYPERLINK("https://leetcode.com/problems/longest-zigzag-path-in-a-binary-tree/", "Longest ZigZag Path in a Binary Tree")</f>
        <v>Longest ZigZag Path in a Binary Tree</v>
      </c>
      <c r="C570" s="1">
        <v>3731</v>
      </c>
      <c r="D570" s="1">
        <v>85</v>
      </c>
      <c r="E570" s="3">
        <f t="shared" si="4"/>
        <v>0.97772536687631029</v>
      </c>
      <c r="F570" s="1" t="s">
        <v>68</v>
      </c>
      <c r="G570" s="1" t="s">
        <v>24</v>
      </c>
      <c r="H570" s="1">
        <v>273227</v>
      </c>
      <c r="I570" s="1">
        <v>408311</v>
      </c>
      <c r="J570" s="7">
        <v>0.66900000000000004</v>
      </c>
      <c r="K570" s="1" t="s">
        <v>21</v>
      </c>
      <c r="L570" s="1" t="s">
        <v>21</v>
      </c>
      <c r="M570" s="1" t="s">
        <v>29</v>
      </c>
      <c r="N570" s="1" t="s">
        <v>22</v>
      </c>
      <c r="O570" s="1" t="str">
        <f t="shared" ca="1" si="5"/>
        <v>Please solve the LeetCode problem '1372. Longest ZigZag Path in a Binary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71" spans="1:15" x14ac:dyDescent="0.25">
      <c r="A571" s="1">
        <v>2035</v>
      </c>
      <c r="B571" s="2" t="str">
        <f>HYPERLINK("https://leetcode.com/problems/partition-array-into-two-arrays-to-minimize-sum-difference/", "Partition Array Into Two Arrays to Minimize Sum Difference")</f>
        <v>Partition Array Into Two Arrays to Minimize Sum Difference</v>
      </c>
      <c r="C571" s="1">
        <v>3711</v>
      </c>
      <c r="D571" s="1">
        <v>253</v>
      </c>
      <c r="E571" s="3">
        <f t="shared" si="4"/>
        <v>0.93617558022199798</v>
      </c>
      <c r="F571" s="1" t="s">
        <v>1355</v>
      </c>
      <c r="G571" s="1" t="s">
        <v>28</v>
      </c>
      <c r="H571" s="1">
        <v>54429</v>
      </c>
      <c r="I571" s="1">
        <v>238678</v>
      </c>
      <c r="J571" s="7">
        <v>0.22800000000000001</v>
      </c>
      <c r="K571" s="1" t="s">
        <v>21</v>
      </c>
      <c r="L571" s="1" t="s">
        <v>29</v>
      </c>
      <c r="M571" s="1" t="s">
        <v>29</v>
      </c>
      <c r="N571" s="1" t="s">
        <v>22</v>
      </c>
      <c r="O571" s="1" t="str">
        <f t="shared" ca="1" si="5"/>
        <v>Please solve the LeetCode problem '2035. Partition Array Into Two Arrays to Minimize Sum Difference'.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72" spans="1:15" x14ac:dyDescent="0.25">
      <c r="A572" s="1">
        <v>766</v>
      </c>
      <c r="B572" s="2" t="str">
        <f>HYPERLINK("https://leetcode.com/problems/toeplitz-matrix/", "Toeplitz Matrix")</f>
        <v>Toeplitz Matrix</v>
      </c>
      <c r="C572" s="1">
        <v>3707</v>
      </c>
      <c r="D572" s="1">
        <v>179</v>
      </c>
      <c r="E572" s="3">
        <f t="shared" si="4"/>
        <v>0.95393721049922797</v>
      </c>
      <c r="F572" s="1" t="s">
        <v>266</v>
      </c>
      <c r="G572" s="1" t="s">
        <v>20</v>
      </c>
      <c r="H572" s="1">
        <v>438624</v>
      </c>
      <c r="I572" s="1">
        <v>630536</v>
      </c>
      <c r="J572" s="7">
        <v>0.69599999999999995</v>
      </c>
      <c r="K572" s="1" t="s">
        <v>21</v>
      </c>
      <c r="L572" s="1" t="s">
        <v>21</v>
      </c>
      <c r="M572" s="1" t="s">
        <v>29</v>
      </c>
      <c r="N572" s="1" t="s">
        <v>22</v>
      </c>
      <c r="O572" s="1" t="str">
        <f t="shared" ca="1" si="5"/>
        <v>Please solve the LeetCode problem '766. Toeplitz Matrix'.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73" spans="1:15" x14ac:dyDescent="0.25">
      <c r="A573" s="1">
        <v>1129</v>
      </c>
      <c r="B573" s="2" t="str">
        <f>HYPERLINK("https://leetcode.com/problems/shortest-path-with-alternating-colors/", "Shortest Path with Alternating Colors")</f>
        <v>Shortest Path with Alternating Colors</v>
      </c>
      <c r="C573" s="1">
        <v>3686</v>
      </c>
      <c r="D573" s="1">
        <v>202</v>
      </c>
      <c r="E573" s="3">
        <f t="shared" si="4"/>
        <v>0.94804526748971196</v>
      </c>
      <c r="F573" s="1" t="s">
        <v>331</v>
      </c>
      <c r="G573" s="1" t="s">
        <v>24</v>
      </c>
      <c r="H573" s="1">
        <v>147656</v>
      </c>
      <c r="I573" s="1">
        <v>310101</v>
      </c>
      <c r="J573" s="7">
        <v>0.47599999999999998</v>
      </c>
      <c r="K573" s="1" t="s">
        <v>21</v>
      </c>
      <c r="L573" s="1" t="s">
        <v>21</v>
      </c>
      <c r="M573" s="1" t="s">
        <v>29</v>
      </c>
      <c r="N573" s="1" t="s">
        <v>22</v>
      </c>
      <c r="O573" s="1" t="str">
        <f t="shared" ca="1" si="5"/>
        <v>Please solve the LeetCode problem '1129. Shortest Path with Alternating Colors'.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74" spans="1:15" x14ac:dyDescent="0.25">
      <c r="A574" s="1">
        <v>832</v>
      </c>
      <c r="B574" s="2" t="str">
        <f>HYPERLINK("https://leetcode.com/problems/flipping-an-image/", "Flipping an Image")</f>
        <v>Flipping an Image</v>
      </c>
      <c r="C574" s="1">
        <v>3684</v>
      </c>
      <c r="D574" s="1">
        <v>257</v>
      </c>
      <c r="E574" s="3">
        <f t="shared" si="4"/>
        <v>0.93478812484141083</v>
      </c>
      <c r="F574" s="1" t="s">
        <v>332</v>
      </c>
      <c r="G574" s="1" t="s">
        <v>20</v>
      </c>
      <c r="H574" s="1">
        <v>538607</v>
      </c>
      <c r="I574" s="1">
        <v>645382</v>
      </c>
      <c r="J574" s="7">
        <v>0.83499999999999996</v>
      </c>
      <c r="K574" s="1" t="s">
        <v>21</v>
      </c>
      <c r="L574" s="1" t="s">
        <v>21</v>
      </c>
      <c r="M574" s="1" t="s">
        <v>29</v>
      </c>
      <c r="N574" s="1" t="s">
        <v>22</v>
      </c>
      <c r="O574" s="1" t="str">
        <f t="shared" ca="1" si="5"/>
        <v>Please solve the LeetCode problem '832. Flipping an Image'.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75" spans="1:15" x14ac:dyDescent="0.25">
      <c r="A575" s="1">
        <v>566</v>
      </c>
      <c r="B575" s="2" t="str">
        <f>HYPERLINK("https://leetcode.com/problems/reshape-the-matrix/", "Reshape the Matrix")</f>
        <v>Reshape the Matrix</v>
      </c>
      <c r="C575" s="1">
        <v>3682</v>
      </c>
      <c r="D575" s="1">
        <v>437</v>
      </c>
      <c r="E575" s="3">
        <f t="shared" si="4"/>
        <v>0.89390628793396454</v>
      </c>
      <c r="F575" s="1" t="s">
        <v>77</v>
      </c>
      <c r="G575" s="1" t="s">
        <v>20</v>
      </c>
      <c r="H575" s="1">
        <v>455752</v>
      </c>
      <c r="I575" s="1">
        <v>705792</v>
      </c>
      <c r="J575" s="7">
        <v>0.64600000000000002</v>
      </c>
      <c r="K575" s="1" t="s">
        <v>21</v>
      </c>
      <c r="L575" s="1" t="s">
        <v>21</v>
      </c>
      <c r="M575" s="1" t="s">
        <v>29</v>
      </c>
      <c r="N575" s="1" t="s">
        <v>22</v>
      </c>
      <c r="O575" s="1" t="str">
        <f t="shared" ca="1" si="5"/>
        <v>Please solve the LeetCode problem '566. Reshape the Matrix'.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76" spans="1:15" x14ac:dyDescent="0.25">
      <c r="A576" s="1">
        <v>950</v>
      </c>
      <c r="B576" s="2" t="str">
        <f>HYPERLINK("https://leetcode.com/problems/reveal-cards-in-increasing-order/", "Reveal Cards In Increasing Order")</f>
        <v>Reveal Cards In Increasing Order</v>
      </c>
      <c r="C576" s="1">
        <v>3673</v>
      </c>
      <c r="D576" s="1">
        <v>704</v>
      </c>
      <c r="E576" s="3">
        <f t="shared" si="4"/>
        <v>0.83915924148960475</v>
      </c>
      <c r="F576" s="1" t="s">
        <v>334</v>
      </c>
      <c r="G576" s="1" t="s">
        <v>24</v>
      </c>
      <c r="H576" s="1">
        <v>229949</v>
      </c>
      <c r="I576" s="1">
        <v>275476</v>
      </c>
      <c r="J576" s="7">
        <v>0.83499999999999996</v>
      </c>
      <c r="K576" s="1" t="s">
        <v>21</v>
      </c>
      <c r="L576" s="1" t="s">
        <v>21</v>
      </c>
      <c r="M576" s="1" t="s">
        <v>29</v>
      </c>
      <c r="N576" s="1" t="s">
        <v>22</v>
      </c>
      <c r="O576" s="1" t="str">
        <f t="shared" ca="1" si="5"/>
        <v>Please solve the LeetCode problem '950. Reveal Cards In Increasing Order'.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77" spans="1:15" x14ac:dyDescent="0.25">
      <c r="A577" s="1">
        <v>1636</v>
      </c>
      <c r="B577" s="2" t="str">
        <f>HYPERLINK("https://leetcode.com/problems/sort-array-by-increasing-frequency/", "Sort Array by Increasing Frequency")</f>
        <v>Sort Array by Increasing Frequency</v>
      </c>
      <c r="C577" s="1">
        <v>3673</v>
      </c>
      <c r="D577" s="1">
        <v>177</v>
      </c>
      <c r="E577" s="3">
        <f t="shared" si="4"/>
        <v>0.954025974025974</v>
      </c>
      <c r="F577" s="1" t="s">
        <v>92</v>
      </c>
      <c r="G577" s="1" t="s">
        <v>20</v>
      </c>
      <c r="H577" s="1">
        <v>336422</v>
      </c>
      <c r="I577" s="1">
        <v>417329</v>
      </c>
      <c r="J577" s="7">
        <v>0.80600000000000005</v>
      </c>
      <c r="K577" s="1" t="s">
        <v>21</v>
      </c>
      <c r="L577" s="1" t="s">
        <v>21</v>
      </c>
      <c r="M577" s="1" t="s">
        <v>29</v>
      </c>
      <c r="N577" s="1" t="s">
        <v>22</v>
      </c>
      <c r="O577" s="1" t="str">
        <f t="shared" ca="1" si="5"/>
        <v>Please solve the LeetCode problem '1636. Sort Array by Increasing Frequency'.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78" spans="1:15" x14ac:dyDescent="0.25">
      <c r="A578" s="1">
        <v>783</v>
      </c>
      <c r="B578" s="2" t="str">
        <f>HYPERLINK("https://leetcode.com/problems/minimum-distance-between-bst-nodes/", "Minimum Distance Between BST Nodes")</f>
        <v>Minimum Distance Between BST Nodes</v>
      </c>
      <c r="C578" s="1">
        <v>3665</v>
      </c>
      <c r="D578" s="1">
        <v>435</v>
      </c>
      <c r="E578" s="3">
        <f t="shared" si="4"/>
        <v>0.89390243902439026</v>
      </c>
      <c r="F578" s="1" t="s">
        <v>273</v>
      </c>
      <c r="G578" s="1" t="s">
        <v>20</v>
      </c>
      <c r="H578" s="1">
        <v>315527</v>
      </c>
      <c r="I578" s="1">
        <v>517661</v>
      </c>
      <c r="J578" s="7">
        <v>0.61</v>
      </c>
      <c r="K578" s="1" t="s">
        <v>21</v>
      </c>
      <c r="L578" s="1" t="s">
        <v>21</v>
      </c>
      <c r="M578" s="1" t="s">
        <v>29</v>
      </c>
      <c r="N578" s="1" t="s">
        <v>22</v>
      </c>
      <c r="O578" s="1" t="str">
        <f t="shared" ca="1" si="5"/>
        <v>Please solve the LeetCode problem '783. Minimum Distance Between BST Nodes'.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79" spans="1:15" x14ac:dyDescent="0.25">
      <c r="A579" s="1">
        <v>326</v>
      </c>
      <c r="B579" s="2" t="str">
        <f>HYPERLINK("https://leetcode.com/problems/power-of-three/", "Power of Three")</f>
        <v>Power of Three</v>
      </c>
      <c r="C579" s="1">
        <v>3664</v>
      </c>
      <c r="D579" s="1">
        <v>315</v>
      </c>
      <c r="E579" s="3">
        <f t="shared" si="4"/>
        <v>0.92083438049761246</v>
      </c>
      <c r="F579" s="1" t="s">
        <v>116</v>
      </c>
      <c r="G579" s="1" t="s">
        <v>20</v>
      </c>
      <c r="H579" s="1">
        <v>1321716</v>
      </c>
      <c r="I579" s="1">
        <v>2615316</v>
      </c>
      <c r="J579" s="7">
        <v>0.505</v>
      </c>
      <c r="K579" s="1" t="s">
        <v>21</v>
      </c>
      <c r="L579" s="1" t="s">
        <v>21</v>
      </c>
      <c r="M579" s="1" t="s">
        <v>29</v>
      </c>
      <c r="N579" s="1" t="s">
        <v>22</v>
      </c>
      <c r="O579" s="1" t="str">
        <f t="shared" ca="1" si="5"/>
        <v>Please solve the LeetCode problem '326. Power of Three'.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80" spans="1:15" x14ac:dyDescent="0.25">
      <c r="A580" s="1">
        <v>846</v>
      </c>
      <c r="B580" s="2" t="str">
        <f>HYPERLINK("https://leetcode.com/problems/hand-of-straights/", "Hand of Straights")</f>
        <v>Hand of Straights</v>
      </c>
      <c r="C580" s="1">
        <v>3664</v>
      </c>
      <c r="D580" s="1">
        <v>292</v>
      </c>
      <c r="E580" s="3">
        <f t="shared" si="4"/>
        <v>0.92618806875631954</v>
      </c>
      <c r="F580" s="1" t="s">
        <v>333</v>
      </c>
      <c r="G580" s="1" t="s">
        <v>24</v>
      </c>
      <c r="H580" s="1">
        <v>428093</v>
      </c>
      <c r="I580" s="1">
        <v>742100</v>
      </c>
      <c r="J580" s="7">
        <v>0.57699999999999996</v>
      </c>
      <c r="K580" s="1" t="s">
        <v>21</v>
      </c>
      <c r="L580" s="1" t="s">
        <v>21</v>
      </c>
      <c r="M580" s="1" t="s">
        <v>29</v>
      </c>
      <c r="N580" s="1" t="s">
        <v>22</v>
      </c>
      <c r="O580" s="1" t="str">
        <f t="shared" ca="1" si="5"/>
        <v>Please solve the LeetCode problem '846. Hand of Straights'.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81" spans="1:15" x14ac:dyDescent="0.25">
      <c r="A581" s="1">
        <v>623</v>
      </c>
      <c r="B581" s="2" t="str">
        <f>HYPERLINK("https://leetcode.com/problems/add-one-row-to-tree/", "Add One Row to Tree")</f>
        <v>Add One Row to Tree</v>
      </c>
      <c r="C581" s="1">
        <v>3658</v>
      </c>
      <c r="D581" s="1">
        <v>270</v>
      </c>
      <c r="E581" s="3">
        <f t="shared" si="4"/>
        <v>0.93126272912423624</v>
      </c>
      <c r="F581" s="1" t="s">
        <v>80</v>
      </c>
      <c r="G581" s="1" t="s">
        <v>24</v>
      </c>
      <c r="H581" s="1">
        <v>300113</v>
      </c>
      <c r="I581" s="1">
        <v>468172</v>
      </c>
      <c r="J581" s="7">
        <v>0.64100000000000001</v>
      </c>
      <c r="K581" s="1" t="s">
        <v>21</v>
      </c>
      <c r="L581" s="1" t="s">
        <v>21</v>
      </c>
      <c r="M581" s="1" t="s">
        <v>29</v>
      </c>
      <c r="N581" s="1" t="s">
        <v>22</v>
      </c>
      <c r="O581" s="1" t="str">
        <f t="shared" ca="1" si="5"/>
        <v>Please solve the LeetCode problem '623. Add One Row to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82" spans="1:15" x14ac:dyDescent="0.25">
      <c r="A582" s="1">
        <v>1021</v>
      </c>
      <c r="B582" s="2" t="str">
        <f>HYPERLINK("https://leetcode.com/problems/remove-outermost-parentheses/", "Remove Outermost Parentheses")</f>
        <v>Remove Outermost Parentheses</v>
      </c>
      <c r="C582" s="1">
        <v>3649</v>
      </c>
      <c r="D582" s="1">
        <v>1709</v>
      </c>
      <c r="E582" s="3">
        <f t="shared" si="4"/>
        <v>0.68103770063456515</v>
      </c>
      <c r="F582" s="1" t="s">
        <v>36</v>
      </c>
      <c r="G582" s="1" t="s">
        <v>20</v>
      </c>
      <c r="H582" s="1">
        <v>612294</v>
      </c>
      <c r="I582" s="1">
        <v>706307</v>
      </c>
      <c r="J582" s="7">
        <v>0.86699999999999999</v>
      </c>
      <c r="K582" s="1" t="s">
        <v>21</v>
      </c>
      <c r="L582" s="1" t="s">
        <v>29</v>
      </c>
      <c r="M582" s="1" t="s">
        <v>29</v>
      </c>
      <c r="N582" s="1" t="s">
        <v>22</v>
      </c>
      <c r="O582" s="1" t="str">
        <f t="shared" ca="1" si="5"/>
        <v>Please solve the LeetCode problem '1021. Remove Outermost Parentheses'.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83" spans="1:15" x14ac:dyDescent="0.25">
      <c r="A583" s="1">
        <v>989</v>
      </c>
      <c r="B583" s="2" t="str">
        <f>HYPERLINK("https://leetcode.com/problems/add-to-array-form-of-integer/", "Add to Array-Form of Integer")</f>
        <v>Add to Array-Form of Integer</v>
      </c>
      <c r="C583" s="1">
        <v>3647</v>
      </c>
      <c r="D583" s="1">
        <v>315</v>
      </c>
      <c r="E583" s="3">
        <f t="shared" si="4"/>
        <v>0.9204946996466431</v>
      </c>
      <c r="F583" s="1" t="s">
        <v>115</v>
      </c>
      <c r="G583" s="1" t="s">
        <v>20</v>
      </c>
      <c r="H583" s="1">
        <v>328950</v>
      </c>
      <c r="I583" s="1">
        <v>725538</v>
      </c>
      <c r="J583" s="7">
        <v>0.45300000000000001</v>
      </c>
      <c r="K583" s="1" t="s">
        <v>21</v>
      </c>
      <c r="L583" s="1" t="s">
        <v>21</v>
      </c>
      <c r="M583" s="1" t="s">
        <v>29</v>
      </c>
      <c r="N583" s="1" t="s">
        <v>22</v>
      </c>
      <c r="O583" s="1" t="str">
        <f t="shared" ca="1" si="5"/>
        <v>Please solve the LeetCode problem '989. Add to Array-Form of Integer'.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84" spans="1:15" x14ac:dyDescent="0.25">
      <c r="A584" s="1">
        <v>769</v>
      </c>
      <c r="B584" s="2" t="str">
        <f>HYPERLINK("https://leetcode.com/problems/max-chunks-to-make-sorted/", "Max Chunks To Make Sorted")</f>
        <v>Max Chunks To Make Sorted</v>
      </c>
      <c r="C584" s="1">
        <v>3634</v>
      </c>
      <c r="D584" s="1">
        <v>364</v>
      </c>
      <c r="E584" s="3">
        <f t="shared" si="4"/>
        <v>0.90895447723861933</v>
      </c>
      <c r="F584" s="1" t="s">
        <v>335</v>
      </c>
      <c r="G584" s="1" t="s">
        <v>24</v>
      </c>
      <c r="H584" s="1">
        <v>233526</v>
      </c>
      <c r="I584" s="1">
        <v>364118</v>
      </c>
      <c r="J584" s="7">
        <v>0.64100000000000001</v>
      </c>
      <c r="K584" s="1" t="s">
        <v>21</v>
      </c>
      <c r="L584" s="1" t="s">
        <v>21</v>
      </c>
      <c r="M584" s="1" t="s">
        <v>29</v>
      </c>
      <c r="N584" s="1" t="s">
        <v>22</v>
      </c>
      <c r="O584" s="1" t="str">
        <f t="shared" ca="1" si="5"/>
        <v>Please solve the LeetCode problem '769. Max Chunks To Make Sorted'.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85" spans="1:15" x14ac:dyDescent="0.25">
      <c r="A585" s="1">
        <v>909</v>
      </c>
      <c r="B585" s="2" t="str">
        <f>HYPERLINK("https://leetcode.com/problems/snakes-and-ladders/", "Snakes and Ladders")</f>
        <v>Snakes and Ladders</v>
      </c>
      <c r="C585" s="1">
        <v>3620</v>
      </c>
      <c r="D585" s="1">
        <v>1325</v>
      </c>
      <c r="E585" s="3">
        <f t="shared" si="4"/>
        <v>0.73205257836198179</v>
      </c>
      <c r="F585" s="1" t="s">
        <v>86</v>
      </c>
      <c r="G585" s="1" t="s">
        <v>24</v>
      </c>
      <c r="H585" s="1">
        <v>351470</v>
      </c>
      <c r="I585" s="1">
        <v>732596</v>
      </c>
      <c r="J585" s="7">
        <v>0.48</v>
      </c>
      <c r="K585" s="1" t="s">
        <v>21</v>
      </c>
      <c r="L585" s="1" t="s">
        <v>21</v>
      </c>
      <c r="M585" s="1" t="s">
        <v>29</v>
      </c>
      <c r="N585" s="1" t="s">
        <v>22</v>
      </c>
      <c r="O585" s="1" t="str">
        <f t="shared" ca="1" si="5"/>
        <v>Please solve the LeetCode problem '909. Snakes and Ladders'.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86" spans="1:15" x14ac:dyDescent="0.25">
      <c r="A586" s="1">
        <v>318</v>
      </c>
      <c r="B586" s="2" t="str">
        <f>HYPERLINK("https://leetcode.com/problems/maximum-product-of-word-lengths/", "Maximum Product of Word Lengths")</f>
        <v>Maximum Product of Word Lengths</v>
      </c>
      <c r="C586" s="1">
        <v>3612</v>
      </c>
      <c r="D586" s="1">
        <v>146</v>
      </c>
      <c r="E586" s="3">
        <f t="shared" si="4"/>
        <v>0.961149547631719</v>
      </c>
      <c r="F586" s="1" t="s">
        <v>336</v>
      </c>
      <c r="G586" s="1" t="s">
        <v>24</v>
      </c>
      <c r="H586" s="1">
        <v>246947</v>
      </c>
      <c r="I586" s="1">
        <v>405101</v>
      </c>
      <c r="J586" s="7">
        <v>0.61</v>
      </c>
      <c r="K586" s="1" t="s">
        <v>21</v>
      </c>
      <c r="L586" s="1" t="s">
        <v>21</v>
      </c>
      <c r="M586" s="1" t="s">
        <v>29</v>
      </c>
      <c r="N586" s="1" t="s">
        <v>22</v>
      </c>
      <c r="O586" s="1" t="str">
        <f t="shared" ca="1" si="5"/>
        <v>Please solve the LeetCode problem '318. Maximum Product of Word Lengths'.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87" spans="1:15" x14ac:dyDescent="0.25">
      <c r="A587" s="1">
        <v>1326</v>
      </c>
      <c r="B587" s="2" t="str">
        <f>HYPERLINK("https://leetcode.com/problems/minimum-number-of-taps-to-open-to-water-a-garden/", "Minimum Number of Taps to Open to Water a Garden")</f>
        <v>Minimum Number of Taps to Open to Water a Garden</v>
      </c>
      <c r="C587" s="1">
        <v>3607</v>
      </c>
      <c r="D587" s="1">
        <v>197</v>
      </c>
      <c r="E587" s="3">
        <f t="shared" si="4"/>
        <v>0.94821240799158779</v>
      </c>
      <c r="F587" s="1" t="s">
        <v>50</v>
      </c>
      <c r="G587" s="1" t="s">
        <v>28</v>
      </c>
      <c r="H587" s="1">
        <v>155793</v>
      </c>
      <c r="I587" s="1">
        <v>306617</v>
      </c>
      <c r="J587" s="7">
        <v>0.50800000000000001</v>
      </c>
      <c r="K587" s="1" t="s">
        <v>21</v>
      </c>
      <c r="L587" s="1" t="s">
        <v>21</v>
      </c>
      <c r="M587" s="1" t="s">
        <v>29</v>
      </c>
      <c r="N587" s="1" t="s">
        <v>22</v>
      </c>
      <c r="O587" s="1" t="str">
        <f t="shared" ca="1" si="5"/>
        <v>Please solve the LeetCode problem '1326. Minimum Number of Taps to Open to Water a Garden'.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88" spans="1:15" x14ac:dyDescent="0.25">
      <c r="A588" s="1">
        <v>87</v>
      </c>
      <c r="B588" s="2" t="str">
        <f>HYPERLINK("https://leetcode.com/problems/scramble-string/", "Scramble String")</f>
        <v>Scramble String</v>
      </c>
      <c r="C588" s="1">
        <v>3600</v>
      </c>
      <c r="D588" s="1">
        <v>1307</v>
      </c>
      <c r="E588" s="3">
        <f t="shared" si="4"/>
        <v>0.73364581210515589</v>
      </c>
      <c r="F588" s="1" t="s">
        <v>82</v>
      </c>
      <c r="G588" s="1" t="s">
        <v>28</v>
      </c>
      <c r="H588" s="1">
        <v>299743</v>
      </c>
      <c r="I588" s="1">
        <v>686831</v>
      </c>
      <c r="J588" s="7">
        <v>0.436</v>
      </c>
      <c r="K588" s="1" t="s">
        <v>21</v>
      </c>
      <c r="L588" s="1" t="s">
        <v>21</v>
      </c>
      <c r="M588" s="1" t="s">
        <v>29</v>
      </c>
      <c r="N588" s="1" t="s">
        <v>22</v>
      </c>
      <c r="O588" s="1" t="str">
        <f t="shared" ca="1" si="5"/>
        <v>Please solve the LeetCode problem '87. Scramble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89" spans="1:15" x14ac:dyDescent="0.25">
      <c r="A589" s="1">
        <v>449</v>
      </c>
      <c r="B589" s="2" t="str">
        <f>HYPERLINK("https://leetcode.com/problems/serialize-and-deserialize-bst/", "Serialize and Deserialize BST")</f>
        <v>Serialize and Deserialize BST</v>
      </c>
      <c r="C589" s="1">
        <v>3585</v>
      </c>
      <c r="D589" s="1">
        <v>180</v>
      </c>
      <c r="E589" s="3">
        <f t="shared" si="4"/>
        <v>0.952191235059761</v>
      </c>
      <c r="F589" s="1" t="s">
        <v>339</v>
      </c>
      <c r="G589" s="1" t="s">
        <v>24</v>
      </c>
      <c r="H589" s="1">
        <v>269277</v>
      </c>
      <c r="I589" s="1">
        <v>454695</v>
      </c>
      <c r="J589" s="7">
        <v>0.59199999999999997</v>
      </c>
      <c r="K589" s="1" t="s">
        <v>21</v>
      </c>
      <c r="L589" s="1" t="s">
        <v>21</v>
      </c>
      <c r="M589" s="1" t="s">
        <v>29</v>
      </c>
      <c r="N589" s="1" t="s">
        <v>22</v>
      </c>
      <c r="O589" s="1" t="str">
        <f t="shared" ca="1" si="5"/>
        <v>Please solve the LeetCode problem '449. Serialize and Deserialize BST'.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90" spans="1:15" x14ac:dyDescent="0.25">
      <c r="A590" s="1">
        <v>187</v>
      </c>
      <c r="B590" s="2" t="str">
        <f>HYPERLINK("https://leetcode.com/problems/repeated-dna-sequences/", "Repeated DNA Sequences")</f>
        <v>Repeated DNA Sequences</v>
      </c>
      <c r="C590" s="1">
        <v>3581</v>
      </c>
      <c r="D590" s="1">
        <v>567</v>
      </c>
      <c r="E590" s="3">
        <f t="shared" si="4"/>
        <v>0.86330761812921886</v>
      </c>
      <c r="F590" s="1" t="s">
        <v>337</v>
      </c>
      <c r="G590" s="1" t="s">
        <v>24</v>
      </c>
      <c r="H590" s="1">
        <v>506612</v>
      </c>
      <c r="I590" s="1">
        <v>962445</v>
      </c>
      <c r="J590" s="7">
        <v>0.52600000000000002</v>
      </c>
      <c r="K590" s="1" t="s">
        <v>21</v>
      </c>
      <c r="L590" s="1" t="s">
        <v>21</v>
      </c>
      <c r="M590" s="1" t="s">
        <v>29</v>
      </c>
      <c r="N590" s="1" t="s">
        <v>22</v>
      </c>
      <c r="O590" s="1" t="str">
        <f t="shared" ca="1" si="5"/>
        <v>Please solve the LeetCode problem '187. Repeated DNA Sequences'.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91" spans="1:15" x14ac:dyDescent="0.25">
      <c r="A591" s="1">
        <v>1396</v>
      </c>
      <c r="B591" s="2" t="str">
        <f>HYPERLINK("https://leetcode.com/problems/design-underground-system/", "Design Underground System")</f>
        <v>Design Underground System</v>
      </c>
      <c r="C591" s="1">
        <v>3576</v>
      </c>
      <c r="D591" s="1">
        <v>178</v>
      </c>
      <c r="E591" s="3">
        <f t="shared" si="4"/>
        <v>0.95258391049547153</v>
      </c>
      <c r="F591" s="1" t="s">
        <v>340</v>
      </c>
      <c r="G591" s="1" t="s">
        <v>24</v>
      </c>
      <c r="H591" s="1">
        <v>263618</v>
      </c>
      <c r="I591" s="1">
        <v>354660</v>
      </c>
      <c r="J591" s="7">
        <v>0.74299999999999999</v>
      </c>
      <c r="K591" s="1" t="s">
        <v>21</v>
      </c>
      <c r="L591" s="1" t="s">
        <v>21</v>
      </c>
      <c r="M591" s="1" t="s">
        <v>29</v>
      </c>
      <c r="N591" s="1" t="s">
        <v>22</v>
      </c>
      <c r="O591" s="1" t="str">
        <f t="shared" ca="1" si="5"/>
        <v>Please solve the LeetCode problem '1396. Design Underground System'.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92" spans="1:15" x14ac:dyDescent="0.25">
      <c r="A592" s="1">
        <v>1335</v>
      </c>
      <c r="B592" s="2" t="str">
        <f>HYPERLINK("https://leetcode.com/problems/minimum-difficulty-of-a-job-schedule/", "Minimum Difficulty of a Job Schedule")</f>
        <v>Minimum Difficulty of a Job Schedule</v>
      </c>
      <c r="C592" s="1">
        <v>3574</v>
      </c>
      <c r="D592" s="1">
        <v>331</v>
      </c>
      <c r="E592" s="3">
        <f t="shared" si="4"/>
        <v>0.91523687580025603</v>
      </c>
      <c r="F592" s="1" t="s">
        <v>30</v>
      </c>
      <c r="G592" s="1" t="s">
        <v>28</v>
      </c>
      <c r="H592" s="1">
        <v>223792</v>
      </c>
      <c r="I592" s="1">
        <v>374817</v>
      </c>
      <c r="J592" s="7">
        <v>0.59699999999999998</v>
      </c>
      <c r="K592" s="1" t="s">
        <v>21</v>
      </c>
      <c r="L592" s="1" t="s">
        <v>21</v>
      </c>
      <c r="M592" s="1" t="s">
        <v>29</v>
      </c>
      <c r="N592" s="1" t="s">
        <v>22</v>
      </c>
      <c r="O592" s="1" t="str">
        <f t="shared" ca="1" si="5"/>
        <v>Please solve the LeetCode problem '1335. Minimum Difficulty of a Job Schedule'.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93" spans="1:15" x14ac:dyDescent="0.25">
      <c r="A593" s="1">
        <v>520</v>
      </c>
      <c r="B593" s="2" t="str">
        <f>HYPERLINK("https://leetcode.com/problems/detect-capital/", "Detect Capital")</f>
        <v>Detect Capital</v>
      </c>
      <c r="C593" s="1">
        <v>3564</v>
      </c>
      <c r="D593" s="1">
        <v>469</v>
      </c>
      <c r="E593" s="3">
        <f t="shared" si="4"/>
        <v>0.88370939747086541</v>
      </c>
      <c r="F593" s="1" t="s">
        <v>146</v>
      </c>
      <c r="G593" s="1" t="s">
        <v>20</v>
      </c>
      <c r="H593" s="1">
        <v>530263</v>
      </c>
      <c r="I593" s="1">
        <v>940525</v>
      </c>
      <c r="J593" s="7">
        <v>0.56399999999999995</v>
      </c>
      <c r="K593" s="1" t="s">
        <v>21</v>
      </c>
      <c r="L593" s="1" t="s">
        <v>21</v>
      </c>
      <c r="M593" s="1" t="s">
        <v>29</v>
      </c>
      <c r="N593" s="1" t="s">
        <v>22</v>
      </c>
      <c r="O593" s="1" t="str">
        <f t="shared" ca="1" si="5"/>
        <v>Please solve the LeetCode problem '520. Detect Capital'.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94" spans="1:15" x14ac:dyDescent="0.25">
      <c r="A594" s="1">
        <v>1329</v>
      </c>
      <c r="B594" s="2" t="str">
        <f>HYPERLINK("https://leetcode.com/problems/sort-the-matrix-diagonally/", "Sort the Matrix Diagonally")</f>
        <v>Sort the Matrix Diagonally</v>
      </c>
      <c r="C594" s="1">
        <v>3562</v>
      </c>
      <c r="D594" s="1">
        <v>239</v>
      </c>
      <c r="E594" s="3">
        <f t="shared" si="4"/>
        <v>0.93712181004998685</v>
      </c>
      <c r="F594" s="1" t="s">
        <v>343</v>
      </c>
      <c r="G594" s="1" t="s">
        <v>24</v>
      </c>
      <c r="H594" s="1">
        <v>193281</v>
      </c>
      <c r="I594" s="1">
        <v>232509</v>
      </c>
      <c r="J594" s="7">
        <v>0.83099999999999996</v>
      </c>
      <c r="K594" s="1" t="s">
        <v>21</v>
      </c>
      <c r="L594" s="1" t="s">
        <v>21</v>
      </c>
      <c r="M594" s="1" t="s">
        <v>21</v>
      </c>
      <c r="N594" s="1" t="s">
        <v>22</v>
      </c>
      <c r="O594" s="1" t="str">
        <f t="shared" ca="1" si="5"/>
        <v>Please solve the LeetCode problem '1329. Sort the Matrix Diagonally'.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95" spans="1:15" x14ac:dyDescent="0.25">
      <c r="A595" s="1">
        <v>1334</v>
      </c>
      <c r="B595" s="2" t="str">
        <f>HYPERLINK("https://leetcode.com/problems/find-the-city-with-the-smallest-number-of-neighbors-at-a-threshold-distance/", "Find the City With the Smallest Number of Neighbors at a Threshold Distance")</f>
        <v>Find the City With the Smallest Number of Neighbors at a Threshold Distance</v>
      </c>
      <c r="C595" s="1">
        <v>3558</v>
      </c>
      <c r="D595" s="1">
        <v>154</v>
      </c>
      <c r="E595" s="3">
        <f t="shared" si="4"/>
        <v>0.95851293103448276</v>
      </c>
      <c r="F595" s="1" t="s">
        <v>338</v>
      </c>
      <c r="G595" s="1" t="s">
        <v>24</v>
      </c>
      <c r="H595" s="1">
        <v>304447</v>
      </c>
      <c r="I595" s="1">
        <v>423593</v>
      </c>
      <c r="J595" s="7">
        <v>0.71899999999999997</v>
      </c>
      <c r="K595" s="1" t="s">
        <v>21</v>
      </c>
      <c r="L595" s="1" t="s">
        <v>21</v>
      </c>
      <c r="M595" s="1" t="s">
        <v>29</v>
      </c>
      <c r="N595" s="1" t="s">
        <v>22</v>
      </c>
      <c r="O595" s="1" t="str">
        <f t="shared" ca="1" si="5"/>
        <v>Please solve the LeetCode problem '1334. Find the City With the Smallest Number of Neighbors at a Threshold Distance'.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96" spans="1:15" x14ac:dyDescent="0.25">
      <c r="A596" s="1">
        <v>1339</v>
      </c>
      <c r="B596" s="2" t="str">
        <f>HYPERLINK("https://leetcode.com/problems/maximum-product-of-splitted-binary-tree/", "Maximum Product of Splitted Binary Tree")</f>
        <v>Maximum Product of Splitted Binary Tree</v>
      </c>
      <c r="C596" s="1">
        <v>3558</v>
      </c>
      <c r="D596" s="1">
        <v>120</v>
      </c>
      <c r="E596" s="3">
        <f t="shared" si="4"/>
        <v>0.96737357259380097</v>
      </c>
      <c r="F596" s="1" t="s">
        <v>67</v>
      </c>
      <c r="G596" s="1" t="s">
        <v>24</v>
      </c>
      <c r="H596" s="1">
        <v>249471</v>
      </c>
      <c r="I596" s="1">
        <v>449397</v>
      </c>
      <c r="J596" s="7">
        <v>0.55500000000000005</v>
      </c>
      <c r="K596" s="1" t="s">
        <v>21</v>
      </c>
      <c r="L596" s="1" t="s">
        <v>21</v>
      </c>
      <c r="M596" s="1" t="s">
        <v>29</v>
      </c>
      <c r="N596" s="1" t="s">
        <v>22</v>
      </c>
      <c r="O596" s="1" t="str">
        <f t="shared" ca="1" si="5"/>
        <v>Please solve the LeetCode problem '1339. Maximum Product of Splitted Binary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97" spans="1:15" x14ac:dyDescent="0.25">
      <c r="A597" s="1">
        <v>363</v>
      </c>
      <c r="B597" s="2" t="str">
        <f>HYPERLINK("https://leetcode.com/problems/max-sum-of-rectangle-no-larger-than-k/", "Max Sum of Rectangle No Larger Than K")</f>
        <v>Max Sum of Rectangle No Larger Than K</v>
      </c>
      <c r="C597" s="1">
        <v>3557</v>
      </c>
      <c r="D597" s="1">
        <v>176</v>
      </c>
      <c r="E597" s="3">
        <f t="shared" si="4"/>
        <v>0.95285293329761589</v>
      </c>
      <c r="F597" s="1" t="s">
        <v>342</v>
      </c>
      <c r="G597" s="1" t="s">
        <v>28</v>
      </c>
      <c r="H597" s="1">
        <v>140424</v>
      </c>
      <c r="I597" s="1">
        <v>310785</v>
      </c>
      <c r="J597" s="7">
        <v>0.45200000000000001</v>
      </c>
      <c r="K597" s="1" t="s">
        <v>21</v>
      </c>
      <c r="L597" s="1" t="s">
        <v>21</v>
      </c>
      <c r="M597" s="1" t="s">
        <v>29</v>
      </c>
      <c r="N597" s="1" t="s">
        <v>22</v>
      </c>
      <c r="O597" s="1" t="str">
        <f t="shared" ca="1" si="5"/>
        <v>Please solve the LeetCode problem '363. Max Sum of Rectangle No Larger Than K'.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98" spans="1:15" x14ac:dyDescent="0.25">
      <c r="A598" s="1">
        <v>1095</v>
      </c>
      <c r="B598" s="2" t="str">
        <f>HYPERLINK("https://leetcode.com/problems/find-in-mountain-array/", "Find in Mountain Array")</f>
        <v>Find in Mountain Array</v>
      </c>
      <c r="C598" s="1">
        <v>3546</v>
      </c>
      <c r="D598" s="1">
        <v>152</v>
      </c>
      <c r="E598" s="3">
        <f t="shared" si="4"/>
        <v>0.95889670091941592</v>
      </c>
      <c r="F598" s="1" t="s">
        <v>341</v>
      </c>
      <c r="G598" s="1" t="s">
        <v>28</v>
      </c>
      <c r="H598" s="1">
        <v>189471</v>
      </c>
      <c r="I598" s="1">
        <v>463047</v>
      </c>
      <c r="J598" s="7">
        <v>0.40899999999999997</v>
      </c>
      <c r="K598" s="1" t="s">
        <v>21</v>
      </c>
      <c r="L598" s="1" t="s">
        <v>21</v>
      </c>
      <c r="M598" s="1" t="s">
        <v>29</v>
      </c>
      <c r="N598" s="1" t="s">
        <v>22</v>
      </c>
      <c r="O598" s="1" t="str">
        <f t="shared" ca="1" si="5"/>
        <v>Please solve the LeetCode problem '1095. Find in Mountain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599" spans="1:15" x14ac:dyDescent="0.25">
      <c r="A599" s="1">
        <v>1696</v>
      </c>
      <c r="B599" s="2" t="str">
        <f>HYPERLINK("https://leetcode.com/problems/jump-game-vi/", "Jump Game VI")</f>
        <v>Jump Game VI</v>
      </c>
      <c r="C599" s="1">
        <v>3545</v>
      </c>
      <c r="D599" s="1">
        <v>125</v>
      </c>
      <c r="E599" s="3">
        <f t="shared" si="4"/>
        <v>0.9659400544959128</v>
      </c>
      <c r="F599" s="1" t="s">
        <v>345</v>
      </c>
      <c r="G599" s="1" t="s">
        <v>24</v>
      </c>
      <c r="H599" s="1">
        <v>125586</v>
      </c>
      <c r="I599" s="1">
        <v>271185</v>
      </c>
      <c r="J599" s="7">
        <v>0.46300000000000002</v>
      </c>
      <c r="K599" s="1" t="s">
        <v>21</v>
      </c>
      <c r="L599" s="1" t="s">
        <v>21</v>
      </c>
      <c r="M599" s="1" t="s">
        <v>29</v>
      </c>
      <c r="N599" s="1" t="s">
        <v>22</v>
      </c>
      <c r="O599" s="1" t="str">
        <f t="shared" ca="1" si="5"/>
        <v>Please solve the LeetCode problem '1696. Jump Game VI'.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00" spans="1:15" x14ac:dyDescent="0.25">
      <c r="A600" s="1">
        <v>164</v>
      </c>
      <c r="B600" s="2" t="str">
        <f>HYPERLINK("https://leetcode.com/problems/maximum-gap/", "Maximum Gap")</f>
        <v>Maximum Gap</v>
      </c>
      <c r="C600" s="1">
        <v>3532</v>
      </c>
      <c r="D600" s="1">
        <v>437</v>
      </c>
      <c r="E600" s="3">
        <f t="shared" si="4"/>
        <v>0.88989669942050897</v>
      </c>
      <c r="F600" s="1" t="s">
        <v>346</v>
      </c>
      <c r="G600" s="1" t="s">
        <v>24</v>
      </c>
      <c r="H600" s="1">
        <v>319858</v>
      </c>
      <c r="I600" s="1">
        <v>625864</v>
      </c>
      <c r="J600" s="7">
        <v>0.51100000000000001</v>
      </c>
      <c r="K600" s="1" t="s">
        <v>21</v>
      </c>
      <c r="L600" s="1" t="s">
        <v>21</v>
      </c>
      <c r="M600" s="1" t="s">
        <v>29</v>
      </c>
      <c r="N600" s="1" t="s">
        <v>22</v>
      </c>
      <c r="O600" s="1" t="str">
        <f t="shared" ca="1" si="5"/>
        <v>Please solve the LeetCode problem '164. Maximum Gap'.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01" spans="1:15" x14ac:dyDescent="0.25">
      <c r="A601" s="1">
        <v>480</v>
      </c>
      <c r="B601" s="2" t="str">
        <f>HYPERLINK("https://leetcode.com/problems/sliding-window-median/", "Sliding Window Median")</f>
        <v>Sliding Window Median</v>
      </c>
      <c r="C601" s="1">
        <v>3531</v>
      </c>
      <c r="D601" s="1">
        <v>233</v>
      </c>
      <c r="E601" s="3">
        <f t="shared" si="4"/>
        <v>0.93809776833156222</v>
      </c>
      <c r="F601" s="1" t="s">
        <v>344</v>
      </c>
      <c r="G601" s="1" t="s">
        <v>28</v>
      </c>
      <c r="H601" s="1">
        <v>210379</v>
      </c>
      <c r="I601" s="1">
        <v>541210</v>
      </c>
      <c r="J601" s="7">
        <v>0.38900000000000001</v>
      </c>
      <c r="K601" s="1" t="s">
        <v>21</v>
      </c>
      <c r="L601" s="1" t="s">
        <v>21</v>
      </c>
      <c r="M601" s="1" t="s">
        <v>29</v>
      </c>
      <c r="N601" s="1" t="s">
        <v>22</v>
      </c>
      <c r="O601" s="1" t="str">
        <f t="shared" ca="1" si="5"/>
        <v>Please solve the LeetCode problem '480. Sliding Window Median'.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02" spans="1:15" x14ac:dyDescent="0.25">
      <c r="A602" s="1">
        <v>916</v>
      </c>
      <c r="B602" s="2" t="str">
        <f>HYPERLINK("https://leetcode.com/problems/word-subsets/", "Word Subsets")</f>
        <v>Word Subsets</v>
      </c>
      <c r="C602" s="1">
        <v>3529</v>
      </c>
      <c r="D602" s="1">
        <v>316</v>
      </c>
      <c r="E602" s="3">
        <f t="shared" si="4"/>
        <v>0.91781534460338099</v>
      </c>
      <c r="F602" s="1" t="s">
        <v>258</v>
      </c>
      <c r="G602" s="1" t="s">
        <v>24</v>
      </c>
      <c r="H602" s="1">
        <v>263921</v>
      </c>
      <c r="I602" s="1">
        <v>472399</v>
      </c>
      <c r="J602" s="7">
        <v>0.55900000000000005</v>
      </c>
      <c r="K602" s="1" t="s">
        <v>21</v>
      </c>
      <c r="L602" s="1" t="s">
        <v>21</v>
      </c>
      <c r="M602" s="1" t="s">
        <v>29</v>
      </c>
      <c r="N602" s="1" t="s">
        <v>22</v>
      </c>
      <c r="O602" s="1" t="str">
        <f t="shared" ca="1" si="5"/>
        <v>Please solve the LeetCode problem '916. Word Subsets'.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03" spans="1:15" x14ac:dyDescent="0.25">
      <c r="A603" s="1">
        <v>1679</v>
      </c>
      <c r="B603" s="2" t="str">
        <f>HYPERLINK("https://leetcode.com/problems/max-number-of-k-sum-pairs/", "Max Number of K-Sum Pairs")</f>
        <v>Max Number of K-Sum Pairs</v>
      </c>
      <c r="C603" s="1">
        <v>3513</v>
      </c>
      <c r="D603" s="1">
        <v>116</v>
      </c>
      <c r="E603" s="3">
        <f t="shared" si="4"/>
        <v>0.96803527142463486</v>
      </c>
      <c r="F603" s="1" t="s">
        <v>347</v>
      </c>
      <c r="G603" s="1" t="s">
        <v>24</v>
      </c>
      <c r="H603" s="1">
        <v>570487</v>
      </c>
      <c r="I603" s="1">
        <v>1004714</v>
      </c>
      <c r="J603" s="7">
        <v>0.56799999999999995</v>
      </c>
      <c r="K603" s="1" t="s">
        <v>21</v>
      </c>
      <c r="L603" s="1" t="s">
        <v>21</v>
      </c>
      <c r="M603" s="1" t="s">
        <v>29</v>
      </c>
      <c r="N603" s="1" t="s">
        <v>22</v>
      </c>
      <c r="O603" s="1" t="str">
        <f t="shared" ca="1" si="5"/>
        <v>Please solve the LeetCode problem '1679. Max Number of K-Sum Pairs'.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04" spans="1:15" x14ac:dyDescent="0.25">
      <c r="A604" s="1">
        <v>1019</v>
      </c>
      <c r="B604" s="2" t="str">
        <f>HYPERLINK("https://leetcode.com/problems/next-greater-node-in-linked-list/", "Next Greater Node In Linked List")</f>
        <v>Next Greater Node In Linked List</v>
      </c>
      <c r="C604" s="1">
        <v>3509</v>
      </c>
      <c r="D604" s="1">
        <v>126</v>
      </c>
      <c r="E604" s="3">
        <f t="shared" si="4"/>
        <v>0.96533700137551581</v>
      </c>
      <c r="F604" s="1" t="s">
        <v>348</v>
      </c>
      <c r="G604" s="1" t="s">
        <v>24</v>
      </c>
      <c r="H604" s="1">
        <v>213105</v>
      </c>
      <c r="I604" s="1">
        <v>334928</v>
      </c>
      <c r="J604" s="7">
        <v>0.63600000000000001</v>
      </c>
      <c r="K604" s="1" t="s">
        <v>21</v>
      </c>
      <c r="L604" s="1" t="s">
        <v>21</v>
      </c>
      <c r="M604" s="1" t="s">
        <v>29</v>
      </c>
      <c r="N604" s="1" t="s">
        <v>22</v>
      </c>
      <c r="O604" s="1" t="str">
        <f t="shared" ca="1" si="5"/>
        <v>Please solve the LeetCode problem '1019. Next Greater Node In Linked List'.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05" spans="1:15" x14ac:dyDescent="0.25">
      <c r="A605" s="1">
        <v>462</v>
      </c>
      <c r="B605" s="2" t="str">
        <f>HYPERLINK("https://leetcode.com/problems/minimum-moves-to-equal-array-elements-ii/", "Minimum Moves to Equal Array Elements II")</f>
        <v>Minimum Moves to Equal Array Elements II</v>
      </c>
      <c r="C605" s="1">
        <v>3506</v>
      </c>
      <c r="D605" s="1">
        <v>132</v>
      </c>
      <c r="E605" s="3">
        <f t="shared" si="4"/>
        <v>0.96371632765255633</v>
      </c>
      <c r="F605" s="1" t="s">
        <v>284</v>
      </c>
      <c r="G605" s="1" t="s">
        <v>24</v>
      </c>
      <c r="H605" s="1">
        <v>218884</v>
      </c>
      <c r="I605" s="1">
        <v>356288</v>
      </c>
      <c r="J605" s="7">
        <v>0.61399999999999999</v>
      </c>
      <c r="K605" s="1" t="s">
        <v>21</v>
      </c>
      <c r="L605" s="1" t="s">
        <v>21</v>
      </c>
      <c r="M605" s="1" t="s">
        <v>29</v>
      </c>
      <c r="N605" s="1" t="s">
        <v>22</v>
      </c>
      <c r="O605" s="1" t="str">
        <f t="shared" ca="1" si="5"/>
        <v>Please solve the LeetCode problem '462. Minimum Moves to Equal Array Elements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06" spans="1:15" x14ac:dyDescent="0.25">
      <c r="A606" s="1">
        <v>877</v>
      </c>
      <c r="B606" s="2" t="str">
        <f>HYPERLINK("https://leetcode.com/problems/stone-game/", "Stone Game")</f>
        <v>Stone Game</v>
      </c>
      <c r="C606" s="1">
        <v>3503</v>
      </c>
      <c r="D606" s="1">
        <v>2956</v>
      </c>
      <c r="E606" s="3">
        <f t="shared" si="4"/>
        <v>0.54234401610156369</v>
      </c>
      <c r="F606" s="1" t="s">
        <v>349</v>
      </c>
      <c r="G606" s="1" t="s">
        <v>24</v>
      </c>
      <c r="H606" s="1">
        <v>315191</v>
      </c>
      <c r="I606" s="1">
        <v>435146</v>
      </c>
      <c r="J606" s="7">
        <v>0.72399999999999998</v>
      </c>
      <c r="K606" s="1" t="s">
        <v>21</v>
      </c>
      <c r="L606" s="1" t="s">
        <v>21</v>
      </c>
      <c r="M606" s="1" t="s">
        <v>29</v>
      </c>
      <c r="N606" s="1" t="s">
        <v>22</v>
      </c>
      <c r="O606" s="1" t="str">
        <f t="shared" ca="1" si="5"/>
        <v>Please solve the LeetCode problem '877. Stone Game'.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07" spans="1:15" x14ac:dyDescent="0.25">
      <c r="A607" s="1">
        <v>1402</v>
      </c>
      <c r="B607" s="2" t="str">
        <f>HYPERLINK("https://leetcode.com/problems/reducing-dishes/", "Reducing Dishes")</f>
        <v>Reducing Dishes</v>
      </c>
      <c r="C607" s="1">
        <v>3497</v>
      </c>
      <c r="D607" s="1">
        <v>317</v>
      </c>
      <c r="E607" s="3">
        <f t="shared" si="4"/>
        <v>0.91688515993707398</v>
      </c>
      <c r="F607" s="1" t="s">
        <v>154</v>
      </c>
      <c r="G607" s="1" t="s">
        <v>28</v>
      </c>
      <c r="H607" s="1">
        <v>180693</v>
      </c>
      <c r="I607" s="1">
        <v>235958</v>
      </c>
      <c r="J607" s="7">
        <v>0.76600000000000001</v>
      </c>
      <c r="K607" s="1" t="s">
        <v>21</v>
      </c>
      <c r="L607" s="1" t="s">
        <v>21</v>
      </c>
      <c r="M607" s="1" t="s">
        <v>29</v>
      </c>
      <c r="N607" s="1" t="s">
        <v>22</v>
      </c>
      <c r="O607" s="1" t="str">
        <f t="shared" ca="1" si="5"/>
        <v>Please solve the LeetCode problem '1402. Reducing Dishes'.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08" spans="1:15" x14ac:dyDescent="0.25">
      <c r="A608" s="1">
        <v>1283</v>
      </c>
      <c r="B608" s="2" t="str">
        <f>HYPERLINK("https://leetcode.com/problems/find-the-smallest-divisor-given-a-threshold/", "Find the Smallest Divisor Given a Threshold")</f>
        <v>Find the Smallest Divisor Given a Threshold</v>
      </c>
      <c r="C608" s="1">
        <v>3495</v>
      </c>
      <c r="D608" s="1">
        <v>225</v>
      </c>
      <c r="E608" s="3">
        <f t="shared" si="4"/>
        <v>0.93951612903225812</v>
      </c>
      <c r="F608" s="1" t="s">
        <v>35</v>
      </c>
      <c r="G608" s="1" t="s">
        <v>24</v>
      </c>
      <c r="H608" s="1">
        <v>409889</v>
      </c>
      <c r="I608" s="1">
        <v>628469</v>
      </c>
      <c r="J608" s="7">
        <v>0.65200000000000002</v>
      </c>
      <c r="K608" s="1" t="s">
        <v>21</v>
      </c>
      <c r="L608" s="1" t="s">
        <v>21</v>
      </c>
      <c r="M608" s="1" t="s">
        <v>29</v>
      </c>
      <c r="N608" s="1" t="s">
        <v>22</v>
      </c>
      <c r="O608" s="1" t="str">
        <f t="shared" ca="1" si="5"/>
        <v>Please solve the LeetCode problem '1283. Find the Smallest Divisor Given a Threshold'.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09" spans="1:15" x14ac:dyDescent="0.25">
      <c r="A609" s="1">
        <v>1171</v>
      </c>
      <c r="B609" s="2" t="str">
        <f>HYPERLINK("https://leetcode.com/problems/remove-zero-sum-consecutive-nodes-from-linked-list/", "Remove Zero Sum Consecutive Nodes from Linked List")</f>
        <v>Remove Zero Sum Consecutive Nodes from Linked List</v>
      </c>
      <c r="C609" s="1">
        <v>3493</v>
      </c>
      <c r="D609" s="1">
        <v>225</v>
      </c>
      <c r="E609" s="3">
        <f t="shared" si="4"/>
        <v>0.93948359332974718</v>
      </c>
      <c r="F609" s="1" t="s">
        <v>85</v>
      </c>
      <c r="G609" s="1" t="s">
        <v>24</v>
      </c>
      <c r="H609" s="1">
        <v>184642</v>
      </c>
      <c r="I609" s="1">
        <v>348016</v>
      </c>
      <c r="J609" s="7">
        <v>0.53100000000000003</v>
      </c>
      <c r="K609" s="1" t="s">
        <v>21</v>
      </c>
      <c r="L609" s="1" t="s">
        <v>21</v>
      </c>
      <c r="M609" s="1" t="s">
        <v>29</v>
      </c>
      <c r="N609" s="1" t="s">
        <v>22</v>
      </c>
      <c r="O609" s="1" t="str">
        <f t="shared" ca="1" si="5"/>
        <v>Please solve the LeetCode problem '1171. Remove Zero Sum Consecutive Nodes from Linked List'.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10" spans="1:15" x14ac:dyDescent="0.25">
      <c r="A610" s="1">
        <v>172</v>
      </c>
      <c r="B610" s="2" t="str">
        <f>HYPERLINK("https://leetcode.com/problems/factorial-trailing-zeroes/", "Factorial Trailing Zeroes")</f>
        <v>Factorial Trailing Zeroes</v>
      </c>
      <c r="C610" s="1">
        <v>3488</v>
      </c>
      <c r="D610" s="1">
        <v>1988</v>
      </c>
      <c r="E610" s="3">
        <f t="shared" si="4"/>
        <v>0.63696128560993426</v>
      </c>
      <c r="F610" s="1" t="s">
        <v>84</v>
      </c>
      <c r="G610" s="1" t="s">
        <v>24</v>
      </c>
      <c r="H610" s="1">
        <v>629370</v>
      </c>
      <c r="I610" s="1">
        <v>1370165</v>
      </c>
      <c r="J610" s="7">
        <v>0.45900000000000002</v>
      </c>
      <c r="K610" s="1" t="s">
        <v>21</v>
      </c>
      <c r="L610" s="1" t="s">
        <v>21</v>
      </c>
      <c r="M610" s="1" t="s">
        <v>29</v>
      </c>
      <c r="N610" s="1" t="s">
        <v>22</v>
      </c>
      <c r="O610" s="1" t="str">
        <f t="shared" ca="1" si="5"/>
        <v>Please solve the LeetCode problem '172. Factorial Trailing Zeroes'.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11" spans="1:15" x14ac:dyDescent="0.25">
      <c r="A611" s="1">
        <v>446</v>
      </c>
      <c r="B611" s="2" t="str">
        <f>HYPERLINK("https://leetcode.com/problems/arithmetic-slices-ii-subsequence/", "Arithmetic Slices II - Subsequence")</f>
        <v>Arithmetic Slices II - Subsequence</v>
      </c>
      <c r="C611" s="1">
        <v>3488</v>
      </c>
      <c r="D611" s="1">
        <v>165</v>
      </c>
      <c r="E611" s="3">
        <f t="shared" si="4"/>
        <v>0.95483164522310426</v>
      </c>
      <c r="F611" s="1" t="s">
        <v>30</v>
      </c>
      <c r="G611" s="1" t="s">
        <v>28</v>
      </c>
      <c r="H611" s="1">
        <v>166325</v>
      </c>
      <c r="I611" s="1">
        <v>303074</v>
      </c>
      <c r="J611" s="7">
        <v>0.54900000000000004</v>
      </c>
      <c r="K611" s="1" t="s">
        <v>21</v>
      </c>
      <c r="L611" s="1" t="s">
        <v>21</v>
      </c>
      <c r="M611" s="1" t="s">
        <v>29</v>
      </c>
      <c r="N611" s="1" t="s">
        <v>22</v>
      </c>
      <c r="O611" s="1" t="str">
        <f t="shared" ca="1" si="5"/>
        <v>Please solve the LeetCode problem '446. Arithmetic Slices II - Subsequence'.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12" spans="1:15" x14ac:dyDescent="0.25">
      <c r="A612" s="1">
        <v>314</v>
      </c>
      <c r="B612" s="2" t="str">
        <f>HYPERLINK("https://leetcode.com/problems/binary-tree-vertical-order-traversal/", "Binary Tree Vertical Order Traversal")</f>
        <v>Binary Tree Vertical Order Traversal</v>
      </c>
      <c r="C612" s="1">
        <v>3462</v>
      </c>
      <c r="D612" s="1">
        <v>354</v>
      </c>
      <c r="E612" s="3">
        <f t="shared" si="4"/>
        <v>0.90723270440251569</v>
      </c>
      <c r="F612" s="1" t="s">
        <v>163</v>
      </c>
      <c r="G612" s="1" t="s">
        <v>24</v>
      </c>
      <c r="H612" s="1">
        <v>587310</v>
      </c>
      <c r="I612" s="1">
        <v>1017918</v>
      </c>
      <c r="J612" s="7">
        <v>0.57699999999999996</v>
      </c>
      <c r="K612" s="1" t="s">
        <v>29</v>
      </c>
      <c r="L612" s="1" t="s">
        <v>21</v>
      </c>
      <c r="M612" s="1" t="s">
        <v>29</v>
      </c>
      <c r="N612" s="1" t="s">
        <v>22</v>
      </c>
      <c r="O612" s="1" t="str">
        <f t="shared" ca="1" si="5"/>
        <v>Please solve the LeetCode problem '314. Binary Tree Vertical Order Traversal'.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13" spans="1:15" x14ac:dyDescent="0.25">
      <c r="A613" s="1">
        <v>1834</v>
      </c>
      <c r="B613" s="2" t="str">
        <f>HYPERLINK("https://leetcode.com/problems/single-threaded-cpu/", "Single-Threaded CPU")</f>
        <v>Single-Threaded CPU</v>
      </c>
      <c r="C613" s="1">
        <v>3459</v>
      </c>
      <c r="D613" s="1">
        <v>288</v>
      </c>
      <c r="E613" s="3">
        <f t="shared" si="4"/>
        <v>0.92313851080864695</v>
      </c>
      <c r="F613" s="1" t="s">
        <v>350</v>
      </c>
      <c r="G613" s="1" t="s">
        <v>24</v>
      </c>
      <c r="H613" s="1">
        <v>147294</v>
      </c>
      <c r="I613" s="1">
        <v>312315</v>
      </c>
      <c r="J613" s="7">
        <v>0.47199999999999998</v>
      </c>
      <c r="K613" s="1" t="s">
        <v>21</v>
      </c>
      <c r="L613" s="1" t="s">
        <v>21</v>
      </c>
      <c r="M613" s="1" t="s">
        <v>29</v>
      </c>
      <c r="N613" s="1" t="s">
        <v>22</v>
      </c>
      <c r="O613" s="1" t="str">
        <f t="shared" ca="1" si="5"/>
        <v>Please solve the LeetCode problem '1834. Single-Threaded CPU'.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14" spans="1:15" x14ac:dyDescent="0.25">
      <c r="A614" s="1">
        <v>414</v>
      </c>
      <c r="B614" s="2" t="str">
        <f>HYPERLINK("https://leetcode.com/problems/third-maximum-number/", "Third Maximum Number")</f>
        <v>Third Maximum Number</v>
      </c>
      <c r="C614" s="1">
        <v>3454</v>
      </c>
      <c r="D614" s="1">
        <v>3476</v>
      </c>
      <c r="E614" s="3">
        <f t="shared" si="4"/>
        <v>0.49841269841269842</v>
      </c>
      <c r="F614" s="1" t="s">
        <v>42</v>
      </c>
      <c r="G614" s="1" t="s">
        <v>20</v>
      </c>
      <c r="H614" s="1">
        <v>784647</v>
      </c>
      <c r="I614" s="1">
        <v>2036231</v>
      </c>
      <c r="J614" s="7">
        <v>0.38500000000000001</v>
      </c>
      <c r="K614" s="1" t="s">
        <v>21</v>
      </c>
      <c r="L614" s="1" t="s">
        <v>21</v>
      </c>
      <c r="M614" s="1" t="s">
        <v>29</v>
      </c>
      <c r="N614" s="1" t="s">
        <v>22</v>
      </c>
      <c r="O614" s="1" t="str">
        <f t="shared" ca="1" si="5"/>
        <v>Please solve the LeetCode problem '414. Third Maximum Number'.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15" spans="1:15" x14ac:dyDescent="0.25">
      <c r="A615" s="1">
        <v>261</v>
      </c>
      <c r="B615" s="2" t="str">
        <f>HYPERLINK("https://leetcode.com/problems/graph-valid-tree/", "Graph Valid Tree")</f>
        <v>Graph Valid Tree</v>
      </c>
      <c r="C615" s="1">
        <v>3451</v>
      </c>
      <c r="D615" s="1">
        <v>115</v>
      </c>
      <c r="E615" s="3">
        <f t="shared" si="4"/>
        <v>0.96775098149186767</v>
      </c>
      <c r="F615" s="1" t="s">
        <v>122</v>
      </c>
      <c r="G615" s="1" t="s">
        <v>24</v>
      </c>
      <c r="H615" s="1">
        <v>517862</v>
      </c>
      <c r="I615" s="1">
        <v>1040831</v>
      </c>
      <c r="J615" s="7">
        <v>0.498</v>
      </c>
      <c r="K615" s="1" t="s">
        <v>29</v>
      </c>
      <c r="L615" s="1" t="s">
        <v>21</v>
      </c>
      <c r="M615" s="1" t="s">
        <v>29</v>
      </c>
      <c r="N615" s="1" t="s">
        <v>22</v>
      </c>
      <c r="O615" s="1" t="str">
        <f t="shared" ca="1" si="5"/>
        <v>Please solve the LeetCode problem '261. Graph Valid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16" spans="1:15" x14ac:dyDescent="0.25">
      <c r="A616" s="1">
        <v>1022</v>
      </c>
      <c r="B616" s="2" t="str">
        <f>HYPERLINK("https://leetcode.com/problems/sum-of-root-to-leaf-binary-numbers/", "Sum of Root To Leaf Binary Numbers")</f>
        <v>Sum of Root To Leaf Binary Numbers</v>
      </c>
      <c r="C616" s="1">
        <v>3440</v>
      </c>
      <c r="D616" s="1">
        <v>196</v>
      </c>
      <c r="E616" s="3">
        <f t="shared" si="4"/>
        <v>0.94609460946094615</v>
      </c>
      <c r="F616" s="1" t="s">
        <v>67</v>
      </c>
      <c r="G616" s="1" t="s">
        <v>20</v>
      </c>
      <c r="H616" s="1">
        <v>246018</v>
      </c>
      <c r="I616" s="1">
        <v>334101</v>
      </c>
      <c r="J616" s="7">
        <v>0.73599999999999999</v>
      </c>
      <c r="K616" s="1" t="s">
        <v>21</v>
      </c>
      <c r="L616" s="1" t="s">
        <v>21</v>
      </c>
      <c r="M616" s="1" t="s">
        <v>29</v>
      </c>
      <c r="N616" s="1" t="s">
        <v>22</v>
      </c>
      <c r="O616" s="1" t="str">
        <f t="shared" ca="1" si="5"/>
        <v>Please solve the LeetCode problem '1022. Sum of Root To Leaf Binary Numbers'.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17" spans="1:15" x14ac:dyDescent="0.25">
      <c r="A617" s="1">
        <v>1395</v>
      </c>
      <c r="B617" s="2" t="str">
        <f>HYPERLINK("https://leetcode.com/problems/count-number-of-teams/", "Count Number of Teams")</f>
        <v>Count Number of Teams</v>
      </c>
      <c r="C617" s="1">
        <v>3439</v>
      </c>
      <c r="D617" s="1">
        <v>237</v>
      </c>
      <c r="E617" s="3">
        <f t="shared" si="4"/>
        <v>0.93552774755168666</v>
      </c>
      <c r="F617" s="1" t="s">
        <v>186</v>
      </c>
      <c r="G617" s="1" t="s">
        <v>24</v>
      </c>
      <c r="H617" s="1">
        <v>240917</v>
      </c>
      <c r="I617" s="1">
        <v>343524</v>
      </c>
      <c r="J617" s="7">
        <v>0.70099999999999996</v>
      </c>
      <c r="K617" s="1" t="s">
        <v>21</v>
      </c>
      <c r="L617" s="1" t="s">
        <v>21</v>
      </c>
      <c r="M617" s="1" t="s">
        <v>29</v>
      </c>
      <c r="N617" s="1" t="s">
        <v>22</v>
      </c>
      <c r="O617" s="1" t="str">
        <f t="shared" ca="1" si="5"/>
        <v>Please solve the LeetCode problem '1395. Count Number of Teams'.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18" spans="1:15" x14ac:dyDescent="0.25">
      <c r="A618" s="1">
        <v>948</v>
      </c>
      <c r="B618" s="2" t="str">
        <f>HYPERLINK("https://leetcode.com/problems/bag-of-tokens/", "Bag of Tokens")</f>
        <v>Bag of Tokens</v>
      </c>
      <c r="C618" s="1">
        <v>3438</v>
      </c>
      <c r="D618" s="1">
        <v>546</v>
      </c>
      <c r="E618" s="3">
        <f t="shared" si="4"/>
        <v>0.86295180722891562</v>
      </c>
      <c r="F618" s="1" t="s">
        <v>203</v>
      </c>
      <c r="G618" s="1" t="s">
        <v>24</v>
      </c>
      <c r="H618" s="1">
        <v>260669</v>
      </c>
      <c r="I618" s="1">
        <v>438531</v>
      </c>
      <c r="J618" s="7">
        <v>0.59399999999999997</v>
      </c>
      <c r="K618" s="1" t="s">
        <v>21</v>
      </c>
      <c r="L618" s="1" t="s">
        <v>21</v>
      </c>
      <c r="M618" s="1" t="s">
        <v>29</v>
      </c>
      <c r="N618" s="1" t="s">
        <v>22</v>
      </c>
      <c r="O618" s="1" t="str">
        <f t="shared" ca="1" si="5"/>
        <v>Please solve the LeetCode problem '948. Bag of Tokens'.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19" spans="1:15" x14ac:dyDescent="0.25">
      <c r="A619" s="1">
        <v>1140</v>
      </c>
      <c r="B619" s="2" t="str">
        <f>HYPERLINK("https://leetcode.com/problems/stone-game-ii/", "Stone Game II")</f>
        <v>Stone Game II</v>
      </c>
      <c r="C619" s="1">
        <v>3428</v>
      </c>
      <c r="D619" s="1">
        <v>937</v>
      </c>
      <c r="E619" s="3">
        <f t="shared" si="4"/>
        <v>0.78533791523482244</v>
      </c>
      <c r="F619" s="1" t="s">
        <v>352</v>
      </c>
      <c r="G619" s="1" t="s">
        <v>24</v>
      </c>
      <c r="H619" s="1">
        <v>194629</v>
      </c>
      <c r="I619" s="1">
        <v>266945</v>
      </c>
      <c r="J619" s="7">
        <v>0.72899999999999998</v>
      </c>
      <c r="K619" s="1" t="s">
        <v>21</v>
      </c>
      <c r="L619" s="1" t="s">
        <v>29</v>
      </c>
      <c r="M619" s="1" t="s">
        <v>29</v>
      </c>
      <c r="N619" s="1" t="s">
        <v>22</v>
      </c>
      <c r="O619" s="1" t="str">
        <f t="shared" ca="1" si="5"/>
        <v>Please solve the LeetCode problem '1140. Stone Game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20" spans="1:15" x14ac:dyDescent="0.25">
      <c r="A620" s="1">
        <v>1219</v>
      </c>
      <c r="B620" s="2" t="str">
        <f>HYPERLINK("https://leetcode.com/problems/path-with-maximum-gold/", "Path with Maximum Gold")</f>
        <v>Path with Maximum Gold</v>
      </c>
      <c r="C620" s="1">
        <v>3422</v>
      </c>
      <c r="D620" s="1">
        <v>104</v>
      </c>
      <c r="E620" s="3">
        <f t="shared" si="4"/>
        <v>0.970504821327283</v>
      </c>
      <c r="F620" s="1" t="s">
        <v>353</v>
      </c>
      <c r="G620" s="1" t="s">
        <v>24</v>
      </c>
      <c r="H620" s="1">
        <v>249564</v>
      </c>
      <c r="I620" s="1">
        <v>365554</v>
      </c>
      <c r="J620" s="7">
        <v>0.68300000000000005</v>
      </c>
      <c r="K620" s="1" t="s">
        <v>21</v>
      </c>
      <c r="L620" s="1" t="s">
        <v>21</v>
      </c>
      <c r="M620" s="1" t="s">
        <v>29</v>
      </c>
      <c r="N620" s="1" t="s">
        <v>22</v>
      </c>
      <c r="O620" s="1" t="str">
        <f t="shared" ca="1" si="5"/>
        <v>Please solve the LeetCode problem '1219. Path with Maximum Gold'.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21" spans="1:15" x14ac:dyDescent="0.25">
      <c r="A621" s="1">
        <v>633</v>
      </c>
      <c r="B621" s="2" t="str">
        <f>HYPERLINK("https://leetcode.com/problems/sum-of-square-numbers/", "Sum of Square Numbers")</f>
        <v>Sum of Square Numbers</v>
      </c>
      <c r="C621" s="1">
        <v>3421</v>
      </c>
      <c r="D621" s="1">
        <v>618</v>
      </c>
      <c r="E621" s="3">
        <f t="shared" si="4"/>
        <v>0.84699182966080711</v>
      </c>
      <c r="F621" s="1" t="s">
        <v>351</v>
      </c>
      <c r="G621" s="1" t="s">
        <v>24</v>
      </c>
      <c r="H621" s="1">
        <v>425819</v>
      </c>
      <c r="I621" s="1">
        <v>1160676</v>
      </c>
      <c r="J621" s="7">
        <v>0.36699999999999999</v>
      </c>
      <c r="K621" s="1" t="s">
        <v>21</v>
      </c>
      <c r="L621" s="1" t="s">
        <v>21</v>
      </c>
      <c r="M621" s="1" t="s">
        <v>29</v>
      </c>
      <c r="N621" s="1" t="s">
        <v>22</v>
      </c>
      <c r="O621" s="1" t="str">
        <f t="shared" ca="1" si="5"/>
        <v>Please solve the LeetCode problem '633. Sum of Square Numbers'.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22" spans="1:15" x14ac:dyDescent="0.25">
      <c r="A622" s="1">
        <v>526</v>
      </c>
      <c r="B622" s="2" t="str">
        <f>HYPERLINK("https://leetcode.com/problems/beautiful-arrangement/", "Beautiful Arrangement")</f>
        <v>Beautiful Arrangement</v>
      </c>
      <c r="C622" s="1">
        <v>3387</v>
      </c>
      <c r="D622" s="1">
        <v>389</v>
      </c>
      <c r="E622" s="3">
        <f t="shared" si="4"/>
        <v>0.89698093220338981</v>
      </c>
      <c r="F622" s="1" t="s">
        <v>1354</v>
      </c>
      <c r="G622" s="1" t="s">
        <v>24</v>
      </c>
      <c r="H622" s="1">
        <v>211166</v>
      </c>
      <c r="I622" s="1">
        <v>326280</v>
      </c>
      <c r="J622" s="7">
        <v>0.64700000000000002</v>
      </c>
      <c r="K622" s="1" t="s">
        <v>21</v>
      </c>
      <c r="L622" s="1" t="s">
        <v>21</v>
      </c>
      <c r="M622" s="1" t="s">
        <v>29</v>
      </c>
      <c r="N622" s="1" t="s">
        <v>22</v>
      </c>
      <c r="O622" s="1" t="str">
        <f t="shared" ca="1" si="5"/>
        <v>Please solve the LeetCode problem '526. Beautiful Arrangement'.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23" spans="1:15" x14ac:dyDescent="0.25">
      <c r="A623" s="1">
        <v>1695</v>
      </c>
      <c r="B623" s="2" t="str">
        <f>HYPERLINK("https://leetcode.com/problems/maximum-erasure-value/", "Maximum Erasure Value")</f>
        <v>Maximum Erasure Value</v>
      </c>
      <c r="C623" s="1">
        <v>3387</v>
      </c>
      <c r="D623" s="1">
        <v>65</v>
      </c>
      <c r="E623" s="3">
        <f t="shared" si="4"/>
        <v>0.98117033603707993</v>
      </c>
      <c r="F623" s="1" t="s">
        <v>185</v>
      </c>
      <c r="G623" s="1" t="s">
        <v>24</v>
      </c>
      <c r="H623" s="1">
        <v>289521</v>
      </c>
      <c r="I623" s="1">
        <v>451856</v>
      </c>
      <c r="J623" s="7">
        <v>0.64100000000000001</v>
      </c>
      <c r="K623" s="1" t="s">
        <v>21</v>
      </c>
      <c r="L623" s="1" t="s">
        <v>21</v>
      </c>
      <c r="M623" s="1" t="s">
        <v>29</v>
      </c>
      <c r="N623" s="1" t="s">
        <v>22</v>
      </c>
      <c r="O623" s="1" t="str">
        <f t="shared" ca="1" si="5"/>
        <v>Please solve the LeetCode problem '1695. Maximum Erasure Value'.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24" spans="1:15" x14ac:dyDescent="0.25">
      <c r="A624" s="1">
        <v>976</v>
      </c>
      <c r="B624" s="2" t="str">
        <f>HYPERLINK("https://leetcode.com/problems/largest-perimeter-triangle/", "Largest Perimeter Triangle")</f>
        <v>Largest Perimeter Triangle</v>
      </c>
      <c r="C624" s="1">
        <v>3381</v>
      </c>
      <c r="D624" s="1">
        <v>443</v>
      </c>
      <c r="E624" s="3">
        <f t="shared" si="4"/>
        <v>0.88415271966527198</v>
      </c>
      <c r="F624" s="1" t="s">
        <v>354</v>
      </c>
      <c r="G624" s="1" t="s">
        <v>20</v>
      </c>
      <c r="H624" s="1">
        <v>413469</v>
      </c>
      <c r="I624" s="1">
        <v>669296</v>
      </c>
      <c r="J624" s="7">
        <v>0.61799999999999999</v>
      </c>
      <c r="K624" s="1" t="s">
        <v>21</v>
      </c>
      <c r="L624" s="1" t="s">
        <v>21</v>
      </c>
      <c r="M624" s="1" t="s">
        <v>29</v>
      </c>
      <c r="N624" s="1" t="s">
        <v>22</v>
      </c>
      <c r="O624" s="1" t="str">
        <f t="shared" ca="1" si="5"/>
        <v>Please solve the LeetCode problem '976. Largest Perimeter Triangle'.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25" spans="1:15" x14ac:dyDescent="0.25">
      <c r="A625" s="1">
        <v>889</v>
      </c>
      <c r="B625" s="2" t="str">
        <f>HYPERLINK("https://leetcode.com/problems/construct-binary-tree-from-preorder-and-postorder-traversal/", "Construct Binary Tree from Preorder and Postorder Traversal")</f>
        <v>Construct Binary Tree from Preorder and Postorder Traversal</v>
      </c>
      <c r="C625" s="1">
        <v>3379</v>
      </c>
      <c r="D625" s="1">
        <v>159</v>
      </c>
      <c r="E625" s="3">
        <f t="shared" si="4"/>
        <v>0.95505935556811761</v>
      </c>
      <c r="F625" s="1" t="s">
        <v>81</v>
      </c>
      <c r="G625" s="1" t="s">
        <v>24</v>
      </c>
      <c r="H625" s="1">
        <v>215677</v>
      </c>
      <c r="I625" s="1">
        <v>276315</v>
      </c>
      <c r="J625" s="7">
        <v>0.78100000000000003</v>
      </c>
      <c r="K625" s="1" t="s">
        <v>21</v>
      </c>
      <c r="L625" s="1" t="s">
        <v>21</v>
      </c>
      <c r="M625" s="1" t="s">
        <v>29</v>
      </c>
      <c r="N625" s="1" t="s">
        <v>22</v>
      </c>
      <c r="O625" s="1" t="str">
        <f t="shared" ca="1" si="5"/>
        <v>Please solve the LeetCode problem '889. Construct Binary Tree from Preorder and Postorder Traversal'.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26" spans="1:15" x14ac:dyDescent="0.25">
      <c r="A626" s="1">
        <v>147</v>
      </c>
      <c r="B626" s="2" t="str">
        <f>HYPERLINK("https://leetcode.com/problems/insertion-sort-list/", "Insertion Sort List")</f>
        <v>Insertion Sort List</v>
      </c>
      <c r="C626" s="1">
        <v>3367</v>
      </c>
      <c r="D626" s="1">
        <v>879</v>
      </c>
      <c r="E626" s="3">
        <f t="shared" si="4"/>
        <v>0.79298162976919451</v>
      </c>
      <c r="F626" s="1" t="s">
        <v>355</v>
      </c>
      <c r="G626" s="1" t="s">
        <v>24</v>
      </c>
      <c r="H626" s="1">
        <v>469795</v>
      </c>
      <c r="I626" s="1">
        <v>808028</v>
      </c>
      <c r="J626" s="7">
        <v>0.58099999999999996</v>
      </c>
      <c r="K626" s="1" t="s">
        <v>21</v>
      </c>
      <c r="L626" s="1" t="s">
        <v>21</v>
      </c>
      <c r="M626" s="1" t="s">
        <v>21</v>
      </c>
      <c r="N626" s="1" t="s">
        <v>22</v>
      </c>
      <c r="O626" s="1" t="str">
        <f t="shared" ca="1" si="5"/>
        <v>Please solve the LeetCode problem '147. Insertion Sort List'.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27" spans="1:15" x14ac:dyDescent="0.25">
      <c r="A627" s="1">
        <v>823</v>
      </c>
      <c r="B627" s="2" t="str">
        <f>HYPERLINK("https://leetcode.com/problems/binary-trees-with-factors/", "Binary Trees With Factors")</f>
        <v>Binary Trees With Factors</v>
      </c>
      <c r="C627" s="1">
        <v>3364</v>
      </c>
      <c r="D627" s="1">
        <v>261</v>
      </c>
      <c r="E627" s="3">
        <f t="shared" si="4"/>
        <v>0.92800000000000005</v>
      </c>
      <c r="F627" s="1" t="s">
        <v>356</v>
      </c>
      <c r="G627" s="1" t="s">
        <v>24</v>
      </c>
      <c r="H627" s="1">
        <v>157923</v>
      </c>
      <c r="I627" s="1">
        <v>297766</v>
      </c>
      <c r="J627" s="7">
        <v>0.53</v>
      </c>
      <c r="K627" s="1" t="s">
        <v>21</v>
      </c>
      <c r="L627" s="1" t="s">
        <v>21</v>
      </c>
      <c r="M627" s="1" t="s">
        <v>29</v>
      </c>
      <c r="N627" s="1" t="s">
        <v>22</v>
      </c>
      <c r="O627" s="1" t="str">
        <f t="shared" ca="1" si="5"/>
        <v>Please solve the LeetCode problem '823. Binary Trees With Factors'.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28" spans="1:15" x14ac:dyDescent="0.25">
      <c r="A628" s="1">
        <v>1218</v>
      </c>
      <c r="B628" s="2" t="str">
        <f>HYPERLINK("https://leetcode.com/problems/longest-arithmetic-subsequence-of-given-difference/", "Longest Arithmetic Subsequence of Given Difference")</f>
        <v>Longest Arithmetic Subsequence of Given Difference</v>
      </c>
      <c r="C628" s="1">
        <v>3364</v>
      </c>
      <c r="D628" s="1">
        <v>92</v>
      </c>
      <c r="E628" s="3">
        <f t="shared" si="4"/>
        <v>0.97337962962962965</v>
      </c>
      <c r="F628" s="1" t="s">
        <v>174</v>
      </c>
      <c r="G628" s="1" t="s">
        <v>24</v>
      </c>
      <c r="H628" s="1">
        <v>168699</v>
      </c>
      <c r="I628" s="1">
        <v>310434</v>
      </c>
      <c r="J628" s="7">
        <v>0.54300000000000004</v>
      </c>
      <c r="K628" s="1" t="s">
        <v>21</v>
      </c>
      <c r="L628" s="1" t="s">
        <v>21</v>
      </c>
      <c r="M628" s="1" t="s">
        <v>29</v>
      </c>
      <c r="N628" s="1" t="s">
        <v>22</v>
      </c>
      <c r="O628" s="1" t="str">
        <f t="shared" ca="1" si="5"/>
        <v>Please solve the LeetCode problem '1218. Longest Arithmetic Subsequence of Given Difference'.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29" spans="1:15" x14ac:dyDescent="0.25">
      <c r="A629" s="1">
        <v>1338</v>
      </c>
      <c r="B629" s="2" t="str">
        <f>HYPERLINK("https://leetcode.com/problems/reduce-array-size-to-the-half/", "Reduce Array Size to The Half")</f>
        <v>Reduce Array Size to The Half</v>
      </c>
      <c r="C629" s="1">
        <v>3356</v>
      </c>
      <c r="D629" s="1">
        <v>153</v>
      </c>
      <c r="E629" s="3">
        <f t="shared" si="4"/>
        <v>0.95639783414078083</v>
      </c>
      <c r="F629" s="1" t="s">
        <v>358</v>
      </c>
      <c r="G629" s="1" t="s">
        <v>24</v>
      </c>
      <c r="H629" s="1">
        <v>228397</v>
      </c>
      <c r="I629" s="1">
        <v>329526</v>
      </c>
      <c r="J629" s="7">
        <v>0.69299999999999995</v>
      </c>
      <c r="K629" s="1" t="s">
        <v>21</v>
      </c>
      <c r="L629" s="1" t="s">
        <v>21</v>
      </c>
      <c r="M629" s="1" t="s">
        <v>29</v>
      </c>
      <c r="N629" s="1" t="s">
        <v>22</v>
      </c>
      <c r="O629" s="1" t="str">
        <f t="shared" ca="1" si="5"/>
        <v>Please solve the LeetCode problem '1338. Reduce Array Size to The Half'.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30" spans="1:15" x14ac:dyDescent="0.25">
      <c r="A630" s="1">
        <v>1049</v>
      </c>
      <c r="B630" s="2" t="str">
        <f>HYPERLINK("https://leetcode.com/problems/last-stone-weight-ii/", "Last Stone Weight II")</f>
        <v>Last Stone Weight II</v>
      </c>
      <c r="C630" s="1">
        <v>3353</v>
      </c>
      <c r="D630" s="1">
        <v>140</v>
      </c>
      <c r="E630" s="3">
        <f t="shared" si="4"/>
        <v>0.95991983967935868</v>
      </c>
      <c r="F630" s="1" t="s">
        <v>30</v>
      </c>
      <c r="G630" s="1" t="s">
        <v>24</v>
      </c>
      <c r="H630" s="1">
        <v>127607</v>
      </c>
      <c r="I630" s="1">
        <v>216074</v>
      </c>
      <c r="J630" s="7">
        <v>0.59099999999999997</v>
      </c>
      <c r="K630" s="1" t="s">
        <v>21</v>
      </c>
      <c r="L630" s="1" t="s">
        <v>29</v>
      </c>
      <c r="M630" s="1" t="s">
        <v>29</v>
      </c>
      <c r="N630" s="1" t="s">
        <v>22</v>
      </c>
      <c r="O630" s="1" t="str">
        <f t="shared" ca="1" si="5"/>
        <v>Please solve the LeetCode problem '1049. Last Stone Weight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31" spans="1:15" x14ac:dyDescent="0.25">
      <c r="A631" s="1">
        <v>2101</v>
      </c>
      <c r="B631" s="2" t="str">
        <f>HYPERLINK("https://leetcode.com/problems/detonate-the-maximum-bombs/", "Detonate the Maximum Bombs")</f>
        <v>Detonate the Maximum Bombs</v>
      </c>
      <c r="C631" s="1">
        <v>3351</v>
      </c>
      <c r="D631" s="1">
        <v>161</v>
      </c>
      <c r="E631" s="3">
        <f t="shared" si="4"/>
        <v>0.95415717539863321</v>
      </c>
      <c r="F631" s="1" t="s">
        <v>357</v>
      </c>
      <c r="G631" s="1" t="s">
        <v>24</v>
      </c>
      <c r="H631" s="1">
        <v>171676</v>
      </c>
      <c r="I631" s="1">
        <v>344695</v>
      </c>
      <c r="J631" s="7">
        <v>0.498</v>
      </c>
      <c r="K631" s="1" t="s">
        <v>21</v>
      </c>
      <c r="L631" s="1" t="s">
        <v>21</v>
      </c>
      <c r="M631" s="1" t="s">
        <v>29</v>
      </c>
      <c r="N631" s="1" t="s">
        <v>22</v>
      </c>
      <c r="O631" s="1" t="str">
        <f t="shared" ca="1" si="5"/>
        <v>Please solve the LeetCode problem '2101. Detonate the Maximum Bombs'.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32" spans="1:15" x14ac:dyDescent="0.25">
      <c r="A632" s="1">
        <v>860</v>
      </c>
      <c r="B632" s="2" t="str">
        <f>HYPERLINK("https://leetcode.com/problems/lemonade-change/", "Lemonade Change")</f>
        <v>Lemonade Change</v>
      </c>
      <c r="C632" s="1">
        <v>3345</v>
      </c>
      <c r="D632" s="1">
        <v>214</v>
      </c>
      <c r="E632" s="3">
        <f t="shared" si="4"/>
        <v>0.9398707502107333</v>
      </c>
      <c r="F632" s="1" t="s">
        <v>96</v>
      </c>
      <c r="G632" s="1" t="s">
        <v>20</v>
      </c>
      <c r="H632" s="1">
        <v>545229</v>
      </c>
      <c r="I632" s="1">
        <v>926527</v>
      </c>
      <c r="J632" s="7">
        <v>0.58799999999999997</v>
      </c>
      <c r="K632" s="1" t="s">
        <v>21</v>
      </c>
      <c r="L632" s="1" t="s">
        <v>21</v>
      </c>
      <c r="M632" s="1" t="s">
        <v>29</v>
      </c>
      <c r="N632" s="1" t="s">
        <v>22</v>
      </c>
      <c r="O632" s="1" t="str">
        <f t="shared" ca="1" si="5"/>
        <v>Please solve the LeetCode problem '860. Lemonade Change'.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33" spans="1:15" x14ac:dyDescent="0.25">
      <c r="A633" s="1">
        <v>1581</v>
      </c>
      <c r="B633" s="2" t="str">
        <f>HYPERLINK("https://leetcode.com/problems/customer-who-visited-but-did-not-make-any-transactions/", "Customer Who Visited but Did Not Make Any Transactions")</f>
        <v>Customer Who Visited but Did Not Make Any Transactions</v>
      </c>
      <c r="C633" s="1">
        <v>3343</v>
      </c>
      <c r="D633" s="1">
        <v>443</v>
      </c>
      <c r="E633" s="3">
        <f t="shared" si="4"/>
        <v>0.88298996302165877</v>
      </c>
      <c r="F633" s="1" t="s">
        <v>297</v>
      </c>
      <c r="G633" s="1" t="s">
        <v>20</v>
      </c>
      <c r="H633" s="1">
        <v>1071846</v>
      </c>
      <c r="I633" s="1">
        <v>1585628</v>
      </c>
      <c r="J633" s="7">
        <v>0.67600000000000005</v>
      </c>
      <c r="K633" s="1" t="s">
        <v>21</v>
      </c>
      <c r="L633" s="1" t="s">
        <v>21</v>
      </c>
      <c r="M633" s="1" t="s">
        <v>29</v>
      </c>
      <c r="N633" s="1" t="s">
        <v>297</v>
      </c>
      <c r="O633" s="1" t="str">
        <f t="shared" ca="1" si="5"/>
        <v>Please solve the LeetCode problem '1581. Customer Who Visited but Did Not Make Any Transactions'.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34" spans="1:15" x14ac:dyDescent="0.25">
      <c r="A634" s="1">
        <v>859</v>
      </c>
      <c r="B634" s="2" t="str">
        <f>HYPERLINK("https://leetcode.com/problems/buddy-strings/", "Buddy Strings")</f>
        <v>Buddy Strings</v>
      </c>
      <c r="C634" s="1">
        <v>3339</v>
      </c>
      <c r="D634" s="1">
        <v>1846</v>
      </c>
      <c r="E634" s="3">
        <f t="shared" si="4"/>
        <v>0.64397299903567984</v>
      </c>
      <c r="F634" s="1" t="s">
        <v>131</v>
      </c>
      <c r="G634" s="1" t="s">
        <v>20</v>
      </c>
      <c r="H634" s="1">
        <v>288823</v>
      </c>
      <c r="I634" s="1">
        <v>852236</v>
      </c>
      <c r="J634" s="7">
        <v>0.33900000000000002</v>
      </c>
      <c r="K634" s="1" t="s">
        <v>21</v>
      </c>
      <c r="L634" s="1" t="s">
        <v>21</v>
      </c>
      <c r="M634" s="1" t="s">
        <v>29</v>
      </c>
      <c r="N634" s="1" t="s">
        <v>22</v>
      </c>
      <c r="O634" s="1" t="str">
        <f t="shared" ca="1" si="5"/>
        <v>Please solve the LeetCode problem '859. Buddy Strings'.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35" spans="1:15" x14ac:dyDescent="0.25">
      <c r="A635" s="1">
        <v>1457</v>
      </c>
      <c r="B635" s="2" t="str">
        <f>HYPERLINK("https://leetcode.com/problems/pseudo-palindromic-paths-in-a-binary-tree/", "Pseudo-Palindromic Paths in a Binary Tree")</f>
        <v>Pseudo-Palindromic Paths in a Binary Tree</v>
      </c>
      <c r="C635" s="1">
        <v>3332</v>
      </c>
      <c r="D635" s="1">
        <v>131</v>
      </c>
      <c r="E635" s="3">
        <f t="shared" si="4"/>
        <v>0.96217152757724511</v>
      </c>
      <c r="F635" s="1" t="s">
        <v>359</v>
      </c>
      <c r="G635" s="1" t="s">
        <v>24</v>
      </c>
      <c r="H635" s="1">
        <v>234090</v>
      </c>
      <c r="I635" s="1">
        <v>342487</v>
      </c>
      <c r="J635" s="7">
        <v>0.68400000000000005</v>
      </c>
      <c r="K635" s="1" t="s">
        <v>21</v>
      </c>
      <c r="L635" s="1" t="s">
        <v>21</v>
      </c>
      <c r="M635" s="1" t="s">
        <v>29</v>
      </c>
      <c r="N635" s="1" t="s">
        <v>22</v>
      </c>
      <c r="O635" s="1" t="str">
        <f t="shared" ca="1" si="5"/>
        <v>Please solve the LeetCode problem '1457. Pseudo-Palindromic Paths in a Binary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36" spans="1:15" x14ac:dyDescent="0.25">
      <c r="A636" s="1">
        <v>1122</v>
      </c>
      <c r="B636" s="2" t="str">
        <f>HYPERLINK("https://leetcode.com/problems/relative-sort-array/", "Relative Sort Array")</f>
        <v>Relative Sort Array</v>
      </c>
      <c r="C636" s="1">
        <v>3326</v>
      </c>
      <c r="D636" s="1">
        <v>197</v>
      </c>
      <c r="E636" s="3">
        <f t="shared" si="4"/>
        <v>0.94408174850979276</v>
      </c>
      <c r="F636" s="1" t="s">
        <v>229</v>
      </c>
      <c r="G636" s="1" t="s">
        <v>20</v>
      </c>
      <c r="H636" s="1">
        <v>394016</v>
      </c>
      <c r="I636" s="1">
        <v>524845</v>
      </c>
      <c r="J636" s="7">
        <v>0.751</v>
      </c>
      <c r="K636" s="1" t="s">
        <v>21</v>
      </c>
      <c r="L636" s="1" t="s">
        <v>21</v>
      </c>
      <c r="M636" s="1" t="s">
        <v>29</v>
      </c>
      <c r="N636" s="1" t="s">
        <v>22</v>
      </c>
      <c r="O636" s="1" t="str">
        <f t="shared" ca="1" si="5"/>
        <v>Please solve the LeetCode problem '1122. Relative Sort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37" spans="1:15" x14ac:dyDescent="0.25">
      <c r="A637" s="1">
        <v>849</v>
      </c>
      <c r="B637" s="2" t="str">
        <f>HYPERLINK("https://leetcode.com/problems/maximize-distance-to-closest-person/", "Maximize Distance to Closest Person")</f>
        <v>Maximize Distance to Closest Person</v>
      </c>
      <c r="C637" s="1">
        <v>3324</v>
      </c>
      <c r="D637" s="1">
        <v>202</v>
      </c>
      <c r="E637" s="3">
        <f t="shared" si="4"/>
        <v>0.94271128757799205</v>
      </c>
      <c r="F637" s="1" t="s">
        <v>113</v>
      </c>
      <c r="G637" s="1" t="s">
        <v>24</v>
      </c>
      <c r="H637" s="1">
        <v>277597</v>
      </c>
      <c r="I637" s="1">
        <v>560583</v>
      </c>
      <c r="J637" s="7">
        <v>0.495</v>
      </c>
      <c r="K637" s="1" t="s">
        <v>21</v>
      </c>
      <c r="L637" s="1" t="s">
        <v>21</v>
      </c>
      <c r="M637" s="1" t="s">
        <v>29</v>
      </c>
      <c r="N637" s="1" t="s">
        <v>22</v>
      </c>
      <c r="O637" s="1" t="str">
        <f t="shared" ca="1" si="5"/>
        <v>Please solve the LeetCode problem '849. Maximize Distance to Closest Person'.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38" spans="1:15" x14ac:dyDescent="0.25">
      <c r="A638" s="1">
        <v>286</v>
      </c>
      <c r="B638" s="2" t="str">
        <f>HYPERLINK("https://leetcode.com/problems/walls-and-gates/", "Walls and Gates")</f>
        <v>Walls and Gates</v>
      </c>
      <c r="C638" s="1">
        <v>3308</v>
      </c>
      <c r="D638" s="1">
        <v>72</v>
      </c>
      <c r="E638" s="3">
        <f t="shared" si="4"/>
        <v>0.97869822485207103</v>
      </c>
      <c r="F638" s="1" t="s">
        <v>86</v>
      </c>
      <c r="G638" s="1" t="s">
        <v>24</v>
      </c>
      <c r="H638" s="1">
        <v>413883</v>
      </c>
      <c r="I638" s="1">
        <v>650842</v>
      </c>
      <c r="J638" s="7">
        <v>0.63600000000000001</v>
      </c>
      <c r="K638" s="1" t="s">
        <v>29</v>
      </c>
      <c r="L638" s="1" t="s">
        <v>21</v>
      </c>
      <c r="M638" s="1" t="s">
        <v>29</v>
      </c>
      <c r="N638" s="1" t="s">
        <v>22</v>
      </c>
      <c r="O638" s="1" t="str">
        <f t="shared" ca="1" si="5"/>
        <v>Please solve the LeetCode problem '286. Walls and Gates'.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39" spans="1:15" x14ac:dyDescent="0.25">
      <c r="A639" s="1">
        <v>821</v>
      </c>
      <c r="B639" s="2" t="str">
        <f>HYPERLINK("https://leetcode.com/problems/shortest-distance-to-a-character/", "Shortest Distance to a Character")</f>
        <v>Shortest Distance to a Character</v>
      </c>
      <c r="C639" s="1">
        <v>3307</v>
      </c>
      <c r="D639" s="1">
        <v>193</v>
      </c>
      <c r="E639" s="3">
        <f t="shared" si="4"/>
        <v>0.94485714285714284</v>
      </c>
      <c r="F639" s="1" t="s">
        <v>360</v>
      </c>
      <c r="G639" s="1" t="s">
        <v>20</v>
      </c>
      <c r="H639" s="1">
        <v>233442</v>
      </c>
      <c r="I639" s="1">
        <v>321669</v>
      </c>
      <c r="J639" s="7">
        <v>0.72599999999999998</v>
      </c>
      <c r="K639" s="1" t="s">
        <v>21</v>
      </c>
      <c r="L639" s="1" t="s">
        <v>21</v>
      </c>
      <c r="M639" s="1" t="s">
        <v>29</v>
      </c>
      <c r="N639" s="1" t="s">
        <v>22</v>
      </c>
      <c r="O639" s="1" t="str">
        <f t="shared" ca="1" si="5"/>
        <v>Please solve the LeetCode problem '821. Shortest Distance to a Character'.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40" spans="1:15" x14ac:dyDescent="0.25">
      <c r="A640" s="1">
        <v>366</v>
      </c>
      <c r="B640" s="2" t="str">
        <f>HYPERLINK("https://leetcode.com/problems/find-leaves-of-binary-tree/", "Find Leaves of Binary Tree")</f>
        <v>Find Leaves of Binary Tree</v>
      </c>
      <c r="C640" s="1">
        <v>3295</v>
      </c>
      <c r="D640" s="1">
        <v>64</v>
      </c>
      <c r="E640" s="3">
        <f t="shared" si="4"/>
        <v>0.98094671033045544</v>
      </c>
      <c r="F640" s="1" t="s">
        <v>67</v>
      </c>
      <c r="G640" s="1" t="s">
        <v>24</v>
      </c>
      <c r="H640" s="1">
        <v>284507</v>
      </c>
      <c r="I640" s="1">
        <v>350321</v>
      </c>
      <c r="J640" s="7">
        <v>0.81200000000000006</v>
      </c>
      <c r="K640" s="1" t="s">
        <v>29</v>
      </c>
      <c r="L640" s="1" t="s">
        <v>21</v>
      </c>
      <c r="M640" s="1" t="s">
        <v>21</v>
      </c>
      <c r="N640" s="1" t="s">
        <v>22</v>
      </c>
      <c r="O640" s="1" t="str">
        <f t="shared" ca="1" si="5"/>
        <v>Please solve the LeetCode problem '366. Find Leaves of Binary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41" spans="1:15" x14ac:dyDescent="0.25">
      <c r="A641" s="1">
        <v>1220</v>
      </c>
      <c r="B641" s="2" t="str">
        <f>HYPERLINK("https://leetcode.com/problems/count-vowels-permutation/", "Count Vowels Permutation")</f>
        <v>Count Vowels Permutation</v>
      </c>
      <c r="C641" s="1">
        <v>3295</v>
      </c>
      <c r="D641" s="1">
        <v>219</v>
      </c>
      <c r="E641" s="3">
        <f t="shared" si="4"/>
        <v>0.93767785998861697</v>
      </c>
      <c r="F641" s="1" t="s">
        <v>251</v>
      </c>
      <c r="G641" s="1" t="s">
        <v>28</v>
      </c>
      <c r="H641" s="1">
        <v>181631</v>
      </c>
      <c r="I641" s="1">
        <v>295879</v>
      </c>
      <c r="J641" s="7">
        <v>0.61399999999999999</v>
      </c>
      <c r="K641" s="1" t="s">
        <v>21</v>
      </c>
      <c r="L641" s="1" t="s">
        <v>21</v>
      </c>
      <c r="M641" s="1" t="s">
        <v>29</v>
      </c>
      <c r="N641" s="1" t="s">
        <v>22</v>
      </c>
      <c r="O641" s="1" t="str">
        <f t="shared" ca="1" si="5"/>
        <v>Please solve the LeetCode problem '1220. Count Vowels Permutation'.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42" spans="1:15" x14ac:dyDescent="0.25">
      <c r="A642" s="1">
        <v>1323</v>
      </c>
      <c r="B642" s="2" t="str">
        <f>HYPERLINK("https://leetcode.com/problems/maximum-69-number/", "Maximum 69 Number")</f>
        <v>Maximum 69 Number</v>
      </c>
      <c r="C642" s="1">
        <v>3295</v>
      </c>
      <c r="D642" s="1">
        <v>240</v>
      </c>
      <c r="E642" s="3">
        <f t="shared" si="4"/>
        <v>0.93210749646393209</v>
      </c>
      <c r="F642" s="1" t="s">
        <v>296</v>
      </c>
      <c r="G642" s="1" t="s">
        <v>20</v>
      </c>
      <c r="H642" s="1">
        <v>477521</v>
      </c>
      <c r="I642" s="1">
        <v>565127</v>
      </c>
      <c r="J642" s="7">
        <v>0.84499999999999997</v>
      </c>
      <c r="K642" s="1" t="s">
        <v>21</v>
      </c>
      <c r="L642" s="1" t="s">
        <v>21</v>
      </c>
      <c r="M642" s="1" t="s">
        <v>29</v>
      </c>
      <c r="N642" s="1" t="s">
        <v>22</v>
      </c>
      <c r="O642" s="1" t="str">
        <f t="shared" ca="1" si="5"/>
        <v>Please solve the LeetCode problem '1323. Maximum 69 Number'.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43" spans="1:15" x14ac:dyDescent="0.25">
      <c r="A643" s="1">
        <v>595</v>
      </c>
      <c r="B643" s="2" t="str">
        <f>HYPERLINK("https://leetcode.com/problems/big-countries/", "Big Countries")</f>
        <v>Big Countries</v>
      </c>
      <c r="C643" s="1">
        <v>3286</v>
      </c>
      <c r="D643" s="1">
        <v>1372</v>
      </c>
      <c r="E643" s="3">
        <f t="shared" si="4"/>
        <v>0.70545298411335333</v>
      </c>
      <c r="F643" s="1" t="s">
        <v>297</v>
      </c>
      <c r="G643" s="1" t="s">
        <v>20</v>
      </c>
      <c r="H643" s="1">
        <v>2198741</v>
      </c>
      <c r="I643" s="1">
        <v>3216498</v>
      </c>
      <c r="J643" s="7">
        <v>0.68400000000000005</v>
      </c>
      <c r="K643" s="1" t="s">
        <v>21</v>
      </c>
      <c r="L643" s="1" t="s">
        <v>21</v>
      </c>
      <c r="M643" s="1" t="s">
        <v>29</v>
      </c>
      <c r="N643" s="1" t="s">
        <v>297</v>
      </c>
      <c r="O643" s="1" t="str">
        <f t="shared" ca="1" si="5"/>
        <v>Please solve the LeetCode problem '595. Big Countries'.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44" spans="1:15" x14ac:dyDescent="0.25">
      <c r="A644" s="1">
        <v>1007</v>
      </c>
      <c r="B644" s="2" t="str">
        <f>HYPERLINK("https://leetcode.com/problems/minimum-domino-rotations-for-equal-row/", "Minimum Domino Rotations For Equal Row")</f>
        <v>Minimum Domino Rotations For Equal Row</v>
      </c>
      <c r="C644" s="1">
        <v>3284</v>
      </c>
      <c r="D644" s="1">
        <v>271</v>
      </c>
      <c r="E644" s="3">
        <f t="shared" si="4"/>
        <v>0.92376933895921243</v>
      </c>
      <c r="F644" s="1" t="s">
        <v>96</v>
      </c>
      <c r="G644" s="1" t="s">
        <v>24</v>
      </c>
      <c r="H644" s="1">
        <v>318001</v>
      </c>
      <c r="I644" s="1">
        <v>562900</v>
      </c>
      <c r="J644" s="7">
        <v>0.56499999999999995</v>
      </c>
      <c r="K644" s="1" t="s">
        <v>21</v>
      </c>
      <c r="L644" s="1" t="s">
        <v>21</v>
      </c>
      <c r="M644" s="1" t="s">
        <v>29</v>
      </c>
      <c r="N644" s="1" t="s">
        <v>22</v>
      </c>
      <c r="O644" s="1" t="str">
        <f t="shared" ca="1" si="5"/>
        <v>Please solve the LeetCode problem '1007. Minimum Domino Rotations For Equal Row'.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45" spans="1:15" x14ac:dyDescent="0.25">
      <c r="A645" s="1">
        <v>1014</v>
      </c>
      <c r="B645" s="2" t="str">
        <f>HYPERLINK("https://leetcode.com/problems/best-sightseeing-pair/", "Best Sightseeing Pair")</f>
        <v>Best Sightseeing Pair</v>
      </c>
      <c r="C645" s="1">
        <v>3280</v>
      </c>
      <c r="D645" s="1">
        <v>77</v>
      </c>
      <c r="E645" s="3">
        <f t="shared" si="4"/>
        <v>0.97706285373845692</v>
      </c>
      <c r="F645" s="1" t="s">
        <v>30</v>
      </c>
      <c r="G645" s="1" t="s">
        <v>24</v>
      </c>
      <c r="H645" s="1">
        <v>216430</v>
      </c>
      <c r="I645" s="1">
        <v>345469</v>
      </c>
      <c r="J645" s="7">
        <v>0.626</v>
      </c>
      <c r="K645" s="1" t="s">
        <v>21</v>
      </c>
      <c r="L645" s="1" t="s">
        <v>21</v>
      </c>
      <c r="M645" s="1" t="s">
        <v>29</v>
      </c>
      <c r="N645" s="1" t="s">
        <v>22</v>
      </c>
      <c r="O645" s="1" t="str">
        <f t="shared" ca="1" si="5"/>
        <v>Please solve the LeetCode problem '1014. Best Sightseeing Pair'.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46" spans="1:15" x14ac:dyDescent="0.25">
      <c r="A646" s="1">
        <v>412</v>
      </c>
      <c r="B646" s="2" t="str">
        <f>HYPERLINK("https://leetcode.com/problems/fizz-buzz/", "Fizz Buzz")</f>
        <v>Fizz Buzz</v>
      </c>
      <c r="C646" s="1">
        <v>3278</v>
      </c>
      <c r="D646" s="1">
        <v>450</v>
      </c>
      <c r="E646" s="3">
        <f t="shared" si="4"/>
        <v>0.87929184549356221</v>
      </c>
      <c r="F646" s="1" t="s">
        <v>178</v>
      </c>
      <c r="G646" s="1" t="s">
        <v>20</v>
      </c>
      <c r="H646" s="1">
        <v>1698020</v>
      </c>
      <c r="I646" s="1">
        <v>2260742</v>
      </c>
      <c r="J646" s="7">
        <v>0.751</v>
      </c>
      <c r="K646" s="1" t="s">
        <v>21</v>
      </c>
      <c r="L646" s="1" t="s">
        <v>21</v>
      </c>
      <c r="M646" s="1" t="s">
        <v>21</v>
      </c>
      <c r="N646" s="1" t="s">
        <v>22</v>
      </c>
      <c r="O646" s="1" t="str">
        <f t="shared" ca="1" si="5"/>
        <v>Please solve the LeetCode problem '412. Fizz Buzz'.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47" spans="1:15" x14ac:dyDescent="0.25">
      <c r="A647" s="1">
        <v>433</v>
      </c>
      <c r="B647" s="2" t="str">
        <f>HYPERLINK("https://leetcode.com/problems/minimum-genetic-mutation/", "Minimum Genetic Mutation")</f>
        <v>Minimum Genetic Mutation</v>
      </c>
      <c r="C647" s="1">
        <v>3278</v>
      </c>
      <c r="D647" s="1">
        <v>344</v>
      </c>
      <c r="E647" s="3">
        <f t="shared" si="4"/>
        <v>0.90502484815019324</v>
      </c>
      <c r="F647" s="1" t="s">
        <v>95</v>
      </c>
      <c r="G647" s="1" t="s">
        <v>24</v>
      </c>
      <c r="H647" s="1">
        <v>265602</v>
      </c>
      <c r="I647" s="1">
        <v>472110</v>
      </c>
      <c r="J647" s="7">
        <v>0.56299999999999994</v>
      </c>
      <c r="K647" s="1" t="s">
        <v>21</v>
      </c>
      <c r="L647" s="1" t="s">
        <v>21</v>
      </c>
      <c r="M647" s="1" t="s">
        <v>29</v>
      </c>
      <c r="N647" s="1" t="s">
        <v>22</v>
      </c>
      <c r="O647" s="1" t="str">
        <f t="shared" ca="1" si="5"/>
        <v>Please solve the LeetCode problem '433. Minimum Genetic Mutation'.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48" spans="1:15" x14ac:dyDescent="0.25">
      <c r="A648" s="1">
        <v>682</v>
      </c>
      <c r="B648" s="2" t="str">
        <f>HYPERLINK("https://leetcode.com/problems/baseball-game/", "Baseball Game")</f>
        <v>Baseball Game</v>
      </c>
      <c r="C648" s="1">
        <v>3274</v>
      </c>
      <c r="D648" s="1">
        <v>1962</v>
      </c>
      <c r="E648" s="3">
        <f t="shared" si="4"/>
        <v>0.62528647822765471</v>
      </c>
      <c r="F648" s="1" t="s">
        <v>145</v>
      </c>
      <c r="G648" s="1" t="s">
        <v>20</v>
      </c>
      <c r="H648" s="1">
        <v>551538</v>
      </c>
      <c r="I648" s="1">
        <v>690520</v>
      </c>
      <c r="J648" s="7">
        <v>0.79900000000000004</v>
      </c>
      <c r="K648" s="1" t="s">
        <v>21</v>
      </c>
      <c r="L648" s="1" t="s">
        <v>21</v>
      </c>
      <c r="M648" s="1" t="s">
        <v>29</v>
      </c>
      <c r="N648" s="1" t="s">
        <v>22</v>
      </c>
      <c r="O648" s="1" t="str">
        <f t="shared" ca="1" si="5"/>
        <v>Please solve the LeetCode problem '682. Baseball Game'.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49" spans="1:15" x14ac:dyDescent="0.25">
      <c r="A649" s="1">
        <v>589</v>
      </c>
      <c r="B649" s="2" t="str">
        <f>HYPERLINK("https://leetcode.com/problems/n-ary-tree-preorder-traversal/", "N-ary Tree Preorder Traversal")</f>
        <v>N-ary Tree Preorder Traversal</v>
      </c>
      <c r="C649" s="1">
        <v>3257</v>
      </c>
      <c r="D649" s="1">
        <v>204</v>
      </c>
      <c r="E649" s="3">
        <f t="shared" si="4"/>
        <v>0.94105749783299619</v>
      </c>
      <c r="F649" s="1" t="s">
        <v>361</v>
      </c>
      <c r="G649" s="1" t="s">
        <v>20</v>
      </c>
      <c r="H649" s="1">
        <v>488601</v>
      </c>
      <c r="I649" s="1">
        <v>638042</v>
      </c>
      <c r="J649" s="7">
        <v>0.76600000000000001</v>
      </c>
      <c r="K649" s="1" t="s">
        <v>21</v>
      </c>
      <c r="L649" s="1" t="s">
        <v>21</v>
      </c>
      <c r="M649" s="1" t="s">
        <v>29</v>
      </c>
      <c r="N649" s="1" t="s">
        <v>22</v>
      </c>
      <c r="O649" s="1" t="str">
        <f t="shared" ca="1" si="5"/>
        <v>Please solve the LeetCode problem '589. N-ary Tree Preorder Traversal'.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50" spans="1:15" x14ac:dyDescent="0.25">
      <c r="A650" s="1">
        <v>1937</v>
      </c>
      <c r="B650" s="2" t="str">
        <f>HYPERLINK("https://leetcode.com/problems/maximum-number-of-points-with-cost/", "Maximum Number of Points with Cost")</f>
        <v>Maximum Number of Points with Cost</v>
      </c>
      <c r="C650" s="1">
        <v>3252</v>
      </c>
      <c r="D650" s="1">
        <v>240</v>
      </c>
      <c r="E650" s="3">
        <f t="shared" si="4"/>
        <v>0.93127147766323026</v>
      </c>
      <c r="F650" s="1" t="s">
        <v>94</v>
      </c>
      <c r="G650" s="1" t="s">
        <v>24</v>
      </c>
      <c r="H650" s="1">
        <v>156696</v>
      </c>
      <c r="I650" s="1">
        <v>374324</v>
      </c>
      <c r="J650" s="7">
        <v>0.41899999999999998</v>
      </c>
      <c r="K650" s="1" t="s">
        <v>21</v>
      </c>
      <c r="L650" s="1" t="s">
        <v>21</v>
      </c>
      <c r="M650" s="1" t="s">
        <v>29</v>
      </c>
      <c r="N650" s="1" t="s">
        <v>22</v>
      </c>
      <c r="O650" s="1" t="str">
        <f t="shared" ca="1" si="5"/>
        <v>Please solve the LeetCode problem '1937. Maximum Number of Points with Cost'.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51" spans="1:15" x14ac:dyDescent="0.25">
      <c r="A651" s="1">
        <v>896</v>
      </c>
      <c r="B651" s="2" t="str">
        <f>HYPERLINK("https://leetcode.com/problems/monotonic-array/", "Monotonic Array")</f>
        <v>Monotonic Array</v>
      </c>
      <c r="C651" s="1">
        <v>3248</v>
      </c>
      <c r="D651" s="1">
        <v>105</v>
      </c>
      <c r="E651" s="3">
        <f t="shared" si="4"/>
        <v>0.96868475991649272</v>
      </c>
      <c r="F651" s="1" t="s">
        <v>113</v>
      </c>
      <c r="G651" s="1" t="s">
        <v>20</v>
      </c>
      <c r="H651" s="1">
        <v>557749</v>
      </c>
      <c r="I651" s="1">
        <v>897578</v>
      </c>
      <c r="J651" s="7">
        <v>0.621</v>
      </c>
      <c r="K651" s="1" t="s">
        <v>21</v>
      </c>
      <c r="L651" s="1" t="s">
        <v>21</v>
      </c>
      <c r="M651" s="1" t="s">
        <v>29</v>
      </c>
      <c r="N651" s="1" t="s">
        <v>22</v>
      </c>
      <c r="O651" s="1" t="str">
        <f t="shared" ca="1" si="5"/>
        <v>Please solve the LeetCode problem '896. Monotonic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52" spans="1:15" x14ac:dyDescent="0.25">
      <c r="A652" s="1">
        <v>865</v>
      </c>
      <c r="B652" s="2" t="str">
        <f>HYPERLINK("https://leetcode.com/problems/smallest-subtree-with-all-the-deepest-nodes/", "Smallest Subtree with all the Deepest Nodes")</f>
        <v>Smallest Subtree with all the Deepest Nodes</v>
      </c>
      <c r="C652" s="1">
        <v>3245</v>
      </c>
      <c r="D652" s="1">
        <v>401</v>
      </c>
      <c r="E652" s="3">
        <f t="shared" si="4"/>
        <v>0.89001645639056504</v>
      </c>
      <c r="F652" s="1" t="s">
        <v>107</v>
      </c>
      <c r="G652" s="1" t="s">
        <v>24</v>
      </c>
      <c r="H652" s="1">
        <v>265843</v>
      </c>
      <c r="I652" s="1">
        <v>343312</v>
      </c>
      <c r="J652" s="7">
        <v>0.77400000000000002</v>
      </c>
      <c r="K652" s="1" t="s">
        <v>21</v>
      </c>
      <c r="L652" s="1" t="s">
        <v>21</v>
      </c>
      <c r="M652" s="1" t="s">
        <v>29</v>
      </c>
      <c r="N652" s="1" t="s">
        <v>22</v>
      </c>
      <c r="O652" s="1" t="str">
        <f t="shared" ca="1" si="5"/>
        <v>Please solve the LeetCode problem '865. Smallest Subtree with all the Deepest Nodes'.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53" spans="1:15" x14ac:dyDescent="0.25">
      <c r="A653" s="1">
        <v>1757</v>
      </c>
      <c r="B653" s="2" t="str">
        <f>HYPERLINK("https://leetcode.com/problems/recyclable-and-low-fat-products/", "Recyclable and Low Fat Products")</f>
        <v>Recyclable and Low Fat Products</v>
      </c>
      <c r="C653" s="1">
        <v>3244</v>
      </c>
      <c r="D653" s="1">
        <v>129</v>
      </c>
      <c r="E653" s="3">
        <f t="shared" si="4"/>
        <v>0.96175511414171366</v>
      </c>
      <c r="F653" s="1" t="s">
        <v>297</v>
      </c>
      <c r="G653" s="1" t="s">
        <v>20</v>
      </c>
      <c r="H653" s="1">
        <v>2249508</v>
      </c>
      <c r="I653" s="1">
        <v>2532638</v>
      </c>
      <c r="J653" s="7">
        <v>0.88800000000000001</v>
      </c>
      <c r="K653" s="1" t="s">
        <v>21</v>
      </c>
      <c r="L653" s="1" t="s">
        <v>21</v>
      </c>
      <c r="M653" s="1" t="s">
        <v>29</v>
      </c>
      <c r="N653" s="1" t="s">
        <v>297</v>
      </c>
      <c r="O653" s="1" t="str">
        <f t="shared" ca="1" si="5"/>
        <v>Please solve the LeetCode problem '1757. Recyclable and Low Fat Products'.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54" spans="1:15" x14ac:dyDescent="0.25">
      <c r="A654" s="1">
        <v>697</v>
      </c>
      <c r="B654" s="2" t="str">
        <f>HYPERLINK("https://leetcode.com/problems/degree-of-an-array/", "Degree of an Array")</f>
        <v>Degree of an Array</v>
      </c>
      <c r="C654" s="1">
        <v>3241</v>
      </c>
      <c r="D654" s="1">
        <v>1807</v>
      </c>
      <c r="E654" s="3">
        <f t="shared" si="4"/>
        <v>0.64203645007923926</v>
      </c>
      <c r="F654" s="1" t="s">
        <v>19</v>
      </c>
      <c r="G654" s="1" t="s">
        <v>20</v>
      </c>
      <c r="H654" s="1">
        <v>269681</v>
      </c>
      <c r="I654" s="1">
        <v>464441</v>
      </c>
      <c r="J654" s="7">
        <v>0.58099999999999996</v>
      </c>
      <c r="K654" s="1" t="s">
        <v>21</v>
      </c>
      <c r="L654" s="1" t="s">
        <v>21</v>
      </c>
      <c r="M654" s="1" t="s">
        <v>29</v>
      </c>
      <c r="N654" s="1" t="s">
        <v>22</v>
      </c>
      <c r="O654" s="1" t="str">
        <f t="shared" ca="1" si="5"/>
        <v>Please solve the LeetCode problem '697. Degree of an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55" spans="1:15" x14ac:dyDescent="0.25">
      <c r="A655" s="1">
        <v>2096</v>
      </c>
      <c r="B655" s="2" t="str">
        <f>HYPERLINK("https://leetcode.com/problems/step-by-step-directions-from-a-binary-tree-node-to-another/", "Step-By-Step Directions From a Binary Tree Node to Another")</f>
        <v>Step-By-Step Directions From a Binary Tree Node to Another</v>
      </c>
      <c r="C655" s="1">
        <v>3235</v>
      </c>
      <c r="D655" s="1">
        <v>169</v>
      </c>
      <c r="E655" s="3">
        <f t="shared" si="4"/>
        <v>0.95035252643948298</v>
      </c>
      <c r="F655" s="1" t="s">
        <v>362</v>
      </c>
      <c r="G655" s="1" t="s">
        <v>24</v>
      </c>
      <c r="H655" s="1">
        <v>233921</v>
      </c>
      <c r="I655" s="1">
        <v>414948</v>
      </c>
      <c r="J655" s="7">
        <v>0.56399999999999995</v>
      </c>
      <c r="K655" s="1" t="s">
        <v>21</v>
      </c>
      <c r="L655" s="1" t="s">
        <v>21</v>
      </c>
      <c r="M655" s="1" t="s">
        <v>29</v>
      </c>
      <c r="N655" s="1" t="s">
        <v>22</v>
      </c>
      <c r="O655" s="1" t="str">
        <f t="shared" ca="1" si="5"/>
        <v>Please solve the LeetCode problem '2096. Step-By-Step Directions From a Binary Tree Node to Another'.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56" spans="1:15" x14ac:dyDescent="0.25">
      <c r="A656" s="1">
        <v>324</v>
      </c>
      <c r="B656" s="2" t="str">
        <f>HYPERLINK("https://leetcode.com/problems/wiggle-sort-ii/", "Wiggle Sort II")</f>
        <v>Wiggle Sort II</v>
      </c>
      <c r="C656" s="1">
        <v>3231</v>
      </c>
      <c r="D656" s="1">
        <v>981</v>
      </c>
      <c r="E656" s="3">
        <f t="shared" si="4"/>
        <v>0.76709401709401714</v>
      </c>
      <c r="F656" s="1" t="s">
        <v>363</v>
      </c>
      <c r="G656" s="1" t="s">
        <v>24</v>
      </c>
      <c r="H656" s="1">
        <v>195792</v>
      </c>
      <c r="I656" s="1">
        <v>534786</v>
      </c>
      <c r="J656" s="7">
        <v>0.36599999999999999</v>
      </c>
      <c r="K656" s="1" t="s">
        <v>21</v>
      </c>
      <c r="L656" s="1" t="s">
        <v>29</v>
      </c>
      <c r="M656" s="1" t="s">
        <v>29</v>
      </c>
      <c r="N656" s="1" t="s">
        <v>22</v>
      </c>
      <c r="O656" s="1" t="str">
        <f t="shared" ca="1" si="5"/>
        <v>Please solve the LeetCode problem '324. Wiggle Sort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57" spans="1:15" x14ac:dyDescent="0.25">
      <c r="A657" s="1">
        <v>382</v>
      </c>
      <c r="B657" s="2" t="str">
        <f>HYPERLINK("https://leetcode.com/problems/linked-list-random-node/", "Linked List Random Node")</f>
        <v>Linked List Random Node</v>
      </c>
      <c r="C657" s="1">
        <v>3206</v>
      </c>
      <c r="D657" s="1">
        <v>721</v>
      </c>
      <c r="E657" s="3">
        <f t="shared" si="4"/>
        <v>0.81639928698752229</v>
      </c>
      <c r="F657" s="1" t="s">
        <v>364</v>
      </c>
      <c r="G657" s="1" t="s">
        <v>24</v>
      </c>
      <c r="H657" s="1">
        <v>283210</v>
      </c>
      <c r="I657" s="1">
        <v>438626</v>
      </c>
      <c r="J657" s="7">
        <v>0.64600000000000002</v>
      </c>
      <c r="K657" s="1" t="s">
        <v>21</v>
      </c>
      <c r="L657" s="1" t="s">
        <v>21</v>
      </c>
      <c r="M657" s="1" t="s">
        <v>29</v>
      </c>
      <c r="N657" s="1" t="s">
        <v>22</v>
      </c>
      <c r="O657" s="1" t="str">
        <f t="shared" ca="1" si="5"/>
        <v>Please solve the LeetCode problem '382. Linked List Random Node'.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58" spans="1:15" x14ac:dyDescent="0.25">
      <c r="A658" s="1">
        <v>1544</v>
      </c>
      <c r="B658" s="2" t="str">
        <f>HYPERLINK("https://leetcode.com/problems/make-the-string-great/", "Make The String Great")</f>
        <v>Make The String Great</v>
      </c>
      <c r="C658" s="1">
        <v>3200</v>
      </c>
      <c r="D658" s="1">
        <v>182</v>
      </c>
      <c r="E658" s="3">
        <f t="shared" si="4"/>
        <v>0.94618568894145472</v>
      </c>
      <c r="F658" s="1" t="s">
        <v>36</v>
      </c>
      <c r="G658" s="1" t="s">
        <v>20</v>
      </c>
      <c r="H658" s="1">
        <v>393581</v>
      </c>
      <c r="I658" s="1">
        <v>575812</v>
      </c>
      <c r="J658" s="7">
        <v>0.68400000000000005</v>
      </c>
      <c r="K658" s="1" t="s">
        <v>21</v>
      </c>
      <c r="L658" s="1" t="s">
        <v>21</v>
      </c>
      <c r="M658" s="1" t="s">
        <v>29</v>
      </c>
      <c r="N658" s="1" t="s">
        <v>22</v>
      </c>
      <c r="O658" s="1" t="str">
        <f t="shared" ca="1" si="5"/>
        <v>Please solve the LeetCode problem '1544. Make The String Great'.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59" spans="1:15" x14ac:dyDescent="0.25">
      <c r="A659" s="1">
        <v>1732</v>
      </c>
      <c r="B659" s="2" t="str">
        <f>HYPERLINK("https://leetcode.com/problems/find-the-highest-altitude/", "Find the Highest Altitude")</f>
        <v>Find the Highest Altitude</v>
      </c>
      <c r="C659" s="1">
        <v>3198</v>
      </c>
      <c r="D659" s="1">
        <v>420</v>
      </c>
      <c r="E659" s="3">
        <f t="shared" si="4"/>
        <v>0.88391376451077941</v>
      </c>
      <c r="F659" s="1" t="s">
        <v>37</v>
      </c>
      <c r="G659" s="1" t="s">
        <v>20</v>
      </c>
      <c r="H659" s="1">
        <v>681057</v>
      </c>
      <c r="I659" s="1">
        <v>812213</v>
      </c>
      <c r="J659" s="7">
        <v>0.83899999999999997</v>
      </c>
      <c r="K659" s="1" t="s">
        <v>21</v>
      </c>
      <c r="L659" s="1" t="s">
        <v>21</v>
      </c>
      <c r="M659" s="1" t="s">
        <v>29</v>
      </c>
      <c r="N659" s="1" t="s">
        <v>22</v>
      </c>
      <c r="O659" s="1" t="str">
        <f t="shared" ca="1" si="5"/>
        <v>Please solve the LeetCode problem '1732. Find the Highest Altitude'.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60" spans="1:15" x14ac:dyDescent="0.25">
      <c r="A660" s="1">
        <v>1383</v>
      </c>
      <c r="B660" s="2" t="str">
        <f>HYPERLINK("https://leetcode.com/problems/maximum-performance-of-a-team/", "Maximum Performance of a Team")</f>
        <v>Maximum Performance of a Team</v>
      </c>
      <c r="C660" s="1">
        <v>3196</v>
      </c>
      <c r="D660" s="1">
        <v>84</v>
      </c>
      <c r="E660" s="3">
        <f t="shared" si="4"/>
        <v>0.974390243902439</v>
      </c>
      <c r="F660" s="1" t="s">
        <v>302</v>
      </c>
      <c r="G660" s="1" t="s">
        <v>28</v>
      </c>
      <c r="H660" s="1">
        <v>108184</v>
      </c>
      <c r="I660" s="1">
        <v>226839</v>
      </c>
      <c r="J660" s="7">
        <v>0.47699999999999998</v>
      </c>
      <c r="K660" s="1" t="s">
        <v>21</v>
      </c>
      <c r="L660" s="1" t="s">
        <v>21</v>
      </c>
      <c r="M660" s="1" t="s">
        <v>29</v>
      </c>
      <c r="N660" s="1" t="s">
        <v>22</v>
      </c>
      <c r="O660" s="1" t="str">
        <f t="shared" ca="1" si="5"/>
        <v>Please solve the LeetCode problem '1383. Maximum Performance of a Team'.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61" spans="1:15" x14ac:dyDescent="0.25">
      <c r="A661" s="1">
        <v>476</v>
      </c>
      <c r="B661" s="2" t="str">
        <f>HYPERLINK("https://leetcode.com/problems/number-complement/", "Number Complement")</f>
        <v>Number Complement</v>
      </c>
      <c r="C661" s="1">
        <v>3194</v>
      </c>
      <c r="D661" s="1">
        <v>145</v>
      </c>
      <c r="E661" s="3">
        <f t="shared" si="4"/>
        <v>0.95657382449835282</v>
      </c>
      <c r="F661" s="1" t="s">
        <v>298</v>
      </c>
      <c r="G661" s="1" t="s">
        <v>20</v>
      </c>
      <c r="H661" s="1">
        <v>532631</v>
      </c>
      <c r="I661" s="1">
        <v>756153</v>
      </c>
      <c r="J661" s="7">
        <v>0.70399999999999996</v>
      </c>
      <c r="K661" s="1" t="s">
        <v>21</v>
      </c>
      <c r="L661" s="1" t="s">
        <v>21</v>
      </c>
      <c r="M661" s="1" t="s">
        <v>29</v>
      </c>
      <c r="N661" s="1" t="s">
        <v>22</v>
      </c>
      <c r="O661" s="1" t="str">
        <f t="shared" ca="1" si="5"/>
        <v>Please solve the LeetCode problem '476. Number Complement'.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62" spans="1:15" x14ac:dyDescent="0.25">
      <c r="A662" s="1">
        <v>2385</v>
      </c>
      <c r="B662" s="2" t="str">
        <f>HYPERLINK("https://leetcode.com/problems/amount-of-time-for-binary-tree-to-be-infected/", "Amount of Time for Binary Tree to Be Infected")</f>
        <v>Amount of Time for Binary Tree to Be Infected</v>
      </c>
      <c r="C662" s="1">
        <v>3188</v>
      </c>
      <c r="D662" s="1">
        <v>69</v>
      </c>
      <c r="E662" s="3">
        <f t="shared" si="4"/>
        <v>0.97881486030089038</v>
      </c>
      <c r="F662" s="1" t="s">
        <v>107</v>
      </c>
      <c r="G662" s="1" t="s">
        <v>24</v>
      </c>
      <c r="H662" s="1">
        <v>195685</v>
      </c>
      <c r="I662" s="1">
        <v>301276</v>
      </c>
      <c r="J662" s="7">
        <v>0.65</v>
      </c>
      <c r="K662" s="1" t="s">
        <v>21</v>
      </c>
      <c r="L662" s="1" t="s">
        <v>21</v>
      </c>
      <c r="M662" s="1" t="s">
        <v>29</v>
      </c>
      <c r="N662" s="1" t="s">
        <v>22</v>
      </c>
      <c r="O662" s="1" t="str">
        <f t="shared" ca="1" si="5"/>
        <v>Please solve the LeetCode problem '2385. Amount of Time for Binary Tree to Be Infected'.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63" spans="1:15" x14ac:dyDescent="0.25">
      <c r="A663" s="1">
        <v>935</v>
      </c>
      <c r="B663" s="2" t="str">
        <f>HYPERLINK("https://leetcode.com/problems/knight-dialer/", "Knight Dialer")</f>
        <v>Knight Dialer</v>
      </c>
      <c r="C663" s="1">
        <v>3187</v>
      </c>
      <c r="D663" s="1">
        <v>451</v>
      </c>
      <c r="E663" s="3">
        <f t="shared" si="4"/>
        <v>0.8760307861462342</v>
      </c>
      <c r="F663" s="1" t="s">
        <v>251</v>
      </c>
      <c r="G663" s="1" t="s">
        <v>24</v>
      </c>
      <c r="H663" s="1">
        <v>197970</v>
      </c>
      <c r="I663" s="1">
        <v>321069</v>
      </c>
      <c r="J663" s="7">
        <v>0.61699999999999999</v>
      </c>
      <c r="K663" s="1" t="s">
        <v>21</v>
      </c>
      <c r="L663" s="1" t="s">
        <v>21</v>
      </c>
      <c r="M663" s="1" t="s">
        <v>29</v>
      </c>
      <c r="N663" s="1" t="s">
        <v>22</v>
      </c>
      <c r="O663" s="1" t="str">
        <f t="shared" ca="1" si="5"/>
        <v>Please solve the LeetCode problem '935. Knight Dialer'.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64" spans="1:15" x14ac:dyDescent="0.25">
      <c r="A664" s="1">
        <v>2390</v>
      </c>
      <c r="B664" s="2" t="str">
        <f>HYPERLINK("https://leetcode.com/problems/removing-stars-from-a-string/", "Removing Stars From a String")</f>
        <v>Removing Stars From a String</v>
      </c>
      <c r="C664" s="1">
        <v>3187</v>
      </c>
      <c r="D664" s="1">
        <v>232</v>
      </c>
      <c r="E664" s="3">
        <f t="shared" si="4"/>
        <v>0.93214390172565076</v>
      </c>
      <c r="F664" s="1" t="s">
        <v>365</v>
      </c>
      <c r="G664" s="1" t="s">
        <v>24</v>
      </c>
      <c r="H664" s="1">
        <v>588737</v>
      </c>
      <c r="I664" s="1">
        <v>747210</v>
      </c>
      <c r="J664" s="7">
        <v>0.78800000000000003</v>
      </c>
      <c r="K664" s="1" t="s">
        <v>21</v>
      </c>
      <c r="L664" s="1" t="s">
        <v>21</v>
      </c>
      <c r="M664" s="1" t="s">
        <v>29</v>
      </c>
      <c r="N664" s="1" t="s">
        <v>22</v>
      </c>
      <c r="O664" s="1" t="str">
        <f t="shared" ca="1" si="5"/>
        <v>Please solve the LeetCode problem '2390. Removing Stars From a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65" spans="1:15" x14ac:dyDescent="0.25">
      <c r="A665" s="1">
        <v>2300</v>
      </c>
      <c r="B665" s="2" t="str">
        <f>HYPERLINK("https://leetcode.com/problems/successful-pairs-of-spells-and-potions/", "Successful Pairs of Spells and Potions")</f>
        <v>Successful Pairs of Spells and Potions</v>
      </c>
      <c r="C665" s="1">
        <v>3180</v>
      </c>
      <c r="D665" s="1">
        <v>105</v>
      </c>
      <c r="E665" s="3">
        <f t="shared" si="4"/>
        <v>0.96803652968036524</v>
      </c>
      <c r="F665" s="1" t="s">
        <v>277</v>
      </c>
      <c r="G665" s="1" t="s">
        <v>24</v>
      </c>
      <c r="H665" s="1">
        <v>370884</v>
      </c>
      <c r="I665" s="1">
        <v>751386</v>
      </c>
      <c r="J665" s="7">
        <v>0.49399999999999999</v>
      </c>
      <c r="K665" s="1" t="s">
        <v>21</v>
      </c>
      <c r="L665" s="1" t="s">
        <v>21</v>
      </c>
      <c r="M665" s="1" t="s">
        <v>29</v>
      </c>
      <c r="N665" s="1" t="s">
        <v>22</v>
      </c>
      <c r="O665" s="1" t="str">
        <f t="shared" ca="1" si="5"/>
        <v>Please solve the LeetCode problem '2300. Successful Pairs of Spells and Potions'.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66" spans="1:15" x14ac:dyDescent="0.25">
      <c r="A666" s="1">
        <v>1305</v>
      </c>
      <c r="B666" s="2" t="str">
        <f>HYPERLINK("https://leetcode.com/problems/all-elements-in-two-binary-search-trees/", "All Elements in Two Binary Search Trees")</f>
        <v>All Elements in Two Binary Search Trees</v>
      </c>
      <c r="C666" s="1">
        <v>3175</v>
      </c>
      <c r="D666" s="1">
        <v>98</v>
      </c>
      <c r="E666" s="3">
        <f t="shared" si="4"/>
        <v>0.97005805071799567</v>
      </c>
      <c r="F666" s="1" t="s">
        <v>366</v>
      </c>
      <c r="G666" s="1" t="s">
        <v>24</v>
      </c>
      <c r="H666" s="1">
        <v>256459</v>
      </c>
      <c r="I666" s="1">
        <v>319819</v>
      </c>
      <c r="J666" s="7">
        <v>0.80200000000000005</v>
      </c>
      <c r="K666" s="1" t="s">
        <v>21</v>
      </c>
      <c r="L666" s="1" t="s">
        <v>21</v>
      </c>
      <c r="M666" s="1" t="s">
        <v>29</v>
      </c>
      <c r="N666" s="1" t="s">
        <v>22</v>
      </c>
      <c r="O666" s="1" t="str">
        <f t="shared" ca="1" si="5"/>
        <v>Please solve the LeetCode problem '1305. All Elements in Two Binary Search Trees'.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67" spans="1:15" x14ac:dyDescent="0.25">
      <c r="A667" s="1">
        <v>1706</v>
      </c>
      <c r="B667" s="2" t="str">
        <f>HYPERLINK("https://leetcode.com/problems/where-will-the-ball-fall/", "Where Will the Ball Fall")</f>
        <v>Where Will the Ball Fall</v>
      </c>
      <c r="C667" s="1">
        <v>3172</v>
      </c>
      <c r="D667" s="1">
        <v>181</v>
      </c>
      <c r="E667" s="3">
        <f t="shared" si="4"/>
        <v>0.94601849090366841</v>
      </c>
      <c r="F667" s="1" t="s">
        <v>77</v>
      </c>
      <c r="G667" s="1" t="s">
        <v>24</v>
      </c>
      <c r="H667" s="1">
        <v>148301</v>
      </c>
      <c r="I667" s="1">
        <v>205328</v>
      </c>
      <c r="J667" s="7">
        <v>0.72199999999999998</v>
      </c>
      <c r="K667" s="1" t="s">
        <v>21</v>
      </c>
      <c r="L667" s="1" t="s">
        <v>21</v>
      </c>
      <c r="M667" s="1" t="s">
        <v>29</v>
      </c>
      <c r="N667" s="1" t="s">
        <v>22</v>
      </c>
      <c r="O667" s="1" t="str">
        <f t="shared" ca="1" si="5"/>
        <v>Please solve the LeetCode problem '1706. Where Will the Ball Fall'.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68" spans="1:15" x14ac:dyDescent="0.25">
      <c r="A668" s="1">
        <v>1552</v>
      </c>
      <c r="B668" s="2" t="str">
        <f>HYPERLINK("https://leetcode.com/problems/magnetic-force-between-two-balls/", "Magnetic Force Between Two Balls")</f>
        <v>Magnetic Force Between Two Balls</v>
      </c>
      <c r="C668" s="1">
        <v>3160</v>
      </c>
      <c r="D668" s="1">
        <v>270</v>
      </c>
      <c r="E668" s="3">
        <f t="shared" si="4"/>
        <v>0.92128279883381925</v>
      </c>
      <c r="F668" s="1" t="s">
        <v>367</v>
      </c>
      <c r="G668" s="1" t="s">
        <v>24</v>
      </c>
      <c r="H668" s="1">
        <v>210958</v>
      </c>
      <c r="I668" s="1">
        <v>294007</v>
      </c>
      <c r="J668" s="7">
        <v>0.71799999999999997</v>
      </c>
      <c r="K668" s="1" t="s">
        <v>21</v>
      </c>
      <c r="L668" s="1" t="s">
        <v>21</v>
      </c>
      <c r="M668" s="1" t="s">
        <v>29</v>
      </c>
      <c r="N668" s="1" t="s">
        <v>22</v>
      </c>
      <c r="O668" s="1" t="str">
        <f t="shared" ca="1" si="5"/>
        <v>Please solve the LeetCode problem '1552. Magnetic Force Between Two Balls'.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69" spans="1:15" x14ac:dyDescent="0.25">
      <c r="A669" s="1">
        <v>1282</v>
      </c>
      <c r="B669" s="2" t="str">
        <f>HYPERLINK("https://leetcode.com/problems/group-the-people-given-the-group-size-they-belong-to/", "Group the People Given the Group Size They Belong To")</f>
        <v>Group the People Given the Group Size They Belong To</v>
      </c>
      <c r="C669" s="1">
        <v>3142</v>
      </c>
      <c r="D669" s="1">
        <v>747</v>
      </c>
      <c r="E669" s="3">
        <f t="shared" si="4"/>
        <v>0.80791977372075086</v>
      </c>
      <c r="F669" s="1" t="s">
        <v>368</v>
      </c>
      <c r="G669" s="1" t="s">
        <v>24</v>
      </c>
      <c r="H669" s="1">
        <v>245602</v>
      </c>
      <c r="I669" s="1">
        <v>280702</v>
      </c>
      <c r="J669" s="7">
        <v>0.875</v>
      </c>
      <c r="K669" s="1" t="s">
        <v>21</v>
      </c>
      <c r="L669" s="1" t="s">
        <v>21</v>
      </c>
      <c r="M669" s="1" t="s">
        <v>29</v>
      </c>
      <c r="N669" s="1" t="s">
        <v>22</v>
      </c>
      <c r="O669" s="1" t="str">
        <f t="shared" ca="1" si="5"/>
        <v>Please solve the LeetCode problem '1282. Group the People Given the Group Size They Belong To'.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70" spans="1:15" x14ac:dyDescent="0.25">
      <c r="A670" s="1">
        <v>165</v>
      </c>
      <c r="B670" s="2" t="str">
        <f>HYPERLINK("https://leetcode.com/problems/compare-version-numbers/", "Compare Version Numbers")</f>
        <v>Compare Version Numbers</v>
      </c>
      <c r="C670" s="1">
        <v>3141</v>
      </c>
      <c r="D670" s="1">
        <v>2795</v>
      </c>
      <c r="E670" s="3">
        <f t="shared" si="4"/>
        <v>0.52914420485175206</v>
      </c>
      <c r="F670" s="1" t="s">
        <v>117</v>
      </c>
      <c r="G670" s="1" t="s">
        <v>24</v>
      </c>
      <c r="H670" s="1">
        <v>686837</v>
      </c>
      <c r="I670" s="1">
        <v>1494299</v>
      </c>
      <c r="J670" s="7">
        <v>0.46</v>
      </c>
      <c r="K670" s="1" t="s">
        <v>21</v>
      </c>
      <c r="L670" s="1" t="s">
        <v>21</v>
      </c>
      <c r="M670" s="1" t="s">
        <v>29</v>
      </c>
      <c r="N670" s="1" t="s">
        <v>22</v>
      </c>
      <c r="O670" s="1" t="str">
        <f t="shared" ca="1" si="5"/>
        <v>Please solve the LeetCode problem '165. Compare Version Numbers'.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71" spans="1:15" x14ac:dyDescent="0.25">
      <c r="A671" s="1">
        <v>1662</v>
      </c>
      <c r="B671" s="2" t="str">
        <f>HYPERLINK("https://leetcode.com/problems/check-if-two-string-arrays-are-equivalent/", "Check If Two String Arrays are Equivalent")</f>
        <v>Check If Two String Arrays are Equivalent</v>
      </c>
      <c r="C671" s="1">
        <v>3138</v>
      </c>
      <c r="D671" s="1">
        <v>205</v>
      </c>
      <c r="E671" s="3">
        <f t="shared" si="4"/>
        <v>0.93867783428058627</v>
      </c>
      <c r="F671" s="1" t="s">
        <v>369</v>
      </c>
      <c r="G671" s="1" t="s">
        <v>20</v>
      </c>
      <c r="H671" s="1">
        <v>597079</v>
      </c>
      <c r="I671" s="1">
        <v>694289</v>
      </c>
      <c r="J671" s="7">
        <v>0.86</v>
      </c>
      <c r="K671" s="1" t="s">
        <v>21</v>
      </c>
      <c r="L671" s="1" t="s">
        <v>21</v>
      </c>
      <c r="M671" s="1" t="s">
        <v>29</v>
      </c>
      <c r="N671" s="1" t="s">
        <v>22</v>
      </c>
      <c r="O671" s="1" t="str">
        <f t="shared" ca="1" si="5"/>
        <v>Please solve the LeetCode problem '1662. Check If Two String Arrays are Equivalent'.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72" spans="1:15" x14ac:dyDescent="0.25">
      <c r="A672" s="1">
        <v>1079</v>
      </c>
      <c r="B672" s="2" t="str">
        <f>HYPERLINK("https://leetcode.com/problems/letter-tile-possibilities/", "Letter Tile Possibilities")</f>
        <v>Letter Tile Possibilities</v>
      </c>
      <c r="C672" s="1">
        <v>3132</v>
      </c>
      <c r="D672" s="1">
        <v>88</v>
      </c>
      <c r="E672" s="3">
        <f t="shared" si="4"/>
        <v>0.97267080745341616</v>
      </c>
      <c r="F672" s="1" t="s">
        <v>370</v>
      </c>
      <c r="G672" s="1" t="s">
        <v>24</v>
      </c>
      <c r="H672" s="1">
        <v>251858</v>
      </c>
      <c r="I672" s="1">
        <v>301469</v>
      </c>
      <c r="J672" s="7">
        <v>0.83499999999999996</v>
      </c>
      <c r="K672" s="1" t="s">
        <v>21</v>
      </c>
      <c r="L672" s="1" t="s">
        <v>21</v>
      </c>
      <c r="M672" s="1" t="s">
        <v>29</v>
      </c>
      <c r="N672" s="1" t="s">
        <v>22</v>
      </c>
      <c r="O672" s="1" t="str">
        <f t="shared" ca="1" si="5"/>
        <v>Please solve the LeetCode problem '1079. Letter Tile Possibilities'.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73" spans="1:15" x14ac:dyDescent="0.25">
      <c r="A673" s="1">
        <v>2542</v>
      </c>
      <c r="B673" s="2" t="str">
        <f>HYPERLINK("https://leetcode.com/problems/maximum-subsequence-score/", "Maximum Subsequence Score")</f>
        <v>Maximum Subsequence Score</v>
      </c>
      <c r="C673" s="1">
        <v>3121</v>
      </c>
      <c r="D673" s="1">
        <v>209</v>
      </c>
      <c r="E673" s="3">
        <f t="shared" si="4"/>
        <v>0.93723723723723729</v>
      </c>
      <c r="F673" s="1" t="s">
        <v>302</v>
      </c>
      <c r="G673" s="1" t="s">
        <v>24</v>
      </c>
      <c r="H673" s="1">
        <v>146351</v>
      </c>
      <c r="I673" s="1">
        <v>268638</v>
      </c>
      <c r="J673" s="7">
        <v>0.54500000000000004</v>
      </c>
      <c r="K673" s="1" t="s">
        <v>21</v>
      </c>
      <c r="L673" s="1" t="s">
        <v>21</v>
      </c>
      <c r="M673" s="1" t="s">
        <v>29</v>
      </c>
      <c r="N673" s="1" t="s">
        <v>22</v>
      </c>
      <c r="O673" s="1" t="str">
        <f t="shared" ca="1" si="5"/>
        <v>Please solve the LeetCode problem '2542. Maximum Subsequence Score'.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74" spans="1:15" x14ac:dyDescent="0.25">
      <c r="A674" s="1">
        <v>386</v>
      </c>
      <c r="B674" s="2" t="str">
        <f>HYPERLINK("https://leetcode.com/problems/lexicographical-numbers/", "Lexicographical Numbers")</f>
        <v>Lexicographical Numbers</v>
      </c>
      <c r="C674" s="1">
        <v>3115</v>
      </c>
      <c r="D674" s="1">
        <v>214</v>
      </c>
      <c r="E674" s="3">
        <f t="shared" si="4"/>
        <v>0.93571643136076899</v>
      </c>
      <c r="F674" s="1" t="s">
        <v>371</v>
      </c>
      <c r="G674" s="1" t="s">
        <v>24</v>
      </c>
      <c r="H674" s="1">
        <v>378903</v>
      </c>
      <c r="I674" s="1">
        <v>497492</v>
      </c>
      <c r="J674" s="7">
        <v>0.76200000000000001</v>
      </c>
      <c r="K674" s="1" t="s">
        <v>21</v>
      </c>
      <c r="L674" s="1" t="s">
        <v>21</v>
      </c>
      <c r="M674" s="1" t="s">
        <v>29</v>
      </c>
      <c r="N674" s="1" t="s">
        <v>22</v>
      </c>
      <c r="O674" s="1" t="str">
        <f t="shared" ca="1" si="5"/>
        <v>Please solve the LeetCode problem '386. Lexicographical Numbers'.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75" spans="1:15" x14ac:dyDescent="0.25">
      <c r="A675" s="1">
        <v>941</v>
      </c>
      <c r="B675" s="2" t="str">
        <f>HYPERLINK("https://leetcode.com/problems/valid-mountain-array/", "Valid Mountain Array")</f>
        <v>Valid Mountain Array</v>
      </c>
      <c r="C675" s="1">
        <v>3110</v>
      </c>
      <c r="D675" s="1">
        <v>202</v>
      </c>
      <c r="E675" s="3">
        <f t="shared" si="4"/>
        <v>0.93900966183574874</v>
      </c>
      <c r="F675" s="1" t="s">
        <v>113</v>
      </c>
      <c r="G675" s="1" t="s">
        <v>20</v>
      </c>
      <c r="H675" s="1">
        <v>540237</v>
      </c>
      <c r="I675" s="1">
        <v>1551015</v>
      </c>
      <c r="J675" s="7">
        <v>0.34799999999999998</v>
      </c>
      <c r="K675" s="1" t="s">
        <v>21</v>
      </c>
      <c r="L675" s="1" t="s">
        <v>21</v>
      </c>
      <c r="M675" s="1" t="s">
        <v>29</v>
      </c>
      <c r="N675" s="1" t="s">
        <v>22</v>
      </c>
      <c r="O675" s="1" t="str">
        <f t="shared" ca="1" si="5"/>
        <v>Please solve the LeetCode problem '941. Valid Mountain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76" spans="1:15" x14ac:dyDescent="0.25">
      <c r="A676" s="1">
        <v>1769</v>
      </c>
      <c r="B676" s="2" t="str">
        <f>HYPERLINK("https://leetcode.com/problems/minimum-number-of-operations-to-move-all-balls-to-each-box/", "Minimum Number of Operations to Move All Balls to Each Box")</f>
        <v>Minimum Number of Operations to Move All Balls to Each Box</v>
      </c>
      <c r="C676" s="1">
        <v>3104</v>
      </c>
      <c r="D676" s="1">
        <v>136</v>
      </c>
      <c r="E676" s="3">
        <f t="shared" si="4"/>
        <v>0.9580246913580247</v>
      </c>
      <c r="F676" s="1" t="s">
        <v>372</v>
      </c>
      <c r="G676" s="1" t="s">
        <v>24</v>
      </c>
      <c r="H676" s="1">
        <v>329361</v>
      </c>
      <c r="I676" s="1">
        <v>365555</v>
      </c>
      <c r="J676" s="7">
        <v>0.90100000000000002</v>
      </c>
      <c r="K676" s="1" t="s">
        <v>21</v>
      </c>
      <c r="L676" s="1" t="s">
        <v>21</v>
      </c>
      <c r="M676" s="1" t="s">
        <v>29</v>
      </c>
      <c r="N676" s="1" t="s">
        <v>22</v>
      </c>
      <c r="O676" s="1" t="str">
        <f t="shared" ca="1" si="5"/>
        <v>Please solve the LeetCode problem '1769. Minimum Number of Operations to Move All Balls to Each Box'.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77" spans="1:15" x14ac:dyDescent="0.25">
      <c r="A677" s="1">
        <v>1523</v>
      </c>
      <c r="B677" s="2" t="str">
        <f>HYPERLINK("https://leetcode.com/problems/count-odd-numbers-in-an-interval-range/", "Count Odd Numbers in an Interval Range")</f>
        <v>Count Odd Numbers in an Interval Range</v>
      </c>
      <c r="C677" s="1">
        <v>3100</v>
      </c>
      <c r="D677" s="1">
        <v>179</v>
      </c>
      <c r="E677" s="3">
        <f t="shared" si="4"/>
        <v>0.94541018603232696</v>
      </c>
      <c r="F677" s="1" t="s">
        <v>84</v>
      </c>
      <c r="G677" s="1" t="s">
        <v>20</v>
      </c>
      <c r="H677" s="1">
        <v>530959</v>
      </c>
      <c r="I677" s="1">
        <v>977454</v>
      </c>
      <c r="J677" s="7">
        <v>0.54300000000000004</v>
      </c>
      <c r="K677" s="1" t="s">
        <v>21</v>
      </c>
      <c r="L677" s="1" t="s">
        <v>21</v>
      </c>
      <c r="M677" s="1" t="s">
        <v>29</v>
      </c>
      <c r="N677" s="1" t="s">
        <v>22</v>
      </c>
      <c r="O677" s="1" t="str">
        <f t="shared" ca="1" si="5"/>
        <v>Please solve the LeetCode problem '1523. Count Odd Numbers in an Interval Range'.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78" spans="1:15" x14ac:dyDescent="0.25">
      <c r="A678" s="1">
        <v>648</v>
      </c>
      <c r="B678" s="2" t="str">
        <f>HYPERLINK("https://leetcode.com/problems/replace-words/", "Replace Words")</f>
        <v>Replace Words</v>
      </c>
      <c r="C678" s="1">
        <v>3093</v>
      </c>
      <c r="D678" s="1">
        <v>219</v>
      </c>
      <c r="E678" s="3">
        <f t="shared" si="4"/>
        <v>0.93387681159420288</v>
      </c>
      <c r="F678" s="1" t="s">
        <v>279</v>
      </c>
      <c r="G678" s="1" t="s">
        <v>24</v>
      </c>
      <c r="H678" s="1">
        <v>313133</v>
      </c>
      <c r="I678" s="1">
        <v>456528</v>
      </c>
      <c r="J678" s="7">
        <v>0.68600000000000005</v>
      </c>
      <c r="K678" s="1" t="s">
        <v>21</v>
      </c>
      <c r="L678" s="1" t="s">
        <v>21</v>
      </c>
      <c r="M678" s="1" t="s">
        <v>29</v>
      </c>
      <c r="N678" s="1" t="s">
        <v>22</v>
      </c>
      <c r="O678" s="1" t="str">
        <f t="shared" ca="1" si="5"/>
        <v>Please solve the LeetCode problem '648. Replace Words'.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79" spans="1:15" x14ac:dyDescent="0.25">
      <c r="A679" s="1">
        <v>1996</v>
      </c>
      <c r="B679" s="2" t="str">
        <f>HYPERLINK("https://leetcode.com/problems/the-number-of-weak-characters-in-the-game/", "The Number of Weak Characters in the Game")</f>
        <v>The Number of Weak Characters in the Game</v>
      </c>
      <c r="C679" s="1">
        <v>3092</v>
      </c>
      <c r="D679" s="1">
        <v>99</v>
      </c>
      <c r="E679" s="3">
        <f t="shared" si="4"/>
        <v>0.96897524287057346</v>
      </c>
      <c r="F679" s="1" t="s">
        <v>335</v>
      </c>
      <c r="G679" s="1" t="s">
        <v>24</v>
      </c>
      <c r="H679" s="1">
        <v>116575</v>
      </c>
      <c r="I679" s="1">
        <v>262383</v>
      </c>
      <c r="J679" s="7">
        <v>0.44400000000000001</v>
      </c>
      <c r="K679" s="1" t="s">
        <v>21</v>
      </c>
      <c r="L679" s="1" t="s">
        <v>21</v>
      </c>
      <c r="M679" s="1" t="s">
        <v>29</v>
      </c>
      <c r="N679" s="1" t="s">
        <v>22</v>
      </c>
      <c r="O679" s="1" t="str">
        <f t="shared" ca="1" si="5"/>
        <v>Please solve the LeetCode problem '1996. The Number of Weak Characters in the Game'.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80" spans="1:15" x14ac:dyDescent="0.25">
      <c r="A680" s="1">
        <v>1359</v>
      </c>
      <c r="B680" s="2" t="str">
        <f>HYPERLINK("https://leetcode.com/problems/count-all-valid-pickup-and-delivery-options/", "Count All Valid Pickup and Delivery Options")</f>
        <v>Count All Valid Pickup and Delivery Options</v>
      </c>
      <c r="C680" s="1">
        <v>3087</v>
      </c>
      <c r="D680" s="1">
        <v>233</v>
      </c>
      <c r="E680" s="3">
        <f t="shared" si="4"/>
        <v>0.92981927710843371</v>
      </c>
      <c r="F680" s="1" t="s">
        <v>70</v>
      </c>
      <c r="G680" s="1" t="s">
        <v>28</v>
      </c>
      <c r="H680" s="1">
        <v>133311</v>
      </c>
      <c r="I680" s="1">
        <v>205488</v>
      </c>
      <c r="J680" s="7">
        <v>0.64900000000000002</v>
      </c>
      <c r="K680" s="1" t="s">
        <v>21</v>
      </c>
      <c r="L680" s="1" t="s">
        <v>21</v>
      </c>
      <c r="M680" s="1" t="s">
        <v>29</v>
      </c>
      <c r="N680" s="1" t="s">
        <v>22</v>
      </c>
      <c r="O680" s="1" t="str">
        <f t="shared" ca="1" si="5"/>
        <v>Please solve the LeetCode problem '1359. Count All Valid Pickup and Delivery Options'.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81" spans="1:15" x14ac:dyDescent="0.25">
      <c r="A681" s="1">
        <v>1675</v>
      </c>
      <c r="B681" s="2" t="str">
        <f>HYPERLINK("https://leetcode.com/problems/minimize-deviation-in-array/", "Minimize Deviation in Array")</f>
        <v>Minimize Deviation in Array</v>
      </c>
      <c r="C681" s="1">
        <v>3085</v>
      </c>
      <c r="D681" s="1">
        <v>175</v>
      </c>
      <c r="E681" s="3">
        <f t="shared" si="4"/>
        <v>0.94631901840490795</v>
      </c>
      <c r="F681" s="1" t="s">
        <v>373</v>
      </c>
      <c r="G681" s="1" t="s">
        <v>28</v>
      </c>
      <c r="H681" s="1">
        <v>100130</v>
      </c>
      <c r="I681" s="1">
        <v>185533</v>
      </c>
      <c r="J681" s="7">
        <v>0.54</v>
      </c>
      <c r="K681" s="1" t="s">
        <v>21</v>
      </c>
      <c r="L681" s="1" t="s">
        <v>21</v>
      </c>
      <c r="M681" s="1" t="s">
        <v>29</v>
      </c>
      <c r="N681" s="1" t="s">
        <v>22</v>
      </c>
      <c r="O681" s="1" t="str">
        <f t="shared" ca="1" si="5"/>
        <v>Please solve the LeetCode problem '1675. Minimize Deviation in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82" spans="1:15" x14ac:dyDescent="0.25">
      <c r="A682" s="1">
        <v>2187</v>
      </c>
      <c r="B682" s="2" t="str">
        <f>HYPERLINK("https://leetcode.com/problems/minimum-time-to-complete-trips/", "Minimum Time to Complete Trips")</f>
        <v>Minimum Time to Complete Trips</v>
      </c>
      <c r="C682" s="1">
        <v>3064</v>
      </c>
      <c r="D682" s="1">
        <v>195</v>
      </c>
      <c r="E682" s="3">
        <f t="shared" si="4"/>
        <v>0.94016569499846581</v>
      </c>
      <c r="F682" s="1" t="s">
        <v>35</v>
      </c>
      <c r="G682" s="1" t="s">
        <v>24</v>
      </c>
      <c r="H682" s="1">
        <v>148549</v>
      </c>
      <c r="I682" s="1">
        <v>376131</v>
      </c>
      <c r="J682" s="7">
        <v>0.39500000000000002</v>
      </c>
      <c r="K682" s="1" t="s">
        <v>21</v>
      </c>
      <c r="L682" s="1" t="s">
        <v>21</v>
      </c>
      <c r="M682" s="1" t="s">
        <v>29</v>
      </c>
      <c r="N682" s="1" t="s">
        <v>22</v>
      </c>
      <c r="O682" s="1" t="str">
        <f t="shared" ca="1" si="5"/>
        <v>Please solve the LeetCode problem '2187. Minimum Time to Complete Trips'.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83" spans="1:15" x14ac:dyDescent="0.25">
      <c r="A683" s="1">
        <v>2024</v>
      </c>
      <c r="B683" s="2" t="str">
        <f>HYPERLINK("https://leetcode.com/problems/maximize-the-confusion-of-an-exam/", "Maximize the Confusion of an Exam")</f>
        <v>Maximize the Confusion of an Exam</v>
      </c>
      <c r="C683" s="1">
        <v>3062</v>
      </c>
      <c r="D683" s="1">
        <v>54</v>
      </c>
      <c r="E683" s="3">
        <f t="shared" si="4"/>
        <v>0.98267008985879334</v>
      </c>
      <c r="F683" s="1" t="s">
        <v>374</v>
      </c>
      <c r="G683" s="1" t="s">
        <v>24</v>
      </c>
      <c r="H683" s="1">
        <v>139300</v>
      </c>
      <c r="I683" s="1">
        <v>200368</v>
      </c>
      <c r="J683" s="7">
        <v>0.69499999999999995</v>
      </c>
      <c r="K683" s="1" t="s">
        <v>21</v>
      </c>
      <c r="L683" s="1" t="s">
        <v>21</v>
      </c>
      <c r="M683" s="1" t="s">
        <v>29</v>
      </c>
      <c r="N683" s="1" t="s">
        <v>22</v>
      </c>
      <c r="O683" s="1" t="str">
        <f t="shared" ca="1" si="5"/>
        <v>Please solve the LeetCode problem '2024. Maximize the Confusion of an Exam'.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84" spans="1:15" x14ac:dyDescent="0.25">
      <c r="A684" s="1">
        <v>1626</v>
      </c>
      <c r="B684" s="2" t="str">
        <f>HYPERLINK("https://leetcode.com/problems/best-team-with-no-conflicts/", "Best Team With No Conflicts")</f>
        <v>Best Team With No Conflicts</v>
      </c>
      <c r="C684" s="1">
        <v>3038</v>
      </c>
      <c r="D684" s="1">
        <v>97</v>
      </c>
      <c r="E684" s="3">
        <f t="shared" si="4"/>
        <v>0.96905901116427429</v>
      </c>
      <c r="F684" s="1" t="s">
        <v>270</v>
      </c>
      <c r="G684" s="1" t="s">
        <v>24</v>
      </c>
      <c r="H684" s="1">
        <v>97042</v>
      </c>
      <c r="I684" s="1">
        <v>191977</v>
      </c>
      <c r="J684" s="7">
        <v>0.505</v>
      </c>
      <c r="K684" s="1" t="s">
        <v>21</v>
      </c>
      <c r="L684" s="1" t="s">
        <v>21</v>
      </c>
      <c r="M684" s="1" t="s">
        <v>29</v>
      </c>
      <c r="N684" s="1" t="s">
        <v>22</v>
      </c>
      <c r="O684" s="1" t="str">
        <f t="shared" ca="1" si="5"/>
        <v>Please solve the LeetCode problem '1626. Best Team With No Conflicts'.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85" spans="1:15" x14ac:dyDescent="0.25">
      <c r="A685" s="1">
        <v>857</v>
      </c>
      <c r="B685" s="2" t="str">
        <f>HYPERLINK("https://leetcode.com/problems/minimum-cost-to-hire-k-workers/", "Minimum Cost to Hire K Workers")</f>
        <v>Minimum Cost to Hire K Workers</v>
      </c>
      <c r="C685" s="1">
        <v>3037</v>
      </c>
      <c r="D685" s="1">
        <v>405</v>
      </c>
      <c r="E685" s="3">
        <f t="shared" si="4"/>
        <v>0.88233585124927372</v>
      </c>
      <c r="F685" s="1" t="s">
        <v>302</v>
      </c>
      <c r="G685" s="1" t="s">
        <v>28</v>
      </c>
      <c r="H685" s="1">
        <v>156786</v>
      </c>
      <c r="I685" s="1">
        <v>246540</v>
      </c>
      <c r="J685" s="7">
        <v>0.63600000000000001</v>
      </c>
      <c r="K685" s="1" t="s">
        <v>21</v>
      </c>
      <c r="L685" s="1" t="s">
        <v>21</v>
      </c>
      <c r="M685" s="1" t="s">
        <v>29</v>
      </c>
      <c r="N685" s="1" t="s">
        <v>22</v>
      </c>
      <c r="O685" s="1" t="str">
        <f t="shared" ca="1" si="5"/>
        <v>Please solve the LeetCode problem '857. Minimum Cost to Hire K Workers'.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86" spans="1:15" x14ac:dyDescent="0.25">
      <c r="A686" s="1">
        <v>181</v>
      </c>
      <c r="B686" s="2" t="str">
        <f>HYPERLINK("https://leetcode.com/problems/employees-earning-more-than-their-managers/", "Employees Earning More Than Their Managers")</f>
        <v>Employees Earning More Than Their Managers</v>
      </c>
      <c r="C686" s="1">
        <v>3032</v>
      </c>
      <c r="D686" s="1">
        <v>293</v>
      </c>
      <c r="E686" s="3">
        <f t="shared" si="4"/>
        <v>0.91187969924812029</v>
      </c>
      <c r="F686" s="1" t="s">
        <v>297</v>
      </c>
      <c r="G686" s="1" t="s">
        <v>20</v>
      </c>
      <c r="H686" s="1">
        <v>1045416</v>
      </c>
      <c r="I686" s="1">
        <v>1438998</v>
      </c>
      <c r="J686" s="7">
        <v>0.72599999999999998</v>
      </c>
      <c r="K686" s="1" t="s">
        <v>21</v>
      </c>
      <c r="L686" s="1" t="s">
        <v>21</v>
      </c>
      <c r="M686" s="1" t="s">
        <v>29</v>
      </c>
      <c r="N686" s="1" t="s">
        <v>297</v>
      </c>
      <c r="O686" s="1" t="str">
        <f t="shared" ca="1" si="5"/>
        <v>Please solve the LeetCode problem '181. Employees Earning More Than Their Managers'.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87" spans="1:15" x14ac:dyDescent="0.25">
      <c r="A687" s="1">
        <v>1367</v>
      </c>
      <c r="B687" s="2" t="str">
        <f>HYPERLINK("https://leetcode.com/problems/linked-list-in-binary-tree/", "Linked List in Binary Tree")</f>
        <v>Linked List in Binary Tree</v>
      </c>
      <c r="C687" s="1">
        <v>3014</v>
      </c>
      <c r="D687" s="1">
        <v>90</v>
      </c>
      <c r="E687" s="3">
        <f t="shared" si="4"/>
        <v>0.97100515463917525</v>
      </c>
      <c r="F687" s="1" t="s">
        <v>377</v>
      </c>
      <c r="G687" s="1" t="s">
        <v>24</v>
      </c>
      <c r="H687" s="1">
        <v>206353</v>
      </c>
      <c r="I687" s="1">
        <v>397515</v>
      </c>
      <c r="J687" s="7">
        <v>0.51900000000000002</v>
      </c>
      <c r="K687" s="1" t="s">
        <v>21</v>
      </c>
      <c r="L687" s="1" t="s">
        <v>21</v>
      </c>
      <c r="M687" s="1" t="s">
        <v>29</v>
      </c>
      <c r="N687" s="1" t="s">
        <v>22</v>
      </c>
      <c r="O687" s="1" t="str">
        <f t="shared" ca="1" si="5"/>
        <v>Please solve the LeetCode problem '1367. Linked List in Binary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88" spans="1:15" x14ac:dyDescent="0.25">
      <c r="A688" s="1">
        <v>707</v>
      </c>
      <c r="B688" s="2" t="str">
        <f>HYPERLINK("https://leetcode.com/problems/design-linked-list/", "Design Linked List")</f>
        <v>Design Linked List</v>
      </c>
      <c r="C688" s="1">
        <v>3005</v>
      </c>
      <c r="D688" s="1">
        <v>1678</v>
      </c>
      <c r="E688" s="3">
        <f t="shared" si="4"/>
        <v>0.64168268204142642</v>
      </c>
      <c r="F688" s="1" t="s">
        <v>375</v>
      </c>
      <c r="G688" s="1" t="s">
        <v>24</v>
      </c>
      <c r="H688" s="1">
        <v>463397</v>
      </c>
      <c r="I688" s="1">
        <v>1560025</v>
      </c>
      <c r="J688" s="7">
        <v>0.29699999999999999</v>
      </c>
      <c r="K688" s="1" t="s">
        <v>21</v>
      </c>
      <c r="L688" s="1" t="s">
        <v>21</v>
      </c>
      <c r="M688" s="1" t="s">
        <v>29</v>
      </c>
      <c r="N688" s="1" t="s">
        <v>22</v>
      </c>
      <c r="O688" s="1" t="str">
        <f t="shared" ca="1" si="5"/>
        <v>Please solve the LeetCode problem '707. Design Linked List'.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89" spans="1:15" x14ac:dyDescent="0.25">
      <c r="A689" s="1">
        <v>845</v>
      </c>
      <c r="B689" s="2" t="str">
        <f>HYPERLINK("https://leetcode.com/problems/longest-mountain-in-array/", "Longest Mountain in Array")</f>
        <v>Longest Mountain in Array</v>
      </c>
      <c r="C689" s="1">
        <v>3003</v>
      </c>
      <c r="D689" s="1">
        <v>91</v>
      </c>
      <c r="E689" s="3">
        <f t="shared" si="4"/>
        <v>0.97058823529411764</v>
      </c>
      <c r="F689" s="1" t="s">
        <v>376</v>
      </c>
      <c r="G689" s="1" t="s">
        <v>24</v>
      </c>
      <c r="H689" s="1">
        <v>187298</v>
      </c>
      <c r="I689" s="1">
        <v>449839</v>
      </c>
      <c r="J689" s="7">
        <v>0.41599999999999998</v>
      </c>
      <c r="K689" s="1" t="s">
        <v>21</v>
      </c>
      <c r="L689" s="1" t="s">
        <v>21</v>
      </c>
      <c r="M689" s="1" t="s">
        <v>29</v>
      </c>
      <c r="N689" s="1" t="s">
        <v>22</v>
      </c>
      <c r="O689" s="1" t="str">
        <f t="shared" ca="1" si="5"/>
        <v>Please solve the LeetCode problem '845. Longest Mountain in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90" spans="1:15" x14ac:dyDescent="0.25">
      <c r="A690" s="1">
        <v>1832</v>
      </c>
      <c r="B690" s="2" t="str">
        <f>HYPERLINK("https://leetcode.com/problems/check-if-the-sentence-is-pangram/", "Check if the Sentence Is Pangram")</f>
        <v>Check if the Sentence Is Pangram</v>
      </c>
      <c r="C690" s="1">
        <v>2996</v>
      </c>
      <c r="D690" s="1">
        <v>66</v>
      </c>
      <c r="E690" s="3">
        <f t="shared" si="4"/>
        <v>0.97844546048334424</v>
      </c>
      <c r="F690" s="1" t="s">
        <v>131</v>
      </c>
      <c r="G690" s="1" t="s">
        <v>20</v>
      </c>
      <c r="H690" s="1">
        <v>515119</v>
      </c>
      <c r="I690" s="1">
        <v>612683</v>
      </c>
      <c r="J690" s="7">
        <v>0.84099999999999997</v>
      </c>
      <c r="K690" s="1" t="s">
        <v>21</v>
      </c>
      <c r="L690" s="1" t="s">
        <v>21</v>
      </c>
      <c r="M690" s="1" t="s">
        <v>29</v>
      </c>
      <c r="N690" s="1" t="s">
        <v>22</v>
      </c>
      <c r="O690" s="1" t="str">
        <f t="shared" ca="1" si="5"/>
        <v>Please solve the LeetCode problem '1832. Check if the Sentence Is Pangram'.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91" spans="1:15" x14ac:dyDescent="0.25">
      <c r="A691" s="1">
        <v>277</v>
      </c>
      <c r="B691" s="2" t="str">
        <f>HYPERLINK("https://leetcode.com/problems/find-the-celebrity/", "Find the Celebrity")</f>
        <v>Find the Celebrity</v>
      </c>
      <c r="C691" s="1">
        <v>2989</v>
      </c>
      <c r="D691" s="1">
        <v>319</v>
      </c>
      <c r="E691" s="3">
        <f t="shared" si="4"/>
        <v>0.90356711003627566</v>
      </c>
      <c r="F691" s="1" t="s">
        <v>378</v>
      </c>
      <c r="G691" s="1" t="s">
        <v>24</v>
      </c>
      <c r="H691" s="1">
        <v>318512</v>
      </c>
      <c r="I691" s="1">
        <v>652703</v>
      </c>
      <c r="J691" s="7">
        <v>0.48799999999999999</v>
      </c>
      <c r="K691" s="1" t="s">
        <v>29</v>
      </c>
      <c r="L691" s="1" t="s">
        <v>21</v>
      </c>
      <c r="M691" s="1" t="s">
        <v>21</v>
      </c>
      <c r="N691" s="1" t="s">
        <v>22</v>
      </c>
      <c r="O691" s="1" t="str">
        <f t="shared" ca="1" si="5"/>
        <v>Please solve the LeetCode problem '277. Find the Celebrity'.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92" spans="1:15" x14ac:dyDescent="0.25">
      <c r="A692" s="1">
        <v>183</v>
      </c>
      <c r="B692" s="2" t="str">
        <f>HYPERLINK("https://leetcode.com/problems/customers-who-never-order/", "Customers Who Never Order")</f>
        <v>Customers Who Never Order</v>
      </c>
      <c r="C692" s="1">
        <v>2987</v>
      </c>
      <c r="D692" s="1">
        <v>153</v>
      </c>
      <c r="E692" s="3">
        <f t="shared" si="4"/>
        <v>0.95127388535031843</v>
      </c>
      <c r="F692" s="1" t="s">
        <v>297</v>
      </c>
      <c r="G692" s="1" t="s">
        <v>20</v>
      </c>
      <c r="H692" s="1">
        <v>1214397</v>
      </c>
      <c r="I692" s="1">
        <v>1702469</v>
      </c>
      <c r="J692" s="7">
        <v>0.71299999999999997</v>
      </c>
      <c r="K692" s="1" t="s">
        <v>21</v>
      </c>
      <c r="L692" s="1" t="s">
        <v>21</v>
      </c>
      <c r="M692" s="1" t="s">
        <v>29</v>
      </c>
      <c r="N692" s="1" t="s">
        <v>297</v>
      </c>
      <c r="O692" s="1" t="str">
        <f t="shared" ca="1" si="5"/>
        <v>Please solve the LeetCode problem '183. Customers Who Never Order'.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93" spans="1:15" x14ac:dyDescent="0.25">
      <c r="A693" s="1">
        <v>2131</v>
      </c>
      <c r="B693" s="2" t="str">
        <f>HYPERLINK("https://leetcode.com/problems/longest-palindrome-by-concatenating-two-letter-words/", "Longest Palindrome by Concatenating Two Letter Words")</f>
        <v>Longest Palindrome by Concatenating Two Letter Words</v>
      </c>
      <c r="C693" s="1">
        <v>2947</v>
      </c>
      <c r="D693" s="1">
        <v>79</v>
      </c>
      <c r="E693" s="3">
        <f t="shared" si="4"/>
        <v>0.97389292795769988</v>
      </c>
      <c r="F693" s="1" t="s">
        <v>380</v>
      </c>
      <c r="G693" s="1" t="s">
        <v>24</v>
      </c>
      <c r="H693" s="1">
        <v>240947</v>
      </c>
      <c r="I693" s="1">
        <v>449795</v>
      </c>
      <c r="J693" s="7">
        <v>0.53600000000000003</v>
      </c>
      <c r="K693" s="1" t="s">
        <v>21</v>
      </c>
      <c r="L693" s="1" t="s">
        <v>21</v>
      </c>
      <c r="M693" s="1" t="s">
        <v>29</v>
      </c>
      <c r="N693" s="1" t="s">
        <v>22</v>
      </c>
      <c r="O693" s="1" t="str">
        <f t="shared" ca="1" si="5"/>
        <v>Please solve the LeetCode problem '2131. Longest Palindrome by Concatenating Two Letter Words'.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94" spans="1:15" x14ac:dyDescent="0.25">
      <c r="A694" s="1">
        <v>2140</v>
      </c>
      <c r="B694" s="2" t="str">
        <f>HYPERLINK("https://leetcode.com/problems/solving-questions-with-brainpower/", "Solving Questions With Brainpower")</f>
        <v>Solving Questions With Brainpower</v>
      </c>
      <c r="C694" s="1">
        <v>2943</v>
      </c>
      <c r="D694" s="1">
        <v>86</v>
      </c>
      <c r="E694" s="3">
        <f t="shared" si="4"/>
        <v>0.97160779135028064</v>
      </c>
      <c r="F694" s="1" t="s">
        <v>30</v>
      </c>
      <c r="G694" s="1" t="s">
        <v>24</v>
      </c>
      <c r="H694" s="1">
        <v>252456</v>
      </c>
      <c r="I694" s="1">
        <v>419156</v>
      </c>
      <c r="J694" s="7">
        <v>0.60199999999999998</v>
      </c>
      <c r="K694" s="1" t="s">
        <v>21</v>
      </c>
      <c r="L694" s="1" t="s">
        <v>21</v>
      </c>
      <c r="M694" s="1" t="s">
        <v>29</v>
      </c>
      <c r="N694" s="1" t="s">
        <v>22</v>
      </c>
      <c r="O694" s="1" t="str">
        <f t="shared" ca="1" si="5"/>
        <v>Please solve the LeetCode problem '2140. Solving Questions With Brainpower'.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95" spans="1:15" x14ac:dyDescent="0.25">
      <c r="A695" s="1">
        <v>801</v>
      </c>
      <c r="B695" s="2" t="str">
        <f>HYPERLINK("https://leetcode.com/problems/minimum-swaps-to-make-sequences-increasing/", "Minimum Swaps To Make Sequences Increasing")</f>
        <v>Minimum Swaps To Make Sequences Increasing</v>
      </c>
      <c r="C695" s="1">
        <v>2937</v>
      </c>
      <c r="D695" s="1">
        <v>138</v>
      </c>
      <c r="E695" s="3">
        <f t="shared" si="4"/>
        <v>0.95512195121951216</v>
      </c>
      <c r="F695" s="1" t="s">
        <v>30</v>
      </c>
      <c r="G695" s="1" t="s">
        <v>28</v>
      </c>
      <c r="H695" s="1">
        <v>96123</v>
      </c>
      <c r="I695" s="1">
        <v>233102</v>
      </c>
      <c r="J695" s="7">
        <v>0.41199999999999998</v>
      </c>
      <c r="K695" s="1" t="s">
        <v>21</v>
      </c>
      <c r="L695" s="1" t="s">
        <v>21</v>
      </c>
      <c r="M695" s="1" t="s">
        <v>29</v>
      </c>
      <c r="N695" s="1" t="s">
        <v>22</v>
      </c>
      <c r="O695" s="1" t="str">
        <f t="shared" ca="1" si="5"/>
        <v>Please solve the LeetCode problem '801. Minimum Swaps To Make Sequences Increasing'.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96" spans="1:15" x14ac:dyDescent="0.25">
      <c r="A696" s="1">
        <v>1190</v>
      </c>
      <c r="B696" s="2" t="str">
        <f>HYPERLINK("https://leetcode.com/problems/reverse-substrings-between-each-pair-of-parentheses/", "Reverse Substrings Between Each Pair of Parentheses")</f>
        <v>Reverse Substrings Between Each Pair of Parentheses</v>
      </c>
      <c r="C696" s="1">
        <v>2934</v>
      </c>
      <c r="D696" s="1">
        <v>128</v>
      </c>
      <c r="E696" s="3">
        <f t="shared" si="4"/>
        <v>0.95819725669497058</v>
      </c>
      <c r="F696" s="1" t="s">
        <v>36</v>
      </c>
      <c r="G696" s="1" t="s">
        <v>24</v>
      </c>
      <c r="H696" s="1">
        <v>240934</v>
      </c>
      <c r="I696" s="1">
        <v>335155</v>
      </c>
      <c r="J696" s="7">
        <v>0.71899999999999997</v>
      </c>
      <c r="K696" s="1" t="s">
        <v>21</v>
      </c>
      <c r="L696" s="1" t="s">
        <v>21</v>
      </c>
      <c r="M696" s="1" t="s">
        <v>29</v>
      </c>
      <c r="N696" s="1" t="s">
        <v>22</v>
      </c>
      <c r="O696" s="1" t="str">
        <f t="shared" ca="1" si="5"/>
        <v>Please solve the LeetCode problem '1190. Reverse Substrings Between Each Pair of Parentheses'.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97" spans="1:15" x14ac:dyDescent="0.25">
      <c r="A697" s="1">
        <v>2104</v>
      </c>
      <c r="B697" s="2" t="str">
        <f>HYPERLINK("https://leetcode.com/problems/sum-of-subarray-ranges/", "Sum of Subarray Ranges")</f>
        <v>Sum of Subarray Ranges</v>
      </c>
      <c r="C697" s="1">
        <v>2932</v>
      </c>
      <c r="D697" s="1">
        <v>143</v>
      </c>
      <c r="E697" s="3">
        <f t="shared" si="4"/>
        <v>0.95349593495934959</v>
      </c>
      <c r="F697" s="1" t="s">
        <v>61</v>
      </c>
      <c r="G697" s="1" t="s">
        <v>24</v>
      </c>
      <c r="H697" s="1">
        <v>204031</v>
      </c>
      <c r="I697" s="1">
        <v>336969</v>
      </c>
      <c r="J697" s="7">
        <v>0.60499999999999998</v>
      </c>
      <c r="K697" s="1" t="s">
        <v>21</v>
      </c>
      <c r="L697" s="1" t="s">
        <v>21</v>
      </c>
      <c r="M697" s="1" t="s">
        <v>29</v>
      </c>
      <c r="N697" s="1" t="s">
        <v>22</v>
      </c>
      <c r="O697" s="1" t="str">
        <f t="shared" ca="1" si="5"/>
        <v>Please solve the LeetCode problem '2104. Sum of Subarray Ranges'.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98" spans="1:15" x14ac:dyDescent="0.25">
      <c r="A698" s="1">
        <v>1373</v>
      </c>
      <c r="B698" s="2" t="str">
        <f>HYPERLINK("https://leetcode.com/problems/maximum-sum-bst-in-binary-tree/", "Maximum Sum BST in Binary Tree")</f>
        <v>Maximum Sum BST in Binary Tree</v>
      </c>
      <c r="C698" s="1">
        <v>2931</v>
      </c>
      <c r="D698" s="1">
        <v>198</v>
      </c>
      <c r="E698" s="3">
        <f t="shared" si="4"/>
        <v>0.93672099712368173</v>
      </c>
      <c r="F698" s="1" t="s">
        <v>379</v>
      </c>
      <c r="G698" s="1" t="s">
        <v>28</v>
      </c>
      <c r="H698" s="1">
        <v>117344</v>
      </c>
      <c r="I698" s="1">
        <v>254610</v>
      </c>
      <c r="J698" s="7">
        <v>0.46100000000000002</v>
      </c>
      <c r="K698" s="1" t="s">
        <v>21</v>
      </c>
      <c r="L698" s="1" t="s">
        <v>29</v>
      </c>
      <c r="M698" s="1" t="s">
        <v>29</v>
      </c>
      <c r="N698" s="1" t="s">
        <v>22</v>
      </c>
      <c r="O698" s="1" t="str">
        <f t="shared" ca="1" si="5"/>
        <v>Please solve the LeetCode problem '1373. Maximum Sum BST in Binary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699" spans="1:15" x14ac:dyDescent="0.25">
      <c r="A699" s="1">
        <v>319</v>
      </c>
      <c r="B699" s="2" t="str">
        <f>HYPERLINK("https://leetcode.com/problems/bulb-switcher/", "Bulb Switcher")</f>
        <v>Bulb Switcher</v>
      </c>
      <c r="C699" s="1">
        <v>2921</v>
      </c>
      <c r="D699" s="1">
        <v>3224</v>
      </c>
      <c r="E699" s="3">
        <f t="shared" si="4"/>
        <v>0.47534580960130185</v>
      </c>
      <c r="F699" s="1" t="s">
        <v>381</v>
      </c>
      <c r="G699" s="1" t="s">
        <v>24</v>
      </c>
      <c r="H699" s="1">
        <v>292672</v>
      </c>
      <c r="I699" s="1">
        <v>529250</v>
      </c>
      <c r="J699" s="7">
        <v>0.55300000000000005</v>
      </c>
      <c r="K699" s="1" t="s">
        <v>21</v>
      </c>
      <c r="L699" s="1" t="s">
        <v>21</v>
      </c>
      <c r="M699" s="1" t="s">
        <v>29</v>
      </c>
      <c r="N699" s="1" t="s">
        <v>22</v>
      </c>
      <c r="O699" s="1" t="str">
        <f t="shared" ca="1" si="5"/>
        <v>Please solve the LeetCode problem '319. Bulb Switcher'.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00" spans="1:15" x14ac:dyDescent="0.25">
      <c r="A700" s="1">
        <v>1528</v>
      </c>
      <c r="B700" s="2" t="str">
        <f>HYPERLINK("https://leetcode.com/problems/shuffle-string/", "Shuffle String")</f>
        <v>Shuffle String</v>
      </c>
      <c r="C700" s="1">
        <v>2916</v>
      </c>
      <c r="D700" s="1">
        <v>540</v>
      </c>
      <c r="E700" s="3">
        <f t="shared" si="4"/>
        <v>0.84375</v>
      </c>
      <c r="F700" s="1" t="s">
        <v>369</v>
      </c>
      <c r="G700" s="1" t="s">
        <v>20</v>
      </c>
      <c r="H700" s="1">
        <v>481144</v>
      </c>
      <c r="I700" s="1">
        <v>564018</v>
      </c>
      <c r="J700" s="7">
        <v>0.85299999999999998</v>
      </c>
      <c r="K700" s="1" t="s">
        <v>21</v>
      </c>
      <c r="L700" s="1" t="s">
        <v>29</v>
      </c>
      <c r="M700" s="1" t="s">
        <v>29</v>
      </c>
      <c r="N700" s="1" t="s">
        <v>22</v>
      </c>
      <c r="O700" s="1" t="str">
        <f t="shared" ca="1" si="5"/>
        <v>Please solve the LeetCode problem '1528. Shuffle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01" spans="1:15" x14ac:dyDescent="0.25">
      <c r="A701" s="1">
        <v>1291</v>
      </c>
      <c r="B701" s="2" t="str">
        <f>HYPERLINK("https://leetcode.com/problems/sequential-digits/", "Sequential Digits")</f>
        <v>Sequential Digits</v>
      </c>
      <c r="C701" s="1">
        <v>2913</v>
      </c>
      <c r="D701" s="1">
        <v>178</v>
      </c>
      <c r="E701" s="3">
        <f t="shared" si="4"/>
        <v>0.94241345842769331</v>
      </c>
      <c r="F701" s="1" t="s">
        <v>383</v>
      </c>
      <c r="G701" s="1" t="s">
        <v>24</v>
      </c>
      <c r="H701" s="1">
        <v>233476</v>
      </c>
      <c r="I701" s="1">
        <v>357332</v>
      </c>
      <c r="J701" s="7">
        <v>0.65300000000000002</v>
      </c>
      <c r="K701" s="1" t="s">
        <v>21</v>
      </c>
      <c r="L701" s="1" t="s">
        <v>21</v>
      </c>
      <c r="M701" s="1" t="s">
        <v>29</v>
      </c>
      <c r="N701" s="1" t="s">
        <v>22</v>
      </c>
      <c r="O701" s="1" t="str">
        <f t="shared" ca="1" si="5"/>
        <v>Please solve the LeetCode problem '1291. Sequential Digits'.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02" spans="1:15" x14ac:dyDescent="0.25">
      <c r="A702" s="1">
        <v>340</v>
      </c>
      <c r="B702" s="2" t="str">
        <f>HYPERLINK("https://leetcode.com/problems/longest-substring-with-at-most-k-distinct-characters/", "Longest Substring with At Most K Distinct Characters")</f>
        <v>Longest Substring with At Most K Distinct Characters</v>
      </c>
      <c r="C702" s="1">
        <v>2898</v>
      </c>
      <c r="D702" s="1">
        <v>81</v>
      </c>
      <c r="E702" s="3">
        <f t="shared" si="4"/>
        <v>0.97280966767371602</v>
      </c>
      <c r="F702" s="1" t="s">
        <v>23</v>
      </c>
      <c r="G702" s="1" t="s">
        <v>24</v>
      </c>
      <c r="H702" s="1">
        <v>393950</v>
      </c>
      <c r="I702" s="1">
        <v>790510</v>
      </c>
      <c r="J702" s="7">
        <v>0.498</v>
      </c>
      <c r="K702" s="1" t="s">
        <v>29</v>
      </c>
      <c r="L702" s="1" t="s">
        <v>21</v>
      </c>
      <c r="M702" s="1" t="s">
        <v>21</v>
      </c>
      <c r="N702" s="1" t="s">
        <v>22</v>
      </c>
      <c r="O702" s="1" t="str">
        <f t="shared" ca="1" si="5"/>
        <v>Please solve the LeetCode problem '340. Longest Substring with At Most K Distinct Characters'.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03" spans="1:15" x14ac:dyDescent="0.25">
      <c r="A703" s="1">
        <v>2616</v>
      </c>
      <c r="B703" s="2" t="str">
        <f>HYPERLINK("https://leetcode.com/problems/minimize-the-maximum-difference-of-pairs/", "Minimize the Maximum Difference of Pairs")</f>
        <v>Minimize the Maximum Difference of Pairs</v>
      </c>
      <c r="C703" s="1">
        <v>2898</v>
      </c>
      <c r="D703" s="1">
        <v>327</v>
      </c>
      <c r="E703" s="3">
        <f t="shared" si="4"/>
        <v>0.89860465116279065</v>
      </c>
      <c r="F703" s="1" t="s">
        <v>382</v>
      </c>
      <c r="G703" s="1" t="s">
        <v>24</v>
      </c>
      <c r="H703" s="1">
        <v>167448</v>
      </c>
      <c r="I703" s="1">
        <v>328778</v>
      </c>
      <c r="J703" s="7">
        <v>0.50900000000000001</v>
      </c>
      <c r="K703" s="1" t="s">
        <v>21</v>
      </c>
      <c r="L703" s="1" t="s">
        <v>21</v>
      </c>
      <c r="M703" s="1" t="s">
        <v>29</v>
      </c>
      <c r="N703" s="1" t="s">
        <v>22</v>
      </c>
      <c r="O703" s="1" t="str">
        <f t="shared" ca="1" si="5"/>
        <v>Please solve the LeetCode problem '2616. Minimize the Maximum Difference of Pairs'.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04" spans="1:15" x14ac:dyDescent="0.25">
      <c r="A704" s="1">
        <v>1295</v>
      </c>
      <c r="B704" s="2" t="str">
        <f>HYPERLINK("https://leetcode.com/problems/find-numbers-with-even-number-of-digits/", "Find Numbers with Even Number of Digits")</f>
        <v>Find Numbers with Even Number of Digits</v>
      </c>
      <c r="C704" s="1">
        <v>2890</v>
      </c>
      <c r="D704" s="1">
        <v>148</v>
      </c>
      <c r="E704" s="3">
        <f t="shared" si="4"/>
        <v>0.95128373930217247</v>
      </c>
      <c r="F704" s="1" t="s">
        <v>115</v>
      </c>
      <c r="G704" s="1" t="s">
        <v>20</v>
      </c>
      <c r="H704" s="1">
        <v>1028726</v>
      </c>
      <c r="I704" s="1">
        <v>1292498</v>
      </c>
      <c r="J704" s="7">
        <v>0.79600000000000004</v>
      </c>
      <c r="K704" s="1" t="s">
        <v>21</v>
      </c>
      <c r="L704" s="1" t="s">
        <v>21</v>
      </c>
      <c r="M704" s="1" t="s">
        <v>29</v>
      </c>
      <c r="N704" s="1" t="s">
        <v>22</v>
      </c>
      <c r="O704" s="1" t="str">
        <f t="shared" ca="1" si="5"/>
        <v>Please solve the LeetCode problem '1295. Find Numbers with Even Number of Digits'.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05" spans="1:15" x14ac:dyDescent="0.25">
      <c r="A705" s="1">
        <v>1221</v>
      </c>
      <c r="B705" s="2" t="str">
        <f>HYPERLINK("https://leetcode.com/problems/split-a-string-in-balanced-strings/", "Split a String in Balanced Strings")</f>
        <v>Split a String in Balanced Strings</v>
      </c>
      <c r="C705" s="1">
        <v>2885</v>
      </c>
      <c r="D705" s="1">
        <v>957</v>
      </c>
      <c r="E705" s="3">
        <f t="shared" si="4"/>
        <v>0.7509109838625716</v>
      </c>
      <c r="F705" s="1" t="s">
        <v>384</v>
      </c>
      <c r="G705" s="1" t="s">
        <v>20</v>
      </c>
      <c r="H705" s="1">
        <v>375279</v>
      </c>
      <c r="I705" s="1">
        <v>430378</v>
      </c>
      <c r="J705" s="7">
        <v>0.872</v>
      </c>
      <c r="K705" s="1" t="s">
        <v>21</v>
      </c>
      <c r="L705" s="1" t="s">
        <v>29</v>
      </c>
      <c r="M705" s="1" t="s">
        <v>29</v>
      </c>
      <c r="N705" s="1" t="s">
        <v>22</v>
      </c>
      <c r="O705" s="1" t="str">
        <f t="shared" ca="1" si="5"/>
        <v>Please solve the LeetCode problem '1221. Split a String in Balanced Strings'.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06" spans="1:15" x14ac:dyDescent="0.25">
      <c r="A706" s="1">
        <v>489</v>
      </c>
      <c r="B706" s="2" t="str">
        <f>HYPERLINK("https://leetcode.com/problems/robot-room-cleaner/", "Robot Room Cleaner")</f>
        <v>Robot Room Cleaner</v>
      </c>
      <c r="C706" s="1">
        <v>2883</v>
      </c>
      <c r="D706" s="1">
        <v>193</v>
      </c>
      <c r="E706" s="3">
        <f t="shared" si="4"/>
        <v>0.93725617685305596</v>
      </c>
      <c r="F706" s="1" t="s">
        <v>385</v>
      </c>
      <c r="G706" s="1" t="s">
        <v>28</v>
      </c>
      <c r="H706" s="1">
        <v>206977</v>
      </c>
      <c r="I706" s="1">
        <v>265846</v>
      </c>
      <c r="J706" s="7">
        <v>0.77900000000000003</v>
      </c>
      <c r="K706" s="1" t="s">
        <v>29</v>
      </c>
      <c r="L706" s="1" t="s">
        <v>21</v>
      </c>
      <c r="M706" s="1" t="s">
        <v>29</v>
      </c>
      <c r="N706" s="1" t="s">
        <v>22</v>
      </c>
      <c r="O706" s="1" t="str">
        <f t="shared" ca="1" si="5"/>
        <v>Please solve the LeetCode problem '489. Robot Room Cleaner'.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07" spans="1:15" x14ac:dyDescent="0.25">
      <c r="A707" s="1">
        <v>1325</v>
      </c>
      <c r="B707" s="2" t="str">
        <f>HYPERLINK("https://leetcode.com/problems/delete-leaves-with-a-given-value/", "Delete Leaves With a Given Value")</f>
        <v>Delete Leaves With a Given Value</v>
      </c>
      <c r="C707" s="1">
        <v>2877</v>
      </c>
      <c r="D707" s="1">
        <v>58</v>
      </c>
      <c r="E707" s="3">
        <f t="shared" si="4"/>
        <v>0.98023850085178876</v>
      </c>
      <c r="F707" s="1" t="s">
        <v>67</v>
      </c>
      <c r="G707" s="1" t="s">
        <v>24</v>
      </c>
      <c r="H707" s="1">
        <v>249801</v>
      </c>
      <c r="I707" s="1">
        <v>323437</v>
      </c>
      <c r="J707" s="7">
        <v>0.77200000000000002</v>
      </c>
      <c r="K707" s="1" t="s">
        <v>21</v>
      </c>
      <c r="L707" s="1" t="s">
        <v>21</v>
      </c>
      <c r="M707" s="1" t="s">
        <v>29</v>
      </c>
      <c r="N707" s="1" t="s">
        <v>22</v>
      </c>
      <c r="O707" s="1" t="str">
        <f t="shared" ca="1" si="5"/>
        <v>Please solve the LeetCode problem '1325. Delete Leaves With a Given Value'.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08" spans="1:15" x14ac:dyDescent="0.25">
      <c r="A708" s="1">
        <v>951</v>
      </c>
      <c r="B708" s="2" t="str">
        <f>HYPERLINK("https://leetcode.com/problems/flip-equivalent-binary-trees/", "Flip Equivalent Binary Trees")</f>
        <v>Flip Equivalent Binary Trees</v>
      </c>
      <c r="C708" s="1">
        <v>2876</v>
      </c>
      <c r="D708" s="1">
        <v>122</v>
      </c>
      <c r="E708" s="3">
        <f t="shared" si="4"/>
        <v>0.95930620413609069</v>
      </c>
      <c r="F708" s="1" t="s">
        <v>67</v>
      </c>
      <c r="G708" s="1" t="s">
        <v>24</v>
      </c>
      <c r="H708" s="1">
        <v>265035</v>
      </c>
      <c r="I708" s="1">
        <v>380890</v>
      </c>
      <c r="J708" s="7">
        <v>0.69599999999999995</v>
      </c>
      <c r="K708" s="1" t="s">
        <v>21</v>
      </c>
      <c r="L708" s="1" t="s">
        <v>21</v>
      </c>
      <c r="M708" s="1" t="s">
        <v>29</v>
      </c>
      <c r="N708" s="1" t="s">
        <v>22</v>
      </c>
      <c r="O708" s="1" t="str">
        <f t="shared" ca="1" si="5"/>
        <v>Please solve the LeetCode problem '951. Flip Equivalent Binary Trees'.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09" spans="1:15" x14ac:dyDescent="0.25">
      <c r="A709" s="1">
        <v>967</v>
      </c>
      <c r="B709" s="2" t="str">
        <f>HYPERLINK("https://leetcode.com/problems/numbers-with-same-consecutive-differences/", "Numbers With Same Consecutive Differences")</f>
        <v>Numbers With Same Consecutive Differences</v>
      </c>
      <c r="C709" s="1">
        <v>2874</v>
      </c>
      <c r="D709" s="1">
        <v>200</v>
      </c>
      <c r="E709" s="3">
        <f t="shared" si="4"/>
        <v>0.93493819128171762</v>
      </c>
      <c r="F709" s="1" t="s">
        <v>386</v>
      </c>
      <c r="G709" s="1" t="s">
        <v>24</v>
      </c>
      <c r="H709" s="1">
        <v>153844</v>
      </c>
      <c r="I709" s="1">
        <v>260476</v>
      </c>
      <c r="J709" s="7">
        <v>0.59099999999999997</v>
      </c>
      <c r="K709" s="1" t="s">
        <v>21</v>
      </c>
      <c r="L709" s="1" t="s">
        <v>21</v>
      </c>
      <c r="M709" s="1" t="s">
        <v>29</v>
      </c>
      <c r="N709" s="1" t="s">
        <v>22</v>
      </c>
      <c r="O709" s="1" t="str">
        <f t="shared" ca="1" si="5"/>
        <v>Please solve the LeetCode problem '967. Numbers With Same Consecutive Differences'.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10" spans="1:15" x14ac:dyDescent="0.25">
      <c r="A710" s="1">
        <v>1280</v>
      </c>
      <c r="B710" s="2" t="str">
        <f>HYPERLINK("https://leetcode.com/problems/students-and-examinations/", "Students and Examinations")</f>
        <v>Students and Examinations</v>
      </c>
      <c r="C710" s="1">
        <v>2874</v>
      </c>
      <c r="D710" s="1">
        <v>340</v>
      </c>
      <c r="E710" s="3">
        <f t="shared" si="4"/>
        <v>0.89421281891723714</v>
      </c>
      <c r="F710" s="1" t="s">
        <v>297</v>
      </c>
      <c r="G710" s="1" t="s">
        <v>20</v>
      </c>
      <c r="H710" s="1">
        <v>682058</v>
      </c>
      <c r="I710" s="1">
        <v>1119959</v>
      </c>
      <c r="J710" s="7">
        <v>0.60899999999999999</v>
      </c>
      <c r="K710" s="1" t="s">
        <v>21</v>
      </c>
      <c r="L710" s="1" t="s">
        <v>21</v>
      </c>
      <c r="M710" s="1" t="s">
        <v>29</v>
      </c>
      <c r="N710" s="1" t="s">
        <v>297</v>
      </c>
      <c r="O710" s="1" t="str">
        <f t="shared" ca="1" si="5"/>
        <v>Please solve the LeetCode problem '1280. Students and Examinations'.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11" spans="1:15" x14ac:dyDescent="0.25">
      <c r="A711" s="1">
        <v>1475</v>
      </c>
      <c r="B711" s="2" t="str">
        <f>HYPERLINK("https://leetcode.com/problems/final-prices-with-a-special-discount-in-a-shop/", "Final Prices With a Special Discount in a Shop")</f>
        <v>Final Prices With a Special Discount in a Shop</v>
      </c>
      <c r="C711" s="1">
        <v>2869</v>
      </c>
      <c r="D711" s="1">
        <v>149</v>
      </c>
      <c r="E711" s="3">
        <f t="shared" si="4"/>
        <v>0.95062955599734922</v>
      </c>
      <c r="F711" s="1" t="s">
        <v>61</v>
      </c>
      <c r="G711" s="1" t="s">
        <v>20</v>
      </c>
      <c r="H711" s="1">
        <v>371411</v>
      </c>
      <c r="I711" s="1">
        <v>442951</v>
      </c>
      <c r="J711" s="7">
        <v>0.83799999999999997</v>
      </c>
      <c r="K711" s="1" t="s">
        <v>21</v>
      </c>
      <c r="L711" s="1" t="s">
        <v>21</v>
      </c>
      <c r="M711" s="1" t="s">
        <v>29</v>
      </c>
      <c r="N711" s="1" t="s">
        <v>22</v>
      </c>
      <c r="O711" s="1" t="str">
        <f t="shared" ca="1" si="5"/>
        <v>Please solve the LeetCode problem '1475. Final Prices With a Special Discount in a Shop'.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12" spans="1:15" x14ac:dyDescent="0.25">
      <c r="A712" s="1">
        <v>1061</v>
      </c>
      <c r="B712" s="2" t="str">
        <f>HYPERLINK("https://leetcode.com/problems/lexicographically-smallest-equivalent-string/", "Lexicographically Smallest Equivalent String")</f>
        <v>Lexicographically Smallest Equivalent String</v>
      </c>
      <c r="C712" s="1">
        <v>2867</v>
      </c>
      <c r="D712" s="1">
        <v>186</v>
      </c>
      <c r="E712" s="3">
        <f t="shared" si="4"/>
        <v>0.93907631837536854</v>
      </c>
      <c r="F712" s="1" t="s">
        <v>387</v>
      </c>
      <c r="G712" s="1" t="s">
        <v>24</v>
      </c>
      <c r="H712" s="1">
        <v>178586</v>
      </c>
      <c r="I712" s="1">
        <v>220049</v>
      </c>
      <c r="J712" s="7">
        <v>0.81200000000000006</v>
      </c>
      <c r="K712" s="1" t="s">
        <v>21</v>
      </c>
      <c r="L712" s="1" t="s">
        <v>21</v>
      </c>
      <c r="M712" s="1" t="s">
        <v>29</v>
      </c>
      <c r="N712" s="1" t="s">
        <v>22</v>
      </c>
      <c r="O712" s="1" t="str">
        <f t="shared" ca="1" si="5"/>
        <v>Please solve the LeetCode problem '1061. Lexicographically Smallest Equivalent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13" spans="1:15" x14ac:dyDescent="0.25">
      <c r="A713" s="1">
        <v>559</v>
      </c>
      <c r="B713" s="2" t="str">
        <f>HYPERLINK("https://leetcode.com/problems/maximum-depth-of-n-ary-tree/", "Maximum Depth of N-ary Tree")</f>
        <v>Maximum Depth of N-ary Tree</v>
      </c>
      <c r="C713" s="1">
        <v>2861</v>
      </c>
      <c r="D713" s="1">
        <v>97</v>
      </c>
      <c r="E713" s="3">
        <f t="shared" si="4"/>
        <v>0.96720757268424606</v>
      </c>
      <c r="F713" s="1" t="s">
        <v>300</v>
      </c>
      <c r="G713" s="1" t="s">
        <v>20</v>
      </c>
      <c r="H713" s="1">
        <v>346768</v>
      </c>
      <c r="I713" s="1">
        <v>472588</v>
      </c>
      <c r="J713" s="7">
        <v>0.73399999999999999</v>
      </c>
      <c r="K713" s="1" t="s">
        <v>21</v>
      </c>
      <c r="L713" s="1" t="s">
        <v>21</v>
      </c>
      <c r="M713" s="1" t="s">
        <v>29</v>
      </c>
      <c r="N713" s="1" t="s">
        <v>22</v>
      </c>
      <c r="O713" s="1" t="str">
        <f t="shared" ca="1" si="5"/>
        <v>Please solve the LeetCode problem '559. Maximum Depth of N-ary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14" spans="1:15" x14ac:dyDescent="0.25">
      <c r="A714" s="1">
        <v>584</v>
      </c>
      <c r="B714" s="2" t="str">
        <f>HYPERLINK("https://leetcode.com/problems/find-customer-referee/", "Find Customer Referee")</f>
        <v>Find Customer Referee</v>
      </c>
      <c r="C714" s="1">
        <v>2861</v>
      </c>
      <c r="D714" s="1">
        <v>405</v>
      </c>
      <c r="E714" s="3">
        <f t="shared" si="4"/>
        <v>0.87599510104102873</v>
      </c>
      <c r="F714" s="1" t="s">
        <v>297</v>
      </c>
      <c r="G714" s="1" t="s">
        <v>20</v>
      </c>
      <c r="H714" s="1">
        <v>1954156</v>
      </c>
      <c r="I714" s="1">
        <v>2698361</v>
      </c>
      <c r="J714" s="7">
        <v>0.72399999999999998</v>
      </c>
      <c r="K714" s="1" t="s">
        <v>21</v>
      </c>
      <c r="L714" s="1" t="s">
        <v>21</v>
      </c>
      <c r="M714" s="1" t="s">
        <v>29</v>
      </c>
      <c r="N714" s="1" t="s">
        <v>297</v>
      </c>
      <c r="O714" s="1" t="str">
        <f t="shared" ca="1" si="5"/>
        <v>Please solve the LeetCode problem '584. Find Customer Referee'.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15" spans="1:15" x14ac:dyDescent="0.25">
      <c r="A715" s="1">
        <v>1930</v>
      </c>
      <c r="B715" s="2" t="str">
        <f>HYPERLINK("https://leetcode.com/problems/unique-length-3-palindromic-subsequences/", "Unique Length-3 Palindromic Subsequences")</f>
        <v>Unique Length-3 Palindromic Subsequences</v>
      </c>
      <c r="C715" s="1">
        <v>2853</v>
      </c>
      <c r="D715" s="1">
        <v>109</v>
      </c>
      <c r="E715" s="3">
        <f t="shared" si="4"/>
        <v>0.96320054017555701</v>
      </c>
      <c r="F715" s="1" t="s">
        <v>388</v>
      </c>
      <c r="G715" s="1" t="s">
        <v>24</v>
      </c>
      <c r="H715" s="1">
        <v>364057</v>
      </c>
      <c r="I715" s="1">
        <v>493331</v>
      </c>
      <c r="J715" s="7">
        <v>0.73799999999999999</v>
      </c>
      <c r="K715" s="1" t="s">
        <v>21</v>
      </c>
      <c r="L715" s="1" t="s">
        <v>21</v>
      </c>
      <c r="M715" s="1" t="s">
        <v>29</v>
      </c>
      <c r="N715" s="1" t="s">
        <v>22</v>
      </c>
      <c r="O715" s="1" t="str">
        <f t="shared" ca="1" si="5"/>
        <v>Please solve the LeetCode problem '1930. Unique Length-3 Palindromic Subsequences'.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16" spans="1:15" x14ac:dyDescent="0.25">
      <c r="A716" s="1">
        <v>686</v>
      </c>
      <c r="B716" s="2" t="str">
        <f>HYPERLINK("https://leetcode.com/problems/repeated-string-match/", "Repeated String Match")</f>
        <v>Repeated String Match</v>
      </c>
      <c r="C716" s="1">
        <v>2852</v>
      </c>
      <c r="D716" s="1">
        <v>1007</v>
      </c>
      <c r="E716" s="3">
        <f t="shared" si="4"/>
        <v>0.73905156776366931</v>
      </c>
      <c r="F716" s="1" t="s">
        <v>207</v>
      </c>
      <c r="G716" s="1" t="s">
        <v>24</v>
      </c>
      <c r="H716" s="1">
        <v>244063</v>
      </c>
      <c r="I716" s="1">
        <v>639820</v>
      </c>
      <c r="J716" s="7">
        <v>0.38100000000000001</v>
      </c>
      <c r="K716" s="1" t="s">
        <v>21</v>
      </c>
      <c r="L716" s="1" t="s">
        <v>21</v>
      </c>
      <c r="M716" s="1" t="s">
        <v>29</v>
      </c>
      <c r="N716" s="1" t="s">
        <v>22</v>
      </c>
      <c r="O716" s="1" t="str">
        <f t="shared" ca="1" si="5"/>
        <v>Please solve the LeetCode problem '686. Repeated String Match'.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17" spans="1:15" x14ac:dyDescent="0.25">
      <c r="A717" s="1">
        <v>2244</v>
      </c>
      <c r="B717" s="2" t="str">
        <f>HYPERLINK("https://leetcode.com/problems/minimum-rounds-to-complete-all-tasks/", "Minimum Rounds to Complete All Tasks")</f>
        <v>Minimum Rounds to Complete All Tasks</v>
      </c>
      <c r="C717" s="1">
        <v>2843</v>
      </c>
      <c r="D717" s="1">
        <v>85</v>
      </c>
      <c r="E717" s="3">
        <f t="shared" si="4"/>
        <v>0.97096994535519121</v>
      </c>
      <c r="F717" s="1" t="s">
        <v>389</v>
      </c>
      <c r="G717" s="1" t="s">
        <v>24</v>
      </c>
      <c r="H717" s="1">
        <v>170068</v>
      </c>
      <c r="I717" s="1">
        <v>269229</v>
      </c>
      <c r="J717" s="7">
        <v>0.63200000000000001</v>
      </c>
      <c r="K717" s="1" t="s">
        <v>21</v>
      </c>
      <c r="L717" s="1" t="s">
        <v>21</v>
      </c>
      <c r="M717" s="1" t="s">
        <v>29</v>
      </c>
      <c r="N717" s="1" t="s">
        <v>22</v>
      </c>
      <c r="O717" s="1" t="str">
        <f t="shared" ca="1" si="5"/>
        <v>Please solve the LeetCode problem '2244. Minimum Rounds to Complete All Tasks'.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18" spans="1:15" x14ac:dyDescent="0.25">
      <c r="A718" s="1">
        <v>1760</v>
      </c>
      <c r="B718" s="2" t="str">
        <f>HYPERLINK("https://leetcode.com/problems/minimum-limit-of-balls-in-a-bag/", "Minimum Limit of Balls in a Bag")</f>
        <v>Minimum Limit of Balls in a Bag</v>
      </c>
      <c r="C718" s="1">
        <v>2830</v>
      </c>
      <c r="D718" s="1">
        <v>105</v>
      </c>
      <c r="E718" s="3">
        <f t="shared" si="4"/>
        <v>0.96422487223168651</v>
      </c>
      <c r="F718" s="1" t="s">
        <v>35</v>
      </c>
      <c r="G718" s="1" t="s">
        <v>24</v>
      </c>
      <c r="H718" s="1">
        <v>150003</v>
      </c>
      <c r="I718" s="1">
        <v>225123</v>
      </c>
      <c r="J718" s="7">
        <v>0.66600000000000004</v>
      </c>
      <c r="K718" s="1" t="s">
        <v>21</v>
      </c>
      <c r="L718" s="1" t="s">
        <v>21</v>
      </c>
      <c r="M718" s="1" t="s">
        <v>29</v>
      </c>
      <c r="N718" s="1" t="s">
        <v>22</v>
      </c>
      <c r="O718" s="1" t="str">
        <f t="shared" ca="1" si="5"/>
        <v>Please solve the LeetCode problem '1760. Minimum Limit of Balls in a Bag'.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19" spans="1:15" x14ac:dyDescent="0.25">
      <c r="A719" s="1">
        <v>991</v>
      </c>
      <c r="B719" s="2" t="str">
        <f>HYPERLINK("https://leetcode.com/problems/broken-calculator/", "Broken Calculator")</f>
        <v>Broken Calculator</v>
      </c>
      <c r="C719" s="1">
        <v>2828</v>
      </c>
      <c r="D719" s="1">
        <v>216</v>
      </c>
      <c r="E719" s="3">
        <f t="shared" si="4"/>
        <v>0.92904073587385017</v>
      </c>
      <c r="F719" s="1" t="s">
        <v>296</v>
      </c>
      <c r="G719" s="1" t="s">
        <v>24</v>
      </c>
      <c r="H719" s="1">
        <v>119802</v>
      </c>
      <c r="I719" s="1">
        <v>214778</v>
      </c>
      <c r="J719" s="7">
        <v>0.55800000000000005</v>
      </c>
      <c r="K719" s="1" t="s">
        <v>21</v>
      </c>
      <c r="L719" s="1" t="s">
        <v>21</v>
      </c>
      <c r="M719" s="1" t="s">
        <v>29</v>
      </c>
      <c r="N719" s="1" t="s">
        <v>22</v>
      </c>
      <c r="O719" s="1" t="str">
        <f t="shared" ca="1" si="5"/>
        <v>Please solve the LeetCode problem '991. Broken Calculator'.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20" spans="1:15" x14ac:dyDescent="0.25">
      <c r="A720" s="1">
        <v>1299</v>
      </c>
      <c r="B720" s="2" t="str">
        <f>HYPERLINK("https://leetcode.com/problems/replace-elements-with-greatest-element-on-right-side/", "Replace Elements with Greatest Element on Right Side")</f>
        <v>Replace Elements with Greatest Element on Right Side</v>
      </c>
      <c r="C720" s="1">
        <v>2828</v>
      </c>
      <c r="D720" s="1">
        <v>263</v>
      </c>
      <c r="E720" s="3">
        <f t="shared" si="4"/>
        <v>0.91491426722743452</v>
      </c>
      <c r="F720" s="1" t="s">
        <v>113</v>
      </c>
      <c r="G720" s="1" t="s">
        <v>20</v>
      </c>
      <c r="H720" s="1">
        <v>516093</v>
      </c>
      <c r="I720" s="1">
        <v>718612</v>
      </c>
      <c r="J720" s="7">
        <v>0.71799999999999997</v>
      </c>
      <c r="K720" s="1" t="s">
        <v>21</v>
      </c>
      <c r="L720" s="1" t="s">
        <v>29</v>
      </c>
      <c r="M720" s="1" t="s">
        <v>29</v>
      </c>
      <c r="N720" s="1" t="s">
        <v>22</v>
      </c>
      <c r="O720" s="1" t="str">
        <f t="shared" ca="1" si="5"/>
        <v>Please solve the LeetCode problem '1299. Replace Elements with Greatest Element on Right Side'.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21" spans="1:15" x14ac:dyDescent="0.25">
      <c r="A721" s="1">
        <v>962</v>
      </c>
      <c r="B721" s="2" t="str">
        <f>HYPERLINK("https://leetcode.com/problems/maximum-width-ramp/", "Maximum Width Ramp")</f>
        <v>Maximum Width Ramp</v>
      </c>
      <c r="C721" s="1">
        <v>2826</v>
      </c>
      <c r="D721" s="1">
        <v>96</v>
      </c>
      <c r="E721" s="3">
        <f t="shared" si="4"/>
        <v>0.96714579055441474</v>
      </c>
      <c r="F721" s="1" t="s">
        <v>390</v>
      </c>
      <c r="G721" s="1" t="s">
        <v>24</v>
      </c>
      <c r="H721" s="1">
        <v>202774</v>
      </c>
      <c r="I721" s="1">
        <v>363173</v>
      </c>
      <c r="J721" s="7">
        <v>0.55800000000000005</v>
      </c>
      <c r="K721" s="1" t="s">
        <v>21</v>
      </c>
      <c r="L721" s="1" t="s">
        <v>21</v>
      </c>
      <c r="M721" s="1" t="s">
        <v>29</v>
      </c>
      <c r="N721" s="1" t="s">
        <v>22</v>
      </c>
      <c r="O721" s="1" t="str">
        <f t="shared" ca="1" si="5"/>
        <v>Please solve the LeetCode problem '962. Maximum Width Ramp'.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22" spans="1:15" x14ac:dyDescent="0.25">
      <c r="A722" s="1">
        <v>1590</v>
      </c>
      <c r="B722" s="2" t="str">
        <f>HYPERLINK("https://leetcode.com/problems/make-sum-divisible-by-p/", "Make Sum Divisible by P")</f>
        <v>Make Sum Divisible by P</v>
      </c>
      <c r="C722" s="1">
        <v>2825</v>
      </c>
      <c r="D722" s="1">
        <v>192</v>
      </c>
      <c r="E722" s="3">
        <f t="shared" si="4"/>
        <v>0.93636062313556512</v>
      </c>
      <c r="F722" s="1" t="s">
        <v>39</v>
      </c>
      <c r="G722" s="1" t="s">
        <v>24</v>
      </c>
      <c r="H722" s="1">
        <v>218857</v>
      </c>
      <c r="I722" s="1">
        <v>513421</v>
      </c>
      <c r="J722" s="7">
        <v>0.42599999999999999</v>
      </c>
      <c r="K722" s="1" t="s">
        <v>21</v>
      </c>
      <c r="L722" s="1" t="s">
        <v>21</v>
      </c>
      <c r="M722" s="1" t="s">
        <v>29</v>
      </c>
      <c r="N722" s="1" t="s">
        <v>22</v>
      </c>
      <c r="O722" s="1" t="str">
        <f t="shared" ca="1" si="5"/>
        <v>Please solve the LeetCode problem '1590. Make Sum Divisible by P'.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23" spans="1:15" x14ac:dyDescent="0.25">
      <c r="A723" s="1">
        <v>1315</v>
      </c>
      <c r="B723" s="2" t="str">
        <f>HYPERLINK("https://leetcode.com/problems/sum-of-nodes-with-even-valued-grandparent/", "Sum of Nodes with Even-Valued Grandparent")</f>
        <v>Sum of Nodes with Even-Valued Grandparent</v>
      </c>
      <c r="C723" s="1">
        <v>2821</v>
      </c>
      <c r="D723" s="1">
        <v>79</v>
      </c>
      <c r="E723" s="3">
        <f t="shared" si="4"/>
        <v>0.97275862068965513</v>
      </c>
      <c r="F723" s="1" t="s">
        <v>80</v>
      </c>
      <c r="G723" s="1" t="s">
        <v>24</v>
      </c>
      <c r="H723" s="1">
        <v>180643</v>
      </c>
      <c r="I723" s="1">
        <v>210361</v>
      </c>
      <c r="J723" s="7">
        <v>0.85899999999999999</v>
      </c>
      <c r="K723" s="1" t="s">
        <v>21</v>
      </c>
      <c r="L723" s="1" t="s">
        <v>21</v>
      </c>
      <c r="M723" s="1" t="s">
        <v>29</v>
      </c>
      <c r="N723" s="1" t="s">
        <v>22</v>
      </c>
      <c r="O723" s="1" t="str">
        <f t="shared" ca="1" si="5"/>
        <v>Please solve the LeetCode problem '1315. Sum of Nodes with Even-Valued Grandparent'.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24" spans="1:15" x14ac:dyDescent="0.25">
      <c r="A724" s="1">
        <v>464</v>
      </c>
      <c r="B724" s="2" t="str">
        <f>HYPERLINK("https://leetcode.com/problems/can-i-win/", "Can I Win")</f>
        <v>Can I Win</v>
      </c>
      <c r="C724" s="1">
        <v>2816</v>
      </c>
      <c r="D724" s="1">
        <v>430</v>
      </c>
      <c r="E724" s="3">
        <f t="shared" si="4"/>
        <v>0.86752926678989528</v>
      </c>
      <c r="F724" s="1" t="s">
        <v>1356</v>
      </c>
      <c r="G724" s="1" t="s">
        <v>24</v>
      </c>
      <c r="H724" s="1">
        <v>118910</v>
      </c>
      <c r="I724" s="1">
        <v>384013</v>
      </c>
      <c r="J724" s="7">
        <v>0.31</v>
      </c>
      <c r="K724" s="1" t="s">
        <v>21</v>
      </c>
      <c r="L724" s="1" t="s">
        <v>29</v>
      </c>
      <c r="M724" s="1" t="s">
        <v>29</v>
      </c>
      <c r="N724" s="1" t="s">
        <v>22</v>
      </c>
      <c r="O724" s="1" t="str">
        <f t="shared" ca="1" si="5"/>
        <v>Please solve the LeetCode problem '464. Can I Win'.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25" spans="1:15" x14ac:dyDescent="0.25">
      <c r="A725" s="1">
        <v>1089</v>
      </c>
      <c r="B725" s="2" t="str">
        <f>HYPERLINK("https://leetcode.com/problems/duplicate-zeros/", "Duplicate Zeros")</f>
        <v>Duplicate Zeros</v>
      </c>
      <c r="C725" s="1">
        <v>2810</v>
      </c>
      <c r="D725" s="1">
        <v>792</v>
      </c>
      <c r="E725" s="3">
        <f t="shared" si="4"/>
        <v>0.78012215435868959</v>
      </c>
      <c r="F725" s="1" t="s">
        <v>51</v>
      </c>
      <c r="G725" s="1" t="s">
        <v>20</v>
      </c>
      <c r="H725" s="1">
        <v>533814</v>
      </c>
      <c r="I725" s="1">
        <v>1002626</v>
      </c>
      <c r="J725" s="7">
        <v>0.53200000000000003</v>
      </c>
      <c r="K725" s="1" t="s">
        <v>21</v>
      </c>
      <c r="L725" s="1" t="s">
        <v>21</v>
      </c>
      <c r="M725" s="1" t="s">
        <v>29</v>
      </c>
      <c r="N725" s="1" t="s">
        <v>22</v>
      </c>
      <c r="O725" s="1" t="str">
        <f t="shared" ca="1" si="5"/>
        <v>Please solve the LeetCode problem '1089. Duplicate Zeros'.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26" spans="1:15" x14ac:dyDescent="0.25">
      <c r="A726" s="1">
        <v>1347</v>
      </c>
      <c r="B726" s="2" t="str">
        <f>HYPERLINK("https://leetcode.com/problems/minimum-number-of-steps-to-make-two-strings-anagram/", "Minimum Number of Steps to Make Two Strings Anagram")</f>
        <v>Minimum Number of Steps to Make Two Strings Anagram</v>
      </c>
      <c r="C726" s="1">
        <v>2810</v>
      </c>
      <c r="D726" s="1">
        <v>121</v>
      </c>
      <c r="E726" s="3">
        <f t="shared" si="4"/>
        <v>0.95871716137836915</v>
      </c>
      <c r="F726" s="1" t="s">
        <v>237</v>
      </c>
      <c r="G726" s="1" t="s">
        <v>24</v>
      </c>
      <c r="H726" s="1">
        <v>329523</v>
      </c>
      <c r="I726" s="1">
        <v>399800</v>
      </c>
      <c r="J726" s="7">
        <v>0.82399999999999995</v>
      </c>
      <c r="K726" s="1" t="s">
        <v>21</v>
      </c>
      <c r="L726" s="1" t="s">
        <v>21</v>
      </c>
      <c r="M726" s="1" t="s">
        <v>29</v>
      </c>
      <c r="N726" s="1" t="s">
        <v>22</v>
      </c>
      <c r="O726" s="1" t="str">
        <f t="shared" ca="1" si="5"/>
        <v>Please solve the LeetCode problem '1347. Minimum Number of Steps to Make Two Strings Anagram'.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27" spans="1:15" x14ac:dyDescent="0.25">
      <c r="A727" s="1">
        <v>453</v>
      </c>
      <c r="B727" s="2" t="str">
        <f>HYPERLINK("https://leetcode.com/problems/minimum-moves-to-equal-array-elements/", "Minimum Moves to Equal Array Elements")</f>
        <v>Minimum Moves to Equal Array Elements</v>
      </c>
      <c r="C727" s="1">
        <v>2804</v>
      </c>
      <c r="D727" s="1">
        <v>1914</v>
      </c>
      <c r="E727" s="3">
        <f t="shared" si="4"/>
        <v>0.5943196269605765</v>
      </c>
      <c r="F727" s="1" t="s">
        <v>115</v>
      </c>
      <c r="G727" s="1" t="s">
        <v>24</v>
      </c>
      <c r="H727" s="1">
        <v>213637</v>
      </c>
      <c r="I727" s="1">
        <v>365638</v>
      </c>
      <c r="J727" s="7">
        <v>0.58399999999999996</v>
      </c>
      <c r="K727" s="1" t="s">
        <v>21</v>
      </c>
      <c r="L727" s="1" t="s">
        <v>21</v>
      </c>
      <c r="M727" s="1" t="s">
        <v>29</v>
      </c>
      <c r="N727" s="1" t="s">
        <v>22</v>
      </c>
      <c r="O727" s="1" t="str">
        <f t="shared" ca="1" si="5"/>
        <v>Please solve the LeetCode problem '453. Minimum Moves to Equal Array Elements'.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28" spans="1:15" x14ac:dyDescent="0.25">
      <c r="A728" s="1">
        <v>2405</v>
      </c>
      <c r="B728" s="2" t="str">
        <f>HYPERLINK("https://leetcode.com/problems/optimal-partition-of-string/", "Optimal Partition of String")</f>
        <v>Optimal Partition of String</v>
      </c>
      <c r="C728" s="1">
        <v>2804</v>
      </c>
      <c r="D728" s="1">
        <v>113</v>
      </c>
      <c r="E728" s="3">
        <f t="shared" si="4"/>
        <v>0.96126157010627356</v>
      </c>
      <c r="F728" s="1" t="s">
        <v>217</v>
      </c>
      <c r="G728" s="1" t="s">
        <v>24</v>
      </c>
      <c r="H728" s="1">
        <v>271146</v>
      </c>
      <c r="I728" s="1">
        <v>346076</v>
      </c>
      <c r="J728" s="7">
        <v>0.78300000000000003</v>
      </c>
      <c r="K728" s="1" t="s">
        <v>21</v>
      </c>
      <c r="L728" s="1" t="s">
        <v>21</v>
      </c>
      <c r="M728" s="1" t="s">
        <v>29</v>
      </c>
      <c r="N728" s="1" t="s">
        <v>22</v>
      </c>
      <c r="O728" s="1" t="str">
        <f t="shared" ca="1" si="5"/>
        <v>Please solve the LeetCode problem '2405. Optimal Partition of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29" spans="1:15" x14ac:dyDescent="0.25">
      <c r="A729" s="1">
        <v>1281</v>
      </c>
      <c r="B729" s="2" t="str">
        <f>HYPERLINK("https://leetcode.com/problems/subtract-the-product-and-sum-of-digits-of-an-integer/", "Subtract the Product and Sum of Digits of an Integer")</f>
        <v>Subtract the Product and Sum of Digits of an Integer</v>
      </c>
      <c r="C729" s="1">
        <v>2802</v>
      </c>
      <c r="D729" s="1">
        <v>251</v>
      </c>
      <c r="E729" s="3">
        <f t="shared" si="4"/>
        <v>0.9177857844742876</v>
      </c>
      <c r="F729" s="1" t="s">
        <v>84</v>
      </c>
      <c r="G729" s="1" t="s">
        <v>20</v>
      </c>
      <c r="H729" s="1">
        <v>632388</v>
      </c>
      <c r="I729" s="1">
        <v>730678</v>
      </c>
      <c r="J729" s="7">
        <v>0.86499999999999999</v>
      </c>
      <c r="K729" s="1" t="s">
        <v>21</v>
      </c>
      <c r="L729" s="1" t="s">
        <v>29</v>
      </c>
      <c r="M729" s="1" t="s">
        <v>29</v>
      </c>
      <c r="N729" s="1" t="s">
        <v>22</v>
      </c>
      <c r="O729" s="1" t="str">
        <f t="shared" ca="1" si="5"/>
        <v>Please solve the LeetCode problem '1281. Subtract the Product and Sum of Digits of an Integer'.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30" spans="1:15" x14ac:dyDescent="0.25">
      <c r="A730" s="1">
        <v>594</v>
      </c>
      <c r="B730" s="2" t="str">
        <f>HYPERLINK("https://leetcode.com/problems/longest-harmonious-subsequence/", "Longest Harmonious Subsequence")</f>
        <v>Longest Harmonious Subsequence</v>
      </c>
      <c r="C730" s="1">
        <v>2800</v>
      </c>
      <c r="D730" s="1">
        <v>347</v>
      </c>
      <c r="E730" s="3">
        <f t="shared" si="4"/>
        <v>0.88973625675246271</v>
      </c>
      <c r="F730" s="1" t="s">
        <v>392</v>
      </c>
      <c r="G730" s="1" t="s">
        <v>20</v>
      </c>
      <c r="H730" s="1">
        <v>368500</v>
      </c>
      <c r="I730" s="1">
        <v>573388</v>
      </c>
      <c r="J730" s="7">
        <v>0.64300000000000002</v>
      </c>
      <c r="K730" s="1" t="s">
        <v>21</v>
      </c>
      <c r="L730" s="1" t="s">
        <v>21</v>
      </c>
      <c r="M730" s="1" t="s">
        <v>29</v>
      </c>
      <c r="N730" s="1" t="s">
        <v>22</v>
      </c>
      <c r="O730" s="1" t="str">
        <f t="shared" ca="1" si="5"/>
        <v>Please solve the LeetCode problem '594. Longest Harmonious Subsequence'.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31" spans="1:15" x14ac:dyDescent="0.25">
      <c r="A731" s="1">
        <v>323</v>
      </c>
      <c r="B731" s="2" t="str">
        <f>HYPERLINK("https://leetcode.com/problems/number-of-connected-components-in-an-undirected-graph/", "Number of Connected Components in an Undirected Graph")</f>
        <v>Number of Connected Components in an Undirected Graph</v>
      </c>
      <c r="C731" s="1">
        <v>2797</v>
      </c>
      <c r="D731" s="1">
        <v>110</v>
      </c>
      <c r="E731" s="3">
        <f t="shared" si="4"/>
        <v>0.96216030271757824</v>
      </c>
      <c r="F731" s="1" t="s">
        <v>122</v>
      </c>
      <c r="G731" s="1" t="s">
        <v>24</v>
      </c>
      <c r="H731" s="1">
        <v>522445</v>
      </c>
      <c r="I731" s="1">
        <v>807566</v>
      </c>
      <c r="J731" s="7">
        <v>0.64700000000000002</v>
      </c>
      <c r="K731" s="1" t="s">
        <v>29</v>
      </c>
      <c r="L731" s="1" t="s">
        <v>21</v>
      </c>
      <c r="M731" s="1" t="s">
        <v>21</v>
      </c>
      <c r="N731" s="1" t="s">
        <v>22</v>
      </c>
      <c r="O731" s="1" t="str">
        <f t="shared" ca="1" si="5"/>
        <v>Please solve the LeetCode problem '323. Number of Connected Components in an Undirected Graph'.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32" spans="1:15" x14ac:dyDescent="0.25">
      <c r="A732" s="1">
        <v>929</v>
      </c>
      <c r="B732" s="2" t="str">
        <f>HYPERLINK("https://leetcode.com/problems/unique-email-addresses/", "Unique Email Addresses")</f>
        <v>Unique Email Addresses</v>
      </c>
      <c r="C732" s="1">
        <v>2794</v>
      </c>
      <c r="D732" s="1">
        <v>362</v>
      </c>
      <c r="E732" s="3">
        <f t="shared" si="4"/>
        <v>0.885297845373891</v>
      </c>
      <c r="F732" s="1" t="s">
        <v>258</v>
      </c>
      <c r="G732" s="1" t="s">
        <v>20</v>
      </c>
      <c r="H732" s="1">
        <v>568311</v>
      </c>
      <c r="I732" s="1">
        <v>838690</v>
      </c>
      <c r="J732" s="7">
        <v>0.67800000000000005</v>
      </c>
      <c r="K732" s="1" t="s">
        <v>21</v>
      </c>
      <c r="L732" s="1" t="s">
        <v>21</v>
      </c>
      <c r="M732" s="1" t="s">
        <v>29</v>
      </c>
      <c r="N732" s="1" t="s">
        <v>22</v>
      </c>
      <c r="O732" s="1" t="str">
        <f t="shared" ca="1" si="5"/>
        <v>Please solve the LeetCode problem '929. Unique Email Addresses'.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33" spans="1:15" x14ac:dyDescent="0.25">
      <c r="A733" s="1">
        <v>922</v>
      </c>
      <c r="B733" s="2" t="str">
        <f>HYPERLINK("https://leetcode.com/problems/sort-array-by-parity-ii/", "Sort Array By Parity II")</f>
        <v>Sort Array By Parity II</v>
      </c>
      <c r="C733" s="1">
        <v>2789</v>
      </c>
      <c r="D733" s="1">
        <v>104</v>
      </c>
      <c r="E733" s="3">
        <f t="shared" si="4"/>
        <v>0.96405115796750773</v>
      </c>
      <c r="F733" s="1" t="s">
        <v>31</v>
      </c>
      <c r="G733" s="1" t="s">
        <v>20</v>
      </c>
      <c r="H733" s="1">
        <v>330138</v>
      </c>
      <c r="I733" s="1">
        <v>464206</v>
      </c>
      <c r="J733" s="7">
        <v>0.71099999999999997</v>
      </c>
      <c r="K733" s="1" t="s">
        <v>21</v>
      </c>
      <c r="L733" s="1" t="s">
        <v>21</v>
      </c>
      <c r="M733" s="1" t="s">
        <v>21</v>
      </c>
      <c r="N733" s="1" t="s">
        <v>22</v>
      </c>
      <c r="O733" s="1" t="str">
        <f t="shared" ca="1" si="5"/>
        <v>Please solve the LeetCode problem '922. Sort Array By Parity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34" spans="1:15" x14ac:dyDescent="0.25">
      <c r="A734" s="1">
        <v>1405</v>
      </c>
      <c r="B734" s="2" t="str">
        <f>HYPERLINK("https://leetcode.com/problems/longest-happy-string/", "Longest Happy String")</f>
        <v>Longest Happy String</v>
      </c>
      <c r="C734" s="1">
        <v>2781</v>
      </c>
      <c r="D734" s="1">
        <v>319</v>
      </c>
      <c r="E734" s="3">
        <f t="shared" si="4"/>
        <v>0.89709677419354839</v>
      </c>
      <c r="F734" s="1" t="s">
        <v>393</v>
      </c>
      <c r="G734" s="1" t="s">
        <v>24</v>
      </c>
      <c r="H734" s="1">
        <v>214217</v>
      </c>
      <c r="I734" s="1">
        <v>327108</v>
      </c>
      <c r="J734" s="7">
        <v>0.65500000000000003</v>
      </c>
      <c r="K734" s="1" t="s">
        <v>21</v>
      </c>
      <c r="L734" s="1" t="s">
        <v>21</v>
      </c>
      <c r="M734" s="1" t="s">
        <v>29</v>
      </c>
      <c r="N734" s="1" t="s">
        <v>22</v>
      </c>
      <c r="O734" s="1" t="str">
        <f t="shared" ca="1" si="5"/>
        <v>Please solve the LeetCode problem '1405. Longest Happy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35" spans="1:15" x14ac:dyDescent="0.25">
      <c r="A735" s="1">
        <v>1614</v>
      </c>
      <c r="B735" s="2" t="str">
        <f>HYPERLINK("https://leetcode.com/problems/maximum-nesting-depth-of-the-parentheses/", "Maximum Nesting Depth of the Parentheses")</f>
        <v>Maximum Nesting Depth of the Parentheses</v>
      </c>
      <c r="C735" s="1">
        <v>2779</v>
      </c>
      <c r="D735" s="1">
        <v>523</v>
      </c>
      <c r="E735" s="3">
        <f t="shared" si="4"/>
        <v>0.84161114476075105</v>
      </c>
      <c r="F735" s="1" t="s">
        <v>36</v>
      </c>
      <c r="G735" s="1" t="s">
        <v>20</v>
      </c>
      <c r="H735" s="1">
        <v>521999</v>
      </c>
      <c r="I735" s="1">
        <v>616234</v>
      </c>
      <c r="J735" s="7">
        <v>0.84699999999999998</v>
      </c>
      <c r="K735" s="1" t="s">
        <v>21</v>
      </c>
      <c r="L735" s="1" t="s">
        <v>21</v>
      </c>
      <c r="M735" s="1" t="s">
        <v>29</v>
      </c>
      <c r="N735" s="1" t="s">
        <v>22</v>
      </c>
      <c r="O735" s="1" t="str">
        <f t="shared" ca="1" si="5"/>
        <v>Please solve the LeetCode problem '1614. Maximum Nesting Depth of the Parentheses'.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36" spans="1:15" x14ac:dyDescent="0.25">
      <c r="A736" s="1">
        <v>2348</v>
      </c>
      <c r="B736" s="2" t="str">
        <f>HYPERLINK("https://leetcode.com/problems/number-of-zero-filled-subarrays/", "Number of Zero-Filled Subarrays")</f>
        <v>Number of Zero-Filled Subarrays</v>
      </c>
      <c r="C736" s="1">
        <v>2775</v>
      </c>
      <c r="D736" s="1">
        <v>94</v>
      </c>
      <c r="E736" s="3">
        <f t="shared" si="4"/>
        <v>0.9672359707215058</v>
      </c>
      <c r="F736" s="1" t="s">
        <v>115</v>
      </c>
      <c r="G736" s="1" t="s">
        <v>24</v>
      </c>
      <c r="H736" s="1">
        <v>302902</v>
      </c>
      <c r="I736" s="1">
        <v>431717</v>
      </c>
      <c r="J736" s="7">
        <v>0.70199999999999996</v>
      </c>
      <c r="K736" s="1" t="s">
        <v>21</v>
      </c>
      <c r="L736" s="1" t="s">
        <v>21</v>
      </c>
      <c r="M736" s="1" t="s">
        <v>29</v>
      </c>
      <c r="N736" s="1" t="s">
        <v>22</v>
      </c>
      <c r="O736" s="1" t="str">
        <f t="shared" ca="1" si="5"/>
        <v>Please solve the LeetCode problem '2348. Number of Zero-Filled Subarrays'.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37" spans="1:15" x14ac:dyDescent="0.25">
      <c r="A737" s="1">
        <v>629</v>
      </c>
      <c r="B737" s="2" t="str">
        <f>HYPERLINK("https://leetcode.com/problems/k-inverse-pairs-array/", "K Inverse Pairs Array")</f>
        <v>K Inverse Pairs Array</v>
      </c>
      <c r="C737" s="1">
        <v>2768</v>
      </c>
      <c r="D737" s="1">
        <v>331</v>
      </c>
      <c r="E737" s="3">
        <f t="shared" si="4"/>
        <v>0.89319135204904809</v>
      </c>
      <c r="F737" s="1" t="s">
        <v>251</v>
      </c>
      <c r="G737" s="1" t="s">
        <v>28</v>
      </c>
      <c r="H737" s="1">
        <v>139010</v>
      </c>
      <c r="I737" s="1">
        <v>283940</v>
      </c>
      <c r="J737" s="7">
        <v>0.49</v>
      </c>
      <c r="K737" s="1" t="s">
        <v>21</v>
      </c>
      <c r="L737" s="1" t="s">
        <v>21</v>
      </c>
      <c r="M737" s="1" t="s">
        <v>29</v>
      </c>
      <c r="N737" s="1" t="s">
        <v>22</v>
      </c>
      <c r="O737" s="1" t="str">
        <f t="shared" ca="1" si="5"/>
        <v>Please solve the LeetCode problem '629. K Inverse Pairs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38" spans="1:15" x14ac:dyDescent="0.25">
      <c r="A738" s="1">
        <v>945</v>
      </c>
      <c r="B738" s="2" t="str">
        <f>HYPERLINK("https://leetcode.com/problems/minimum-increment-to-make-array-unique/", "Minimum Increment to Make Array Unique")</f>
        <v>Minimum Increment to Make Array Unique</v>
      </c>
      <c r="C738" s="1">
        <v>2768</v>
      </c>
      <c r="D738" s="1">
        <v>84</v>
      </c>
      <c r="E738" s="3">
        <f t="shared" si="4"/>
        <v>0.97054698457222999</v>
      </c>
      <c r="F738" s="1" t="s">
        <v>394</v>
      </c>
      <c r="G738" s="1" t="s">
        <v>24</v>
      </c>
      <c r="H738" s="1">
        <v>265822</v>
      </c>
      <c r="I738" s="1">
        <v>439118</v>
      </c>
      <c r="J738" s="7">
        <v>0.60499999999999998</v>
      </c>
      <c r="K738" s="1" t="s">
        <v>21</v>
      </c>
      <c r="L738" s="1" t="s">
        <v>21</v>
      </c>
      <c r="M738" s="1" t="s">
        <v>29</v>
      </c>
      <c r="N738" s="1" t="s">
        <v>22</v>
      </c>
      <c r="O738" s="1" t="str">
        <f t="shared" ca="1" si="5"/>
        <v>Please solve the LeetCode problem '945. Minimum Increment to Make Array Unique'.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39" spans="1:15" x14ac:dyDescent="0.25">
      <c r="A739" s="1">
        <v>664</v>
      </c>
      <c r="B739" s="2" t="str">
        <f>HYPERLINK("https://leetcode.com/problems/strange-printer/", "Strange Printer")</f>
        <v>Strange Printer</v>
      </c>
      <c r="C739" s="1">
        <v>2759</v>
      </c>
      <c r="D739" s="1">
        <v>288</v>
      </c>
      <c r="E739" s="3">
        <f t="shared" si="4"/>
        <v>0.90548080078766002</v>
      </c>
      <c r="F739" s="1" t="s">
        <v>82</v>
      </c>
      <c r="G739" s="1" t="s">
        <v>28</v>
      </c>
      <c r="H739" s="1">
        <v>158758</v>
      </c>
      <c r="I739" s="1">
        <v>260891</v>
      </c>
      <c r="J739" s="7">
        <v>0.60899999999999999</v>
      </c>
      <c r="K739" s="1" t="s">
        <v>21</v>
      </c>
      <c r="L739" s="1" t="s">
        <v>21</v>
      </c>
      <c r="M739" s="1" t="s">
        <v>29</v>
      </c>
      <c r="N739" s="1" t="s">
        <v>22</v>
      </c>
      <c r="O739" s="1" t="str">
        <f t="shared" ca="1" si="5"/>
        <v>Please solve the LeetCode problem '664. Strange Printer'.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40" spans="1:15" x14ac:dyDescent="0.25">
      <c r="A740" s="1">
        <v>590</v>
      </c>
      <c r="B740" s="2" t="str">
        <f>HYPERLINK("https://leetcode.com/problems/n-ary-tree-postorder-traversal/", "N-ary Tree Postorder Traversal")</f>
        <v>N-ary Tree Postorder Traversal</v>
      </c>
      <c r="C740" s="1">
        <v>2750</v>
      </c>
      <c r="D740" s="1">
        <v>119</v>
      </c>
      <c r="E740" s="3">
        <f t="shared" si="4"/>
        <v>0.95852213314743817</v>
      </c>
      <c r="F740" s="1" t="s">
        <v>361</v>
      </c>
      <c r="G740" s="1" t="s">
        <v>20</v>
      </c>
      <c r="H740" s="1">
        <v>421957</v>
      </c>
      <c r="I740" s="1">
        <v>521354</v>
      </c>
      <c r="J740" s="7">
        <v>0.80900000000000005</v>
      </c>
      <c r="K740" s="1" t="s">
        <v>21</v>
      </c>
      <c r="L740" s="1" t="s">
        <v>21</v>
      </c>
      <c r="M740" s="1" t="s">
        <v>29</v>
      </c>
      <c r="N740" s="1" t="s">
        <v>22</v>
      </c>
      <c r="O740" s="1" t="str">
        <f t="shared" ca="1" si="5"/>
        <v>Please solve the LeetCode problem '590. N-ary Tree Postorder Traversal'.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41" spans="1:15" x14ac:dyDescent="0.25">
      <c r="A741" s="1">
        <v>1081</v>
      </c>
      <c r="B741" s="2" t="str">
        <f>HYPERLINK("https://leetcode.com/problems/smallest-subsequence-of-distinct-characters/", "Smallest Subsequence of Distinct Characters")</f>
        <v>Smallest Subsequence of Distinct Characters</v>
      </c>
      <c r="C741" s="1">
        <v>2746</v>
      </c>
      <c r="D741" s="1">
        <v>199</v>
      </c>
      <c r="E741" s="3">
        <f t="shared" si="4"/>
        <v>0.93242784380305599</v>
      </c>
      <c r="F741" s="1" t="s">
        <v>129</v>
      </c>
      <c r="G741" s="1" t="s">
        <v>24</v>
      </c>
      <c r="H741" s="1">
        <v>92204</v>
      </c>
      <c r="I741" s="1">
        <v>146647</v>
      </c>
      <c r="J741" s="7">
        <v>0.629</v>
      </c>
      <c r="K741" s="1" t="s">
        <v>21</v>
      </c>
      <c r="L741" s="1" t="s">
        <v>29</v>
      </c>
      <c r="M741" s="1" t="s">
        <v>29</v>
      </c>
      <c r="N741" s="1" t="s">
        <v>22</v>
      </c>
      <c r="O741" s="1" t="str">
        <f t="shared" ca="1" si="5"/>
        <v>Please solve the LeetCode problem '1081. Smallest Subsequence of Distinct Characters'.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42" spans="1:15" x14ac:dyDescent="0.25">
      <c r="A742" s="1">
        <v>649</v>
      </c>
      <c r="B742" s="2" t="str">
        <f>HYPERLINK("https://leetcode.com/problems/dota2-senate/", "Dota2 Senate")</f>
        <v>Dota2 Senate</v>
      </c>
      <c r="C742" s="1">
        <v>2740</v>
      </c>
      <c r="D742" s="1">
        <v>2070</v>
      </c>
      <c r="E742" s="3">
        <f t="shared" si="4"/>
        <v>0.56964656964656968</v>
      </c>
      <c r="F742" s="1" t="s">
        <v>395</v>
      </c>
      <c r="G742" s="1" t="s">
        <v>24</v>
      </c>
      <c r="H742" s="1">
        <v>270626</v>
      </c>
      <c r="I742" s="1">
        <v>546770</v>
      </c>
      <c r="J742" s="7">
        <v>0.495</v>
      </c>
      <c r="K742" s="1" t="s">
        <v>21</v>
      </c>
      <c r="L742" s="1" t="s">
        <v>21</v>
      </c>
      <c r="M742" s="1" t="s">
        <v>29</v>
      </c>
      <c r="N742" s="1" t="s">
        <v>22</v>
      </c>
      <c r="O742" s="1" t="str">
        <f t="shared" ca="1" si="5"/>
        <v>Please solve the LeetCode problem '649. Dota2 Senate'.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43" spans="1:15" x14ac:dyDescent="0.25">
      <c r="A743" s="1">
        <v>773</v>
      </c>
      <c r="B743" s="2" t="str">
        <f>HYPERLINK("https://leetcode.com/problems/sliding-puzzle/", "Sliding Puzzle")</f>
        <v>Sliding Puzzle</v>
      </c>
      <c r="C743" s="1">
        <v>2729</v>
      </c>
      <c r="D743" s="1">
        <v>75</v>
      </c>
      <c r="E743" s="3">
        <f t="shared" si="4"/>
        <v>0.97325249643366618</v>
      </c>
      <c r="F743" s="1" t="s">
        <v>396</v>
      </c>
      <c r="G743" s="1" t="s">
        <v>28</v>
      </c>
      <c r="H743" s="1">
        <v>188310</v>
      </c>
      <c r="I743" s="1">
        <v>256269</v>
      </c>
      <c r="J743" s="7">
        <v>0.73499999999999999</v>
      </c>
      <c r="K743" s="1" t="s">
        <v>21</v>
      </c>
      <c r="L743" s="1" t="s">
        <v>21</v>
      </c>
      <c r="M743" s="1" t="s">
        <v>29</v>
      </c>
      <c r="N743" s="1" t="s">
        <v>22</v>
      </c>
      <c r="O743" s="1" t="str">
        <f t="shared" ca="1" si="5"/>
        <v>Please solve the LeetCode problem '773. Sliding Puzzle'.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44" spans="1:15" x14ac:dyDescent="0.25">
      <c r="A744" s="1">
        <v>426</v>
      </c>
      <c r="B744" s="2" t="str">
        <f>HYPERLINK("https://leetcode.com/problems/convert-binary-search-tree-to-sorted-doubly-linked-list/", "Convert Binary Search Tree to Sorted Doubly Linked List")</f>
        <v>Convert Binary Search Tree to Sorted Doubly Linked List</v>
      </c>
      <c r="C744" s="1">
        <v>2728</v>
      </c>
      <c r="D744" s="1">
        <v>243</v>
      </c>
      <c r="E744" s="3">
        <f t="shared" si="4"/>
        <v>0.91820935711881524</v>
      </c>
      <c r="F744" s="1" t="s">
        <v>398</v>
      </c>
      <c r="G744" s="1" t="s">
        <v>24</v>
      </c>
      <c r="H744" s="1">
        <v>369591</v>
      </c>
      <c r="I744" s="1">
        <v>563146</v>
      </c>
      <c r="J744" s="7">
        <v>0.65600000000000003</v>
      </c>
      <c r="K744" s="1" t="s">
        <v>29</v>
      </c>
      <c r="L744" s="1" t="s">
        <v>21</v>
      </c>
      <c r="M744" s="1" t="s">
        <v>29</v>
      </c>
      <c r="N744" s="1" t="s">
        <v>22</v>
      </c>
      <c r="O744" s="1" t="str">
        <f t="shared" ca="1" si="5"/>
        <v>Please solve the LeetCode problem '426. Convert Binary Search Tree to Sorted Doubly Linked List'.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45" spans="1:15" x14ac:dyDescent="0.25">
      <c r="A745" s="1">
        <v>2305</v>
      </c>
      <c r="B745" s="2" t="str">
        <f>HYPERLINK("https://leetcode.com/problems/fair-distribution-of-cookies/", "Fair Distribution of Cookies")</f>
        <v>Fair Distribution of Cookies</v>
      </c>
      <c r="C745" s="1">
        <v>2720</v>
      </c>
      <c r="D745" s="1">
        <v>125</v>
      </c>
      <c r="E745" s="3">
        <f t="shared" si="4"/>
        <v>0.95606326889279436</v>
      </c>
      <c r="F745" s="1" t="s">
        <v>1354</v>
      </c>
      <c r="G745" s="1" t="s">
        <v>24</v>
      </c>
      <c r="H745" s="1">
        <v>117744</v>
      </c>
      <c r="I745" s="1">
        <v>168780</v>
      </c>
      <c r="J745" s="7">
        <v>0.69799999999999995</v>
      </c>
      <c r="K745" s="1" t="s">
        <v>21</v>
      </c>
      <c r="L745" s="1" t="s">
        <v>21</v>
      </c>
      <c r="M745" s="1" t="s">
        <v>29</v>
      </c>
      <c r="N745" s="1" t="s">
        <v>22</v>
      </c>
      <c r="O745" s="1" t="str">
        <f t="shared" ca="1" si="5"/>
        <v>Please solve the LeetCode problem '2305. Fair Distribution of Cookies'.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46" spans="1:15" x14ac:dyDescent="0.25">
      <c r="A746" s="1">
        <v>1266</v>
      </c>
      <c r="B746" s="2" t="str">
        <f>HYPERLINK("https://leetcode.com/problems/minimum-time-visiting-all-points/", "Minimum Time Visiting All Points")</f>
        <v>Minimum Time Visiting All Points</v>
      </c>
      <c r="C746" s="1">
        <v>2715</v>
      </c>
      <c r="D746" s="1">
        <v>270</v>
      </c>
      <c r="E746" s="3">
        <f t="shared" si="4"/>
        <v>0.90954773869346739</v>
      </c>
      <c r="F746" s="1" t="s">
        <v>397</v>
      </c>
      <c r="G746" s="1" t="s">
        <v>20</v>
      </c>
      <c r="H746" s="1">
        <v>394563</v>
      </c>
      <c r="I746" s="1">
        <v>465539</v>
      </c>
      <c r="J746" s="7">
        <v>0.84799999999999998</v>
      </c>
      <c r="K746" s="1" t="s">
        <v>21</v>
      </c>
      <c r="L746" s="1" t="s">
        <v>21</v>
      </c>
      <c r="M746" s="1" t="s">
        <v>29</v>
      </c>
      <c r="N746" s="1" t="s">
        <v>22</v>
      </c>
      <c r="O746" s="1" t="str">
        <f t="shared" ca="1" si="5"/>
        <v>Please solve the LeetCode problem '1266. Minimum Time Visiting All Points'.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47" spans="1:15" x14ac:dyDescent="0.25">
      <c r="A747" s="1">
        <v>1802</v>
      </c>
      <c r="B747" s="2" t="str">
        <f>HYPERLINK("https://leetcode.com/problems/maximum-value-at-a-given-index-in-a-bounded-array/", "Maximum Value at a Given Index in a Bounded Array")</f>
        <v>Maximum Value at a Given Index in a Bounded Array</v>
      </c>
      <c r="C747" s="1">
        <v>2707</v>
      </c>
      <c r="D747" s="1">
        <v>476</v>
      </c>
      <c r="E747" s="3">
        <f t="shared" si="4"/>
        <v>0.85045554508325483</v>
      </c>
      <c r="F747" s="1" t="s">
        <v>399</v>
      </c>
      <c r="G747" s="1" t="s">
        <v>24</v>
      </c>
      <c r="H747" s="1">
        <v>86996</v>
      </c>
      <c r="I747" s="1">
        <v>223890</v>
      </c>
      <c r="J747" s="7">
        <v>0.38900000000000001</v>
      </c>
      <c r="K747" s="1" t="s">
        <v>21</v>
      </c>
      <c r="L747" s="1" t="s">
        <v>21</v>
      </c>
      <c r="M747" s="1" t="s">
        <v>29</v>
      </c>
      <c r="N747" s="1" t="s">
        <v>22</v>
      </c>
      <c r="O747" s="1" t="str">
        <f t="shared" ca="1" si="5"/>
        <v>Please solve the LeetCode problem '1802. Maximum Value at a Given Index in a Bounded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48" spans="1:15" x14ac:dyDescent="0.25">
      <c r="A748" s="1">
        <v>1232</v>
      </c>
      <c r="B748" s="2" t="str">
        <f>HYPERLINK("https://leetcode.com/problems/check-if-it-is-a-straight-line/", "Check If It Is a Straight Line")</f>
        <v>Check If It Is a Straight Line</v>
      </c>
      <c r="C748" s="1">
        <v>2692</v>
      </c>
      <c r="D748" s="1">
        <v>295</v>
      </c>
      <c r="E748" s="3">
        <f t="shared" si="4"/>
        <v>0.90123870103783055</v>
      </c>
      <c r="F748" s="1" t="s">
        <v>397</v>
      </c>
      <c r="G748" s="1" t="s">
        <v>20</v>
      </c>
      <c r="H748" s="1">
        <v>301213</v>
      </c>
      <c r="I748" s="1">
        <v>754383</v>
      </c>
      <c r="J748" s="7">
        <v>0.39900000000000002</v>
      </c>
      <c r="K748" s="1" t="s">
        <v>21</v>
      </c>
      <c r="L748" s="1" t="s">
        <v>21</v>
      </c>
      <c r="M748" s="1" t="s">
        <v>29</v>
      </c>
      <c r="N748" s="1" t="s">
        <v>22</v>
      </c>
      <c r="O748" s="1" t="str">
        <f t="shared" ca="1" si="5"/>
        <v>Please solve the LeetCode problem '1232. Check If It Is a Straight Line'.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49" spans="1:15" x14ac:dyDescent="0.25">
      <c r="A749" s="1">
        <v>873</v>
      </c>
      <c r="B749" s="2" t="str">
        <f>HYPERLINK("https://leetcode.com/problems/length-of-longest-fibonacci-subsequence/", "Length of Longest Fibonacci Subsequence")</f>
        <v>Length of Longest Fibonacci Subsequence</v>
      </c>
      <c r="C749" s="1">
        <v>2690</v>
      </c>
      <c r="D749" s="1">
        <v>109</v>
      </c>
      <c r="E749" s="3">
        <f t="shared" si="4"/>
        <v>0.96105752054305105</v>
      </c>
      <c r="F749" s="1" t="s">
        <v>174</v>
      </c>
      <c r="G749" s="1" t="s">
        <v>24</v>
      </c>
      <c r="H749" s="1">
        <v>190430</v>
      </c>
      <c r="I749" s="1">
        <v>330929</v>
      </c>
      <c r="J749" s="7">
        <v>0.57499999999999996</v>
      </c>
      <c r="K749" s="1" t="s">
        <v>21</v>
      </c>
      <c r="L749" s="1" t="s">
        <v>21</v>
      </c>
      <c r="M749" s="1" t="s">
        <v>29</v>
      </c>
      <c r="N749" s="1" t="s">
        <v>22</v>
      </c>
      <c r="O749" s="1" t="str">
        <f t="shared" ca="1" si="5"/>
        <v>Please solve the LeetCode problem '873. Length of Longest Fibonacci Subsequence'.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50" spans="1:15" x14ac:dyDescent="0.25">
      <c r="A750" s="1">
        <v>1700</v>
      </c>
      <c r="B750" s="2" t="str">
        <f>HYPERLINK("https://leetcode.com/problems/number-of-students-unable-to-eat-lunch/", "Number of Students Unable to Eat Lunch")</f>
        <v>Number of Students Unable to Eat Lunch</v>
      </c>
      <c r="C750" s="1">
        <v>2676</v>
      </c>
      <c r="D750" s="1">
        <v>287</v>
      </c>
      <c r="E750" s="3">
        <f t="shared" si="4"/>
        <v>0.9031387107661154</v>
      </c>
      <c r="F750" s="1" t="s">
        <v>400</v>
      </c>
      <c r="G750" s="1" t="s">
        <v>20</v>
      </c>
      <c r="H750" s="1">
        <v>347232</v>
      </c>
      <c r="I750" s="1">
        <v>438295</v>
      </c>
      <c r="J750" s="7">
        <v>0.79200000000000004</v>
      </c>
      <c r="K750" s="1" t="s">
        <v>21</v>
      </c>
      <c r="L750" s="1" t="s">
        <v>21</v>
      </c>
      <c r="M750" s="1" t="s">
        <v>29</v>
      </c>
      <c r="N750" s="1" t="s">
        <v>22</v>
      </c>
      <c r="O750" s="1" t="str">
        <f t="shared" ca="1" si="5"/>
        <v>Please solve the LeetCode problem '1700. Number of Students Unable to Eat Lunch'.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51" spans="1:15" x14ac:dyDescent="0.25">
      <c r="A751" s="1">
        <v>923</v>
      </c>
      <c r="B751" s="2" t="str">
        <f>HYPERLINK("https://leetcode.com/problems/3sum-with-multiplicity/", "3Sum With Multiplicity")</f>
        <v>3Sum With Multiplicity</v>
      </c>
      <c r="C751" s="1">
        <v>2675</v>
      </c>
      <c r="D751" s="1">
        <v>329</v>
      </c>
      <c r="E751" s="3">
        <f t="shared" si="4"/>
        <v>0.89047936085219703</v>
      </c>
      <c r="F751" s="1" t="s">
        <v>402</v>
      </c>
      <c r="G751" s="1" t="s">
        <v>24</v>
      </c>
      <c r="H751" s="1">
        <v>118556</v>
      </c>
      <c r="I751" s="1">
        <v>257126</v>
      </c>
      <c r="J751" s="7">
        <v>0.46100000000000002</v>
      </c>
      <c r="K751" s="1" t="s">
        <v>21</v>
      </c>
      <c r="L751" s="1" t="s">
        <v>21</v>
      </c>
      <c r="M751" s="1" t="s">
        <v>29</v>
      </c>
      <c r="N751" s="1" t="s">
        <v>22</v>
      </c>
      <c r="O751" s="1" t="str">
        <f t="shared" ca="1" si="5"/>
        <v>Please solve the LeetCode problem '923. 3Sum With Multiplicity'.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52" spans="1:15" x14ac:dyDescent="0.25">
      <c r="A752" s="1">
        <v>1579</v>
      </c>
      <c r="B752" s="2" t="str">
        <f>HYPERLINK("https://leetcode.com/problems/remove-max-number-of-edges-to-keep-graph-fully-traversable/", "Remove Max Number of Edges to Keep Graph Fully Traversable")</f>
        <v>Remove Max Number of Edges to Keep Graph Fully Traversable</v>
      </c>
      <c r="C752" s="1">
        <v>2670</v>
      </c>
      <c r="D752" s="1">
        <v>46</v>
      </c>
      <c r="E752" s="3">
        <f t="shared" si="4"/>
        <v>0.98306332842415312</v>
      </c>
      <c r="F752" s="1" t="s">
        <v>404</v>
      </c>
      <c r="G752" s="1" t="s">
        <v>28</v>
      </c>
      <c r="H752" s="1">
        <v>142471</v>
      </c>
      <c r="I752" s="1">
        <v>202834</v>
      </c>
      <c r="J752" s="7">
        <v>0.70199999999999996</v>
      </c>
      <c r="K752" s="1" t="s">
        <v>21</v>
      </c>
      <c r="L752" s="1" t="s">
        <v>21</v>
      </c>
      <c r="M752" s="1" t="s">
        <v>29</v>
      </c>
      <c r="N752" s="1" t="s">
        <v>22</v>
      </c>
      <c r="O752" s="1" t="str">
        <f t="shared" ca="1" si="5"/>
        <v>Please solve the LeetCode problem '1579. Remove Max Number of Edges to Keep Graph Fully Traversable'.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53" spans="1:15" x14ac:dyDescent="0.25">
      <c r="A753" s="1">
        <v>1863</v>
      </c>
      <c r="B753" s="2" t="str">
        <f>HYPERLINK("https://leetcode.com/problems/sum-of-all-subset-xor-totals/", "Sum of All Subset XOR Totals")</f>
        <v>Sum of All Subset XOR Totals</v>
      </c>
      <c r="C753" s="1">
        <v>2665</v>
      </c>
      <c r="D753" s="1">
        <v>349</v>
      </c>
      <c r="E753" s="3">
        <f t="shared" si="4"/>
        <v>0.88420703384207033</v>
      </c>
      <c r="F753" s="1" t="s">
        <v>403</v>
      </c>
      <c r="G753" s="1" t="s">
        <v>20</v>
      </c>
      <c r="H753" s="1">
        <v>346382</v>
      </c>
      <c r="I753" s="1">
        <v>384616</v>
      </c>
      <c r="J753" s="7">
        <v>0.90100000000000002</v>
      </c>
      <c r="K753" s="1" t="s">
        <v>21</v>
      </c>
      <c r="L753" s="1" t="s">
        <v>21</v>
      </c>
      <c r="M753" s="1" t="s">
        <v>29</v>
      </c>
      <c r="N753" s="1" t="s">
        <v>22</v>
      </c>
      <c r="O753" s="1" t="str">
        <f t="shared" ca="1" si="5"/>
        <v>Please solve the LeetCode problem '1863. Sum of All Subset XOR Totals'.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54" spans="1:15" x14ac:dyDescent="0.25">
      <c r="A754" s="1">
        <v>1052</v>
      </c>
      <c r="B754" s="2" t="str">
        <f>HYPERLINK("https://leetcode.com/problems/grumpy-bookstore-owner/", "Grumpy Bookstore Owner")</f>
        <v>Grumpy Bookstore Owner</v>
      </c>
      <c r="C754" s="1">
        <v>2663</v>
      </c>
      <c r="D754" s="1">
        <v>259</v>
      </c>
      <c r="E754" s="3">
        <f t="shared" si="4"/>
        <v>0.91136208076659819</v>
      </c>
      <c r="F754" s="1" t="s">
        <v>295</v>
      </c>
      <c r="G754" s="1" t="s">
        <v>24</v>
      </c>
      <c r="H754" s="1">
        <v>229945</v>
      </c>
      <c r="I754" s="1">
        <v>359605</v>
      </c>
      <c r="J754" s="7">
        <v>0.63900000000000001</v>
      </c>
      <c r="K754" s="1" t="s">
        <v>21</v>
      </c>
      <c r="L754" s="1" t="s">
        <v>21</v>
      </c>
      <c r="M754" s="1" t="s">
        <v>29</v>
      </c>
      <c r="N754" s="1" t="s">
        <v>22</v>
      </c>
      <c r="O754" s="1" t="str">
        <f t="shared" ca="1" si="5"/>
        <v>Please solve the LeetCode problem '1052. Grumpy Bookstore Owner'.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55" spans="1:15" x14ac:dyDescent="0.25">
      <c r="A755" s="1">
        <v>1105</v>
      </c>
      <c r="B755" s="2" t="str">
        <f>HYPERLINK("https://leetcode.com/problems/filling-bookcase-shelves/", "Filling Bookcase Shelves")</f>
        <v>Filling Bookcase Shelves</v>
      </c>
      <c r="C755" s="1">
        <v>2663</v>
      </c>
      <c r="D755" s="1">
        <v>266</v>
      </c>
      <c r="E755" s="3">
        <f t="shared" si="4"/>
        <v>0.90918402185046088</v>
      </c>
      <c r="F755" s="1" t="s">
        <v>30</v>
      </c>
      <c r="G755" s="1" t="s">
        <v>24</v>
      </c>
      <c r="H755" s="1">
        <v>156446</v>
      </c>
      <c r="I755" s="1">
        <v>227950</v>
      </c>
      <c r="J755" s="7">
        <v>0.68600000000000005</v>
      </c>
      <c r="K755" s="1" t="s">
        <v>21</v>
      </c>
      <c r="L755" s="1" t="s">
        <v>21</v>
      </c>
      <c r="M755" s="1" t="s">
        <v>29</v>
      </c>
      <c r="N755" s="1" t="s">
        <v>22</v>
      </c>
      <c r="O755" s="1" t="str">
        <f t="shared" ca="1" si="5"/>
        <v>Please solve the LeetCode problem '1105. Filling Bookcase Shelves'.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56" spans="1:15" x14ac:dyDescent="0.25">
      <c r="A756" s="1">
        <v>180</v>
      </c>
      <c r="B756" s="2" t="str">
        <f>HYPERLINK("https://leetcode.com/problems/consecutive-numbers/", "Consecutive Numbers")</f>
        <v>Consecutive Numbers</v>
      </c>
      <c r="C756" s="1">
        <v>2658</v>
      </c>
      <c r="D756" s="1">
        <v>357</v>
      </c>
      <c r="E756" s="3">
        <f t="shared" si="4"/>
        <v>0.88159203980099499</v>
      </c>
      <c r="F756" s="1" t="s">
        <v>297</v>
      </c>
      <c r="G756" s="1" t="s">
        <v>24</v>
      </c>
      <c r="H756" s="1">
        <v>702373</v>
      </c>
      <c r="I756" s="1">
        <v>1475313</v>
      </c>
      <c r="J756" s="7">
        <v>0.47599999999999998</v>
      </c>
      <c r="K756" s="1" t="s">
        <v>21</v>
      </c>
      <c r="L756" s="1" t="s">
        <v>21</v>
      </c>
      <c r="M756" s="1" t="s">
        <v>29</v>
      </c>
      <c r="N756" s="1" t="s">
        <v>297</v>
      </c>
      <c r="O756" s="1" t="str">
        <f t="shared" ca="1" si="5"/>
        <v>Please solve the LeetCode problem '180. Consecutive Numbers'.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57" spans="1:15" x14ac:dyDescent="0.25">
      <c r="A757" s="1">
        <v>554</v>
      </c>
      <c r="B757" s="2" t="str">
        <f>HYPERLINK("https://leetcode.com/problems/brick-wall/", "Brick Wall")</f>
        <v>Brick Wall</v>
      </c>
      <c r="C757" s="1">
        <v>2658</v>
      </c>
      <c r="D757" s="1">
        <v>184</v>
      </c>
      <c r="E757" s="3">
        <f t="shared" si="4"/>
        <v>0.93525686136523578</v>
      </c>
      <c r="F757" s="1" t="s">
        <v>19</v>
      </c>
      <c r="G757" s="1" t="s">
        <v>24</v>
      </c>
      <c r="H757" s="1">
        <v>167742</v>
      </c>
      <c r="I757" s="1">
        <v>299741</v>
      </c>
      <c r="J757" s="7">
        <v>0.56000000000000005</v>
      </c>
      <c r="K757" s="1" t="s">
        <v>21</v>
      </c>
      <c r="L757" s="1" t="s">
        <v>21</v>
      </c>
      <c r="M757" s="1" t="s">
        <v>21</v>
      </c>
      <c r="N757" s="1" t="s">
        <v>22</v>
      </c>
      <c r="O757" s="1" t="str">
        <f t="shared" ca="1" si="5"/>
        <v>Please solve the LeetCode problem '554. Brick Wall'.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58" spans="1:15" x14ac:dyDescent="0.25">
      <c r="A758" s="1">
        <v>1504</v>
      </c>
      <c r="B758" s="2" t="str">
        <f>HYPERLINK("https://leetcode.com/problems/count-submatrices-with-all-ones/", "Count Submatrices With All Ones")</f>
        <v>Count Submatrices With All Ones</v>
      </c>
      <c r="C758" s="1">
        <v>2658</v>
      </c>
      <c r="D758" s="1">
        <v>220</v>
      </c>
      <c r="E758" s="3">
        <f t="shared" si="4"/>
        <v>0.92355802640722728</v>
      </c>
      <c r="F758" s="1" t="s">
        <v>108</v>
      </c>
      <c r="G758" s="1" t="s">
        <v>24</v>
      </c>
      <c r="H758" s="1">
        <v>146160</v>
      </c>
      <c r="I758" s="1">
        <v>205592</v>
      </c>
      <c r="J758" s="7">
        <v>0.71099999999999997</v>
      </c>
      <c r="K758" s="1" t="s">
        <v>21</v>
      </c>
      <c r="L758" s="1" t="s">
        <v>21</v>
      </c>
      <c r="M758" s="1" t="s">
        <v>29</v>
      </c>
      <c r="N758" s="1" t="s">
        <v>22</v>
      </c>
      <c r="O758" s="1" t="str">
        <f t="shared" ca="1" si="5"/>
        <v>Please solve the LeetCode problem '1504. Count Submatrices With All Ones'.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59" spans="1:15" x14ac:dyDescent="0.25">
      <c r="A759" s="1">
        <v>1031</v>
      </c>
      <c r="B759" s="2" t="str">
        <f>HYPERLINK("https://leetcode.com/problems/maximum-sum-of-two-non-overlapping-subarrays/", "Maximum Sum of Two Non-Overlapping Subarrays")</f>
        <v>Maximum Sum of Two Non-Overlapping Subarrays</v>
      </c>
      <c r="C759" s="1">
        <v>2654</v>
      </c>
      <c r="D759" s="1">
        <v>88</v>
      </c>
      <c r="E759" s="3">
        <f t="shared" si="4"/>
        <v>0.96790663749088257</v>
      </c>
      <c r="F759" s="1" t="s">
        <v>239</v>
      </c>
      <c r="G759" s="1" t="s">
        <v>24</v>
      </c>
      <c r="H759" s="1">
        <v>83098</v>
      </c>
      <c r="I759" s="1">
        <v>136911</v>
      </c>
      <c r="J759" s="7">
        <v>0.60699999999999998</v>
      </c>
      <c r="K759" s="1" t="s">
        <v>21</v>
      </c>
      <c r="L759" s="1" t="s">
        <v>29</v>
      </c>
      <c r="M759" s="1" t="s">
        <v>29</v>
      </c>
      <c r="N759" s="1" t="s">
        <v>22</v>
      </c>
      <c r="O759" s="1" t="str">
        <f t="shared" ca="1" si="5"/>
        <v>Please solve the LeetCode problem '1031. Maximum Sum of Two Non-Overlapping Subarrays'.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60" spans="1:15" x14ac:dyDescent="0.25">
      <c r="A760" s="1">
        <v>1123</v>
      </c>
      <c r="B760" s="2" t="str">
        <f>HYPERLINK("https://leetcode.com/problems/lowest-common-ancestor-of-deepest-leaves/", "Lowest Common Ancestor of Deepest Leaves")</f>
        <v>Lowest Common Ancestor of Deepest Leaves</v>
      </c>
      <c r="C760" s="1">
        <v>2651</v>
      </c>
      <c r="D760" s="1">
        <v>946</v>
      </c>
      <c r="E760" s="3">
        <f t="shared" si="4"/>
        <v>0.73700305810397548</v>
      </c>
      <c r="F760" s="1" t="s">
        <v>107</v>
      </c>
      <c r="G760" s="1" t="s">
        <v>24</v>
      </c>
      <c r="H760" s="1">
        <v>246955</v>
      </c>
      <c r="I760" s="1">
        <v>310986</v>
      </c>
      <c r="J760" s="7">
        <v>0.79400000000000004</v>
      </c>
      <c r="K760" s="1" t="s">
        <v>21</v>
      </c>
      <c r="L760" s="1" t="s">
        <v>21</v>
      </c>
      <c r="M760" s="1" t="s">
        <v>29</v>
      </c>
      <c r="N760" s="1" t="s">
        <v>22</v>
      </c>
      <c r="O760" s="1" t="str">
        <f t="shared" ca="1" si="5"/>
        <v>Please solve the LeetCode problem '1123. Lowest Common Ancestor of Deepest Leaves'.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61" spans="1:15" x14ac:dyDescent="0.25">
      <c r="A761" s="1">
        <v>807</v>
      </c>
      <c r="B761" s="2" t="str">
        <f>HYPERLINK("https://leetcode.com/problems/max-increase-to-keep-city-skyline/", "Max Increase to Keep City Skyline")</f>
        <v>Max Increase to Keep City Skyline</v>
      </c>
      <c r="C761" s="1">
        <v>2648</v>
      </c>
      <c r="D761" s="1">
        <v>545</v>
      </c>
      <c r="E761" s="3">
        <f t="shared" si="4"/>
        <v>0.82931412464766674</v>
      </c>
      <c r="F761" s="1" t="s">
        <v>405</v>
      </c>
      <c r="G761" s="1" t="s">
        <v>24</v>
      </c>
      <c r="H761" s="1">
        <v>184703</v>
      </c>
      <c r="I761" s="1">
        <v>213861</v>
      </c>
      <c r="J761" s="7">
        <v>0.86399999999999999</v>
      </c>
      <c r="K761" s="1" t="s">
        <v>21</v>
      </c>
      <c r="L761" s="1" t="s">
        <v>21</v>
      </c>
      <c r="M761" s="1" t="s">
        <v>29</v>
      </c>
      <c r="N761" s="1" t="s">
        <v>22</v>
      </c>
      <c r="O761" s="1" t="str">
        <f t="shared" ca="1" si="5"/>
        <v>Please solve the LeetCode problem '807. Max Increase to Keep City Skyline'.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62" spans="1:15" x14ac:dyDescent="0.25">
      <c r="A762" s="1">
        <v>285</v>
      </c>
      <c r="B762" s="2" t="str">
        <f>HYPERLINK("https://leetcode.com/problems/inorder-successor-in-bst/", "Inorder Successor in BST")</f>
        <v>Inorder Successor in BST</v>
      </c>
      <c r="C762" s="1">
        <v>2644</v>
      </c>
      <c r="D762" s="1">
        <v>94</v>
      </c>
      <c r="E762" s="3">
        <f t="shared" si="4"/>
        <v>0.96566837107377645</v>
      </c>
      <c r="F762" s="1" t="s">
        <v>69</v>
      </c>
      <c r="G762" s="1" t="s">
        <v>24</v>
      </c>
      <c r="H762" s="1">
        <v>368430</v>
      </c>
      <c r="I762" s="1">
        <v>721117</v>
      </c>
      <c r="J762" s="7">
        <v>0.51100000000000001</v>
      </c>
      <c r="K762" s="1" t="s">
        <v>29</v>
      </c>
      <c r="L762" s="1" t="s">
        <v>21</v>
      </c>
      <c r="M762" s="1" t="s">
        <v>29</v>
      </c>
      <c r="N762" s="1" t="s">
        <v>22</v>
      </c>
      <c r="O762" s="1" t="str">
        <f t="shared" ca="1" si="5"/>
        <v>Please solve the LeetCode problem '285. Inorder Successor in BST'.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63" spans="1:15" x14ac:dyDescent="0.25">
      <c r="A763" s="1">
        <v>2551</v>
      </c>
      <c r="B763" s="2" t="str">
        <f>HYPERLINK("https://leetcode.com/problems/put-marbles-in-bags/", "Put Marbles in Bags")</f>
        <v>Put Marbles in Bags</v>
      </c>
      <c r="C763" s="1">
        <v>2644</v>
      </c>
      <c r="D763" s="1">
        <v>124</v>
      </c>
      <c r="E763" s="3">
        <f t="shared" si="4"/>
        <v>0.9552023121387283</v>
      </c>
      <c r="F763" s="1" t="s">
        <v>302</v>
      </c>
      <c r="G763" s="1" t="s">
        <v>28</v>
      </c>
      <c r="H763" s="1">
        <v>152582</v>
      </c>
      <c r="I763" s="1">
        <v>211285</v>
      </c>
      <c r="J763" s="7">
        <v>0.72199999999999998</v>
      </c>
      <c r="K763" s="1" t="s">
        <v>21</v>
      </c>
      <c r="L763" s="1" t="s">
        <v>21</v>
      </c>
      <c r="M763" s="1" t="s">
        <v>29</v>
      </c>
      <c r="N763" s="1" t="s">
        <v>22</v>
      </c>
      <c r="O763" s="1" t="str">
        <f t="shared" ca="1" si="5"/>
        <v>Please solve the LeetCode problem '2551. Put Marbles in Bags'.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64" spans="1:15" x14ac:dyDescent="0.25">
      <c r="A764" s="1">
        <v>2115</v>
      </c>
      <c r="B764" s="2" t="str">
        <f>HYPERLINK("https://leetcode.com/problems/find-all-possible-recipes-from-given-supplies/", "Find All Possible Recipes from Given Supplies")</f>
        <v>Find All Possible Recipes from Given Supplies</v>
      </c>
      <c r="C764" s="1">
        <v>2642</v>
      </c>
      <c r="D764" s="1">
        <v>141</v>
      </c>
      <c r="E764" s="3">
        <f t="shared" si="4"/>
        <v>0.94933524973050665</v>
      </c>
      <c r="F764" s="1" t="s">
        <v>406</v>
      </c>
      <c r="G764" s="1" t="s">
        <v>24</v>
      </c>
      <c r="H764" s="1">
        <v>229533</v>
      </c>
      <c r="I764" s="1">
        <v>404644</v>
      </c>
      <c r="J764" s="7">
        <v>0.56699999999999995</v>
      </c>
      <c r="K764" s="1" t="s">
        <v>21</v>
      </c>
      <c r="L764" s="1" t="s">
        <v>21</v>
      </c>
      <c r="M764" s="1" t="s">
        <v>29</v>
      </c>
      <c r="N764" s="1" t="s">
        <v>22</v>
      </c>
      <c r="O764" s="1" t="str">
        <f t="shared" ca="1" si="5"/>
        <v>Please solve the LeetCode problem '2115. Find All Possible Recipes from Given Supplies'.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65" spans="1:15" x14ac:dyDescent="0.25">
      <c r="A765" s="1">
        <v>1465</v>
      </c>
      <c r="B765" s="2" t="str">
        <f>HYPERLINK("https://leetcode.com/problems/maximum-area-of-a-piece-of-cake-after-horizontal-and-vertical-cuts/", "Maximum Area of a Piece of Cake After Horizontal and Vertical Cuts")</f>
        <v>Maximum Area of a Piece of Cake After Horizontal and Vertical Cuts</v>
      </c>
      <c r="C765" s="1">
        <v>2641</v>
      </c>
      <c r="D765" s="1">
        <v>353</v>
      </c>
      <c r="E765" s="3">
        <f t="shared" si="4"/>
        <v>0.88209752839011357</v>
      </c>
      <c r="F765" s="1" t="s">
        <v>169</v>
      </c>
      <c r="G765" s="1" t="s">
        <v>24</v>
      </c>
      <c r="H765" s="1">
        <v>175334</v>
      </c>
      <c r="I765" s="1">
        <v>423896</v>
      </c>
      <c r="J765" s="7">
        <v>0.41399999999999998</v>
      </c>
      <c r="K765" s="1" t="s">
        <v>21</v>
      </c>
      <c r="L765" s="1" t="s">
        <v>21</v>
      </c>
      <c r="M765" s="1" t="s">
        <v>29</v>
      </c>
      <c r="N765" s="1" t="s">
        <v>22</v>
      </c>
      <c r="O765" s="1" t="str">
        <f t="shared" ca="1" si="5"/>
        <v>Please solve the LeetCode problem '1465. Maximum Area of a Piece of Cake After Horizontal and Vertical Cuts'.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66" spans="1:15" x14ac:dyDescent="0.25">
      <c r="A766" s="1">
        <v>1905</v>
      </c>
      <c r="B766" s="2" t="str">
        <f>HYPERLINK("https://leetcode.com/problems/count-sub-islands/", "Count Sub Islands")</f>
        <v>Count Sub Islands</v>
      </c>
      <c r="C766" s="1">
        <v>2628</v>
      </c>
      <c r="D766" s="1">
        <v>91</v>
      </c>
      <c r="E766" s="3">
        <f t="shared" si="4"/>
        <v>0.96653181316660541</v>
      </c>
      <c r="F766" s="1" t="s">
        <v>40</v>
      </c>
      <c r="G766" s="1" t="s">
        <v>24</v>
      </c>
      <c r="H766" s="1">
        <v>217122</v>
      </c>
      <c r="I766" s="1">
        <v>297671</v>
      </c>
      <c r="J766" s="7">
        <v>0.72899999999999998</v>
      </c>
      <c r="K766" s="1" t="s">
        <v>21</v>
      </c>
      <c r="L766" s="1" t="s">
        <v>21</v>
      </c>
      <c r="M766" s="1" t="s">
        <v>29</v>
      </c>
      <c r="N766" s="1" t="s">
        <v>22</v>
      </c>
      <c r="O766" s="1" t="str">
        <f t="shared" ca="1" si="5"/>
        <v>Please solve the LeetCode problem '1905. Count Sub Islands'.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67" spans="1:15" x14ac:dyDescent="0.25">
      <c r="A767" s="1">
        <v>1901</v>
      </c>
      <c r="B767" s="2" t="str">
        <f>HYPERLINK("https://leetcode.com/problems/find-a-peak-element-ii/", "Find a Peak Element II")</f>
        <v>Find a Peak Element II</v>
      </c>
      <c r="C767" s="1">
        <v>2626</v>
      </c>
      <c r="D767" s="1">
        <v>161</v>
      </c>
      <c r="E767" s="3">
        <f t="shared" si="4"/>
        <v>0.94223179045568717</v>
      </c>
      <c r="F767" s="1" t="s">
        <v>73</v>
      </c>
      <c r="G767" s="1" t="s">
        <v>24</v>
      </c>
      <c r="H767" s="1">
        <v>165294</v>
      </c>
      <c r="I767" s="1">
        <v>305008</v>
      </c>
      <c r="J767" s="7">
        <v>0.54200000000000004</v>
      </c>
      <c r="K767" s="1" t="s">
        <v>21</v>
      </c>
      <c r="L767" s="1" t="s">
        <v>29</v>
      </c>
      <c r="M767" s="1" t="s">
        <v>29</v>
      </c>
      <c r="N767" s="1" t="s">
        <v>22</v>
      </c>
      <c r="O767" s="1" t="str">
        <f t="shared" ca="1" si="5"/>
        <v>Please solve the LeetCode problem '1901. Find a Peak Element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68" spans="1:15" x14ac:dyDescent="0.25">
      <c r="A768" s="1">
        <v>2707</v>
      </c>
      <c r="B768" s="2" t="str">
        <f>HYPERLINK("https://leetcode.com/problems/extra-characters-in-a-string/", "Extra Characters in a String")</f>
        <v>Extra Characters in a String</v>
      </c>
      <c r="C768" s="1">
        <v>2620</v>
      </c>
      <c r="D768" s="1">
        <v>138</v>
      </c>
      <c r="E768" s="3">
        <f t="shared" si="4"/>
        <v>0.94996374184191446</v>
      </c>
      <c r="F768" s="1" t="s">
        <v>408</v>
      </c>
      <c r="G768" s="1" t="s">
        <v>24</v>
      </c>
      <c r="H768" s="1">
        <v>195834</v>
      </c>
      <c r="I768" s="1">
        <v>342276</v>
      </c>
      <c r="J768" s="7">
        <v>0.57199999999999995</v>
      </c>
      <c r="K768" s="1" t="s">
        <v>21</v>
      </c>
      <c r="L768" s="1" t="s">
        <v>21</v>
      </c>
      <c r="M768" s="1" t="s">
        <v>29</v>
      </c>
      <c r="N768" s="1" t="s">
        <v>22</v>
      </c>
      <c r="O768" s="1" t="str">
        <f t="shared" ca="1" si="5"/>
        <v>Please solve the LeetCode problem '2707. Extra Characters in a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69" spans="1:15" x14ac:dyDescent="0.25">
      <c r="A769" s="1">
        <v>1000</v>
      </c>
      <c r="B769" s="2" t="str">
        <f>HYPERLINK("https://leetcode.com/problems/minimum-cost-to-merge-stones/", "Minimum Cost to Merge Stones")</f>
        <v>Minimum Cost to Merge Stones</v>
      </c>
      <c r="C769" s="1">
        <v>2619</v>
      </c>
      <c r="D769" s="1">
        <v>115</v>
      </c>
      <c r="E769" s="3">
        <f t="shared" ref="E769:E1023" si="6">IF(INDEX(C:C, ROW())+INDEX(D:D, ROW())=0, 0, INDEX(C:C, ROW())/(INDEX(C:C, ROW())+INDEX(D:D, ROW())))</f>
        <v>0.95793708851499637</v>
      </c>
      <c r="F769" s="1" t="s">
        <v>407</v>
      </c>
      <c r="G769" s="1" t="s">
        <v>28</v>
      </c>
      <c r="H769" s="1">
        <v>50112</v>
      </c>
      <c r="I769" s="1">
        <v>110360</v>
      </c>
      <c r="J769" s="7">
        <v>0.45400000000000001</v>
      </c>
      <c r="K769" s="1" t="s">
        <v>21</v>
      </c>
      <c r="L769" s="1" t="s">
        <v>29</v>
      </c>
      <c r="M769" s="1" t="s">
        <v>29</v>
      </c>
      <c r="N769" s="1" t="s">
        <v>22</v>
      </c>
      <c r="O769" s="1" t="str">
        <f t="shared" ref="O769:O1023" ca="1" si="7"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>Please solve the LeetCode problem '1000. Minimum Cost to Merge Stones'.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70" spans="1:15" x14ac:dyDescent="0.25">
      <c r="A770" s="1">
        <v>299</v>
      </c>
      <c r="B770" s="2" t="str">
        <f>HYPERLINK("https://leetcode.com/problems/bulls-and-cows/", "Bulls and Cows")</f>
        <v>Bulls and Cows</v>
      </c>
      <c r="C770" s="1">
        <v>2606</v>
      </c>
      <c r="D770" s="1">
        <v>1814</v>
      </c>
      <c r="E770" s="3">
        <f t="shared" si="6"/>
        <v>0.58959276018099549</v>
      </c>
      <c r="F770" s="1" t="s">
        <v>237</v>
      </c>
      <c r="G770" s="1" t="s">
        <v>24</v>
      </c>
      <c r="H770" s="1">
        <v>435451</v>
      </c>
      <c r="I770" s="1">
        <v>836547</v>
      </c>
      <c r="J770" s="7">
        <v>0.52100000000000002</v>
      </c>
      <c r="K770" s="1" t="s">
        <v>21</v>
      </c>
      <c r="L770" s="1" t="s">
        <v>21</v>
      </c>
      <c r="M770" s="1" t="s">
        <v>29</v>
      </c>
      <c r="N770" s="1" t="s">
        <v>22</v>
      </c>
      <c r="O770" s="1" t="str">
        <f t="shared" ca="1" si="7"/>
        <v>Please solve the LeetCode problem '299. Bulls and Cows'.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71" spans="1:15" x14ac:dyDescent="0.25">
      <c r="A771" s="1">
        <v>689</v>
      </c>
      <c r="B771" s="2" t="str">
        <f>HYPERLINK("https://leetcode.com/problems/maximum-sum-of-3-non-overlapping-subarrays/", "Maximum Sum of 3 Non-Overlapping Subarrays")</f>
        <v>Maximum Sum of 3 Non-Overlapping Subarrays</v>
      </c>
      <c r="C771" s="1">
        <v>2606</v>
      </c>
      <c r="D771" s="1">
        <v>159</v>
      </c>
      <c r="E771" s="3">
        <f t="shared" si="6"/>
        <v>0.94249547920433996</v>
      </c>
      <c r="F771" s="1" t="s">
        <v>410</v>
      </c>
      <c r="G771" s="1" t="s">
        <v>28</v>
      </c>
      <c r="H771" s="1">
        <v>154012</v>
      </c>
      <c r="I771" s="1">
        <v>258202</v>
      </c>
      <c r="J771" s="7">
        <v>0.59599999999999997</v>
      </c>
      <c r="K771" s="1" t="s">
        <v>21</v>
      </c>
      <c r="L771" s="1" t="s">
        <v>21</v>
      </c>
      <c r="M771" s="1" t="s">
        <v>29</v>
      </c>
      <c r="N771" s="1" t="s">
        <v>22</v>
      </c>
      <c r="O771" s="1" t="str">
        <f t="shared" ca="1" si="7"/>
        <v>Please solve the LeetCode problem '689. Maximum Sum of 3 Non-Overlapping Subarrays'.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72" spans="1:15" x14ac:dyDescent="0.25">
      <c r="A772" s="1">
        <v>880</v>
      </c>
      <c r="B772" s="2" t="str">
        <f>HYPERLINK("https://leetcode.com/problems/decoded-string-at-index/", "Decoded String at Index")</f>
        <v>Decoded String at Index</v>
      </c>
      <c r="C772" s="1">
        <v>2605</v>
      </c>
      <c r="D772" s="1">
        <v>365</v>
      </c>
      <c r="E772" s="3">
        <f t="shared" si="6"/>
        <v>0.87710437710437705</v>
      </c>
      <c r="F772" s="1" t="s">
        <v>36</v>
      </c>
      <c r="G772" s="1" t="s">
        <v>24</v>
      </c>
      <c r="H772" s="1">
        <v>106953</v>
      </c>
      <c r="I772" s="1">
        <v>287456</v>
      </c>
      <c r="J772" s="7">
        <v>0.372</v>
      </c>
      <c r="K772" s="1" t="s">
        <v>21</v>
      </c>
      <c r="L772" s="1" t="s">
        <v>21</v>
      </c>
      <c r="M772" s="1" t="s">
        <v>29</v>
      </c>
      <c r="N772" s="1" t="s">
        <v>22</v>
      </c>
      <c r="O772" s="1" t="str">
        <f t="shared" ca="1" si="7"/>
        <v>Please solve the LeetCode problem '880. Decoded String at Index'.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73" spans="1:15" x14ac:dyDescent="0.25">
      <c r="A773" s="1">
        <v>1464</v>
      </c>
      <c r="B773" s="2" t="str">
        <f>HYPERLINK("https://leetcode.com/problems/maximum-product-of-two-elements-in-an-array/", "Maximum Product of Two Elements in an Array")</f>
        <v>Maximum Product of Two Elements in an Array</v>
      </c>
      <c r="C773" s="1">
        <v>2605</v>
      </c>
      <c r="D773" s="1">
        <v>239</v>
      </c>
      <c r="E773" s="3">
        <f t="shared" si="6"/>
        <v>0.91596343178621664</v>
      </c>
      <c r="F773" s="1" t="s">
        <v>350</v>
      </c>
      <c r="G773" s="1" t="s">
        <v>20</v>
      </c>
      <c r="H773" s="1">
        <v>475582</v>
      </c>
      <c r="I773" s="1">
        <v>569602</v>
      </c>
      <c r="J773" s="7">
        <v>0.83499999999999996</v>
      </c>
      <c r="K773" s="1" t="s">
        <v>21</v>
      </c>
      <c r="L773" s="1" t="s">
        <v>21</v>
      </c>
      <c r="M773" s="1" t="s">
        <v>29</v>
      </c>
      <c r="N773" s="1" t="s">
        <v>22</v>
      </c>
      <c r="O773" s="1" t="str">
        <f t="shared" ca="1" si="7"/>
        <v>Please solve the LeetCode problem '1464. Maximum Product of Two Elements in an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74" spans="1:15" x14ac:dyDescent="0.25">
      <c r="A774" s="1">
        <v>804</v>
      </c>
      <c r="B774" s="2" t="str">
        <f>HYPERLINK("https://leetcode.com/problems/unique-morse-code-words/", "Unique Morse Code Words")</f>
        <v>Unique Morse Code Words</v>
      </c>
      <c r="C774" s="1">
        <v>2604</v>
      </c>
      <c r="D774" s="1">
        <v>1552</v>
      </c>
      <c r="E774" s="3">
        <f t="shared" si="6"/>
        <v>0.62656400384985567</v>
      </c>
      <c r="F774" s="1" t="s">
        <v>258</v>
      </c>
      <c r="G774" s="1" t="s">
        <v>20</v>
      </c>
      <c r="H774" s="1">
        <v>400497</v>
      </c>
      <c r="I774" s="1">
        <v>479594</v>
      </c>
      <c r="J774" s="7">
        <v>0.83499999999999996</v>
      </c>
      <c r="K774" s="1" t="s">
        <v>21</v>
      </c>
      <c r="L774" s="1" t="s">
        <v>21</v>
      </c>
      <c r="M774" s="1" t="s">
        <v>29</v>
      </c>
      <c r="N774" s="1" t="s">
        <v>22</v>
      </c>
      <c r="O774" s="1" t="str">
        <f t="shared" ca="1" si="7"/>
        <v>Please solve the LeetCode problem '804. Unique Morse Code Words'.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75" spans="1:15" x14ac:dyDescent="0.25">
      <c r="A775" s="1">
        <v>1497</v>
      </c>
      <c r="B775" s="2" t="str">
        <f>HYPERLINK("https://leetcode.com/problems/check-if-array-pairs-are-divisible-by-k/", "Check If Array Pairs Are Divisible by k")</f>
        <v>Check If Array Pairs Are Divisible by k</v>
      </c>
      <c r="C775" s="1">
        <v>2603</v>
      </c>
      <c r="D775" s="1">
        <v>156</v>
      </c>
      <c r="E775" s="3">
        <f t="shared" si="6"/>
        <v>0.94345777455599855</v>
      </c>
      <c r="F775" s="1" t="s">
        <v>294</v>
      </c>
      <c r="G775" s="1" t="s">
        <v>24</v>
      </c>
      <c r="H775" s="1">
        <v>205129</v>
      </c>
      <c r="I775" s="1">
        <v>444264</v>
      </c>
      <c r="J775" s="7">
        <v>0.46200000000000002</v>
      </c>
      <c r="K775" s="1" t="s">
        <v>21</v>
      </c>
      <c r="L775" s="1" t="s">
        <v>21</v>
      </c>
      <c r="M775" s="1" t="s">
        <v>29</v>
      </c>
      <c r="N775" s="1" t="s">
        <v>22</v>
      </c>
      <c r="O775" s="1" t="str">
        <f t="shared" ca="1" si="7"/>
        <v>Please solve the LeetCode problem '1497. Check If Array Pairs Are Divisible by k'.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76" spans="1:15" x14ac:dyDescent="0.25">
      <c r="A776" s="1">
        <v>1857</v>
      </c>
      <c r="B776" s="2" t="str">
        <f>HYPERLINK("https://leetcode.com/problems/largest-color-value-in-a-directed-graph/", "Largest Color Value in a Directed Graph")</f>
        <v>Largest Color Value in a Directed Graph</v>
      </c>
      <c r="C776" s="1">
        <v>2601</v>
      </c>
      <c r="D776" s="1">
        <v>87</v>
      </c>
      <c r="E776" s="3">
        <f t="shared" si="6"/>
        <v>0.9676339285714286</v>
      </c>
      <c r="F776" s="1" t="s">
        <v>1357</v>
      </c>
      <c r="G776" s="1" t="s">
        <v>28</v>
      </c>
      <c r="H776" s="1">
        <v>147269</v>
      </c>
      <c r="I776" s="1">
        <v>256805</v>
      </c>
      <c r="J776" s="7">
        <v>0.57299999999999995</v>
      </c>
      <c r="K776" s="1" t="s">
        <v>21</v>
      </c>
      <c r="L776" s="1" t="s">
        <v>21</v>
      </c>
      <c r="M776" s="1" t="s">
        <v>29</v>
      </c>
      <c r="N776" s="1" t="s">
        <v>22</v>
      </c>
      <c r="O776" s="1" t="str">
        <f t="shared" ca="1" si="7"/>
        <v>Please solve the LeetCode problem '1857. Largest Color Value in a Directed Graph'.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77" spans="1:15" x14ac:dyDescent="0.25">
      <c r="A777" s="1">
        <v>1926</v>
      </c>
      <c r="B777" s="2" t="str">
        <f>HYPERLINK("https://leetcode.com/problems/nearest-exit-from-entrance-in-maze/", "Nearest Exit from Entrance in Maze")</f>
        <v>Nearest Exit from Entrance in Maze</v>
      </c>
      <c r="C777" s="1">
        <v>2595</v>
      </c>
      <c r="D777" s="1">
        <v>126</v>
      </c>
      <c r="E777" s="3">
        <f t="shared" si="6"/>
        <v>0.9536934950385888</v>
      </c>
      <c r="F777" s="1" t="s">
        <v>86</v>
      </c>
      <c r="G777" s="1" t="s">
        <v>24</v>
      </c>
      <c r="H777" s="1">
        <v>264573</v>
      </c>
      <c r="I777" s="1">
        <v>549210</v>
      </c>
      <c r="J777" s="7">
        <v>0.48199999999999998</v>
      </c>
      <c r="K777" s="1" t="s">
        <v>21</v>
      </c>
      <c r="L777" s="1" t="s">
        <v>21</v>
      </c>
      <c r="M777" s="1" t="s">
        <v>29</v>
      </c>
      <c r="N777" s="1" t="s">
        <v>22</v>
      </c>
      <c r="O777" s="1" t="str">
        <f t="shared" ca="1" si="7"/>
        <v>Please solve the LeetCode problem '1926. Nearest Exit from Entrance in Maze'.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78" spans="1:15" x14ac:dyDescent="0.25">
      <c r="A778" s="1">
        <v>942</v>
      </c>
      <c r="B778" s="2" t="str">
        <f>HYPERLINK("https://leetcode.com/problems/di-string-match/", "DI String Match")</f>
        <v>DI String Match</v>
      </c>
      <c r="C778" s="1">
        <v>2594</v>
      </c>
      <c r="D778" s="1">
        <v>1079</v>
      </c>
      <c r="E778" s="3">
        <f t="shared" si="6"/>
        <v>0.70623468554315272</v>
      </c>
      <c r="F778" s="1" t="s">
        <v>412</v>
      </c>
      <c r="G778" s="1" t="s">
        <v>20</v>
      </c>
      <c r="H778" s="1">
        <v>201963</v>
      </c>
      <c r="I778" s="1">
        <v>249988</v>
      </c>
      <c r="J778" s="7">
        <v>0.80800000000000005</v>
      </c>
      <c r="K778" s="1" t="s">
        <v>21</v>
      </c>
      <c r="L778" s="1" t="s">
        <v>21</v>
      </c>
      <c r="M778" s="1" t="s">
        <v>29</v>
      </c>
      <c r="N778" s="1" t="s">
        <v>22</v>
      </c>
      <c r="O778" s="1" t="str">
        <f t="shared" ca="1" si="7"/>
        <v>Please solve the LeetCode problem '942. DI String Match'.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79" spans="1:15" x14ac:dyDescent="0.25">
      <c r="A779" s="1">
        <v>539</v>
      </c>
      <c r="B779" s="2" t="str">
        <f>HYPERLINK("https://leetcode.com/problems/minimum-time-difference/", "Minimum Time Difference")</f>
        <v>Minimum Time Difference</v>
      </c>
      <c r="C779" s="1">
        <v>2593</v>
      </c>
      <c r="D779" s="1">
        <v>319</v>
      </c>
      <c r="E779" s="3">
        <f t="shared" si="6"/>
        <v>0.89045329670329665</v>
      </c>
      <c r="F779" s="1" t="s">
        <v>411</v>
      </c>
      <c r="G779" s="1" t="s">
        <v>24</v>
      </c>
      <c r="H779" s="1">
        <v>342088</v>
      </c>
      <c r="I779" s="1">
        <v>547140</v>
      </c>
      <c r="J779" s="7">
        <v>0.625</v>
      </c>
      <c r="K779" s="1" t="s">
        <v>21</v>
      </c>
      <c r="L779" s="1" t="s">
        <v>21</v>
      </c>
      <c r="M779" s="1" t="s">
        <v>29</v>
      </c>
      <c r="N779" s="1" t="s">
        <v>22</v>
      </c>
      <c r="O779" s="1" t="str">
        <f t="shared" ca="1" si="7"/>
        <v>Please solve the LeetCode problem '539. Minimum Time Difference'.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80" spans="1:15" x14ac:dyDescent="0.25">
      <c r="A780" s="1">
        <v>2215</v>
      </c>
      <c r="B780" s="2" t="str">
        <f>HYPERLINK("https://leetcode.com/problems/find-the-difference-of-two-arrays/", "Find the Difference of Two Arrays")</f>
        <v>Find the Difference of Two Arrays</v>
      </c>
      <c r="C780" s="1">
        <v>2592</v>
      </c>
      <c r="D780" s="1">
        <v>125</v>
      </c>
      <c r="E780" s="3">
        <f t="shared" si="6"/>
        <v>0.95399337504600668</v>
      </c>
      <c r="F780" s="1" t="s">
        <v>19</v>
      </c>
      <c r="G780" s="1" t="s">
        <v>20</v>
      </c>
      <c r="H780" s="1">
        <v>613864</v>
      </c>
      <c r="I780" s="1">
        <v>755720</v>
      </c>
      <c r="J780" s="7">
        <v>0.81200000000000006</v>
      </c>
      <c r="K780" s="1" t="s">
        <v>21</v>
      </c>
      <c r="L780" s="1" t="s">
        <v>21</v>
      </c>
      <c r="M780" s="1" t="s">
        <v>29</v>
      </c>
      <c r="N780" s="1" t="s">
        <v>22</v>
      </c>
      <c r="O780" s="1" t="str">
        <f t="shared" ca="1" si="7"/>
        <v>Please solve the LeetCode problem '2215. Find the Difference of Two Arrays'.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81" spans="1:15" x14ac:dyDescent="0.25">
      <c r="A781" s="1">
        <v>1770</v>
      </c>
      <c r="B781" s="2" t="str">
        <f>HYPERLINK("https://leetcode.com/problems/maximum-score-from-performing-multiplication-operations/", "Maximum Score from Performing Multiplication Operations")</f>
        <v>Maximum Score from Performing Multiplication Operations</v>
      </c>
      <c r="C781" s="1">
        <v>2590</v>
      </c>
      <c r="D781" s="1">
        <v>514</v>
      </c>
      <c r="E781" s="3">
        <f t="shared" si="6"/>
        <v>0.83440721649484539</v>
      </c>
      <c r="F781" s="1" t="s">
        <v>30</v>
      </c>
      <c r="G781" s="1" t="s">
        <v>28</v>
      </c>
      <c r="H781" s="1">
        <v>132911</v>
      </c>
      <c r="I781" s="1">
        <v>308967</v>
      </c>
      <c r="J781" s="7">
        <v>0.43</v>
      </c>
      <c r="K781" s="1" t="s">
        <v>21</v>
      </c>
      <c r="L781" s="1" t="s">
        <v>21</v>
      </c>
      <c r="M781" s="1" t="s">
        <v>29</v>
      </c>
      <c r="N781" s="1" t="s">
        <v>22</v>
      </c>
      <c r="O781" s="1" t="str">
        <f t="shared" ca="1" si="7"/>
        <v>Please solve the LeetCode problem '1770. Maximum Score from Performing Multiplication Operations'.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82" spans="1:15" x14ac:dyDescent="0.25">
      <c r="A782" s="1">
        <v>1009</v>
      </c>
      <c r="B782" s="2" t="str">
        <f>HYPERLINK("https://leetcode.com/problems/complement-of-base-10-integer/", "Complement of Base 10 Integer")</f>
        <v>Complement of Base 10 Integer</v>
      </c>
      <c r="C782" s="1">
        <v>2587</v>
      </c>
      <c r="D782" s="1">
        <v>123</v>
      </c>
      <c r="E782" s="3">
        <f t="shared" si="6"/>
        <v>0.9546125461254612</v>
      </c>
      <c r="F782" s="1" t="s">
        <v>298</v>
      </c>
      <c r="G782" s="1" t="s">
        <v>20</v>
      </c>
      <c r="H782" s="1">
        <v>315733</v>
      </c>
      <c r="I782" s="1">
        <v>520665</v>
      </c>
      <c r="J782" s="7">
        <v>0.60599999999999998</v>
      </c>
      <c r="K782" s="1" t="s">
        <v>21</v>
      </c>
      <c r="L782" s="1" t="s">
        <v>21</v>
      </c>
      <c r="M782" s="1" t="s">
        <v>29</v>
      </c>
      <c r="N782" s="1" t="s">
        <v>22</v>
      </c>
      <c r="O782" s="1" t="str">
        <f t="shared" ca="1" si="7"/>
        <v>Please solve the LeetCode problem '1009. Complement of Base 10 Integer'.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83" spans="1:15" x14ac:dyDescent="0.25">
      <c r="A783" s="1">
        <v>1356</v>
      </c>
      <c r="B783" s="2" t="str">
        <f>HYPERLINK("https://leetcode.com/problems/sort-integers-by-the-number-of-1-bits/", "Sort Integers by The Number of 1 Bits")</f>
        <v>Sort Integers by The Number of 1 Bits</v>
      </c>
      <c r="C783" s="1">
        <v>2586</v>
      </c>
      <c r="D783" s="1">
        <v>128</v>
      </c>
      <c r="E783" s="3">
        <f t="shared" si="6"/>
        <v>0.95283714075165804</v>
      </c>
      <c r="F783" s="1" t="s">
        <v>413</v>
      </c>
      <c r="G783" s="1" t="s">
        <v>20</v>
      </c>
      <c r="H783" s="1">
        <v>264987</v>
      </c>
      <c r="I783" s="1">
        <v>335674</v>
      </c>
      <c r="J783" s="7">
        <v>0.78900000000000003</v>
      </c>
      <c r="K783" s="1" t="s">
        <v>21</v>
      </c>
      <c r="L783" s="1" t="s">
        <v>21</v>
      </c>
      <c r="M783" s="1" t="s">
        <v>29</v>
      </c>
      <c r="N783" s="1" t="s">
        <v>22</v>
      </c>
      <c r="O783" s="1" t="str">
        <f t="shared" ca="1" si="7"/>
        <v>Please solve the LeetCode problem '1356. Sort Integers by The Number of 1 Bits'.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84" spans="1:15" x14ac:dyDescent="0.25">
      <c r="A784" s="1">
        <v>1910</v>
      </c>
      <c r="B784" s="2" t="str">
        <f>HYPERLINK("https://leetcode.com/problems/remove-all-occurrences-of-a-substring/", "Remove All Occurrences of a Substring")</f>
        <v>Remove All Occurrences of a Substring</v>
      </c>
      <c r="C784" s="1">
        <v>2580</v>
      </c>
      <c r="D784" s="1">
        <v>90</v>
      </c>
      <c r="E784" s="3">
        <f t="shared" si="6"/>
        <v>0.9662921348314607</v>
      </c>
      <c r="F784" s="1" t="s">
        <v>365</v>
      </c>
      <c r="G784" s="1" t="s">
        <v>24</v>
      </c>
      <c r="H784" s="1">
        <v>384192</v>
      </c>
      <c r="I784" s="1">
        <v>490219</v>
      </c>
      <c r="J784" s="7">
        <v>0.78400000000000003</v>
      </c>
      <c r="K784" s="1" t="s">
        <v>21</v>
      </c>
      <c r="L784" s="1" t="s">
        <v>21</v>
      </c>
      <c r="M784" s="1" t="s">
        <v>29</v>
      </c>
      <c r="N784" s="1" t="s">
        <v>22</v>
      </c>
      <c r="O784" s="1" t="str">
        <f t="shared" ca="1" si="7"/>
        <v>Please solve the LeetCode problem '1910. Remove All Occurrences of a Substring'.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85" spans="1:15" x14ac:dyDescent="0.25">
      <c r="A785" s="1">
        <v>657</v>
      </c>
      <c r="B785" s="2" t="str">
        <f>HYPERLINK("https://leetcode.com/problems/robot-return-to-origin/", "Robot Return to Origin")</f>
        <v>Robot Return to Origin</v>
      </c>
      <c r="C785" s="1">
        <v>2576</v>
      </c>
      <c r="D785" s="1">
        <v>752</v>
      </c>
      <c r="E785" s="3">
        <f t="shared" si="6"/>
        <v>0.77403846153846156</v>
      </c>
      <c r="F785" s="1" t="s">
        <v>414</v>
      </c>
      <c r="G785" s="1" t="s">
        <v>20</v>
      </c>
      <c r="H785" s="1">
        <v>533679</v>
      </c>
      <c r="I785" s="1">
        <v>697999</v>
      </c>
      <c r="J785" s="7">
        <v>0.76500000000000001</v>
      </c>
      <c r="K785" s="1" t="s">
        <v>21</v>
      </c>
      <c r="L785" s="1" t="s">
        <v>21</v>
      </c>
      <c r="M785" s="1" t="s">
        <v>29</v>
      </c>
      <c r="N785" s="1" t="s">
        <v>22</v>
      </c>
      <c r="O785" s="1" t="str">
        <f t="shared" ca="1" si="7"/>
        <v>Please solve the LeetCode problem '657. Robot Return to Origin'.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86" spans="1:15" x14ac:dyDescent="0.25">
      <c r="A786" s="1">
        <v>1368</v>
      </c>
      <c r="B786" s="2" t="str">
        <f>HYPERLINK("https://leetcode.com/problems/minimum-cost-to-make-at-least-one-valid-path-in-a-grid/", "Minimum Cost to Make at Least One Valid Path in a Grid")</f>
        <v>Minimum Cost to Make at Least One Valid Path in a Grid</v>
      </c>
      <c r="C786" s="1">
        <v>2576</v>
      </c>
      <c r="D786" s="1">
        <v>35</v>
      </c>
      <c r="E786" s="3">
        <f t="shared" si="6"/>
        <v>0.98659517426273458</v>
      </c>
      <c r="F786" s="1" t="s">
        <v>415</v>
      </c>
      <c r="G786" s="1" t="s">
        <v>28</v>
      </c>
      <c r="H786" s="1">
        <v>161998</v>
      </c>
      <c r="I786" s="1">
        <v>228618</v>
      </c>
      <c r="J786" s="7">
        <v>0.70899999999999996</v>
      </c>
      <c r="K786" s="1" t="s">
        <v>21</v>
      </c>
      <c r="L786" s="1" t="s">
        <v>21</v>
      </c>
      <c r="M786" s="1" t="s">
        <v>29</v>
      </c>
      <c r="N786" s="1" t="s">
        <v>22</v>
      </c>
      <c r="O786" s="1" t="str">
        <f t="shared" ca="1" si="7"/>
        <v>Please solve the LeetCode problem '1368. Minimum Cost to Make at Least One Valid Path in a Grid'.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87" spans="1:15" x14ac:dyDescent="0.25">
      <c r="A787" s="1">
        <v>2439</v>
      </c>
      <c r="B787" s="2" t="str">
        <f>HYPERLINK("https://leetcode.com/problems/minimize-maximum-of-array/", "Minimize Maximum of Array")</f>
        <v>Minimize Maximum of Array</v>
      </c>
      <c r="C787" s="1">
        <v>2576</v>
      </c>
      <c r="D787" s="1">
        <v>641</v>
      </c>
      <c r="E787" s="3">
        <f t="shared" si="6"/>
        <v>0.80074603668013677</v>
      </c>
      <c r="F787" s="1" t="s">
        <v>118</v>
      </c>
      <c r="G787" s="1" t="s">
        <v>24</v>
      </c>
      <c r="H787" s="1">
        <v>97358</v>
      </c>
      <c r="I787" s="1">
        <v>209544</v>
      </c>
      <c r="J787" s="7">
        <v>0.46500000000000002</v>
      </c>
      <c r="K787" s="1" t="s">
        <v>21</v>
      </c>
      <c r="L787" s="1" t="s">
        <v>21</v>
      </c>
      <c r="M787" s="1" t="s">
        <v>29</v>
      </c>
      <c r="N787" s="1" t="s">
        <v>22</v>
      </c>
      <c r="O787" s="1" t="str">
        <f t="shared" ca="1" si="7"/>
        <v>Please solve the LeetCode problem '2439. Minimize Maximum of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88" spans="1:15" x14ac:dyDescent="0.25">
      <c r="A788" s="1">
        <v>925</v>
      </c>
      <c r="B788" s="2" t="str">
        <f>HYPERLINK("https://leetcode.com/problems/long-pressed-name/", "Long Pressed Name")</f>
        <v>Long Pressed Name</v>
      </c>
      <c r="C788" s="1">
        <v>2575</v>
      </c>
      <c r="D788" s="1">
        <v>406</v>
      </c>
      <c r="E788" s="3">
        <f t="shared" si="6"/>
        <v>0.86380409258638036</v>
      </c>
      <c r="F788" s="1" t="s">
        <v>117</v>
      </c>
      <c r="G788" s="1" t="s">
        <v>20</v>
      </c>
      <c r="H788" s="1">
        <v>185915</v>
      </c>
      <c r="I788" s="1">
        <v>568090</v>
      </c>
      <c r="J788" s="7">
        <v>0.32700000000000001</v>
      </c>
      <c r="K788" s="1" t="s">
        <v>21</v>
      </c>
      <c r="L788" s="1" t="s">
        <v>21</v>
      </c>
      <c r="M788" s="1" t="s">
        <v>29</v>
      </c>
      <c r="N788" s="1" t="s">
        <v>22</v>
      </c>
      <c r="O788" s="1" t="str">
        <f t="shared" ca="1" si="7"/>
        <v>Please solve the LeetCode problem '925. Long Pressed Name'.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89" spans="1:15" x14ac:dyDescent="0.25">
      <c r="A789" s="1">
        <v>166</v>
      </c>
      <c r="B789" s="2" t="str">
        <f>HYPERLINK("https://leetcode.com/problems/fraction-to-recurring-decimal/", "Fraction to Recurring Decimal")</f>
        <v>Fraction to Recurring Decimal</v>
      </c>
      <c r="C789" s="1">
        <v>2569</v>
      </c>
      <c r="D789" s="1">
        <v>3858</v>
      </c>
      <c r="E789" s="3">
        <f t="shared" si="6"/>
        <v>0.39971993153882063</v>
      </c>
      <c r="F789" s="1" t="s">
        <v>75</v>
      </c>
      <c r="G789" s="1" t="s">
        <v>24</v>
      </c>
      <c r="H789" s="1">
        <v>352079</v>
      </c>
      <c r="I789" s="1">
        <v>1157527</v>
      </c>
      <c r="J789" s="7">
        <v>0.30399999999999999</v>
      </c>
      <c r="K789" s="1" t="s">
        <v>21</v>
      </c>
      <c r="L789" s="1" t="s">
        <v>21</v>
      </c>
      <c r="M789" s="1" t="s">
        <v>29</v>
      </c>
      <c r="N789" s="1" t="s">
        <v>22</v>
      </c>
      <c r="O789" s="1" t="str">
        <f t="shared" ca="1" si="7"/>
        <v>Please solve the LeetCode problem '166. Fraction to Recurring Decimal'.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90" spans="1:15" x14ac:dyDescent="0.25">
      <c r="A790" s="1">
        <v>1980</v>
      </c>
      <c r="B790" s="2" t="str">
        <f>HYPERLINK("https://leetcode.com/problems/find-unique-binary-string/", "Find Unique Binary String")</f>
        <v>Find Unique Binary String</v>
      </c>
      <c r="C790" s="1">
        <v>2557</v>
      </c>
      <c r="D790" s="1">
        <v>89</v>
      </c>
      <c r="E790" s="3">
        <f t="shared" si="6"/>
        <v>0.9663643235071806</v>
      </c>
      <c r="F790" s="1" t="s">
        <v>417</v>
      </c>
      <c r="G790" s="1" t="s">
        <v>24</v>
      </c>
      <c r="H790" s="1">
        <v>300746</v>
      </c>
      <c r="I790" s="1">
        <v>378675</v>
      </c>
      <c r="J790" s="7">
        <v>0.79400000000000004</v>
      </c>
      <c r="K790" s="1" t="s">
        <v>21</v>
      </c>
      <c r="L790" s="1" t="s">
        <v>21</v>
      </c>
      <c r="M790" s="1" t="s">
        <v>29</v>
      </c>
      <c r="N790" s="1" t="s">
        <v>22</v>
      </c>
      <c r="O790" s="1" t="str">
        <f t="shared" ca="1" si="7"/>
        <v>Please solve the LeetCode problem '1980. Find Unique Binary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91" spans="1:15" x14ac:dyDescent="0.25">
      <c r="A791" s="1">
        <v>2007</v>
      </c>
      <c r="B791" s="2" t="str">
        <f>HYPERLINK("https://leetcode.com/problems/find-original-array-from-doubled-array/", "Find Original Array From Doubled Array")</f>
        <v>Find Original Array From Doubled Array</v>
      </c>
      <c r="C791" s="1">
        <v>2555</v>
      </c>
      <c r="D791" s="1">
        <v>119</v>
      </c>
      <c r="E791" s="3">
        <f t="shared" si="6"/>
        <v>0.95549738219895286</v>
      </c>
      <c r="F791" s="1" t="s">
        <v>333</v>
      </c>
      <c r="G791" s="1" t="s">
        <v>24</v>
      </c>
      <c r="H791" s="1">
        <v>152449</v>
      </c>
      <c r="I791" s="1">
        <v>374646</v>
      </c>
      <c r="J791" s="7">
        <v>0.40699999999999997</v>
      </c>
      <c r="K791" s="1" t="s">
        <v>21</v>
      </c>
      <c r="L791" s="1" t="s">
        <v>21</v>
      </c>
      <c r="M791" s="1" t="s">
        <v>29</v>
      </c>
      <c r="N791" s="1" t="s">
        <v>22</v>
      </c>
      <c r="O791" s="1" t="str">
        <f t="shared" ca="1" si="7"/>
        <v>Please solve the LeetCode problem '2007. Find Original Array From Doubled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92" spans="1:15" x14ac:dyDescent="0.25">
      <c r="A792" s="1">
        <v>1371</v>
      </c>
      <c r="B792" s="2" t="str">
        <f>HYPERLINK("https://leetcode.com/problems/find-the-longest-substring-containing-vowels-in-even-counts/", "Find the Longest Substring Containing Vowels in Even Counts")</f>
        <v>Find the Longest Substring Containing Vowels in Even Counts</v>
      </c>
      <c r="C792" s="1">
        <v>2549</v>
      </c>
      <c r="D792" s="1">
        <v>141</v>
      </c>
      <c r="E792" s="3">
        <f t="shared" si="6"/>
        <v>0.94758364312267662</v>
      </c>
      <c r="F792" s="1" t="s">
        <v>388</v>
      </c>
      <c r="G792" s="1" t="s">
        <v>24</v>
      </c>
      <c r="H792" s="1">
        <v>139366</v>
      </c>
      <c r="I792" s="1">
        <v>184111</v>
      </c>
      <c r="J792" s="7">
        <v>0.75700000000000001</v>
      </c>
      <c r="K792" s="1" t="s">
        <v>21</v>
      </c>
      <c r="L792" s="1" t="s">
        <v>21</v>
      </c>
      <c r="M792" s="1" t="s">
        <v>29</v>
      </c>
      <c r="N792" s="1" t="s">
        <v>22</v>
      </c>
      <c r="O792" s="1" t="str">
        <f t="shared" ca="1" si="7"/>
        <v>Please solve the LeetCode problem '1371. Find the Longest Substring Containing Vowels in Even Counts'.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93" spans="1:15" x14ac:dyDescent="0.25">
      <c r="A793" s="1">
        <v>1963</v>
      </c>
      <c r="B793" s="2" t="str">
        <f>HYPERLINK("https://leetcode.com/problems/minimum-number-of-swaps-to-make-the-string-balanced/", "Minimum Number of Swaps to Make the String Balanced")</f>
        <v>Minimum Number of Swaps to Make the String Balanced</v>
      </c>
      <c r="C793" s="1">
        <v>2547</v>
      </c>
      <c r="D793" s="1">
        <v>149</v>
      </c>
      <c r="E793" s="3">
        <f t="shared" si="6"/>
        <v>0.94473293768545996</v>
      </c>
      <c r="F793" s="1" t="s">
        <v>416</v>
      </c>
      <c r="G793" s="1" t="s">
        <v>24</v>
      </c>
      <c r="H793" s="1">
        <v>240265</v>
      </c>
      <c r="I793" s="1">
        <v>307617</v>
      </c>
      <c r="J793" s="7">
        <v>0.78100000000000003</v>
      </c>
      <c r="K793" s="1" t="s">
        <v>21</v>
      </c>
      <c r="L793" s="1" t="s">
        <v>21</v>
      </c>
      <c r="M793" s="1" t="s">
        <v>29</v>
      </c>
      <c r="N793" s="1" t="s">
        <v>22</v>
      </c>
      <c r="O793" s="1" t="str">
        <f t="shared" ca="1" si="7"/>
        <v>Please solve the LeetCode problem '1963. Minimum Number of Swaps to Make the String Balanced'.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94" spans="1:15" x14ac:dyDescent="0.25">
      <c r="A794" s="1">
        <v>30</v>
      </c>
      <c r="B794" s="2" t="str">
        <f>HYPERLINK("https://leetcode.com/problems/substring-with-concatenation-of-all-words/", "Substring with Concatenation of All Words")</f>
        <v>Substring with Concatenation of All Words</v>
      </c>
      <c r="C794" s="1">
        <v>2542</v>
      </c>
      <c r="D794" s="1">
        <v>416</v>
      </c>
      <c r="E794" s="3">
        <f t="shared" si="6"/>
        <v>0.85936443542934415</v>
      </c>
      <c r="F794" s="1" t="s">
        <v>23</v>
      </c>
      <c r="G794" s="1" t="s">
        <v>28</v>
      </c>
      <c r="H794" s="1">
        <v>666403</v>
      </c>
      <c r="I794" s="1">
        <v>1972911</v>
      </c>
      <c r="J794" s="7">
        <v>0.33800000000000002</v>
      </c>
      <c r="K794" s="1" t="s">
        <v>21</v>
      </c>
      <c r="L794" s="1" t="s">
        <v>21</v>
      </c>
      <c r="M794" s="1" t="s">
        <v>21</v>
      </c>
      <c r="N794" s="1" t="s">
        <v>22</v>
      </c>
      <c r="O794" s="1" t="str">
        <f t="shared" ca="1" si="7"/>
        <v>Please solve the LeetCode problem '30. Substring with Concatenation of All Words'.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95" spans="1:15" x14ac:dyDescent="0.25">
      <c r="A795" s="1">
        <v>1509</v>
      </c>
      <c r="B795" s="2" t="str">
        <f>HYPERLINK("https://leetcode.com/problems/minimum-difference-between-largest-and-smallest-value-in-three-moves/", "Minimum Difference Between Largest and Smallest Value in Three Moves")</f>
        <v>Minimum Difference Between Largest and Smallest Value in Three Moves</v>
      </c>
      <c r="C795" s="1">
        <v>2542</v>
      </c>
      <c r="D795" s="1">
        <v>285</v>
      </c>
      <c r="E795" s="3">
        <f t="shared" si="6"/>
        <v>0.8991864166961443</v>
      </c>
      <c r="F795" s="1" t="s">
        <v>169</v>
      </c>
      <c r="G795" s="1" t="s">
        <v>24</v>
      </c>
      <c r="H795" s="1">
        <v>249531</v>
      </c>
      <c r="I795" s="1">
        <v>421403</v>
      </c>
      <c r="J795" s="7">
        <v>0.59199999999999997</v>
      </c>
      <c r="K795" s="1" t="s">
        <v>21</v>
      </c>
      <c r="L795" s="1" t="s">
        <v>21</v>
      </c>
      <c r="M795" s="1" t="s">
        <v>29</v>
      </c>
      <c r="N795" s="1" t="s">
        <v>22</v>
      </c>
      <c r="O795" s="1" t="str">
        <f t="shared" ca="1" si="7"/>
        <v>Please solve the LeetCode problem '1509. Minimum Difference Between Largest and Smallest Value in Three Moves'.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96" spans="1:15" x14ac:dyDescent="0.25">
      <c r="A796" s="1">
        <v>869</v>
      </c>
      <c r="B796" s="2" t="str">
        <f>HYPERLINK("https://leetcode.com/problems/reordered-power-of-2/", "Reordered Power of 2")</f>
        <v>Reordered Power of 2</v>
      </c>
      <c r="C796" s="1">
        <v>2540</v>
      </c>
      <c r="D796" s="1">
        <v>497</v>
      </c>
      <c r="E796" s="3">
        <f t="shared" si="6"/>
        <v>0.83635166282515638</v>
      </c>
      <c r="F796" s="1" t="s">
        <v>419</v>
      </c>
      <c r="G796" s="1" t="s">
        <v>24</v>
      </c>
      <c r="H796" s="1">
        <v>227151</v>
      </c>
      <c r="I796" s="1">
        <v>344024</v>
      </c>
      <c r="J796" s="7">
        <v>0.66</v>
      </c>
      <c r="K796" s="1" t="s">
        <v>21</v>
      </c>
      <c r="L796" s="1" t="s">
        <v>21</v>
      </c>
      <c r="M796" s="1" t="s">
        <v>29</v>
      </c>
      <c r="N796" s="1" t="s">
        <v>22</v>
      </c>
      <c r="O796" s="1" t="str">
        <f t="shared" ca="1" si="7"/>
        <v>Please solve the LeetCode problem '869. Reordered Power of 2'.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97" spans="1:15" x14ac:dyDescent="0.25">
      <c r="A797" s="1">
        <v>1751</v>
      </c>
      <c r="B797" s="2" t="str">
        <f>HYPERLINK("https://leetcode.com/problems/maximum-number-of-events-that-can-be-attended-ii/", "Maximum Number of Events That Can Be Attended II")</f>
        <v>Maximum Number of Events That Can Be Attended II</v>
      </c>
      <c r="C797" s="1">
        <v>2540</v>
      </c>
      <c r="D797" s="1">
        <v>53</v>
      </c>
      <c r="E797" s="3">
        <f t="shared" si="6"/>
        <v>0.97956035480138837</v>
      </c>
      <c r="F797" s="1" t="s">
        <v>188</v>
      </c>
      <c r="G797" s="1" t="s">
        <v>28</v>
      </c>
      <c r="H797" s="1">
        <v>161617</v>
      </c>
      <c r="I797" s="1">
        <v>253903</v>
      </c>
      <c r="J797" s="7">
        <v>0.63700000000000001</v>
      </c>
      <c r="K797" s="1" t="s">
        <v>21</v>
      </c>
      <c r="L797" s="1" t="s">
        <v>21</v>
      </c>
      <c r="M797" s="1" t="s">
        <v>29</v>
      </c>
      <c r="N797" s="1" t="s">
        <v>22</v>
      </c>
      <c r="O797" s="1" t="str">
        <f t="shared" ca="1" si="7"/>
        <v>Please solve the LeetCode problem '1751. Maximum Number of Events That Can Be Attended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98" spans="1:15" x14ac:dyDescent="0.25">
      <c r="A798" s="1">
        <v>185</v>
      </c>
      <c r="B798" s="2" t="str">
        <f>HYPERLINK("https://leetcode.com/problems/department-top-three-salaries/", "Department Top Three Salaries")</f>
        <v>Department Top Three Salaries</v>
      </c>
      <c r="C798" s="1">
        <v>2526</v>
      </c>
      <c r="D798" s="1">
        <v>274</v>
      </c>
      <c r="E798" s="3">
        <f t="shared" si="6"/>
        <v>0.90214285714285714</v>
      </c>
      <c r="F798" s="1" t="s">
        <v>297</v>
      </c>
      <c r="G798" s="1" t="s">
        <v>28</v>
      </c>
      <c r="H798" s="1">
        <v>606326</v>
      </c>
      <c r="I798" s="1">
        <v>1018114</v>
      </c>
      <c r="J798" s="7">
        <v>0.59599999999999997</v>
      </c>
      <c r="K798" s="1" t="s">
        <v>21</v>
      </c>
      <c r="L798" s="1" t="s">
        <v>21</v>
      </c>
      <c r="M798" s="1" t="s">
        <v>29</v>
      </c>
      <c r="N798" s="1" t="s">
        <v>297</v>
      </c>
      <c r="O798" s="1" t="str">
        <f t="shared" ca="1" si="7"/>
        <v>Please solve the LeetCode problem '185. Department Top Three Salaries'.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799" spans="1:15" x14ac:dyDescent="0.25">
      <c r="A799" s="1">
        <v>826</v>
      </c>
      <c r="B799" s="2" t="str">
        <f>HYPERLINK("https://leetcode.com/problems/most-profit-assigning-work/", "Most Profit Assigning Work")</f>
        <v>Most Profit Assigning Work</v>
      </c>
      <c r="C799" s="1">
        <v>2526</v>
      </c>
      <c r="D799" s="1">
        <v>173</v>
      </c>
      <c r="E799" s="3">
        <f t="shared" si="6"/>
        <v>0.9359021859948129</v>
      </c>
      <c r="F799" s="1" t="s">
        <v>290</v>
      </c>
      <c r="G799" s="1" t="s">
        <v>24</v>
      </c>
      <c r="H799" s="1">
        <v>240436</v>
      </c>
      <c r="I799" s="1">
        <v>428518</v>
      </c>
      <c r="J799" s="7">
        <v>0.56100000000000005</v>
      </c>
      <c r="K799" s="1" t="s">
        <v>21</v>
      </c>
      <c r="L799" s="1" t="s">
        <v>21</v>
      </c>
      <c r="M799" s="1" t="s">
        <v>29</v>
      </c>
      <c r="N799" s="1" t="s">
        <v>22</v>
      </c>
      <c r="O799" s="1" t="str">
        <f t="shared" ca="1" si="7"/>
        <v>Please solve the LeetCode problem '826. Most Profit Assigning Work'.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00" spans="1:15" x14ac:dyDescent="0.25">
      <c r="A800" s="1">
        <v>2360</v>
      </c>
      <c r="B800" s="2" t="str">
        <f>HYPERLINK("https://leetcode.com/problems/longest-cycle-in-a-graph/", "Longest Cycle in a Graph")</f>
        <v>Longest Cycle in a Graph</v>
      </c>
      <c r="C800" s="1">
        <v>2524</v>
      </c>
      <c r="D800" s="1">
        <v>51</v>
      </c>
      <c r="E800" s="3">
        <f t="shared" si="6"/>
        <v>0.98019417475728154</v>
      </c>
      <c r="F800" s="1" t="s">
        <v>72</v>
      </c>
      <c r="G800" s="1" t="s">
        <v>28</v>
      </c>
      <c r="H800" s="1">
        <v>101614</v>
      </c>
      <c r="I800" s="1">
        <v>201913</v>
      </c>
      <c r="J800" s="7">
        <v>0.503</v>
      </c>
      <c r="K800" s="1" t="s">
        <v>21</v>
      </c>
      <c r="L800" s="1" t="s">
        <v>21</v>
      </c>
      <c r="M800" s="1" t="s">
        <v>29</v>
      </c>
      <c r="N800" s="1" t="s">
        <v>22</v>
      </c>
      <c r="O800" s="1" t="str">
        <f t="shared" ca="1" si="7"/>
        <v>Please solve the LeetCode problem '2360. Longest Cycle in a Graph'.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01" spans="1:15" x14ac:dyDescent="0.25">
      <c r="A801" s="1">
        <v>2246</v>
      </c>
      <c r="B801" s="2" t="str">
        <f>HYPERLINK("https://leetcode.com/problems/longest-path-with-different-adjacent-characters/", "Longest Path With Different Adjacent Characters")</f>
        <v>Longest Path With Different Adjacent Characters</v>
      </c>
      <c r="C801" s="1">
        <v>2522</v>
      </c>
      <c r="D801" s="1">
        <v>61</v>
      </c>
      <c r="E801" s="3">
        <f t="shared" si="6"/>
        <v>0.97638404955478131</v>
      </c>
      <c r="F801" s="1" t="s">
        <v>420</v>
      </c>
      <c r="G801" s="1" t="s">
        <v>28</v>
      </c>
      <c r="H801" s="1">
        <v>90567</v>
      </c>
      <c r="I801" s="1">
        <v>167974</v>
      </c>
      <c r="J801" s="7">
        <v>0.53900000000000003</v>
      </c>
      <c r="K801" s="1" t="s">
        <v>21</v>
      </c>
      <c r="L801" s="1" t="s">
        <v>21</v>
      </c>
      <c r="M801" s="1" t="s">
        <v>29</v>
      </c>
      <c r="N801" s="1" t="s">
        <v>22</v>
      </c>
      <c r="O801" s="1" t="str">
        <f t="shared" ca="1" si="7"/>
        <v>Please solve the LeetCode problem '2246. Longest Path With Different Adjacent Characters'.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02" spans="1:15" x14ac:dyDescent="0.25">
      <c r="A802" s="1">
        <v>1903</v>
      </c>
      <c r="B802" s="2" t="str">
        <f>HYPERLINK("https://leetcode.com/problems/largest-odd-number-in-string/", "Largest Odd Number in String")</f>
        <v>Largest Odd Number in String</v>
      </c>
      <c r="C802" s="1">
        <v>2521</v>
      </c>
      <c r="D802" s="1">
        <v>146</v>
      </c>
      <c r="E802" s="3">
        <f t="shared" si="6"/>
        <v>0.94525684289463818</v>
      </c>
      <c r="F802" s="1" t="s">
        <v>418</v>
      </c>
      <c r="G802" s="1" t="s">
        <v>20</v>
      </c>
      <c r="H802" s="1">
        <v>522178</v>
      </c>
      <c r="I802" s="1">
        <v>782853</v>
      </c>
      <c r="J802" s="7">
        <v>0.66700000000000004</v>
      </c>
      <c r="K802" s="1" t="s">
        <v>21</v>
      </c>
      <c r="L802" s="1" t="s">
        <v>21</v>
      </c>
      <c r="M802" s="1" t="s">
        <v>29</v>
      </c>
      <c r="N802" s="1" t="s">
        <v>22</v>
      </c>
      <c r="O802" s="1" t="str">
        <f t="shared" ca="1" si="7"/>
        <v>Please solve the LeetCode problem '1903. Largest Odd Number in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03" spans="1:15" x14ac:dyDescent="0.25">
      <c r="A803" s="1">
        <v>2448</v>
      </c>
      <c r="B803" s="2" t="str">
        <f>HYPERLINK("https://leetcode.com/problems/minimum-cost-to-make-array-equal/", "Minimum Cost to Make Array Equal")</f>
        <v>Minimum Cost to Make Array Equal</v>
      </c>
      <c r="C803" s="1">
        <v>2513</v>
      </c>
      <c r="D803" s="1">
        <v>36</v>
      </c>
      <c r="E803" s="3">
        <f t="shared" si="6"/>
        <v>0.98587681443703412</v>
      </c>
      <c r="F803" s="1" t="s">
        <v>422</v>
      </c>
      <c r="G803" s="1" t="s">
        <v>28</v>
      </c>
      <c r="H803" s="1">
        <v>76502</v>
      </c>
      <c r="I803" s="1">
        <v>163974</v>
      </c>
      <c r="J803" s="7">
        <v>0.46700000000000003</v>
      </c>
      <c r="K803" s="1" t="s">
        <v>21</v>
      </c>
      <c r="L803" s="1" t="s">
        <v>21</v>
      </c>
      <c r="M803" s="1" t="s">
        <v>29</v>
      </c>
      <c r="N803" s="1" t="s">
        <v>22</v>
      </c>
      <c r="O803" s="1" t="str">
        <f t="shared" ca="1" si="7"/>
        <v>Please solve the LeetCode problem '2448. Minimum Cost to Make Array Equal'.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04" spans="1:15" x14ac:dyDescent="0.25">
      <c r="A804" s="1">
        <v>1200</v>
      </c>
      <c r="B804" s="2" t="str">
        <f>HYPERLINK("https://leetcode.com/problems/minimum-absolute-difference/", "Minimum Absolute Difference")</f>
        <v>Minimum Absolute Difference</v>
      </c>
      <c r="C804" s="1">
        <v>2510</v>
      </c>
      <c r="D804" s="1">
        <v>82</v>
      </c>
      <c r="E804" s="3">
        <f t="shared" si="6"/>
        <v>0.96836419753086422</v>
      </c>
      <c r="F804" s="1" t="s">
        <v>42</v>
      </c>
      <c r="G804" s="1" t="s">
        <v>20</v>
      </c>
      <c r="H804" s="1">
        <v>276677</v>
      </c>
      <c r="I804" s="1">
        <v>388631</v>
      </c>
      <c r="J804" s="7">
        <v>0.71199999999999997</v>
      </c>
      <c r="K804" s="1" t="s">
        <v>21</v>
      </c>
      <c r="L804" s="1" t="s">
        <v>21</v>
      </c>
      <c r="M804" s="1" t="s">
        <v>29</v>
      </c>
      <c r="N804" s="1" t="s">
        <v>22</v>
      </c>
      <c r="O804" s="1" t="str">
        <f t="shared" ca="1" si="7"/>
        <v>Please solve the LeetCode problem '1200. Minimum Absolute Difference'.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05" spans="1:15" x14ac:dyDescent="0.25">
      <c r="A805" s="1">
        <v>1531</v>
      </c>
      <c r="B805" s="2" t="str">
        <f>HYPERLINK("https://leetcode.com/problems/string-compression-ii/", "String Compression II")</f>
        <v>String Compression II</v>
      </c>
      <c r="C805" s="1">
        <v>2507</v>
      </c>
      <c r="D805" s="1">
        <v>220</v>
      </c>
      <c r="E805" s="3">
        <f t="shared" si="6"/>
        <v>0.91932526585991936</v>
      </c>
      <c r="F805" s="1" t="s">
        <v>82</v>
      </c>
      <c r="G805" s="1" t="s">
        <v>28</v>
      </c>
      <c r="H805" s="1">
        <v>105163</v>
      </c>
      <c r="I805" s="1">
        <v>201559</v>
      </c>
      <c r="J805" s="7">
        <v>0.52200000000000002</v>
      </c>
      <c r="K805" s="1" t="s">
        <v>21</v>
      </c>
      <c r="L805" s="1" t="s">
        <v>21</v>
      </c>
      <c r="M805" s="1" t="s">
        <v>29</v>
      </c>
      <c r="N805" s="1" t="s">
        <v>22</v>
      </c>
      <c r="O805" s="1" t="str">
        <f t="shared" ca="1" si="7"/>
        <v>Please solve the LeetCode problem '1531. String Compression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06" spans="1:15" x14ac:dyDescent="0.25">
      <c r="A806" s="1">
        <v>685</v>
      </c>
      <c r="B806" s="2" t="str">
        <f>HYPERLINK("https://leetcode.com/problems/redundant-connection-ii/", "Redundant Connection II")</f>
        <v>Redundant Connection II</v>
      </c>
      <c r="C806" s="1">
        <v>2504</v>
      </c>
      <c r="D806" s="1">
        <v>329</v>
      </c>
      <c r="E806" s="3">
        <f t="shared" si="6"/>
        <v>0.88386869043416871</v>
      </c>
      <c r="F806" s="1" t="s">
        <v>122</v>
      </c>
      <c r="G806" s="1" t="s">
        <v>28</v>
      </c>
      <c r="H806" s="1">
        <v>88724</v>
      </c>
      <c r="I806" s="1">
        <v>247726</v>
      </c>
      <c r="J806" s="7">
        <v>0.35799999999999998</v>
      </c>
      <c r="K806" s="1" t="s">
        <v>21</v>
      </c>
      <c r="L806" s="1" t="s">
        <v>21</v>
      </c>
      <c r="M806" s="1" t="s">
        <v>29</v>
      </c>
      <c r="N806" s="1" t="s">
        <v>22</v>
      </c>
      <c r="O806" s="1" t="str">
        <f t="shared" ca="1" si="7"/>
        <v>Please solve the LeetCode problem '685. Redundant Connection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07" spans="1:15" x14ac:dyDescent="0.25">
      <c r="A807" s="1">
        <v>1346</v>
      </c>
      <c r="B807" s="2" t="str">
        <f>HYPERLINK("https://leetcode.com/problems/check-if-n-and-its-double-exist/", "Check If N and Its Double Exist")</f>
        <v>Check If N and Its Double Exist</v>
      </c>
      <c r="C807" s="1">
        <v>2500</v>
      </c>
      <c r="D807" s="1">
        <v>255</v>
      </c>
      <c r="E807" s="3">
        <f t="shared" si="6"/>
        <v>0.90744101633393826</v>
      </c>
      <c r="F807" s="1" t="s">
        <v>167</v>
      </c>
      <c r="G807" s="1" t="s">
        <v>20</v>
      </c>
      <c r="H807" s="1">
        <v>610506</v>
      </c>
      <c r="I807" s="1">
        <v>1469112</v>
      </c>
      <c r="J807" s="7">
        <v>0.41599999999999998</v>
      </c>
      <c r="K807" s="1" t="s">
        <v>21</v>
      </c>
      <c r="L807" s="1" t="s">
        <v>21</v>
      </c>
      <c r="M807" s="1" t="s">
        <v>29</v>
      </c>
      <c r="N807" s="1" t="s">
        <v>22</v>
      </c>
      <c r="O807" s="1" t="str">
        <f t="shared" ca="1" si="7"/>
        <v>Please solve the LeetCode problem '1346. Check If N and Its Double Exist'.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08" spans="1:15" x14ac:dyDescent="0.25">
      <c r="A808" s="1">
        <v>89</v>
      </c>
      <c r="B808" s="2" t="str">
        <f>HYPERLINK("https://leetcode.com/problems/gray-code/", "Gray Code")</f>
        <v>Gray Code</v>
      </c>
      <c r="C808" s="1">
        <v>2497</v>
      </c>
      <c r="D808" s="1">
        <v>2829</v>
      </c>
      <c r="E808" s="3">
        <f t="shared" si="6"/>
        <v>0.46883214419827263</v>
      </c>
      <c r="F808" s="1" t="s">
        <v>421</v>
      </c>
      <c r="G808" s="1" t="s">
        <v>24</v>
      </c>
      <c r="H808" s="1">
        <v>397710</v>
      </c>
      <c r="I808" s="1">
        <v>623779</v>
      </c>
      <c r="J808" s="7">
        <v>0.63800000000000001</v>
      </c>
      <c r="K808" s="1" t="s">
        <v>21</v>
      </c>
      <c r="L808" s="1" t="s">
        <v>21</v>
      </c>
      <c r="M808" s="1" t="s">
        <v>29</v>
      </c>
      <c r="N808" s="1" t="s">
        <v>22</v>
      </c>
      <c r="O808" s="1" t="str">
        <f t="shared" ca="1" si="7"/>
        <v>Please solve the LeetCode problem '89. Gray Code'.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09" spans="1:15" x14ac:dyDescent="0.25">
      <c r="A809" s="1">
        <v>1530</v>
      </c>
      <c r="B809" s="2" t="str">
        <f>HYPERLINK("https://leetcode.com/problems/number-of-good-leaf-nodes-pairs/", "Number of Good Leaf Nodes Pairs")</f>
        <v>Number of Good Leaf Nodes Pairs</v>
      </c>
      <c r="C809" s="1">
        <v>2495</v>
      </c>
      <c r="D809" s="1">
        <v>110</v>
      </c>
      <c r="E809" s="3">
        <f t="shared" si="6"/>
        <v>0.95777351247600773</v>
      </c>
      <c r="F809" s="1" t="s">
        <v>67</v>
      </c>
      <c r="G809" s="1" t="s">
        <v>24</v>
      </c>
      <c r="H809" s="1">
        <v>160032</v>
      </c>
      <c r="I809" s="1">
        <v>222962</v>
      </c>
      <c r="J809" s="7">
        <v>0.71799999999999997</v>
      </c>
      <c r="K809" s="1" t="s">
        <v>21</v>
      </c>
      <c r="L809" s="1" t="s">
        <v>21</v>
      </c>
      <c r="M809" s="1" t="s">
        <v>29</v>
      </c>
      <c r="N809" s="1" t="s">
        <v>22</v>
      </c>
      <c r="O809" s="1" t="str">
        <f t="shared" ca="1" si="7"/>
        <v>Please solve the LeetCode problem '1530. Number of Good Leaf Nodes Pairs'.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10" spans="1:15" x14ac:dyDescent="0.25">
      <c r="A810" s="1">
        <v>1689</v>
      </c>
      <c r="B810" s="2" t="str">
        <f>HYPERLINK("https://leetcode.com/problems/partitioning-into-minimum-number-of-deci-binary-numbers/", "Partitioning Into Minimum Number Of Deci-Binary Numbers")</f>
        <v>Partitioning Into Minimum Number Of Deci-Binary Numbers</v>
      </c>
      <c r="C810" s="1">
        <v>2495</v>
      </c>
      <c r="D810" s="1">
        <v>1512</v>
      </c>
      <c r="E810" s="3">
        <f t="shared" si="6"/>
        <v>0.62266034439730467</v>
      </c>
      <c r="F810" s="1" t="s">
        <v>424</v>
      </c>
      <c r="G810" s="1" t="s">
        <v>24</v>
      </c>
      <c r="H810" s="1">
        <v>252659</v>
      </c>
      <c r="I810" s="1">
        <v>284717</v>
      </c>
      <c r="J810" s="7">
        <v>0.88700000000000001</v>
      </c>
      <c r="K810" s="1" t="s">
        <v>21</v>
      </c>
      <c r="L810" s="1" t="s">
        <v>21</v>
      </c>
      <c r="M810" s="1" t="s">
        <v>29</v>
      </c>
      <c r="N810" s="1" t="s">
        <v>22</v>
      </c>
      <c r="O810" s="1" t="str">
        <f t="shared" ca="1" si="7"/>
        <v>Please solve the LeetCode problem '1689. Partitioning Into Minimum Number Of Deci-Binary Numbers'.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11" spans="1:15" x14ac:dyDescent="0.25">
      <c r="A811" s="1">
        <v>1314</v>
      </c>
      <c r="B811" s="2" t="str">
        <f>HYPERLINK("https://leetcode.com/problems/matrix-block-sum/", "Matrix Block Sum")</f>
        <v>Matrix Block Sum</v>
      </c>
      <c r="C811" s="1">
        <v>2491</v>
      </c>
      <c r="D811" s="1">
        <v>398</v>
      </c>
      <c r="E811" s="3">
        <f t="shared" si="6"/>
        <v>0.86223606784354445</v>
      </c>
      <c r="F811" s="1" t="s">
        <v>425</v>
      </c>
      <c r="G811" s="1" t="s">
        <v>24</v>
      </c>
      <c r="H811" s="1">
        <v>106362</v>
      </c>
      <c r="I811" s="1">
        <v>139486</v>
      </c>
      <c r="J811" s="7">
        <v>0.76300000000000001</v>
      </c>
      <c r="K811" s="1" t="s">
        <v>21</v>
      </c>
      <c r="L811" s="1" t="s">
        <v>29</v>
      </c>
      <c r="M811" s="1" t="s">
        <v>29</v>
      </c>
      <c r="N811" s="1" t="s">
        <v>22</v>
      </c>
      <c r="O811" s="1" t="str">
        <f t="shared" ca="1" si="7"/>
        <v>Please solve the LeetCode problem '1314. Matrix Block Sum'.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12" spans="1:15" x14ac:dyDescent="0.25">
      <c r="A812" s="1">
        <v>419</v>
      </c>
      <c r="B812" s="2" t="str">
        <f>HYPERLINK("https://leetcode.com/problems/battleships-in-a-board/", "Battleships in a Board")</f>
        <v>Battleships in a Board</v>
      </c>
      <c r="C812" s="1">
        <v>2487</v>
      </c>
      <c r="D812" s="1">
        <v>1024</v>
      </c>
      <c r="E812" s="3">
        <f t="shared" si="6"/>
        <v>0.70834520079749363</v>
      </c>
      <c r="F812" s="1" t="s">
        <v>423</v>
      </c>
      <c r="G812" s="1" t="s">
        <v>24</v>
      </c>
      <c r="H812" s="1">
        <v>270484</v>
      </c>
      <c r="I812" s="1">
        <v>350212</v>
      </c>
      <c r="J812" s="7">
        <v>0.77200000000000002</v>
      </c>
      <c r="K812" s="1" t="s">
        <v>21</v>
      </c>
      <c r="L812" s="1" t="s">
        <v>29</v>
      </c>
      <c r="M812" s="1" t="s">
        <v>29</v>
      </c>
      <c r="N812" s="1" t="s">
        <v>22</v>
      </c>
      <c r="O812" s="1" t="str">
        <f t="shared" ca="1" si="7"/>
        <v>Please solve the LeetCode problem '419. Battleships in a Board'.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13" spans="1:15" x14ac:dyDescent="0.25">
      <c r="A813" s="1">
        <v>837</v>
      </c>
      <c r="B813" s="2" t="str">
        <f>HYPERLINK("https://leetcode.com/problems/new-21-game/", "New 21 Game")</f>
        <v>New 21 Game</v>
      </c>
      <c r="C813" s="1">
        <v>2487</v>
      </c>
      <c r="D813" s="1">
        <v>2003</v>
      </c>
      <c r="E813" s="3">
        <f t="shared" si="6"/>
        <v>0.55389755011135855</v>
      </c>
      <c r="F813" s="1" t="s">
        <v>426</v>
      </c>
      <c r="G813" s="1" t="s">
        <v>24</v>
      </c>
      <c r="H813" s="1">
        <v>159347</v>
      </c>
      <c r="I813" s="1">
        <v>306384</v>
      </c>
      <c r="J813" s="7">
        <v>0.52</v>
      </c>
      <c r="K813" s="1" t="s">
        <v>21</v>
      </c>
      <c r="L813" s="1" t="s">
        <v>21</v>
      </c>
      <c r="M813" s="1" t="s">
        <v>29</v>
      </c>
      <c r="N813" s="1" t="s">
        <v>22</v>
      </c>
      <c r="O813" s="1" t="str">
        <f t="shared" ca="1" si="7"/>
        <v>Please solve the LeetCode problem '837. New 21 Game'.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14" spans="1:15" x14ac:dyDescent="0.25">
      <c r="A814" s="1">
        <v>1567</v>
      </c>
      <c r="B814" s="2" t="str">
        <f>HYPERLINK("https://leetcode.com/problems/maximum-length-of-subarray-with-positive-product/", "Maximum Length of Subarray With Positive Product")</f>
        <v>Maximum Length of Subarray With Positive Product</v>
      </c>
      <c r="C814" s="1">
        <v>2485</v>
      </c>
      <c r="D814" s="1">
        <v>78</v>
      </c>
      <c r="E814" s="3">
        <f t="shared" si="6"/>
        <v>0.96956691377292237</v>
      </c>
      <c r="F814" s="1" t="s">
        <v>50</v>
      </c>
      <c r="G814" s="1" t="s">
        <v>24</v>
      </c>
      <c r="H814" s="1">
        <v>109368</v>
      </c>
      <c r="I814" s="1">
        <v>245273</v>
      </c>
      <c r="J814" s="7">
        <v>0.44600000000000001</v>
      </c>
      <c r="K814" s="1" t="s">
        <v>21</v>
      </c>
      <c r="L814" s="1" t="s">
        <v>29</v>
      </c>
      <c r="M814" s="1" t="s">
        <v>29</v>
      </c>
      <c r="N814" s="1" t="s">
        <v>22</v>
      </c>
      <c r="O814" s="1" t="str">
        <f t="shared" ca="1" si="7"/>
        <v>Please solve the LeetCode problem '1567. Maximum Length of Subarray With Positive Product'.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15" spans="1:15" x14ac:dyDescent="0.25">
      <c r="A815" s="1">
        <v>327</v>
      </c>
      <c r="B815" s="2" t="str">
        <f>HYPERLINK("https://leetcode.com/problems/count-of-range-sum/", "Count of Range Sum")</f>
        <v>Count of Range Sum</v>
      </c>
      <c r="C815" s="1">
        <v>2483</v>
      </c>
      <c r="D815" s="1">
        <v>262</v>
      </c>
      <c r="E815" s="3">
        <f t="shared" si="6"/>
        <v>0.90455373406193074</v>
      </c>
      <c r="F815" s="1" t="s">
        <v>147</v>
      </c>
      <c r="G815" s="1" t="s">
        <v>28</v>
      </c>
      <c r="H815" s="1">
        <v>99679</v>
      </c>
      <c r="I815" s="1">
        <v>261484</v>
      </c>
      <c r="J815" s="7">
        <v>0.38100000000000001</v>
      </c>
      <c r="K815" s="1" t="s">
        <v>21</v>
      </c>
      <c r="L815" s="1" t="s">
        <v>29</v>
      </c>
      <c r="M815" s="1" t="s">
        <v>29</v>
      </c>
      <c r="N815" s="1" t="s">
        <v>22</v>
      </c>
      <c r="O815" s="1" t="str">
        <f t="shared" ca="1" si="7"/>
        <v>Please solve the LeetCode problem '327. Count of Range Sum'.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16" spans="1:15" x14ac:dyDescent="0.25">
      <c r="A816" s="1">
        <v>2181</v>
      </c>
      <c r="B816" s="2" t="str">
        <f>HYPERLINK("https://leetcode.com/problems/merge-nodes-in-between-zeros/", "Merge Nodes in Between Zeros")</f>
        <v>Merge Nodes in Between Zeros</v>
      </c>
      <c r="C816" s="1">
        <v>2481</v>
      </c>
      <c r="D816" s="1">
        <v>52</v>
      </c>
      <c r="E816" s="3">
        <f t="shared" si="6"/>
        <v>0.97947098302408209</v>
      </c>
      <c r="F816" s="1" t="s">
        <v>427</v>
      </c>
      <c r="G816" s="1" t="s">
        <v>24</v>
      </c>
      <c r="H816" s="1">
        <v>335197</v>
      </c>
      <c r="I816" s="1">
        <v>373863</v>
      </c>
      <c r="J816" s="7">
        <v>0.89700000000000002</v>
      </c>
      <c r="K816" s="1" t="s">
        <v>21</v>
      </c>
      <c r="L816" s="1" t="s">
        <v>21</v>
      </c>
      <c r="M816" s="1" t="s">
        <v>29</v>
      </c>
      <c r="N816" s="1" t="s">
        <v>22</v>
      </c>
      <c r="O816" s="1" t="str">
        <f t="shared" ca="1" si="7"/>
        <v>Please solve the LeetCode problem '2181. Merge Nodes in Between Zeros'.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17" spans="1:15" x14ac:dyDescent="0.25">
      <c r="A817" s="1">
        <v>1304</v>
      </c>
      <c r="B817" s="2" t="str">
        <f>HYPERLINK("https://leetcode.com/problems/find-n-unique-integers-sum-up-to-zero/", "Find N Unique Integers Sum up to Zero")</f>
        <v>Find N Unique Integers Sum up to Zero</v>
      </c>
      <c r="C817" s="1">
        <v>2469</v>
      </c>
      <c r="D817" s="1">
        <v>620</v>
      </c>
      <c r="E817" s="3">
        <f t="shared" si="6"/>
        <v>0.79928779540304307</v>
      </c>
      <c r="F817" s="1" t="s">
        <v>115</v>
      </c>
      <c r="G817" s="1" t="s">
        <v>20</v>
      </c>
      <c r="H817" s="1">
        <v>389363</v>
      </c>
      <c r="I817" s="1">
        <v>496132</v>
      </c>
      <c r="J817" s="7">
        <v>0.78500000000000003</v>
      </c>
      <c r="K817" s="1" t="s">
        <v>21</v>
      </c>
      <c r="L817" s="1" t="s">
        <v>21</v>
      </c>
      <c r="M817" s="1" t="s">
        <v>29</v>
      </c>
      <c r="N817" s="1" t="s">
        <v>22</v>
      </c>
      <c r="O817" s="1" t="str">
        <f t="shared" ca="1" si="7"/>
        <v>Please solve the LeetCode problem '1304. Find N Unique Integers Sum up to Zero'.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18" spans="1:15" x14ac:dyDescent="0.25">
      <c r="A818" s="1">
        <v>765</v>
      </c>
      <c r="B818" s="2" t="str">
        <f>HYPERLINK("https://leetcode.com/problems/couples-holding-hands/", "Couples Holding Hands")</f>
        <v>Couples Holding Hands</v>
      </c>
      <c r="C818" s="1">
        <v>2468</v>
      </c>
      <c r="D818" s="1">
        <v>129</v>
      </c>
      <c r="E818" s="3">
        <f t="shared" si="6"/>
        <v>0.95032730073161342</v>
      </c>
      <c r="F818" s="1" t="s">
        <v>430</v>
      </c>
      <c r="G818" s="1" t="s">
        <v>28</v>
      </c>
      <c r="H818" s="1">
        <v>80511</v>
      </c>
      <c r="I818" s="1">
        <v>136300</v>
      </c>
      <c r="J818" s="7">
        <v>0.59099999999999997</v>
      </c>
      <c r="K818" s="1" t="s">
        <v>21</v>
      </c>
      <c r="L818" s="1" t="s">
        <v>21</v>
      </c>
      <c r="M818" s="1" t="s">
        <v>29</v>
      </c>
      <c r="N818" s="1" t="s">
        <v>22</v>
      </c>
      <c r="O818" s="1" t="str">
        <f t="shared" ca="1" si="7"/>
        <v>Please solve the LeetCode problem '765. Couples Holding Hands'.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19" spans="1:15" x14ac:dyDescent="0.25">
      <c r="A819" s="1">
        <v>864</v>
      </c>
      <c r="B819" s="2" t="str">
        <f>HYPERLINK("https://leetcode.com/problems/shortest-path-to-get-all-keys/", "Shortest Path to Get All Keys")</f>
        <v>Shortest Path to Get All Keys</v>
      </c>
      <c r="C819" s="1">
        <v>2468</v>
      </c>
      <c r="D819" s="1">
        <v>107</v>
      </c>
      <c r="E819" s="3">
        <f t="shared" si="6"/>
        <v>0.95844660194174758</v>
      </c>
      <c r="F819" s="1" t="s">
        <v>431</v>
      </c>
      <c r="G819" s="1" t="s">
        <v>28</v>
      </c>
      <c r="H819" s="1">
        <v>91926</v>
      </c>
      <c r="I819" s="1">
        <v>169413</v>
      </c>
      <c r="J819" s="7">
        <v>0.54300000000000004</v>
      </c>
      <c r="K819" s="1" t="s">
        <v>21</v>
      </c>
      <c r="L819" s="1" t="s">
        <v>21</v>
      </c>
      <c r="M819" s="1" t="s">
        <v>29</v>
      </c>
      <c r="N819" s="1" t="s">
        <v>22</v>
      </c>
      <c r="O819" s="1" t="str">
        <f t="shared" ca="1" si="7"/>
        <v>Please solve the LeetCode problem '864. Shortest Path to Get All Keys'.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20" spans="1:15" x14ac:dyDescent="0.25">
      <c r="A820" s="1">
        <v>861</v>
      </c>
      <c r="B820" s="2" t="str">
        <f>HYPERLINK("https://leetcode.com/problems/score-after-flipping-matrix/", "Score After Flipping Matrix")</f>
        <v>Score After Flipping Matrix</v>
      </c>
      <c r="C820" s="1">
        <v>2467</v>
      </c>
      <c r="D820" s="1">
        <v>225</v>
      </c>
      <c r="E820" s="3">
        <f t="shared" si="6"/>
        <v>0.91641901931649328</v>
      </c>
      <c r="F820" s="1" t="s">
        <v>429</v>
      </c>
      <c r="G820" s="1" t="s">
        <v>24</v>
      </c>
      <c r="H820" s="1">
        <v>164656</v>
      </c>
      <c r="I820" s="1">
        <v>205098</v>
      </c>
      <c r="J820" s="7">
        <v>0.80300000000000005</v>
      </c>
      <c r="K820" s="1" t="s">
        <v>21</v>
      </c>
      <c r="L820" s="1" t="s">
        <v>21</v>
      </c>
      <c r="M820" s="1" t="s">
        <v>29</v>
      </c>
      <c r="N820" s="1" t="s">
        <v>22</v>
      </c>
      <c r="O820" s="1" t="str">
        <f t="shared" ca="1" si="7"/>
        <v>Please solve the LeetCode problem '861. Score After Flipping Matrix'.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21" spans="1:15" x14ac:dyDescent="0.25">
      <c r="A821" s="1">
        <v>2352</v>
      </c>
      <c r="B821" s="2" t="str">
        <f>HYPERLINK("https://leetcode.com/problems/equal-row-and-column-pairs/", "Equal Row and Column Pairs")</f>
        <v>Equal Row and Column Pairs</v>
      </c>
      <c r="C821" s="1">
        <v>2467</v>
      </c>
      <c r="D821" s="1">
        <v>190</v>
      </c>
      <c r="E821" s="3">
        <f t="shared" si="6"/>
        <v>0.92849077907414379</v>
      </c>
      <c r="F821" s="1" t="s">
        <v>428</v>
      </c>
      <c r="G821" s="1" t="s">
        <v>24</v>
      </c>
      <c r="H821" s="1">
        <v>385457</v>
      </c>
      <c r="I821" s="1">
        <v>544943</v>
      </c>
      <c r="J821" s="7">
        <v>0.70699999999999996</v>
      </c>
      <c r="K821" s="1" t="s">
        <v>21</v>
      </c>
      <c r="L821" s="1" t="s">
        <v>21</v>
      </c>
      <c r="M821" s="1" t="s">
        <v>29</v>
      </c>
      <c r="N821" s="1" t="s">
        <v>22</v>
      </c>
      <c r="O821" s="1" t="str">
        <f t="shared" ca="1" si="7"/>
        <v>Please solve the LeetCode problem '2352. Equal Row and Column Pairs'.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22" spans="1:15" x14ac:dyDescent="0.25">
      <c r="A822" s="1">
        <v>920</v>
      </c>
      <c r="B822" s="2" t="str">
        <f>HYPERLINK("https://leetcode.com/problems/number-of-music-playlists/", "Number of Music Playlists")</f>
        <v>Number of Music Playlists</v>
      </c>
      <c r="C822" s="1">
        <v>2457</v>
      </c>
      <c r="D822" s="1">
        <v>205</v>
      </c>
      <c r="E822" s="3">
        <f t="shared" si="6"/>
        <v>0.9229902329075883</v>
      </c>
      <c r="F822" s="1" t="s">
        <v>70</v>
      </c>
      <c r="G822" s="1" t="s">
        <v>28</v>
      </c>
      <c r="H822" s="1">
        <v>78046</v>
      </c>
      <c r="I822" s="1">
        <v>130068</v>
      </c>
      <c r="J822" s="7">
        <v>0.6</v>
      </c>
      <c r="K822" s="1" t="s">
        <v>21</v>
      </c>
      <c r="L822" s="1" t="s">
        <v>21</v>
      </c>
      <c r="M822" s="1" t="s">
        <v>29</v>
      </c>
      <c r="N822" s="1" t="s">
        <v>22</v>
      </c>
      <c r="O822" s="1" t="str">
        <f t="shared" ca="1" si="7"/>
        <v>Please solve the LeetCode problem '920. Number of Music Playlists'.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23" spans="1:15" x14ac:dyDescent="0.25">
      <c r="A823" s="1">
        <v>674</v>
      </c>
      <c r="B823" s="2" t="str">
        <f>HYPERLINK("https://leetcode.com/problems/longest-continuous-increasing-subsequence/", "Longest Continuous Increasing Subsequence")</f>
        <v>Longest Continuous Increasing Subsequence</v>
      </c>
      <c r="C823" s="1">
        <v>2453</v>
      </c>
      <c r="D823" s="1">
        <v>195</v>
      </c>
      <c r="E823" s="3">
        <f t="shared" si="6"/>
        <v>0.92635951661631422</v>
      </c>
      <c r="F823" s="1" t="s">
        <v>113</v>
      </c>
      <c r="G823" s="1" t="s">
        <v>20</v>
      </c>
      <c r="H823" s="1">
        <v>337377</v>
      </c>
      <c r="I823" s="1">
        <v>652256</v>
      </c>
      <c r="J823" s="7">
        <v>0.51700000000000002</v>
      </c>
      <c r="K823" s="1" t="s">
        <v>21</v>
      </c>
      <c r="L823" s="1" t="s">
        <v>21</v>
      </c>
      <c r="M823" s="1" t="s">
        <v>29</v>
      </c>
      <c r="N823" s="1" t="s">
        <v>22</v>
      </c>
      <c r="O823" s="1" t="str">
        <f t="shared" ca="1" si="7"/>
        <v>Please solve the LeetCode problem '674. Longest Continuous Increasing Subsequence'.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24" spans="1:15" x14ac:dyDescent="0.25">
      <c r="A824" s="1">
        <v>839</v>
      </c>
      <c r="B824" s="2" t="str">
        <f>HYPERLINK("https://leetcode.com/problems/similar-string-groups/", "Similar String Groups")</f>
        <v>Similar String Groups</v>
      </c>
      <c r="C824" s="1">
        <v>2453</v>
      </c>
      <c r="D824" s="1">
        <v>217</v>
      </c>
      <c r="E824" s="3">
        <f t="shared" si="6"/>
        <v>0.91872659176029958</v>
      </c>
      <c r="F824" s="1" t="s">
        <v>433</v>
      </c>
      <c r="G824" s="1" t="s">
        <v>28</v>
      </c>
      <c r="H824" s="1">
        <v>139294</v>
      </c>
      <c r="I824" s="1">
        <v>249097</v>
      </c>
      <c r="J824" s="7">
        <v>0.55900000000000005</v>
      </c>
      <c r="K824" s="1" t="s">
        <v>21</v>
      </c>
      <c r="L824" s="1" t="s">
        <v>21</v>
      </c>
      <c r="M824" s="1" t="s">
        <v>29</v>
      </c>
      <c r="N824" s="1" t="s">
        <v>22</v>
      </c>
      <c r="O824" s="1" t="str">
        <f t="shared" ca="1" si="7"/>
        <v>Please solve the LeetCode problem '839. Similar String Groups'.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25" spans="1:15" x14ac:dyDescent="0.25">
      <c r="A825" s="1">
        <v>956</v>
      </c>
      <c r="B825" s="2" t="str">
        <f>HYPERLINK("https://leetcode.com/problems/tallest-billboard/", "Tallest Billboard")</f>
        <v>Tallest Billboard</v>
      </c>
      <c r="C825" s="1">
        <v>2453</v>
      </c>
      <c r="D825" s="1">
        <v>61</v>
      </c>
      <c r="E825" s="3">
        <f t="shared" si="6"/>
        <v>0.97573587907716786</v>
      </c>
      <c r="F825" s="1" t="s">
        <v>30</v>
      </c>
      <c r="G825" s="1" t="s">
        <v>28</v>
      </c>
      <c r="H825" s="1">
        <v>68715</v>
      </c>
      <c r="I825" s="1">
        <v>132547</v>
      </c>
      <c r="J825" s="7">
        <v>0.51800000000000002</v>
      </c>
      <c r="K825" s="1" t="s">
        <v>21</v>
      </c>
      <c r="L825" s="1" t="s">
        <v>21</v>
      </c>
      <c r="M825" s="1" t="s">
        <v>29</v>
      </c>
      <c r="N825" s="1" t="s">
        <v>22</v>
      </c>
      <c r="O825" s="1" t="str">
        <f t="shared" ca="1" si="7"/>
        <v>Please solve the LeetCode problem '956. Tallest Billboard'.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26" spans="1:15" x14ac:dyDescent="0.25">
      <c r="A826" s="1">
        <v>1217</v>
      </c>
      <c r="B826" s="2" t="str">
        <f>HYPERLINK("https://leetcode.com/problems/minimum-cost-to-move-chips-to-the-same-position/", "Minimum Cost to Move Chips to The Same Position")</f>
        <v>Minimum Cost to Move Chips to The Same Position</v>
      </c>
      <c r="C826" s="1">
        <v>2450</v>
      </c>
      <c r="D826" s="1">
        <v>349</v>
      </c>
      <c r="E826" s="3">
        <f t="shared" si="6"/>
        <v>0.87531261164701679</v>
      </c>
      <c r="F826" s="1" t="s">
        <v>435</v>
      </c>
      <c r="G826" s="1" t="s">
        <v>20</v>
      </c>
      <c r="H826" s="1">
        <v>164792</v>
      </c>
      <c r="I826" s="1">
        <v>226691</v>
      </c>
      <c r="J826" s="7">
        <v>0.72699999999999998</v>
      </c>
      <c r="K826" s="1" t="s">
        <v>21</v>
      </c>
      <c r="L826" s="1" t="s">
        <v>21</v>
      </c>
      <c r="M826" s="1" t="s">
        <v>29</v>
      </c>
      <c r="N826" s="1" t="s">
        <v>22</v>
      </c>
      <c r="O826" s="1" t="str">
        <f t="shared" ca="1" si="7"/>
        <v>Please solve the LeetCode problem '1217. Minimum Cost to Move Chips to The Same Position'.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27" spans="1:15" x14ac:dyDescent="0.25">
      <c r="A827" s="1">
        <v>2402</v>
      </c>
      <c r="B827" s="2" t="str">
        <f>HYPERLINK("https://leetcode.com/problems/meeting-rooms-iii/", "Meeting Rooms III")</f>
        <v>Meeting Rooms III</v>
      </c>
      <c r="C827" s="1">
        <v>2448</v>
      </c>
      <c r="D827" s="1">
        <v>139</v>
      </c>
      <c r="E827" s="3">
        <f t="shared" si="6"/>
        <v>0.94626981059141868</v>
      </c>
      <c r="F827" s="1" t="s">
        <v>432</v>
      </c>
      <c r="G827" s="1" t="s">
        <v>28</v>
      </c>
      <c r="H827" s="1">
        <v>287496</v>
      </c>
      <c r="I827" s="1">
        <v>556026</v>
      </c>
      <c r="J827" s="7">
        <v>0.51700000000000002</v>
      </c>
      <c r="K827" s="1" t="s">
        <v>21</v>
      </c>
      <c r="L827" s="1" t="s">
        <v>21</v>
      </c>
      <c r="M827" s="1" t="s">
        <v>29</v>
      </c>
      <c r="N827" s="1" t="s">
        <v>22</v>
      </c>
      <c r="O827" s="1" t="str">
        <f t="shared" ca="1" si="7"/>
        <v>Please solve the LeetCode problem '2402. Meeting Rooms III'.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28" spans="1:15" x14ac:dyDescent="0.25">
      <c r="A828" s="1">
        <v>1574</v>
      </c>
      <c r="B828" s="2" t="str">
        <f>HYPERLINK("https://leetcode.com/problems/shortest-subarray-to-be-removed-to-make-array-sorted/", "Shortest Subarray to be Removed to Make Array Sorted")</f>
        <v>Shortest Subarray to be Removed to Make Array Sorted</v>
      </c>
      <c r="C828" s="1">
        <v>2445</v>
      </c>
      <c r="D828" s="1">
        <v>161</v>
      </c>
      <c r="E828" s="3">
        <f t="shared" si="6"/>
        <v>0.9382194934765925</v>
      </c>
      <c r="F828" s="1" t="s">
        <v>437</v>
      </c>
      <c r="G828" s="1" t="s">
        <v>24</v>
      </c>
      <c r="H828" s="1">
        <v>126009</v>
      </c>
      <c r="I828" s="1">
        <v>245627</v>
      </c>
      <c r="J828" s="7">
        <v>0.51300000000000001</v>
      </c>
      <c r="K828" s="1" t="s">
        <v>21</v>
      </c>
      <c r="L828" s="1" t="s">
        <v>21</v>
      </c>
      <c r="M828" s="1" t="s">
        <v>29</v>
      </c>
      <c r="N828" s="1" t="s">
        <v>22</v>
      </c>
      <c r="O828" s="1" t="str">
        <f t="shared" ca="1" si="7"/>
        <v>Please solve the LeetCode problem '1574. Shortest Subarray to be Removed to Make Array Sorted'.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29" spans="1:15" x14ac:dyDescent="0.25">
      <c r="A829" s="1">
        <v>546</v>
      </c>
      <c r="B829" s="2" t="str">
        <f>HYPERLINK("https://leetcode.com/problems/remove-boxes/", "Remove Boxes")</f>
        <v>Remove Boxes</v>
      </c>
      <c r="C829" s="1">
        <v>2444</v>
      </c>
      <c r="D829" s="1">
        <v>136</v>
      </c>
      <c r="E829" s="3">
        <f t="shared" si="6"/>
        <v>0.94728682170542633</v>
      </c>
      <c r="F829" s="1" t="s">
        <v>434</v>
      </c>
      <c r="G829" s="1" t="s">
        <v>28</v>
      </c>
      <c r="H829" s="1">
        <v>60008</v>
      </c>
      <c r="I829" s="1">
        <v>121971</v>
      </c>
      <c r="J829" s="7">
        <v>0.49199999999999999</v>
      </c>
      <c r="K829" s="1" t="s">
        <v>21</v>
      </c>
      <c r="L829" s="1" t="s">
        <v>21</v>
      </c>
      <c r="M829" s="1" t="s">
        <v>29</v>
      </c>
      <c r="N829" s="1" t="s">
        <v>22</v>
      </c>
      <c r="O829" s="1" t="str">
        <f t="shared" ca="1" si="7"/>
        <v>Please solve the LeetCode problem '546. Remove Boxes'.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30" spans="1:15" x14ac:dyDescent="0.25">
      <c r="A830" s="1">
        <v>331</v>
      </c>
      <c r="B830" s="2" t="str">
        <f>HYPERLINK("https://leetcode.com/problems/verify-preorder-serialization-of-a-binary-tree/", "Verify Preorder Serialization of a Binary Tree")</f>
        <v>Verify Preorder Serialization of a Binary Tree</v>
      </c>
      <c r="C830" s="1">
        <v>2442</v>
      </c>
      <c r="D830" s="1">
        <v>132</v>
      </c>
      <c r="E830" s="3">
        <f t="shared" si="6"/>
        <v>0.94871794871794868</v>
      </c>
      <c r="F830" s="1" t="s">
        <v>436</v>
      </c>
      <c r="G830" s="1" t="s">
        <v>24</v>
      </c>
      <c r="H830" s="1">
        <v>163949</v>
      </c>
      <c r="I830" s="1">
        <v>349356</v>
      </c>
      <c r="J830" s="7">
        <v>0.46899999999999997</v>
      </c>
      <c r="K830" s="1" t="s">
        <v>21</v>
      </c>
      <c r="L830" s="1" t="s">
        <v>21</v>
      </c>
      <c r="M830" s="1" t="s">
        <v>29</v>
      </c>
      <c r="N830" s="1" t="s">
        <v>22</v>
      </c>
      <c r="O830" s="1" t="str">
        <f t="shared" ca="1" si="7"/>
        <v>Please solve the LeetCode problem '331. Verify Preorder Serialization of a Binary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31" spans="1:15" x14ac:dyDescent="0.25">
      <c r="A831" s="1">
        <v>1615</v>
      </c>
      <c r="B831" s="2" t="str">
        <f>HYPERLINK("https://leetcode.com/problems/maximal-network-rank/", "Maximal Network Rank")</f>
        <v>Maximal Network Rank</v>
      </c>
      <c r="C831" s="1">
        <v>2440</v>
      </c>
      <c r="D831" s="1">
        <v>389</v>
      </c>
      <c r="E831" s="3">
        <f t="shared" si="6"/>
        <v>0.8624955814775539</v>
      </c>
      <c r="F831" s="1" t="s">
        <v>319</v>
      </c>
      <c r="G831" s="1" t="s">
        <v>24</v>
      </c>
      <c r="H831" s="1">
        <v>166684</v>
      </c>
      <c r="I831" s="1">
        <v>253256</v>
      </c>
      <c r="J831" s="7">
        <v>0.65800000000000003</v>
      </c>
      <c r="K831" s="1" t="s">
        <v>21</v>
      </c>
      <c r="L831" s="1" t="s">
        <v>21</v>
      </c>
      <c r="M831" s="1" t="s">
        <v>29</v>
      </c>
      <c r="N831" s="1" t="s">
        <v>22</v>
      </c>
      <c r="O831" s="1" t="str">
        <f t="shared" ca="1" si="7"/>
        <v>Please solve the LeetCode problem '1615. Maximal Network Rank'.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32" spans="1:15" x14ac:dyDescent="0.25">
      <c r="A832" s="1">
        <v>2483</v>
      </c>
      <c r="B832" s="2" t="str">
        <f>HYPERLINK("https://leetcode.com/problems/minimum-penalty-for-a-shop/", "Minimum Penalty for a Shop")</f>
        <v>Minimum Penalty for a Shop</v>
      </c>
      <c r="C832" s="1">
        <v>2438</v>
      </c>
      <c r="D832" s="1">
        <v>134</v>
      </c>
      <c r="E832" s="3">
        <f t="shared" si="6"/>
        <v>0.94790046656298599</v>
      </c>
      <c r="F832" s="1" t="s">
        <v>438</v>
      </c>
      <c r="G832" s="1" t="s">
        <v>24</v>
      </c>
      <c r="H832" s="1">
        <v>228201</v>
      </c>
      <c r="I832" s="1">
        <v>320507</v>
      </c>
      <c r="J832" s="7">
        <v>0.71199999999999997</v>
      </c>
      <c r="K832" s="1" t="s">
        <v>21</v>
      </c>
      <c r="L832" s="1" t="s">
        <v>21</v>
      </c>
      <c r="M832" s="1" t="s">
        <v>21</v>
      </c>
      <c r="N832" s="1" t="s">
        <v>22</v>
      </c>
      <c r="O832" s="1" t="str">
        <f t="shared" ca="1" si="7"/>
        <v>Please solve the LeetCode problem '2483. Minimum Penalty for a Shop'.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33" spans="1:15" x14ac:dyDescent="0.25">
      <c r="A833" s="1">
        <v>178</v>
      </c>
      <c r="B833" s="2" t="str">
        <f>HYPERLINK("https://leetcode.com/problems/rank-scores/", "Rank Scores")</f>
        <v>Rank Scores</v>
      </c>
      <c r="C833" s="1">
        <v>2437</v>
      </c>
      <c r="D833" s="1">
        <v>300</v>
      </c>
      <c r="E833" s="3">
        <f t="shared" si="6"/>
        <v>0.89039093898428934</v>
      </c>
      <c r="F833" s="1" t="s">
        <v>297</v>
      </c>
      <c r="G833" s="1" t="s">
        <v>24</v>
      </c>
      <c r="H833" s="1">
        <v>623000</v>
      </c>
      <c r="I833" s="1">
        <v>932123</v>
      </c>
      <c r="J833" s="7">
        <v>0.66800000000000004</v>
      </c>
      <c r="K833" s="1" t="s">
        <v>21</v>
      </c>
      <c r="L833" s="1" t="s">
        <v>21</v>
      </c>
      <c r="M833" s="1" t="s">
        <v>29</v>
      </c>
      <c r="N833" s="1" t="s">
        <v>297</v>
      </c>
      <c r="O833" s="1" t="str">
        <f t="shared" ca="1" si="7"/>
        <v>Please solve the LeetCode problem '178. Rank Scores'.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34" spans="1:15" x14ac:dyDescent="0.25">
      <c r="A834" s="1">
        <v>1870</v>
      </c>
      <c r="B834" s="2" t="str">
        <f>HYPERLINK("https://leetcode.com/problems/minimum-speed-to-arrive-on-time/", "Minimum Speed to Arrive on Time")</f>
        <v>Minimum Speed to Arrive on Time</v>
      </c>
      <c r="C834" s="1">
        <v>2437</v>
      </c>
      <c r="D834" s="1">
        <v>291</v>
      </c>
      <c r="E834" s="3">
        <f t="shared" si="6"/>
        <v>0.89332844574780057</v>
      </c>
      <c r="F834" s="1" t="s">
        <v>35</v>
      </c>
      <c r="G834" s="1" t="s">
        <v>24</v>
      </c>
      <c r="H834" s="1">
        <v>123041</v>
      </c>
      <c r="I834" s="1">
        <v>258355</v>
      </c>
      <c r="J834" s="7">
        <v>0.47599999999999998</v>
      </c>
      <c r="K834" s="1" t="s">
        <v>21</v>
      </c>
      <c r="L834" s="1" t="s">
        <v>21</v>
      </c>
      <c r="M834" s="1" t="s">
        <v>29</v>
      </c>
      <c r="N834" s="1" t="s">
        <v>22</v>
      </c>
      <c r="O834" s="1" t="str">
        <f t="shared" ca="1" si="7"/>
        <v>Please solve the LeetCode problem '1870. Minimum Speed to Arrive on Time'.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35" spans="1:15" x14ac:dyDescent="0.25">
      <c r="A835" s="1">
        <v>795</v>
      </c>
      <c r="B835" s="2" t="str">
        <f>HYPERLINK("https://leetcode.com/problems/number-of-subarrays-with-bounded-maximum/", "Number of Subarrays with Bounded Maximum")</f>
        <v>Number of Subarrays with Bounded Maximum</v>
      </c>
      <c r="C835" s="1">
        <v>2433</v>
      </c>
      <c r="D835" s="1">
        <v>134</v>
      </c>
      <c r="E835" s="3">
        <f t="shared" si="6"/>
        <v>0.94779898714452671</v>
      </c>
      <c r="F835" s="1" t="s">
        <v>51</v>
      </c>
      <c r="G835" s="1" t="s">
        <v>24</v>
      </c>
      <c r="H835" s="1">
        <v>87114</v>
      </c>
      <c r="I835" s="1">
        <v>159656</v>
      </c>
      <c r="J835" s="7">
        <v>0.54600000000000004</v>
      </c>
      <c r="K835" s="1" t="s">
        <v>21</v>
      </c>
      <c r="L835" s="1" t="s">
        <v>21</v>
      </c>
      <c r="M835" s="1" t="s">
        <v>29</v>
      </c>
      <c r="N835" s="1" t="s">
        <v>22</v>
      </c>
      <c r="O835" s="1" t="str">
        <f t="shared" ca="1" si="7"/>
        <v>Please solve the LeetCode problem '795. Number of Subarrays with Bounded Maximum'.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36" spans="1:15" x14ac:dyDescent="0.25">
      <c r="A836" s="1">
        <v>2218</v>
      </c>
      <c r="B836" s="2" t="str">
        <f>HYPERLINK("https://leetcode.com/problems/maximum-value-of-k-coins-from-piles/", "Maximum Value of K Coins From Piles")</f>
        <v>Maximum Value of K Coins From Piles</v>
      </c>
      <c r="C836" s="1">
        <v>2432</v>
      </c>
      <c r="D836" s="1">
        <v>38</v>
      </c>
      <c r="E836" s="3">
        <f t="shared" si="6"/>
        <v>0.98461538461538467</v>
      </c>
      <c r="F836" s="1" t="s">
        <v>407</v>
      </c>
      <c r="G836" s="1" t="s">
        <v>28</v>
      </c>
      <c r="H836" s="1">
        <v>80269</v>
      </c>
      <c r="I836" s="1">
        <v>132884</v>
      </c>
      <c r="J836" s="7">
        <v>0.60399999999999998</v>
      </c>
      <c r="K836" s="1" t="s">
        <v>21</v>
      </c>
      <c r="L836" s="1" t="s">
        <v>21</v>
      </c>
      <c r="M836" s="1" t="s">
        <v>29</v>
      </c>
      <c r="N836" s="1" t="s">
        <v>22</v>
      </c>
      <c r="O836" s="1" t="str">
        <f t="shared" ca="1" si="7"/>
        <v>Please solve the LeetCode problem '2218. Maximum Value of K Coins From Piles'.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37" spans="1:15" x14ac:dyDescent="0.25">
      <c r="A837" s="1">
        <v>2421</v>
      </c>
      <c r="B837" s="2" t="str">
        <f>HYPERLINK("https://leetcode.com/problems/number-of-good-paths/", "Number of Good Paths")</f>
        <v>Number of Good Paths</v>
      </c>
      <c r="C837" s="1">
        <v>2432</v>
      </c>
      <c r="D837" s="1">
        <v>113</v>
      </c>
      <c r="E837" s="3">
        <f t="shared" si="6"/>
        <v>0.95559921414538307</v>
      </c>
      <c r="F837" s="1" t="s">
        <v>439</v>
      </c>
      <c r="G837" s="1" t="s">
        <v>28</v>
      </c>
      <c r="H837" s="1">
        <v>63980</v>
      </c>
      <c r="I837" s="1">
        <v>113815</v>
      </c>
      <c r="J837" s="7">
        <v>0.56200000000000006</v>
      </c>
      <c r="K837" s="1" t="s">
        <v>21</v>
      </c>
      <c r="L837" s="1" t="s">
        <v>21</v>
      </c>
      <c r="M837" s="1" t="s">
        <v>29</v>
      </c>
      <c r="N837" s="1" t="s">
        <v>22</v>
      </c>
      <c r="O837" s="1" t="str">
        <f t="shared" ca="1" si="7"/>
        <v>Please solve the LeetCode problem '2421. Number of Good Paths'.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38" spans="1:15" x14ac:dyDescent="0.25">
      <c r="A838" s="1">
        <v>1328</v>
      </c>
      <c r="B838" s="2" t="str">
        <f>HYPERLINK("https://leetcode.com/problems/break-a-palindrome/", "Break a Palindrome")</f>
        <v>Break a Palindrome</v>
      </c>
      <c r="C838" s="1">
        <v>2428</v>
      </c>
      <c r="D838" s="1">
        <v>754</v>
      </c>
      <c r="E838" s="3">
        <f t="shared" si="6"/>
        <v>0.76304211187932114</v>
      </c>
      <c r="F838" s="1" t="s">
        <v>424</v>
      </c>
      <c r="G838" s="1" t="s">
        <v>24</v>
      </c>
      <c r="H838" s="1">
        <v>193292</v>
      </c>
      <c r="I838" s="1">
        <v>374547</v>
      </c>
      <c r="J838" s="7">
        <v>0.51600000000000001</v>
      </c>
      <c r="K838" s="1" t="s">
        <v>21</v>
      </c>
      <c r="L838" s="1" t="s">
        <v>21</v>
      </c>
      <c r="M838" s="1" t="s">
        <v>29</v>
      </c>
      <c r="N838" s="1" t="s">
        <v>22</v>
      </c>
      <c r="O838" s="1" t="str">
        <f t="shared" ca="1" si="7"/>
        <v>Please solve the LeetCode problem '1328. Break a Palindrome'.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39" spans="1:15" x14ac:dyDescent="0.25">
      <c r="A839" s="1">
        <v>2141</v>
      </c>
      <c r="B839" s="2" t="str">
        <f>HYPERLINK("https://leetcode.com/problems/maximum-running-time-of-n-computers/", "Maximum Running Time of N Computers")</f>
        <v>Maximum Running Time of N Computers</v>
      </c>
      <c r="C839" s="1">
        <v>2426</v>
      </c>
      <c r="D839" s="1">
        <v>71</v>
      </c>
      <c r="E839" s="3">
        <f t="shared" si="6"/>
        <v>0.9715658790548658</v>
      </c>
      <c r="F839" s="1" t="s">
        <v>440</v>
      </c>
      <c r="G839" s="1" t="s">
        <v>28</v>
      </c>
      <c r="H839" s="1">
        <v>137219</v>
      </c>
      <c r="I839" s="1">
        <v>243132</v>
      </c>
      <c r="J839" s="7">
        <v>0.56399999999999995</v>
      </c>
      <c r="K839" s="1" t="s">
        <v>21</v>
      </c>
      <c r="L839" s="1" t="s">
        <v>21</v>
      </c>
      <c r="M839" s="1" t="s">
        <v>29</v>
      </c>
      <c r="N839" s="1" t="s">
        <v>22</v>
      </c>
      <c r="O839" s="1" t="str">
        <f t="shared" ca="1" si="7"/>
        <v>Please solve the LeetCode problem '2141. Maximum Running Time of N Computers'.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40" spans="1:15" x14ac:dyDescent="0.25">
      <c r="A840" s="1">
        <v>330</v>
      </c>
      <c r="B840" s="2" t="str">
        <f>HYPERLINK("https://leetcode.com/problems/patching-array/", "Patching Array")</f>
        <v>Patching Array</v>
      </c>
      <c r="C840" s="1">
        <v>2422</v>
      </c>
      <c r="D840" s="1">
        <v>202</v>
      </c>
      <c r="E840" s="3">
        <f t="shared" si="6"/>
        <v>0.92301829268292679</v>
      </c>
      <c r="F840" s="1" t="s">
        <v>96</v>
      </c>
      <c r="G840" s="1" t="s">
        <v>28</v>
      </c>
      <c r="H840" s="1">
        <v>179234</v>
      </c>
      <c r="I840" s="1">
        <v>331964</v>
      </c>
      <c r="J840" s="7">
        <v>0.54</v>
      </c>
      <c r="K840" s="1" t="s">
        <v>21</v>
      </c>
      <c r="L840" s="1" t="s">
        <v>21</v>
      </c>
      <c r="M840" s="1" t="s">
        <v>29</v>
      </c>
      <c r="N840" s="1" t="s">
        <v>22</v>
      </c>
      <c r="O840" s="1" t="str">
        <f t="shared" ca="1" si="7"/>
        <v>Please solve the LeetCode problem '330. Patching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41" spans="1:15" x14ac:dyDescent="0.25">
      <c r="A841" s="1">
        <v>917</v>
      </c>
      <c r="B841" s="2" t="str">
        <f>HYPERLINK("https://leetcode.com/problems/reverse-only-letters/", "Reverse Only Letters")</f>
        <v>Reverse Only Letters</v>
      </c>
      <c r="C841" s="1">
        <v>2417</v>
      </c>
      <c r="D841" s="1">
        <v>85</v>
      </c>
      <c r="E841" s="3">
        <f t="shared" si="6"/>
        <v>0.96602717825739404</v>
      </c>
      <c r="F841" s="1" t="s">
        <v>117</v>
      </c>
      <c r="G841" s="1" t="s">
        <v>20</v>
      </c>
      <c r="H841" s="1">
        <v>310867</v>
      </c>
      <c r="I841" s="1">
        <v>457600</v>
      </c>
      <c r="J841" s="7">
        <v>0.67900000000000005</v>
      </c>
      <c r="K841" s="1" t="s">
        <v>21</v>
      </c>
      <c r="L841" s="1" t="s">
        <v>21</v>
      </c>
      <c r="M841" s="1" t="s">
        <v>29</v>
      </c>
      <c r="N841" s="1" t="s">
        <v>22</v>
      </c>
      <c r="O841" s="1" t="str">
        <f t="shared" ca="1" si="7"/>
        <v>Please solve the LeetCode problem '917. Reverse Only Letters'.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42" spans="1:15" x14ac:dyDescent="0.25">
      <c r="A842" s="1">
        <v>381</v>
      </c>
      <c r="B842" s="2" t="str">
        <f>HYPERLINK("https://leetcode.com/problems/insert-delete-getrandom-o1-duplicates-allowed/", "Insert Delete GetRandom O(1) - Duplicates allowed")</f>
        <v>Insert Delete GetRandom O(1) - Duplicates allowed</v>
      </c>
      <c r="C842" s="1">
        <v>2413</v>
      </c>
      <c r="D842" s="1">
        <v>159</v>
      </c>
      <c r="E842" s="3">
        <f t="shared" si="6"/>
        <v>0.93818040435458783</v>
      </c>
      <c r="F842" s="1" t="s">
        <v>136</v>
      </c>
      <c r="G842" s="1" t="s">
        <v>28</v>
      </c>
      <c r="H842" s="1">
        <v>181099</v>
      </c>
      <c r="I842" s="1">
        <v>498864</v>
      </c>
      <c r="J842" s="7">
        <v>0.36299999999999999</v>
      </c>
      <c r="K842" s="1" t="s">
        <v>21</v>
      </c>
      <c r="L842" s="1" t="s">
        <v>21</v>
      </c>
      <c r="M842" s="1" t="s">
        <v>29</v>
      </c>
      <c r="N842" s="1" t="s">
        <v>22</v>
      </c>
      <c r="O842" s="1" t="str">
        <f t="shared" ca="1" si="7"/>
        <v>Please solve the LeetCode problem '381. Insert Delete GetRandom O(1) - Duplicates allowed'.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43" spans="1:15" x14ac:dyDescent="0.25">
      <c r="A843" s="1">
        <v>1025</v>
      </c>
      <c r="B843" s="2" t="str">
        <f>HYPERLINK("https://leetcode.com/problems/divisor-game/", "Divisor Game")</f>
        <v>Divisor Game</v>
      </c>
      <c r="C843" s="1">
        <v>2409</v>
      </c>
      <c r="D843" s="1">
        <v>4204</v>
      </c>
      <c r="E843" s="3">
        <f t="shared" si="6"/>
        <v>0.36428247391501589</v>
      </c>
      <c r="F843" s="1" t="s">
        <v>441</v>
      </c>
      <c r="G843" s="1" t="s">
        <v>20</v>
      </c>
      <c r="H843" s="1">
        <v>364043</v>
      </c>
      <c r="I843" s="1">
        <v>510163</v>
      </c>
      <c r="J843" s="7">
        <v>0.71399999999999997</v>
      </c>
      <c r="K843" s="1" t="s">
        <v>21</v>
      </c>
      <c r="L843" s="1" t="s">
        <v>29</v>
      </c>
      <c r="M843" s="1" t="s">
        <v>29</v>
      </c>
      <c r="N843" s="1" t="s">
        <v>22</v>
      </c>
      <c r="O843" s="1" t="str">
        <f t="shared" ca="1" si="7"/>
        <v>Please solve the LeetCode problem '1025. Divisor Game'.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44" spans="1:15" x14ac:dyDescent="0.25">
      <c r="A844" s="1">
        <v>1262</v>
      </c>
      <c r="B844" s="2" t="str">
        <f>HYPERLINK("https://leetcode.com/problems/greatest-sum-divisible-by-three/", "Greatest Sum Divisible by Three")</f>
        <v>Greatest Sum Divisible by Three</v>
      </c>
      <c r="C844" s="1">
        <v>2403</v>
      </c>
      <c r="D844" s="1">
        <v>64</v>
      </c>
      <c r="E844" s="3">
        <f t="shared" si="6"/>
        <v>0.97405755978921771</v>
      </c>
      <c r="F844" s="1" t="s">
        <v>154</v>
      </c>
      <c r="G844" s="1" t="s">
        <v>24</v>
      </c>
      <c r="H844" s="1">
        <v>159523</v>
      </c>
      <c r="I844" s="1">
        <v>279447</v>
      </c>
      <c r="J844" s="7">
        <v>0.57099999999999995</v>
      </c>
      <c r="K844" s="1" t="s">
        <v>21</v>
      </c>
      <c r="L844" s="1" t="s">
        <v>21</v>
      </c>
      <c r="M844" s="1" t="s">
        <v>29</v>
      </c>
      <c r="N844" s="1" t="s">
        <v>22</v>
      </c>
      <c r="O844" s="1" t="str">
        <f t="shared" ca="1" si="7"/>
        <v>Please solve the LeetCode problem '1262. Greatest Sum Divisible by Three'.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45" spans="1:15" x14ac:dyDescent="0.25">
      <c r="A845" s="1">
        <v>988</v>
      </c>
      <c r="B845" s="2" t="str">
        <f>HYPERLINK("https://leetcode.com/problems/smallest-string-starting-from-leaf/", "Smallest String Starting From Leaf")</f>
        <v>Smallest String Starting From Leaf</v>
      </c>
      <c r="C845" s="1">
        <v>2400</v>
      </c>
      <c r="D845" s="1">
        <v>336</v>
      </c>
      <c r="E845" s="3">
        <f t="shared" si="6"/>
        <v>0.8771929824561403</v>
      </c>
      <c r="F845" s="1" t="s">
        <v>192</v>
      </c>
      <c r="G845" s="1" t="s">
        <v>24</v>
      </c>
      <c r="H845" s="1">
        <v>217394</v>
      </c>
      <c r="I845" s="1">
        <v>355954</v>
      </c>
      <c r="J845" s="7">
        <v>0.61099999999999999</v>
      </c>
      <c r="K845" s="1" t="s">
        <v>21</v>
      </c>
      <c r="L845" s="1" t="s">
        <v>21</v>
      </c>
      <c r="M845" s="1" t="s">
        <v>29</v>
      </c>
      <c r="N845" s="1" t="s">
        <v>22</v>
      </c>
      <c r="O845" s="1" t="str">
        <f t="shared" ca="1" si="7"/>
        <v>Please solve the LeetCode problem '988. Smallest String Starting From Leaf'.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46" spans="1:15" x14ac:dyDescent="0.25">
      <c r="A846" s="1">
        <v>182</v>
      </c>
      <c r="B846" s="2" t="str">
        <f>HYPERLINK("https://leetcode.com/problems/duplicate-emails/", "Duplicate Emails")</f>
        <v>Duplicate Emails</v>
      </c>
      <c r="C846" s="1">
        <v>2394</v>
      </c>
      <c r="D846" s="1">
        <v>84</v>
      </c>
      <c r="E846" s="3">
        <f t="shared" si="6"/>
        <v>0.96610169491525422</v>
      </c>
      <c r="F846" s="1" t="s">
        <v>297</v>
      </c>
      <c r="G846" s="1" t="s">
        <v>20</v>
      </c>
      <c r="H846" s="1">
        <v>1061740</v>
      </c>
      <c r="I846" s="1">
        <v>1449487</v>
      </c>
      <c r="J846" s="7">
        <v>0.73199999999999998</v>
      </c>
      <c r="K846" s="1" t="s">
        <v>21</v>
      </c>
      <c r="L846" s="1" t="s">
        <v>21</v>
      </c>
      <c r="M846" s="1" t="s">
        <v>29</v>
      </c>
      <c r="N846" s="1" t="s">
        <v>297</v>
      </c>
      <c r="O846" s="1" t="str">
        <f t="shared" ca="1" si="7"/>
        <v>Please solve the LeetCode problem '182. Duplicate Emails'.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47" spans="1:15" x14ac:dyDescent="0.25">
      <c r="A847" s="1">
        <v>1859</v>
      </c>
      <c r="B847" s="2" t="str">
        <f>HYPERLINK("https://leetcode.com/problems/sorting-the-sentence/", "Sorting the Sentence")</f>
        <v>Sorting the Sentence</v>
      </c>
      <c r="C847" s="1">
        <v>2376</v>
      </c>
      <c r="D847" s="1">
        <v>81</v>
      </c>
      <c r="E847" s="3">
        <f t="shared" si="6"/>
        <v>0.96703296703296704</v>
      </c>
      <c r="F847" s="1" t="s">
        <v>444</v>
      </c>
      <c r="G847" s="1" t="s">
        <v>20</v>
      </c>
      <c r="H847" s="1">
        <v>226793</v>
      </c>
      <c r="I847" s="1">
        <v>269970</v>
      </c>
      <c r="J847" s="7">
        <v>0.84</v>
      </c>
      <c r="K847" s="1" t="s">
        <v>21</v>
      </c>
      <c r="L847" s="1" t="s">
        <v>29</v>
      </c>
      <c r="M847" s="1" t="s">
        <v>29</v>
      </c>
      <c r="N847" s="1" t="s">
        <v>22</v>
      </c>
      <c r="O847" s="1" t="str">
        <f t="shared" ca="1" si="7"/>
        <v>Please solve the LeetCode problem '1859. Sorting the Sentence'.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48" spans="1:15" x14ac:dyDescent="0.25">
      <c r="A848" s="1">
        <v>2487</v>
      </c>
      <c r="B848" s="2" t="str">
        <f>HYPERLINK("https://leetcode.com/problems/remove-nodes-from-linked-list/", "Remove Nodes From Linked List")</f>
        <v>Remove Nodes From Linked List</v>
      </c>
      <c r="C848" s="1">
        <v>2375</v>
      </c>
      <c r="D848" s="1">
        <v>86</v>
      </c>
      <c r="E848" s="3">
        <f t="shared" si="6"/>
        <v>0.9650548557496953</v>
      </c>
      <c r="F848" s="1" t="s">
        <v>442</v>
      </c>
      <c r="G848" s="1" t="s">
        <v>24</v>
      </c>
      <c r="H848" s="1">
        <v>257869</v>
      </c>
      <c r="I848" s="1">
        <v>345044</v>
      </c>
      <c r="J848" s="7">
        <v>0.747</v>
      </c>
      <c r="K848" s="1" t="s">
        <v>21</v>
      </c>
      <c r="L848" s="1" t="s">
        <v>21</v>
      </c>
      <c r="M848" s="1" t="s">
        <v>29</v>
      </c>
      <c r="N848" s="1" t="s">
        <v>22</v>
      </c>
      <c r="O848" s="1" t="str">
        <f t="shared" ca="1" si="7"/>
        <v>Please solve the LeetCode problem '2487. Remove Nodes From Linked List'.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49" spans="1:15" x14ac:dyDescent="0.25">
      <c r="A849" s="1">
        <v>256</v>
      </c>
      <c r="B849" s="2" t="str">
        <f>HYPERLINK("https://leetcode.com/problems/paint-house/", "Paint House")</f>
        <v>Paint House</v>
      </c>
      <c r="C849" s="1">
        <v>2372</v>
      </c>
      <c r="D849" s="1">
        <v>134</v>
      </c>
      <c r="E849" s="3">
        <f t="shared" si="6"/>
        <v>0.94652833200319231</v>
      </c>
      <c r="F849" s="1" t="s">
        <v>30</v>
      </c>
      <c r="G849" s="1" t="s">
        <v>24</v>
      </c>
      <c r="H849" s="1">
        <v>241413</v>
      </c>
      <c r="I849" s="1">
        <v>376184</v>
      </c>
      <c r="J849" s="7">
        <v>0.64200000000000002</v>
      </c>
      <c r="K849" s="1" t="s">
        <v>29</v>
      </c>
      <c r="L849" s="1" t="s">
        <v>21</v>
      </c>
      <c r="M849" s="1" t="s">
        <v>29</v>
      </c>
      <c r="N849" s="1" t="s">
        <v>22</v>
      </c>
      <c r="O849" s="1" t="str">
        <f t="shared" ca="1" si="7"/>
        <v>Please solve the LeetCode problem '256. Paint House'.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50" spans="1:15" x14ac:dyDescent="0.25">
      <c r="A850" s="1">
        <v>1331</v>
      </c>
      <c r="B850" s="2" t="str">
        <f>HYPERLINK("https://leetcode.com/problems/rank-transform-of-an-array/", "Rank Transform of an Array")</f>
        <v>Rank Transform of an Array</v>
      </c>
      <c r="C850" s="1">
        <v>2366</v>
      </c>
      <c r="D850" s="1">
        <v>114</v>
      </c>
      <c r="E850" s="3">
        <f t="shared" si="6"/>
        <v>0.95403225806451608</v>
      </c>
      <c r="F850" s="1" t="s">
        <v>92</v>
      </c>
      <c r="G850" s="1" t="s">
        <v>20</v>
      </c>
      <c r="H850" s="1">
        <v>314404</v>
      </c>
      <c r="I850" s="1">
        <v>444229</v>
      </c>
      <c r="J850" s="7">
        <v>0.70799999999999996</v>
      </c>
      <c r="K850" s="1" t="s">
        <v>21</v>
      </c>
      <c r="L850" s="1" t="s">
        <v>21</v>
      </c>
      <c r="M850" s="1" t="s">
        <v>29</v>
      </c>
      <c r="N850" s="1" t="s">
        <v>22</v>
      </c>
      <c r="O850" s="1" t="str">
        <f t="shared" ca="1" si="7"/>
        <v>Please solve the LeetCode problem '1331. Rank Transform of an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51" spans="1:15" x14ac:dyDescent="0.25">
      <c r="A851" s="1">
        <v>1970</v>
      </c>
      <c r="B851" s="2" t="str">
        <f>HYPERLINK("https://leetcode.com/problems/last-day-where-you-can-still-cross/", "Last Day Where You Can Still Cross")</f>
        <v>Last Day Where You Can Still Cross</v>
      </c>
      <c r="C851" s="1">
        <v>2366</v>
      </c>
      <c r="D851" s="1">
        <v>47</v>
      </c>
      <c r="E851" s="3">
        <f t="shared" si="6"/>
        <v>0.98052217157065891</v>
      </c>
      <c r="F851" s="1" t="s">
        <v>445</v>
      </c>
      <c r="G851" s="1" t="s">
        <v>28</v>
      </c>
      <c r="H851" s="1">
        <v>127589</v>
      </c>
      <c r="I851" s="1">
        <v>185966</v>
      </c>
      <c r="J851" s="7">
        <v>0.68600000000000005</v>
      </c>
      <c r="K851" s="1" t="s">
        <v>21</v>
      </c>
      <c r="L851" s="1" t="s">
        <v>21</v>
      </c>
      <c r="M851" s="1" t="s">
        <v>29</v>
      </c>
      <c r="N851" s="1" t="s">
        <v>22</v>
      </c>
      <c r="O851" s="1" t="str">
        <f t="shared" ca="1" si="7"/>
        <v>Please solve the LeetCode problem '1970. Last Day Where You Can Still Cross'.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52" spans="1:15" x14ac:dyDescent="0.25">
      <c r="A852" s="1">
        <v>508</v>
      </c>
      <c r="B852" s="2" t="str">
        <f>HYPERLINK("https://leetcode.com/problems/most-frequent-subtree-sum/", "Most Frequent Subtree Sum")</f>
        <v>Most Frequent Subtree Sum</v>
      </c>
      <c r="C852" s="1">
        <v>2364</v>
      </c>
      <c r="D852" s="1">
        <v>332</v>
      </c>
      <c r="E852" s="3">
        <f t="shared" si="6"/>
        <v>0.87685459940652821</v>
      </c>
      <c r="F852" s="1" t="s">
        <v>224</v>
      </c>
      <c r="G852" s="1" t="s">
        <v>24</v>
      </c>
      <c r="H852" s="1">
        <v>171392</v>
      </c>
      <c r="I852" s="1">
        <v>249132</v>
      </c>
      <c r="J852" s="7">
        <v>0.68799999999999994</v>
      </c>
      <c r="K852" s="1" t="s">
        <v>21</v>
      </c>
      <c r="L852" s="1" t="s">
        <v>21</v>
      </c>
      <c r="M852" s="1" t="s">
        <v>29</v>
      </c>
      <c r="N852" s="1" t="s">
        <v>22</v>
      </c>
      <c r="O852" s="1" t="str">
        <f t="shared" ca="1" si="7"/>
        <v>Please solve the LeetCode problem '508. Most Frequent Subtree Sum'.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53" spans="1:15" x14ac:dyDescent="0.25">
      <c r="A853" s="1">
        <v>563</v>
      </c>
      <c r="B853" s="2" t="str">
        <f>HYPERLINK("https://leetcode.com/problems/binary-tree-tilt/", "Binary Tree Tilt")</f>
        <v>Binary Tree Tilt</v>
      </c>
      <c r="C853" s="1">
        <v>2364</v>
      </c>
      <c r="D853" s="1">
        <v>2253</v>
      </c>
      <c r="E853" s="3">
        <f t="shared" si="6"/>
        <v>0.51202079272254708</v>
      </c>
      <c r="F853" s="1" t="s">
        <v>67</v>
      </c>
      <c r="G853" s="1" t="s">
        <v>20</v>
      </c>
      <c r="H853" s="1">
        <v>260242</v>
      </c>
      <c r="I853" s="1">
        <v>399345</v>
      </c>
      <c r="J853" s="7">
        <v>0.65200000000000002</v>
      </c>
      <c r="K853" s="1" t="s">
        <v>21</v>
      </c>
      <c r="L853" s="1" t="s">
        <v>21</v>
      </c>
      <c r="M853" s="1" t="s">
        <v>29</v>
      </c>
      <c r="N853" s="1" t="s">
        <v>22</v>
      </c>
      <c r="O853" s="1" t="str">
        <f t="shared" ca="1" si="7"/>
        <v>Please solve the LeetCode problem '563. Binary Tree Tilt'.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54" spans="1:15" x14ac:dyDescent="0.25">
      <c r="A854" s="1">
        <v>1289</v>
      </c>
      <c r="B854" s="2" t="str">
        <f>HYPERLINK("https://leetcode.com/problems/minimum-falling-path-sum-ii/", "Minimum Falling Path Sum II")</f>
        <v>Minimum Falling Path Sum II</v>
      </c>
      <c r="C854" s="1">
        <v>2364</v>
      </c>
      <c r="D854" s="1">
        <v>124</v>
      </c>
      <c r="E854" s="3">
        <f t="shared" si="6"/>
        <v>0.95016077170418012</v>
      </c>
      <c r="F854" s="1" t="s">
        <v>94</v>
      </c>
      <c r="G854" s="1" t="s">
        <v>28</v>
      </c>
      <c r="H854" s="1">
        <v>161737</v>
      </c>
      <c r="I854" s="1">
        <v>255458</v>
      </c>
      <c r="J854" s="7">
        <v>0.63300000000000001</v>
      </c>
      <c r="K854" s="1" t="s">
        <v>21</v>
      </c>
      <c r="L854" s="1" t="s">
        <v>21</v>
      </c>
      <c r="M854" s="1" t="s">
        <v>29</v>
      </c>
      <c r="N854" s="1" t="s">
        <v>22</v>
      </c>
      <c r="O854" s="1" t="str">
        <f t="shared" ca="1" si="7"/>
        <v>Please solve the LeetCode problem '1289. Minimum Falling Path Sum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55" spans="1:15" x14ac:dyDescent="0.25">
      <c r="A855" s="1">
        <v>1519</v>
      </c>
      <c r="B855" s="2" t="str">
        <f>HYPERLINK("https://leetcode.com/problems/number-of-nodes-in-the-sub-tree-with-the-same-label/", "Number of Nodes in the Sub-Tree With the Same Label")</f>
        <v>Number of Nodes in the Sub-Tree With the Same Label</v>
      </c>
      <c r="C855" s="1">
        <v>2363</v>
      </c>
      <c r="D855" s="1">
        <v>811</v>
      </c>
      <c r="E855" s="3">
        <f t="shared" si="6"/>
        <v>0.7444864524259609</v>
      </c>
      <c r="F855" s="1" t="s">
        <v>446</v>
      </c>
      <c r="G855" s="1" t="s">
        <v>24</v>
      </c>
      <c r="H855" s="1">
        <v>93006</v>
      </c>
      <c r="I855" s="1">
        <v>168186</v>
      </c>
      <c r="J855" s="7">
        <v>0.55300000000000005</v>
      </c>
      <c r="K855" s="1" t="s">
        <v>21</v>
      </c>
      <c r="L855" s="1" t="s">
        <v>21</v>
      </c>
      <c r="M855" s="1" t="s">
        <v>29</v>
      </c>
      <c r="N855" s="1" t="s">
        <v>22</v>
      </c>
      <c r="O855" s="1" t="str">
        <f t="shared" ca="1" si="7"/>
        <v>Please solve the LeetCode problem '1519. Number of Nodes in the Sub-Tree With the Same Label'.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56" spans="1:15" x14ac:dyDescent="0.25">
      <c r="A856" s="1">
        <v>1381</v>
      </c>
      <c r="B856" s="2" t="str">
        <f>HYPERLINK("https://leetcode.com/problems/design-a-stack-with-increment-operation/", "Design a Stack With Increment Operation")</f>
        <v>Design a Stack With Increment Operation</v>
      </c>
      <c r="C856" s="1">
        <v>2356</v>
      </c>
      <c r="D856" s="1">
        <v>111</v>
      </c>
      <c r="E856" s="3">
        <f t="shared" si="6"/>
        <v>0.95500608025942435</v>
      </c>
      <c r="F856" s="1" t="s">
        <v>447</v>
      </c>
      <c r="G856" s="1" t="s">
        <v>24</v>
      </c>
      <c r="H856" s="1">
        <v>255757</v>
      </c>
      <c r="I856" s="1">
        <v>319791</v>
      </c>
      <c r="J856" s="7">
        <v>0.8</v>
      </c>
      <c r="K856" s="1" t="s">
        <v>21</v>
      </c>
      <c r="L856" s="1" t="s">
        <v>21</v>
      </c>
      <c r="M856" s="1" t="s">
        <v>29</v>
      </c>
      <c r="N856" s="1" t="s">
        <v>22</v>
      </c>
      <c r="O856" s="1" t="str">
        <f t="shared" ca="1" si="7"/>
        <v>Please solve the LeetCode problem '1381. Design a Stack With Increment Operation'.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57" spans="1:15" x14ac:dyDescent="0.25">
      <c r="A857" s="1">
        <v>552</v>
      </c>
      <c r="B857" s="2" t="str">
        <f>HYPERLINK("https://leetcode.com/problems/student-attendance-record-ii/", "Student Attendance Record II")</f>
        <v>Student Attendance Record II</v>
      </c>
      <c r="C857" s="1">
        <v>2354</v>
      </c>
      <c r="D857" s="1">
        <v>290</v>
      </c>
      <c r="E857" s="3">
        <f t="shared" si="6"/>
        <v>0.89031770045385783</v>
      </c>
      <c r="F857" s="1" t="s">
        <v>251</v>
      </c>
      <c r="G857" s="1" t="s">
        <v>28</v>
      </c>
      <c r="H857" s="1">
        <v>155835</v>
      </c>
      <c r="I857" s="1">
        <v>276750</v>
      </c>
      <c r="J857" s="7">
        <v>0.56299999999999994</v>
      </c>
      <c r="K857" s="1" t="s">
        <v>21</v>
      </c>
      <c r="L857" s="1" t="s">
        <v>21</v>
      </c>
      <c r="M857" s="1" t="s">
        <v>29</v>
      </c>
      <c r="N857" s="1" t="s">
        <v>22</v>
      </c>
      <c r="O857" s="1" t="str">
        <f t="shared" ca="1" si="7"/>
        <v>Please solve the LeetCode problem '552. Student Attendance Record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58" spans="1:15" x14ac:dyDescent="0.25">
      <c r="A858" s="1">
        <v>1922</v>
      </c>
      <c r="B858" s="2" t="str">
        <f>HYPERLINK("https://leetcode.com/problems/count-good-numbers/", "Count Good Numbers")</f>
        <v>Count Good Numbers</v>
      </c>
      <c r="C858" s="1">
        <v>2353</v>
      </c>
      <c r="D858" s="1">
        <v>591</v>
      </c>
      <c r="E858" s="3">
        <f t="shared" si="6"/>
        <v>0.79925271739130432</v>
      </c>
      <c r="F858" s="1" t="s">
        <v>116</v>
      </c>
      <c r="G858" s="1" t="s">
        <v>24</v>
      </c>
      <c r="H858" s="1">
        <v>259912</v>
      </c>
      <c r="I858" s="1">
        <v>453824</v>
      </c>
      <c r="J858" s="7">
        <v>0.57299999999999995</v>
      </c>
      <c r="K858" s="1" t="s">
        <v>21</v>
      </c>
      <c r="L858" s="1" t="s">
        <v>21</v>
      </c>
      <c r="M858" s="1" t="s">
        <v>29</v>
      </c>
      <c r="N858" s="1" t="s">
        <v>22</v>
      </c>
      <c r="O858" s="1" t="str">
        <f t="shared" ca="1" si="7"/>
        <v>Please solve the LeetCode problem '1922. Count Good Numbers'.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59" spans="1:15" x14ac:dyDescent="0.25">
      <c r="A859" s="1">
        <v>1661</v>
      </c>
      <c r="B859" s="2" t="str">
        <f>HYPERLINK("https://leetcode.com/problems/average-time-of-process-per-machine/", "Average Time of Process per Machine")</f>
        <v>Average Time of Process per Machine</v>
      </c>
      <c r="C859" s="1">
        <v>2350</v>
      </c>
      <c r="D859" s="1">
        <v>235</v>
      </c>
      <c r="E859" s="3">
        <f t="shared" si="6"/>
        <v>0.90909090909090906</v>
      </c>
      <c r="F859" s="1" t="s">
        <v>297</v>
      </c>
      <c r="G859" s="1" t="s">
        <v>20</v>
      </c>
      <c r="H859" s="1">
        <v>724282</v>
      </c>
      <c r="I859" s="1">
        <v>1079740</v>
      </c>
      <c r="J859" s="7">
        <v>0.67100000000000004</v>
      </c>
      <c r="K859" s="1" t="s">
        <v>21</v>
      </c>
      <c r="L859" s="1" t="s">
        <v>21</v>
      </c>
      <c r="M859" s="1" t="s">
        <v>29</v>
      </c>
      <c r="N859" s="1" t="s">
        <v>297</v>
      </c>
      <c r="O859" s="1" t="str">
        <f t="shared" ca="1" si="7"/>
        <v>Please solve the LeetCode problem '1661. Average Time of Process per Machine'.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60" spans="1:15" x14ac:dyDescent="0.25">
      <c r="A860" s="1">
        <v>436</v>
      </c>
      <c r="B860" s="2" t="str">
        <f>HYPERLINK("https://leetcode.com/problems/find-right-interval/", "Find Right Interval")</f>
        <v>Find Right Interval</v>
      </c>
      <c r="C860" s="1">
        <v>2347</v>
      </c>
      <c r="D860" s="1">
        <v>392</v>
      </c>
      <c r="E860" s="3">
        <f t="shared" si="6"/>
        <v>0.85688207374954362</v>
      </c>
      <c r="F860" s="1" t="s">
        <v>367</v>
      </c>
      <c r="G860" s="1" t="s">
        <v>24</v>
      </c>
      <c r="H860" s="1">
        <v>153829</v>
      </c>
      <c r="I860" s="1">
        <v>278834</v>
      </c>
      <c r="J860" s="7">
        <v>0.55200000000000005</v>
      </c>
      <c r="K860" s="1" t="s">
        <v>21</v>
      </c>
      <c r="L860" s="1" t="s">
        <v>29</v>
      </c>
      <c r="M860" s="1" t="s">
        <v>29</v>
      </c>
      <c r="N860" s="1" t="s">
        <v>22</v>
      </c>
      <c r="O860" s="1" t="str">
        <f t="shared" ca="1" si="7"/>
        <v>Please solve the LeetCode problem '436. Find Right Interval'.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61" spans="1:15" x14ac:dyDescent="0.25">
      <c r="A861" s="1">
        <v>745</v>
      </c>
      <c r="B861" s="2" t="str">
        <f>HYPERLINK("https://leetcode.com/problems/prefix-and-suffix-search/", "Prefix and Suffix Search")</f>
        <v>Prefix and Suffix Search</v>
      </c>
      <c r="C861" s="1">
        <v>2343</v>
      </c>
      <c r="D861" s="1">
        <v>498</v>
      </c>
      <c r="E861" s="3">
        <f t="shared" si="6"/>
        <v>0.82470960929250259</v>
      </c>
      <c r="F861" s="1" t="s">
        <v>448</v>
      </c>
      <c r="G861" s="1" t="s">
        <v>28</v>
      </c>
      <c r="H861" s="1">
        <v>108677</v>
      </c>
      <c r="I861" s="1">
        <v>266995</v>
      </c>
      <c r="J861" s="7">
        <v>0.40699999999999997</v>
      </c>
      <c r="K861" s="1" t="s">
        <v>21</v>
      </c>
      <c r="L861" s="1" t="s">
        <v>21</v>
      </c>
      <c r="M861" s="1" t="s">
        <v>29</v>
      </c>
      <c r="N861" s="1" t="s">
        <v>22</v>
      </c>
      <c r="O861" s="1" t="str">
        <f t="shared" ca="1" si="7"/>
        <v>Please solve the LeetCode problem '745. Prefix and Suffix Search'.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62" spans="1:15" x14ac:dyDescent="0.25">
      <c r="A862" s="1">
        <v>2265</v>
      </c>
      <c r="B862" s="2" t="str">
        <f>HYPERLINK("https://leetcode.com/problems/count-nodes-equal-to-average-of-subtree/", "Count Nodes Equal to Average of Subtree")</f>
        <v>Count Nodes Equal to Average of Subtree</v>
      </c>
      <c r="C862" s="1">
        <v>2343</v>
      </c>
      <c r="D862" s="1">
        <v>58</v>
      </c>
      <c r="E862" s="3">
        <f t="shared" si="6"/>
        <v>0.97584339858392333</v>
      </c>
      <c r="F862" s="1" t="s">
        <v>67</v>
      </c>
      <c r="G862" s="1" t="s">
        <v>24</v>
      </c>
      <c r="H862" s="1">
        <v>193674</v>
      </c>
      <c r="I862" s="1">
        <v>223316</v>
      </c>
      <c r="J862" s="7">
        <v>0.86699999999999999</v>
      </c>
      <c r="K862" s="1" t="s">
        <v>21</v>
      </c>
      <c r="L862" s="1" t="s">
        <v>21</v>
      </c>
      <c r="M862" s="1" t="s">
        <v>29</v>
      </c>
      <c r="N862" s="1" t="s">
        <v>22</v>
      </c>
      <c r="O862" s="1" t="str">
        <f t="shared" ca="1" si="7"/>
        <v>Please solve the LeetCode problem '2265. Count Nodes Equal to Average of Subtree'.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63" spans="1:15" x14ac:dyDescent="0.25">
      <c r="A863" s="1">
        <v>184</v>
      </c>
      <c r="B863" s="2" t="str">
        <f>HYPERLINK("https://leetcode.com/problems/department-highest-salary/", "Department Highest Salary")</f>
        <v>Department Highest Salary</v>
      </c>
      <c r="C863" s="1">
        <v>2341</v>
      </c>
      <c r="D863" s="1">
        <v>207</v>
      </c>
      <c r="E863" s="3">
        <f t="shared" si="6"/>
        <v>0.91875981161695452</v>
      </c>
      <c r="F863" s="1" t="s">
        <v>297</v>
      </c>
      <c r="G863" s="1" t="s">
        <v>24</v>
      </c>
      <c r="H863" s="1">
        <v>611856</v>
      </c>
      <c r="I863" s="1">
        <v>1075288</v>
      </c>
      <c r="J863" s="7">
        <v>0.56899999999999995</v>
      </c>
      <c r="K863" s="1" t="s">
        <v>21</v>
      </c>
      <c r="L863" s="1" t="s">
        <v>21</v>
      </c>
      <c r="M863" s="1" t="s">
        <v>29</v>
      </c>
      <c r="N863" s="1" t="s">
        <v>297</v>
      </c>
      <c r="O863" s="1" t="str">
        <f t="shared" ca="1" si="7"/>
        <v>Please solve the LeetCode problem '184. Department Highest Salary'.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64" spans="1:15" x14ac:dyDescent="0.25">
      <c r="A864" s="1">
        <v>561</v>
      </c>
      <c r="B864" s="2" t="str">
        <f>HYPERLINK("https://leetcode.com/problems/array-partition/", "Array Partition")</f>
        <v>Array Partition</v>
      </c>
      <c r="C864" s="1">
        <v>2337</v>
      </c>
      <c r="D864" s="1">
        <v>299</v>
      </c>
      <c r="E864" s="3">
        <f t="shared" si="6"/>
        <v>0.88657056145675261</v>
      </c>
      <c r="F864" s="1" t="s">
        <v>443</v>
      </c>
      <c r="G864" s="1" t="s">
        <v>20</v>
      </c>
      <c r="H864" s="1">
        <v>640393</v>
      </c>
      <c r="I864" s="1">
        <v>787668</v>
      </c>
      <c r="J864" s="7">
        <v>0.81299999999999994</v>
      </c>
      <c r="K864" s="1" t="s">
        <v>21</v>
      </c>
      <c r="L864" s="1" t="s">
        <v>21</v>
      </c>
      <c r="M864" s="1" t="s">
        <v>29</v>
      </c>
      <c r="N864" s="1" t="s">
        <v>22</v>
      </c>
      <c r="O864" s="1" t="str">
        <f t="shared" ca="1" si="7"/>
        <v>Please solve the LeetCode problem '561. Array Partition'.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65" spans="1:15" x14ac:dyDescent="0.25">
      <c r="A865" s="1">
        <v>1108</v>
      </c>
      <c r="B865" s="2" t="str">
        <f>HYPERLINK("https://leetcode.com/problems/defanging-an-ip-address/", "Defanging an IP Address")</f>
        <v>Defanging an IP Address</v>
      </c>
      <c r="C865" s="1">
        <v>2336</v>
      </c>
      <c r="D865" s="1">
        <v>1781</v>
      </c>
      <c r="E865" s="3">
        <f t="shared" si="6"/>
        <v>0.5674034491134321</v>
      </c>
      <c r="F865" s="1" t="s">
        <v>146</v>
      </c>
      <c r="G865" s="1" t="s">
        <v>20</v>
      </c>
      <c r="H865" s="1">
        <v>825178</v>
      </c>
      <c r="I865" s="1">
        <v>917598</v>
      </c>
      <c r="J865" s="7">
        <v>0.89900000000000002</v>
      </c>
      <c r="K865" s="1" t="s">
        <v>21</v>
      </c>
      <c r="L865" s="1" t="s">
        <v>29</v>
      </c>
      <c r="M865" s="1" t="s">
        <v>29</v>
      </c>
      <c r="N865" s="1" t="s">
        <v>22</v>
      </c>
      <c r="O865" s="1" t="str">
        <f t="shared" ca="1" si="7"/>
        <v>Please solve the LeetCode problem '1108. Defanging an IP Address'.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66" spans="1:15" x14ac:dyDescent="0.25">
      <c r="A866" s="1">
        <v>1481</v>
      </c>
      <c r="B866" s="2" t="str">
        <f>HYPERLINK("https://leetcode.com/problems/least-number-of-unique-integers-after-k-removals/", "Least Number of Unique Integers after K Removals")</f>
        <v>Least Number of Unique Integers after K Removals</v>
      </c>
      <c r="C866" s="1">
        <v>2334</v>
      </c>
      <c r="D866" s="1">
        <v>234</v>
      </c>
      <c r="E866" s="3">
        <f t="shared" si="6"/>
        <v>0.90887850467289721</v>
      </c>
      <c r="F866" s="1" t="s">
        <v>450</v>
      </c>
      <c r="G866" s="1" t="s">
        <v>24</v>
      </c>
      <c r="H866" s="1">
        <v>278277</v>
      </c>
      <c r="I866" s="1">
        <v>436824</v>
      </c>
      <c r="J866" s="7">
        <v>0.63700000000000001</v>
      </c>
      <c r="K866" s="1" t="s">
        <v>21</v>
      </c>
      <c r="L866" s="1" t="s">
        <v>21</v>
      </c>
      <c r="M866" s="1" t="s">
        <v>29</v>
      </c>
      <c r="N866" s="1" t="s">
        <v>22</v>
      </c>
      <c r="O866" s="1" t="str">
        <f t="shared" ca="1" si="7"/>
        <v>Please solve the LeetCode problem '1481. Least Number of Unique Integers after K Removals'.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67" spans="1:15" x14ac:dyDescent="0.25">
      <c r="A867" s="1">
        <v>1187</v>
      </c>
      <c r="B867" s="2" t="str">
        <f>HYPERLINK("https://leetcode.com/problems/make-array-strictly-increasing/", "Make Array Strictly Increasing")</f>
        <v>Make Array Strictly Increasing</v>
      </c>
      <c r="C867" s="1">
        <v>2333</v>
      </c>
      <c r="D867" s="1">
        <v>51</v>
      </c>
      <c r="E867" s="3">
        <f t="shared" si="6"/>
        <v>0.97860738255033553</v>
      </c>
      <c r="F867" s="1" t="s">
        <v>188</v>
      </c>
      <c r="G867" s="1" t="s">
        <v>28</v>
      </c>
      <c r="H867" s="1">
        <v>65955</v>
      </c>
      <c r="I867" s="1">
        <v>113913</v>
      </c>
      <c r="J867" s="7">
        <v>0.57899999999999996</v>
      </c>
      <c r="K867" s="1" t="s">
        <v>21</v>
      </c>
      <c r="L867" s="1" t="s">
        <v>21</v>
      </c>
      <c r="M867" s="1" t="s">
        <v>29</v>
      </c>
      <c r="N867" s="1" t="s">
        <v>22</v>
      </c>
      <c r="O867" s="1" t="str">
        <f t="shared" ca="1" si="7"/>
        <v>Please solve the LeetCode problem '1187. Make Array Strictly Increasing'.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68" spans="1:15" x14ac:dyDescent="0.25">
      <c r="A868" s="1">
        <v>1044</v>
      </c>
      <c r="B868" s="2" t="str">
        <f>HYPERLINK("https://leetcode.com/problems/longest-duplicate-substring/", "Longest Duplicate Substring")</f>
        <v>Longest Duplicate Substring</v>
      </c>
      <c r="C868" s="1">
        <v>2332</v>
      </c>
      <c r="D868" s="1">
        <v>397</v>
      </c>
      <c r="E868" s="3">
        <f t="shared" si="6"/>
        <v>0.85452546720410405</v>
      </c>
      <c r="F868" s="1" t="s">
        <v>449</v>
      </c>
      <c r="G868" s="1" t="s">
        <v>28</v>
      </c>
      <c r="H868" s="1">
        <v>82670</v>
      </c>
      <c r="I868" s="1">
        <v>266134</v>
      </c>
      <c r="J868" s="7">
        <v>0.311</v>
      </c>
      <c r="K868" s="1" t="s">
        <v>21</v>
      </c>
      <c r="L868" s="1" t="s">
        <v>21</v>
      </c>
      <c r="M868" s="1" t="s">
        <v>29</v>
      </c>
      <c r="N868" s="1" t="s">
        <v>22</v>
      </c>
      <c r="O868" s="1" t="str">
        <f t="shared" ca="1" si="7"/>
        <v>Please solve the LeetCode problem '1044. Longest Duplicate Substring'.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69" spans="1:15" x14ac:dyDescent="0.25">
      <c r="A869" s="1">
        <v>475</v>
      </c>
      <c r="B869" s="2" t="str">
        <f>HYPERLINK("https://leetcode.com/problems/heaters/", "Heaters")</f>
        <v>Heaters</v>
      </c>
      <c r="C869" s="1">
        <v>2327</v>
      </c>
      <c r="D869" s="1">
        <v>1194</v>
      </c>
      <c r="E869" s="3">
        <f t="shared" si="6"/>
        <v>0.66089179210451576</v>
      </c>
      <c r="F869" s="1" t="s">
        <v>277</v>
      </c>
      <c r="G869" s="1" t="s">
        <v>24</v>
      </c>
      <c r="H869" s="1">
        <v>160954</v>
      </c>
      <c r="I869" s="1">
        <v>391088</v>
      </c>
      <c r="J869" s="7">
        <v>0.41199999999999998</v>
      </c>
      <c r="K869" s="1" t="s">
        <v>21</v>
      </c>
      <c r="L869" s="1" t="s">
        <v>29</v>
      </c>
      <c r="M869" s="1" t="s">
        <v>29</v>
      </c>
      <c r="N869" s="1" t="s">
        <v>22</v>
      </c>
      <c r="O869" s="1" t="str">
        <f t="shared" ca="1" si="7"/>
        <v>Please solve the LeetCode problem '475. Heaters'.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70" spans="1:15" x14ac:dyDescent="0.25">
      <c r="A870" s="1">
        <v>694</v>
      </c>
      <c r="B870" s="2" t="str">
        <f>HYPERLINK("https://leetcode.com/problems/number-of-distinct-islands/", "Number of Distinct Islands")</f>
        <v>Number of Distinct Islands</v>
      </c>
      <c r="C870" s="1">
        <v>2327</v>
      </c>
      <c r="D870" s="1">
        <v>151</v>
      </c>
      <c r="E870" s="3">
        <f t="shared" si="6"/>
        <v>0.93906376109765943</v>
      </c>
      <c r="F870" s="1" t="s">
        <v>1358</v>
      </c>
      <c r="G870" s="1" t="s">
        <v>24</v>
      </c>
      <c r="H870" s="1">
        <v>203806</v>
      </c>
      <c r="I870" s="1">
        <v>325330</v>
      </c>
      <c r="J870" s="7">
        <v>0.626</v>
      </c>
      <c r="K870" s="1" t="s">
        <v>29</v>
      </c>
      <c r="L870" s="1" t="s">
        <v>21</v>
      </c>
      <c r="M870" s="1" t="s">
        <v>21</v>
      </c>
      <c r="N870" s="1" t="s">
        <v>22</v>
      </c>
      <c r="O870" s="1" t="str">
        <f t="shared" ca="1" si="7"/>
        <v>Please solve the LeetCode problem '694. Number of Distinct Islands'.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71" spans="1:15" x14ac:dyDescent="0.25">
      <c r="A871" s="1">
        <v>1704</v>
      </c>
      <c r="B871" s="2" t="str">
        <f>HYPERLINK("https://leetcode.com/problems/determine-if-string-halves-are-alike/", "Determine if String Halves Are Alike")</f>
        <v>Determine if String Halves Are Alike</v>
      </c>
      <c r="C871" s="1">
        <v>2327</v>
      </c>
      <c r="D871" s="1">
        <v>126</v>
      </c>
      <c r="E871" s="3">
        <f t="shared" si="6"/>
        <v>0.94863432531593972</v>
      </c>
      <c r="F871" s="1" t="s">
        <v>452</v>
      </c>
      <c r="G871" s="1" t="s">
        <v>20</v>
      </c>
      <c r="H871" s="1">
        <v>395594</v>
      </c>
      <c r="I871" s="1">
        <v>502460</v>
      </c>
      <c r="J871" s="7">
        <v>0.78700000000000003</v>
      </c>
      <c r="K871" s="1" t="s">
        <v>21</v>
      </c>
      <c r="L871" s="1" t="s">
        <v>21</v>
      </c>
      <c r="M871" s="1" t="s">
        <v>29</v>
      </c>
      <c r="N871" s="1" t="s">
        <v>22</v>
      </c>
      <c r="O871" s="1" t="str">
        <f t="shared" ca="1" si="7"/>
        <v>Please solve the LeetCode problem '1704. Determine if String Halves Are Alike'.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72" spans="1:15" x14ac:dyDescent="0.25">
      <c r="A872" s="1">
        <v>1608</v>
      </c>
      <c r="B872" s="2" t="str">
        <f>HYPERLINK("https://leetcode.com/problems/special-array-with-x-elements-greater-than-or-equal-x/", "Special Array With X Elements Greater Than or Equal X")</f>
        <v>Special Array With X Elements Greater Than or Equal X</v>
      </c>
      <c r="C872" s="1">
        <v>2326</v>
      </c>
      <c r="D872" s="1">
        <v>465</v>
      </c>
      <c r="E872" s="3">
        <f t="shared" si="6"/>
        <v>0.83339304908634892</v>
      </c>
      <c r="F872" s="1" t="s">
        <v>367</v>
      </c>
      <c r="G872" s="1" t="s">
        <v>20</v>
      </c>
      <c r="H872" s="1">
        <v>229678</v>
      </c>
      <c r="I872" s="1">
        <v>344088</v>
      </c>
      <c r="J872" s="7">
        <v>0.66700000000000004</v>
      </c>
      <c r="K872" s="1" t="s">
        <v>21</v>
      </c>
      <c r="L872" s="1" t="s">
        <v>21</v>
      </c>
      <c r="M872" s="1" t="s">
        <v>29</v>
      </c>
      <c r="N872" s="1" t="s">
        <v>22</v>
      </c>
      <c r="O872" s="1" t="str">
        <f t="shared" ca="1" si="7"/>
        <v>Please solve the LeetCode problem '1608. Special Array With X Elements Greater Than or Equal X'.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73" spans="1:15" x14ac:dyDescent="0.25">
      <c r="A873" s="1">
        <v>1380</v>
      </c>
      <c r="B873" s="2" t="str">
        <f>HYPERLINK("https://leetcode.com/problems/lucky-numbers-in-a-matrix/", "Lucky Numbers in a Matrix")</f>
        <v>Lucky Numbers in a Matrix</v>
      </c>
      <c r="C873" s="1">
        <v>2325</v>
      </c>
      <c r="D873" s="1">
        <v>121</v>
      </c>
      <c r="E873" s="3">
        <f t="shared" si="6"/>
        <v>0.95053147996729359</v>
      </c>
      <c r="F873" s="1" t="s">
        <v>266</v>
      </c>
      <c r="G873" s="1" t="s">
        <v>20</v>
      </c>
      <c r="H873" s="1">
        <v>288560</v>
      </c>
      <c r="I873" s="1">
        <v>360978</v>
      </c>
      <c r="J873" s="7">
        <v>0.79900000000000004</v>
      </c>
      <c r="K873" s="1" t="s">
        <v>21</v>
      </c>
      <c r="L873" s="1" t="s">
        <v>21</v>
      </c>
      <c r="M873" s="1" t="s">
        <v>29</v>
      </c>
      <c r="N873" s="1" t="s">
        <v>22</v>
      </c>
      <c r="O873" s="1" t="str">
        <f t="shared" ca="1" si="7"/>
        <v>Please solve the LeetCode problem '1380. Lucky Numbers in a Matrix'.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74" spans="1:15" x14ac:dyDescent="0.25">
      <c r="A874" s="1">
        <v>1461</v>
      </c>
      <c r="B874" s="2" t="str">
        <f>HYPERLINK("https://leetcode.com/problems/check-if-a-string-contains-all-binary-codes-of-size-k/", "Check If a String Contains All Binary Codes of Size K")</f>
        <v>Check If a String Contains All Binary Codes of Size K</v>
      </c>
      <c r="C874" s="1">
        <v>2318</v>
      </c>
      <c r="D874" s="1">
        <v>100</v>
      </c>
      <c r="E874" s="3">
        <f t="shared" si="6"/>
        <v>0.95864350703060386</v>
      </c>
      <c r="F874" s="1" t="s">
        <v>401</v>
      </c>
      <c r="G874" s="1" t="s">
        <v>24</v>
      </c>
      <c r="H874" s="1">
        <v>139378</v>
      </c>
      <c r="I874" s="1">
        <v>245097</v>
      </c>
      <c r="J874" s="7">
        <v>0.56899999999999995</v>
      </c>
      <c r="K874" s="1" t="s">
        <v>21</v>
      </c>
      <c r="L874" s="1" t="s">
        <v>21</v>
      </c>
      <c r="M874" s="1" t="s">
        <v>29</v>
      </c>
      <c r="N874" s="1" t="s">
        <v>22</v>
      </c>
      <c r="O874" s="1" t="str">
        <f t="shared" ca="1" si="7"/>
        <v>Please solve the LeetCode problem '1461. Check If a String Contains All Binary Codes of Size K'.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75" spans="1:15" x14ac:dyDescent="0.25">
      <c r="A875" s="1">
        <v>375</v>
      </c>
      <c r="B875" s="2" t="str">
        <f>HYPERLINK("https://leetcode.com/problems/guess-number-higher-or-lower-ii/", "Guess Number Higher or Lower II")</f>
        <v>Guess Number Higher or Lower II</v>
      </c>
      <c r="C875" s="1">
        <v>2315</v>
      </c>
      <c r="D875" s="1">
        <v>2162</v>
      </c>
      <c r="E875" s="3">
        <f t="shared" si="6"/>
        <v>0.5170873352691534</v>
      </c>
      <c r="F875" s="1" t="s">
        <v>453</v>
      </c>
      <c r="G875" s="1" t="s">
        <v>24</v>
      </c>
      <c r="H875" s="1">
        <v>155782</v>
      </c>
      <c r="I875" s="1">
        <v>298014</v>
      </c>
      <c r="J875" s="7">
        <v>0.52300000000000002</v>
      </c>
      <c r="K875" s="1" t="s">
        <v>21</v>
      </c>
      <c r="L875" s="1" t="s">
        <v>21</v>
      </c>
      <c r="M875" s="1" t="s">
        <v>29</v>
      </c>
      <c r="N875" s="1" t="s">
        <v>22</v>
      </c>
      <c r="O875" s="1" t="str">
        <f t="shared" ca="1" si="7"/>
        <v>Please solve the LeetCode problem '375. Guess Number Higher or Lower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76" spans="1:15" x14ac:dyDescent="0.25">
      <c r="A876" s="1">
        <v>1039</v>
      </c>
      <c r="B876" s="2" t="str">
        <f>HYPERLINK("https://leetcode.com/problems/minimum-score-triangulation-of-polygon/", "Minimum Score Triangulation of Polygon")</f>
        <v>Minimum Score Triangulation of Polygon</v>
      </c>
      <c r="C876" s="1">
        <v>2312</v>
      </c>
      <c r="D876" s="1">
        <v>300</v>
      </c>
      <c r="E876" s="3">
        <f t="shared" si="6"/>
        <v>0.88514548238897395</v>
      </c>
      <c r="F876" s="1" t="s">
        <v>30</v>
      </c>
      <c r="G876" s="1" t="s">
        <v>24</v>
      </c>
      <c r="H876" s="1">
        <v>137543</v>
      </c>
      <c r="I876" s="1">
        <v>204347</v>
      </c>
      <c r="J876" s="7">
        <v>0.67300000000000004</v>
      </c>
      <c r="K876" s="1" t="s">
        <v>21</v>
      </c>
      <c r="L876" s="1" t="s">
        <v>21</v>
      </c>
      <c r="M876" s="1" t="s">
        <v>29</v>
      </c>
      <c r="N876" s="1" t="s">
        <v>22</v>
      </c>
      <c r="O876" s="1" t="str">
        <f t="shared" ca="1" si="7"/>
        <v>Please solve the LeetCode problem '1039. Minimum Score Triangulation of Polygon'.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77" spans="1:15" x14ac:dyDescent="0.25">
      <c r="A877" s="1">
        <v>1288</v>
      </c>
      <c r="B877" s="2" t="str">
        <f>HYPERLINK("https://leetcode.com/problems/remove-covered-intervals/", "Remove Covered Intervals")</f>
        <v>Remove Covered Intervals</v>
      </c>
      <c r="C877" s="1">
        <v>2308</v>
      </c>
      <c r="D877" s="1">
        <v>60</v>
      </c>
      <c r="E877" s="3">
        <f t="shared" si="6"/>
        <v>0.97466216216216217</v>
      </c>
      <c r="F877" s="1" t="s">
        <v>42</v>
      </c>
      <c r="G877" s="1" t="s">
        <v>24</v>
      </c>
      <c r="H877" s="1">
        <v>139581</v>
      </c>
      <c r="I877" s="1">
        <v>248737</v>
      </c>
      <c r="J877" s="7">
        <v>0.56100000000000005</v>
      </c>
      <c r="K877" s="1" t="s">
        <v>21</v>
      </c>
      <c r="L877" s="1" t="s">
        <v>21</v>
      </c>
      <c r="M877" s="1" t="s">
        <v>29</v>
      </c>
      <c r="N877" s="1" t="s">
        <v>22</v>
      </c>
      <c r="O877" s="1" t="str">
        <f t="shared" ca="1" si="7"/>
        <v>Please solve the LeetCode problem '1288. Remove Covered Intervals'.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78" spans="1:15" x14ac:dyDescent="0.25">
      <c r="A878" s="1">
        <v>541</v>
      </c>
      <c r="B878" s="2" t="str">
        <f>HYPERLINK("https://leetcode.com/problems/reverse-string-ii/", "Reverse String II")</f>
        <v>Reverse String II</v>
      </c>
      <c r="C878" s="1">
        <v>2305</v>
      </c>
      <c r="D878" s="1">
        <v>4370</v>
      </c>
      <c r="E878" s="3">
        <f t="shared" si="6"/>
        <v>0.34531835205992512</v>
      </c>
      <c r="F878" s="1" t="s">
        <v>117</v>
      </c>
      <c r="G878" s="1" t="s">
        <v>20</v>
      </c>
      <c r="H878" s="1">
        <v>361065</v>
      </c>
      <c r="I878" s="1">
        <v>679105</v>
      </c>
      <c r="J878" s="7">
        <v>0.53200000000000003</v>
      </c>
      <c r="K878" s="1" t="s">
        <v>21</v>
      </c>
      <c r="L878" s="1" t="s">
        <v>21</v>
      </c>
      <c r="M878" s="1" t="s">
        <v>29</v>
      </c>
      <c r="N878" s="1" t="s">
        <v>22</v>
      </c>
      <c r="O878" s="1" t="str">
        <f t="shared" ca="1" si="7"/>
        <v>Please solve the LeetCode problem '541. Reverse String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79" spans="1:15" x14ac:dyDescent="0.25">
      <c r="A879" s="1">
        <v>2477</v>
      </c>
      <c r="B879" s="2" t="str">
        <f>HYPERLINK("https://leetcode.com/problems/minimum-fuel-cost-to-report-to-the-capital/", "Minimum Fuel Cost to Report to the Capital")</f>
        <v>Minimum Fuel Cost to Report to the Capital</v>
      </c>
      <c r="C879" s="1">
        <v>2305</v>
      </c>
      <c r="D879" s="1">
        <v>96</v>
      </c>
      <c r="E879" s="3">
        <f t="shared" si="6"/>
        <v>0.96001665972511452</v>
      </c>
      <c r="F879" s="1" t="s">
        <v>455</v>
      </c>
      <c r="G879" s="1" t="s">
        <v>24</v>
      </c>
      <c r="H879" s="1">
        <v>84677</v>
      </c>
      <c r="I879" s="1">
        <v>131203</v>
      </c>
      <c r="J879" s="7">
        <v>0.64500000000000002</v>
      </c>
      <c r="K879" s="1" t="s">
        <v>21</v>
      </c>
      <c r="L879" s="1" t="s">
        <v>21</v>
      </c>
      <c r="M879" s="1" t="s">
        <v>29</v>
      </c>
      <c r="N879" s="1" t="s">
        <v>22</v>
      </c>
      <c r="O879" s="1" t="str">
        <f t="shared" ca="1" si="7"/>
        <v>Please solve the LeetCode problem '2477. Minimum Fuel Cost to Report to the Capital'.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80" spans="1:15" x14ac:dyDescent="0.25">
      <c r="A880" s="1">
        <v>1436</v>
      </c>
      <c r="B880" s="2" t="str">
        <f>HYPERLINK("https://leetcode.com/problems/destination-city/", "Destination City")</f>
        <v>Destination City</v>
      </c>
      <c r="C880" s="1">
        <v>2301</v>
      </c>
      <c r="D880" s="1">
        <v>107</v>
      </c>
      <c r="E880" s="3">
        <f t="shared" si="6"/>
        <v>0.95556478405315615</v>
      </c>
      <c r="F880" s="1" t="s">
        <v>258</v>
      </c>
      <c r="G880" s="1" t="s">
        <v>20</v>
      </c>
      <c r="H880" s="1">
        <v>319471</v>
      </c>
      <c r="I880" s="1">
        <v>402053</v>
      </c>
      <c r="J880" s="7">
        <v>0.79500000000000004</v>
      </c>
      <c r="K880" s="1" t="s">
        <v>21</v>
      </c>
      <c r="L880" s="1" t="s">
        <v>21</v>
      </c>
      <c r="M880" s="1" t="s">
        <v>29</v>
      </c>
      <c r="N880" s="1" t="s">
        <v>22</v>
      </c>
      <c r="O880" s="1" t="str">
        <f t="shared" ca="1" si="7"/>
        <v>Please solve the LeetCode problem '1436. Destination City'.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81" spans="1:15" x14ac:dyDescent="0.25">
      <c r="A881" s="1">
        <v>477</v>
      </c>
      <c r="B881" s="2" t="str">
        <f>HYPERLINK("https://leetcode.com/problems/total-hamming-distance/", "Total Hamming Distance")</f>
        <v>Total Hamming Distance</v>
      </c>
      <c r="C881" s="1">
        <v>2297</v>
      </c>
      <c r="D881" s="1">
        <v>95</v>
      </c>
      <c r="E881" s="3">
        <f t="shared" si="6"/>
        <v>0.9602842809364549</v>
      </c>
      <c r="F881" s="1" t="s">
        <v>456</v>
      </c>
      <c r="G881" s="1" t="s">
        <v>24</v>
      </c>
      <c r="H881" s="1">
        <v>131352</v>
      </c>
      <c r="I881" s="1">
        <v>240983</v>
      </c>
      <c r="J881" s="7">
        <v>0.54500000000000004</v>
      </c>
      <c r="K881" s="1" t="s">
        <v>21</v>
      </c>
      <c r="L881" s="1" t="s">
        <v>21</v>
      </c>
      <c r="M881" s="1" t="s">
        <v>29</v>
      </c>
      <c r="N881" s="1" t="s">
        <v>22</v>
      </c>
      <c r="O881" s="1" t="str">
        <f t="shared" ca="1" si="7"/>
        <v>Please solve the LeetCode problem '477. Total Hamming Distance'.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82" spans="1:15" x14ac:dyDescent="0.25">
      <c r="A882" s="1">
        <v>1406</v>
      </c>
      <c r="B882" s="2" t="str">
        <f>HYPERLINK("https://leetcode.com/problems/stone-game-iii/", "Stone Game III")</f>
        <v>Stone Game III</v>
      </c>
      <c r="C882" s="1">
        <v>2297</v>
      </c>
      <c r="D882" s="1">
        <v>80</v>
      </c>
      <c r="E882" s="3">
        <f t="shared" si="6"/>
        <v>0.96634413125788809</v>
      </c>
      <c r="F882" s="1" t="s">
        <v>349</v>
      </c>
      <c r="G882" s="1" t="s">
        <v>28</v>
      </c>
      <c r="H882" s="1">
        <v>108494</v>
      </c>
      <c r="I882" s="1">
        <v>171508</v>
      </c>
      <c r="J882" s="7">
        <v>0.63300000000000001</v>
      </c>
      <c r="K882" s="1" t="s">
        <v>21</v>
      </c>
      <c r="L882" s="1" t="s">
        <v>21</v>
      </c>
      <c r="M882" s="1" t="s">
        <v>29</v>
      </c>
      <c r="N882" s="1" t="s">
        <v>22</v>
      </c>
      <c r="O882" s="1" t="str">
        <f t="shared" ca="1" si="7"/>
        <v>Please solve the LeetCode problem '1406. Stone Game III'.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83" spans="1:15" x14ac:dyDescent="0.25">
      <c r="A883" s="1">
        <v>1424</v>
      </c>
      <c r="B883" s="2" t="str">
        <f>HYPERLINK("https://leetcode.com/problems/diagonal-traverse-ii/", "Diagonal Traverse II")</f>
        <v>Diagonal Traverse II</v>
      </c>
      <c r="C883" s="1">
        <v>2296</v>
      </c>
      <c r="D883" s="1">
        <v>159</v>
      </c>
      <c r="E883" s="3">
        <f t="shared" si="6"/>
        <v>0.93523421588594702</v>
      </c>
      <c r="F883" s="1" t="s">
        <v>350</v>
      </c>
      <c r="G883" s="1" t="s">
        <v>24</v>
      </c>
      <c r="H883" s="1">
        <v>176523</v>
      </c>
      <c r="I883" s="1">
        <v>302822</v>
      </c>
      <c r="J883" s="7">
        <v>0.58299999999999996</v>
      </c>
      <c r="K883" s="1" t="s">
        <v>21</v>
      </c>
      <c r="L883" s="1" t="s">
        <v>21</v>
      </c>
      <c r="M883" s="1" t="s">
        <v>29</v>
      </c>
      <c r="N883" s="1" t="s">
        <v>22</v>
      </c>
      <c r="O883" s="1" t="str">
        <f t="shared" ca="1" si="7"/>
        <v>Please solve the LeetCode problem '1424. Diagonal Traverse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84" spans="1:15" x14ac:dyDescent="0.25">
      <c r="A884" s="1">
        <v>1028</v>
      </c>
      <c r="B884" s="2" t="str">
        <f>HYPERLINK("https://leetcode.com/problems/recover-a-tree-from-preorder-traversal/", "Recover a Tree From Preorder Traversal")</f>
        <v>Recover a Tree From Preorder Traversal</v>
      </c>
      <c r="C884" s="1">
        <v>2285</v>
      </c>
      <c r="D884" s="1">
        <v>69</v>
      </c>
      <c r="E884" s="3">
        <f t="shared" si="6"/>
        <v>0.97068819031435849</v>
      </c>
      <c r="F884" s="1" t="s">
        <v>362</v>
      </c>
      <c r="G884" s="1" t="s">
        <v>28</v>
      </c>
      <c r="H884" s="1">
        <v>163340</v>
      </c>
      <c r="I884" s="1">
        <v>196296</v>
      </c>
      <c r="J884" s="7">
        <v>0.83199999999999996</v>
      </c>
      <c r="K884" s="1" t="s">
        <v>21</v>
      </c>
      <c r="L884" s="1" t="s">
        <v>21</v>
      </c>
      <c r="M884" s="1" t="s">
        <v>29</v>
      </c>
      <c r="N884" s="1" t="s">
        <v>22</v>
      </c>
      <c r="O884" s="1" t="str">
        <f t="shared" ca="1" si="7"/>
        <v>Please solve the LeetCode problem '1028. Recover a Tree From Preorder Traversal'.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85" spans="1:15" x14ac:dyDescent="0.25">
      <c r="A885" s="1">
        <v>1822</v>
      </c>
      <c r="B885" s="2" t="str">
        <f>HYPERLINK("https://leetcode.com/problems/sign-of-the-product-of-an-array/", "Sign of the Product of an Array")</f>
        <v>Sign of the Product of an Array</v>
      </c>
      <c r="C885" s="1">
        <v>2281</v>
      </c>
      <c r="D885" s="1">
        <v>227</v>
      </c>
      <c r="E885" s="3">
        <f t="shared" si="6"/>
        <v>0.90948963317384368</v>
      </c>
      <c r="F885" s="1" t="s">
        <v>115</v>
      </c>
      <c r="G885" s="1" t="s">
        <v>20</v>
      </c>
      <c r="H885" s="1">
        <v>425160</v>
      </c>
      <c r="I885" s="1">
        <v>655300</v>
      </c>
      <c r="J885" s="7">
        <v>0.64900000000000002</v>
      </c>
      <c r="K885" s="1" t="s">
        <v>21</v>
      </c>
      <c r="L885" s="1" t="s">
        <v>21</v>
      </c>
      <c r="M885" s="1" t="s">
        <v>29</v>
      </c>
      <c r="N885" s="1" t="s">
        <v>22</v>
      </c>
      <c r="O885" s="1" t="str">
        <f t="shared" ca="1" si="7"/>
        <v>Please solve the LeetCode problem '1822. Sign of the Product of an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86" spans="1:15" x14ac:dyDescent="0.25">
      <c r="A886" s="1">
        <v>1502</v>
      </c>
      <c r="B886" s="2" t="str">
        <f>HYPERLINK("https://leetcode.com/problems/can-make-arithmetic-progression-from-sequence/", "Can Make Arithmetic Progression From Sequence")</f>
        <v>Can Make Arithmetic Progression From Sequence</v>
      </c>
      <c r="C886" s="1">
        <v>2279</v>
      </c>
      <c r="D886" s="1">
        <v>119</v>
      </c>
      <c r="E886" s="3">
        <f t="shared" si="6"/>
        <v>0.95037531276063392</v>
      </c>
      <c r="F886" s="1" t="s">
        <v>42</v>
      </c>
      <c r="G886" s="1" t="s">
        <v>20</v>
      </c>
      <c r="H886" s="1">
        <v>313980</v>
      </c>
      <c r="I886" s="1">
        <v>452825</v>
      </c>
      <c r="J886" s="7">
        <v>0.69299999999999995</v>
      </c>
      <c r="K886" s="1" t="s">
        <v>21</v>
      </c>
      <c r="L886" s="1" t="s">
        <v>21</v>
      </c>
      <c r="M886" s="1" t="s">
        <v>29</v>
      </c>
      <c r="N886" s="1" t="s">
        <v>22</v>
      </c>
      <c r="O886" s="1" t="str">
        <f t="shared" ca="1" si="7"/>
        <v>Please solve the LeetCode problem '1502. Can Make Arithmetic Progression From Sequence'.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87" spans="1:15" x14ac:dyDescent="0.25">
      <c r="A887" s="1">
        <v>313</v>
      </c>
      <c r="B887" s="2" t="str">
        <f>HYPERLINK("https://leetcode.com/problems/super-ugly-number/", "Super Ugly Number")</f>
        <v>Super Ugly Number</v>
      </c>
      <c r="C887" s="1">
        <v>2275</v>
      </c>
      <c r="D887" s="1">
        <v>406</v>
      </c>
      <c r="E887" s="3">
        <f t="shared" si="6"/>
        <v>0.84856396866840733</v>
      </c>
      <c r="F887" s="1" t="s">
        <v>457</v>
      </c>
      <c r="G887" s="1" t="s">
        <v>24</v>
      </c>
      <c r="H887" s="1">
        <v>155446</v>
      </c>
      <c r="I887" s="1">
        <v>338962</v>
      </c>
      <c r="J887" s="7">
        <v>0.45900000000000002</v>
      </c>
      <c r="K887" s="1" t="s">
        <v>21</v>
      </c>
      <c r="L887" s="1" t="s">
        <v>29</v>
      </c>
      <c r="M887" s="1" t="s">
        <v>29</v>
      </c>
      <c r="N887" s="1" t="s">
        <v>22</v>
      </c>
      <c r="O887" s="1" t="str">
        <f t="shared" ca="1" si="7"/>
        <v>Please solve the LeetCode problem '313. Super Ugly Number'.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88" spans="1:15" x14ac:dyDescent="0.25">
      <c r="A888" s="1">
        <v>565</v>
      </c>
      <c r="B888" s="2" t="str">
        <f>HYPERLINK("https://leetcode.com/problems/array-nesting/", "Array Nesting")</f>
        <v>Array Nesting</v>
      </c>
      <c r="C888" s="1">
        <v>2271</v>
      </c>
      <c r="D888" s="1">
        <v>159</v>
      </c>
      <c r="E888" s="3">
        <f t="shared" si="6"/>
        <v>0.9345679012345679</v>
      </c>
      <c r="F888" s="1" t="s">
        <v>459</v>
      </c>
      <c r="G888" s="1" t="s">
        <v>24</v>
      </c>
      <c r="H888" s="1">
        <v>146281</v>
      </c>
      <c r="I888" s="1">
        <v>259419</v>
      </c>
      <c r="J888" s="7">
        <v>0.56399999999999995</v>
      </c>
      <c r="K888" s="1" t="s">
        <v>21</v>
      </c>
      <c r="L888" s="1" t="s">
        <v>21</v>
      </c>
      <c r="M888" s="1" t="s">
        <v>29</v>
      </c>
      <c r="N888" s="1" t="s">
        <v>22</v>
      </c>
      <c r="O888" s="1" t="str">
        <f t="shared" ca="1" si="7"/>
        <v>Please solve the LeetCode problem '565. Array Nesting'.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89" spans="1:15" x14ac:dyDescent="0.25">
      <c r="A889" s="1">
        <v>1491</v>
      </c>
      <c r="B889" s="2" t="str">
        <f>HYPERLINK("https://leetcode.com/problems/average-salary-excluding-the-minimum-and-maximum-salary/", "Average Salary Excluding the Minimum and Maximum Salary")</f>
        <v>Average Salary Excluding the Minimum and Maximum Salary</v>
      </c>
      <c r="C889" s="1">
        <v>2268</v>
      </c>
      <c r="D889" s="1">
        <v>187</v>
      </c>
      <c r="E889" s="3">
        <f t="shared" si="6"/>
        <v>0.92382892057026478</v>
      </c>
      <c r="F889" s="1" t="s">
        <v>42</v>
      </c>
      <c r="G889" s="1" t="s">
        <v>20</v>
      </c>
      <c r="H889" s="1">
        <v>385519</v>
      </c>
      <c r="I889" s="1">
        <v>607240</v>
      </c>
      <c r="J889" s="7">
        <v>0.63500000000000001</v>
      </c>
      <c r="K889" s="1" t="s">
        <v>21</v>
      </c>
      <c r="L889" s="1" t="s">
        <v>21</v>
      </c>
      <c r="M889" s="1" t="s">
        <v>29</v>
      </c>
      <c r="N889" s="1" t="s">
        <v>22</v>
      </c>
      <c r="O889" s="1" t="str">
        <f t="shared" ca="1" si="7"/>
        <v>Please solve the LeetCode problem '1491. Average Salary Excluding the Minimum and Maximum Salary'.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90" spans="1:15" x14ac:dyDescent="0.25">
      <c r="A890" s="1">
        <v>159</v>
      </c>
      <c r="B890" s="2" t="str">
        <f>HYPERLINK("https://leetcode.com/problems/longest-substring-with-at-most-two-distinct-characters/", "Longest Substring with At Most Two Distinct Characters")</f>
        <v>Longest Substring with At Most Two Distinct Characters</v>
      </c>
      <c r="C890" s="1">
        <v>2267</v>
      </c>
      <c r="D890" s="1">
        <v>40</v>
      </c>
      <c r="E890" s="3">
        <f t="shared" si="6"/>
        <v>0.98266146510619856</v>
      </c>
      <c r="F890" s="1" t="s">
        <v>23</v>
      </c>
      <c r="G890" s="1" t="s">
        <v>24</v>
      </c>
      <c r="H890" s="1">
        <v>298418</v>
      </c>
      <c r="I890" s="1">
        <v>524407</v>
      </c>
      <c r="J890" s="7">
        <v>0.56899999999999995</v>
      </c>
      <c r="K890" s="1" t="s">
        <v>29</v>
      </c>
      <c r="L890" s="1" t="s">
        <v>21</v>
      </c>
      <c r="M890" s="1" t="s">
        <v>21</v>
      </c>
      <c r="N890" s="1" t="s">
        <v>22</v>
      </c>
      <c r="O890" s="1" t="str">
        <f t="shared" ca="1" si="7"/>
        <v>Please solve the LeetCode problem '159. Longest Substring with At Most Two Distinct Characters'.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91" spans="1:15" x14ac:dyDescent="0.25">
      <c r="A891" s="1">
        <v>1389</v>
      </c>
      <c r="B891" s="2" t="str">
        <f>HYPERLINK("https://leetcode.com/problems/create-target-array-in-the-given-order/", "Create Target Array in the Given Order")</f>
        <v>Create Target Array in the Given Order</v>
      </c>
      <c r="C891" s="1">
        <v>2266</v>
      </c>
      <c r="D891" s="1">
        <v>1911</v>
      </c>
      <c r="E891" s="3">
        <f t="shared" si="6"/>
        <v>0.54249461335886995</v>
      </c>
      <c r="F891" s="1" t="s">
        <v>306</v>
      </c>
      <c r="G891" s="1" t="s">
        <v>20</v>
      </c>
      <c r="H891" s="1">
        <v>307430</v>
      </c>
      <c r="I891" s="1">
        <v>355684</v>
      </c>
      <c r="J891" s="7">
        <v>0.86399999999999999</v>
      </c>
      <c r="K891" s="1" t="s">
        <v>21</v>
      </c>
      <c r="L891" s="1" t="s">
        <v>29</v>
      </c>
      <c r="M891" s="1" t="s">
        <v>29</v>
      </c>
      <c r="N891" s="1" t="s">
        <v>22</v>
      </c>
      <c r="O891" s="1" t="str">
        <f t="shared" ca="1" si="7"/>
        <v>Please solve the LeetCode problem '1389. Create Target Array in the Given Order'.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92" spans="1:15" x14ac:dyDescent="0.25">
      <c r="A892" s="1">
        <v>1671</v>
      </c>
      <c r="B892" s="2" t="str">
        <f>HYPERLINK("https://leetcode.com/problems/minimum-number-of-removals-to-make-mountain-array/", "Minimum Number of Removals to Make Mountain Array")</f>
        <v>Minimum Number of Removals to Make Mountain Array</v>
      </c>
      <c r="C892" s="1">
        <v>2266</v>
      </c>
      <c r="D892" s="1">
        <v>41</v>
      </c>
      <c r="E892" s="3">
        <f t="shared" si="6"/>
        <v>0.9822280017338535</v>
      </c>
      <c r="F892" s="1" t="s">
        <v>458</v>
      </c>
      <c r="G892" s="1" t="s">
        <v>28</v>
      </c>
      <c r="H892" s="1">
        <v>120805</v>
      </c>
      <c r="I892" s="1">
        <v>220389</v>
      </c>
      <c r="J892" s="7">
        <v>0.54800000000000004</v>
      </c>
      <c r="K892" s="1" t="s">
        <v>21</v>
      </c>
      <c r="L892" s="1" t="s">
        <v>21</v>
      </c>
      <c r="M892" s="1" t="s">
        <v>29</v>
      </c>
      <c r="N892" s="1" t="s">
        <v>22</v>
      </c>
      <c r="O892" s="1" t="str">
        <f t="shared" ca="1" si="7"/>
        <v>Please solve the LeetCode problem '1671. Minimum Number of Removals to Make Mountain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93" spans="1:15" x14ac:dyDescent="0.25">
      <c r="A893" s="1">
        <v>1684</v>
      </c>
      <c r="B893" s="2" t="str">
        <f>HYPERLINK("https://leetcode.com/problems/count-the-number-of-consistent-strings/", "Count the Number of Consistent Strings")</f>
        <v>Count the Number of Consistent Strings</v>
      </c>
      <c r="C893" s="1">
        <v>2263</v>
      </c>
      <c r="D893" s="1">
        <v>90</v>
      </c>
      <c r="E893" s="3">
        <f t="shared" si="6"/>
        <v>0.9617509562260943</v>
      </c>
      <c r="F893" s="1" t="s">
        <v>460</v>
      </c>
      <c r="G893" s="1" t="s">
        <v>20</v>
      </c>
      <c r="H893" s="1">
        <v>430705</v>
      </c>
      <c r="I893" s="1">
        <v>486940</v>
      </c>
      <c r="J893" s="7">
        <v>0.88500000000000001</v>
      </c>
      <c r="K893" s="1" t="s">
        <v>21</v>
      </c>
      <c r="L893" s="1" t="s">
        <v>21</v>
      </c>
      <c r="M893" s="1" t="s">
        <v>29</v>
      </c>
      <c r="N893" s="1" t="s">
        <v>22</v>
      </c>
      <c r="O893" s="1" t="str">
        <f t="shared" ca="1" si="7"/>
        <v>Please solve the LeetCode problem '1684. Count the Number of Consistent Strings'.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94" spans="1:15" x14ac:dyDescent="0.25">
      <c r="A894" s="1">
        <v>636</v>
      </c>
      <c r="B894" s="2" t="str">
        <f>HYPERLINK("https://leetcode.com/problems/exclusive-time-of-functions/", "Exclusive Time of Functions")</f>
        <v>Exclusive Time of Functions</v>
      </c>
      <c r="C894" s="1">
        <v>2262</v>
      </c>
      <c r="D894" s="1">
        <v>2960</v>
      </c>
      <c r="E894" s="3">
        <f t="shared" si="6"/>
        <v>0.43316736882420531</v>
      </c>
      <c r="F894" s="1" t="s">
        <v>454</v>
      </c>
      <c r="G894" s="1" t="s">
        <v>24</v>
      </c>
      <c r="H894" s="1">
        <v>327396</v>
      </c>
      <c r="I894" s="1">
        <v>496456</v>
      </c>
      <c r="J894" s="7">
        <v>0.65900000000000003</v>
      </c>
      <c r="K894" s="1" t="s">
        <v>21</v>
      </c>
      <c r="L894" s="1" t="s">
        <v>21</v>
      </c>
      <c r="M894" s="1" t="s">
        <v>29</v>
      </c>
      <c r="N894" s="1" t="s">
        <v>22</v>
      </c>
      <c r="O894" s="1" t="str">
        <f t="shared" ca="1" si="7"/>
        <v>Please solve the LeetCode problem '636. Exclusive Time of Functions'.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95" spans="1:15" x14ac:dyDescent="0.25">
      <c r="A895" s="1">
        <v>1125</v>
      </c>
      <c r="B895" s="2" t="str">
        <f>HYPERLINK("https://leetcode.com/problems/smallest-sufficient-team/", "Smallest Sufficient Team")</f>
        <v>Smallest Sufficient Team</v>
      </c>
      <c r="C895" s="1">
        <v>2262</v>
      </c>
      <c r="D895" s="1">
        <v>57</v>
      </c>
      <c r="E895" s="3">
        <f t="shared" si="6"/>
        <v>0.97542043984476068</v>
      </c>
      <c r="F895" s="1" t="s">
        <v>1359</v>
      </c>
      <c r="G895" s="1" t="s">
        <v>28</v>
      </c>
      <c r="H895" s="1">
        <v>71585</v>
      </c>
      <c r="I895" s="1">
        <v>129266</v>
      </c>
      <c r="J895" s="7">
        <v>0.55400000000000005</v>
      </c>
      <c r="K895" s="1" t="s">
        <v>21</v>
      </c>
      <c r="L895" s="1" t="s">
        <v>21</v>
      </c>
      <c r="M895" s="1" t="s">
        <v>29</v>
      </c>
      <c r="N895" s="1" t="s">
        <v>22</v>
      </c>
      <c r="O895" s="1" t="str">
        <f t="shared" ca="1" si="7"/>
        <v>Please solve the LeetCode problem '1125. Smallest Sufficient Team'.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96" spans="1:15" x14ac:dyDescent="0.25">
      <c r="A896" s="1">
        <v>668</v>
      </c>
      <c r="B896" s="2" t="str">
        <f>HYPERLINK("https://leetcode.com/problems/kth-smallest-number-in-multiplication-table/", "Kth Smallest Number in Multiplication Table")</f>
        <v>Kth Smallest Number in Multiplication Table</v>
      </c>
      <c r="C896" s="1">
        <v>2257</v>
      </c>
      <c r="D896" s="1">
        <v>61</v>
      </c>
      <c r="E896" s="3">
        <f t="shared" si="6"/>
        <v>0.97368421052631582</v>
      </c>
      <c r="F896" s="1" t="s">
        <v>139</v>
      </c>
      <c r="G896" s="1" t="s">
        <v>28</v>
      </c>
      <c r="H896" s="1">
        <v>81733</v>
      </c>
      <c r="I896" s="1">
        <v>152382</v>
      </c>
      <c r="J896" s="7">
        <v>0.53600000000000003</v>
      </c>
      <c r="K896" s="1" t="s">
        <v>21</v>
      </c>
      <c r="L896" s="1" t="s">
        <v>21</v>
      </c>
      <c r="M896" s="1" t="s">
        <v>29</v>
      </c>
      <c r="N896" s="1" t="s">
        <v>22</v>
      </c>
      <c r="O896" s="1" t="str">
        <f t="shared" ca="1" si="7"/>
        <v>Please solve the LeetCode problem '668. Kth Smallest Number in Multiplication Table'.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97" spans="1:15" x14ac:dyDescent="0.25">
      <c r="A897" s="1">
        <v>177</v>
      </c>
      <c r="B897" s="2" t="str">
        <f>HYPERLINK("https://leetcode.com/problems/nth-highest-salary/", "Nth Highest Salary")</f>
        <v>Nth Highest Salary</v>
      </c>
      <c r="C897" s="1">
        <v>2256</v>
      </c>
      <c r="D897" s="1">
        <v>1114</v>
      </c>
      <c r="E897" s="3">
        <f t="shared" si="6"/>
        <v>0.66943620178041541</v>
      </c>
      <c r="F897" s="1" t="s">
        <v>297</v>
      </c>
      <c r="G897" s="1" t="s">
        <v>24</v>
      </c>
      <c r="H897" s="1">
        <v>611634</v>
      </c>
      <c r="I897" s="1">
        <v>1579736</v>
      </c>
      <c r="J897" s="7">
        <v>0.38700000000000001</v>
      </c>
      <c r="K897" s="1" t="s">
        <v>21</v>
      </c>
      <c r="L897" s="1" t="s">
        <v>21</v>
      </c>
      <c r="M897" s="1" t="s">
        <v>29</v>
      </c>
      <c r="N897" s="1" t="s">
        <v>297</v>
      </c>
      <c r="O897" s="1" t="str">
        <f t="shared" ca="1" si="7"/>
        <v>Please solve the LeetCode problem '177. Nth Highest Salary'.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98" spans="1:15" x14ac:dyDescent="0.25">
      <c r="A898" s="1">
        <v>528</v>
      </c>
      <c r="B898" s="2" t="str">
        <f>HYPERLINK("https://leetcode.com/problems/random-pick-with-weight/", "Random Pick with Weight")</f>
        <v>Random Pick with Weight</v>
      </c>
      <c r="C898" s="1">
        <v>2256</v>
      </c>
      <c r="D898" s="1">
        <v>1046</v>
      </c>
      <c r="E898" s="3">
        <f t="shared" si="6"/>
        <v>0.6832222895215021</v>
      </c>
      <c r="F898" s="1" t="s">
        <v>461</v>
      </c>
      <c r="G898" s="1" t="s">
        <v>24</v>
      </c>
      <c r="H898" s="1">
        <v>677940</v>
      </c>
      <c r="I898" s="1">
        <v>1388195</v>
      </c>
      <c r="J898" s="7">
        <v>0.48799999999999999</v>
      </c>
      <c r="K898" s="1" t="s">
        <v>21</v>
      </c>
      <c r="L898" s="1" t="s">
        <v>21</v>
      </c>
      <c r="M898" s="1" t="s">
        <v>29</v>
      </c>
      <c r="N898" s="1" t="s">
        <v>22</v>
      </c>
      <c r="O898" s="1" t="str">
        <f t="shared" ca="1" si="7"/>
        <v>Please solve the LeetCode problem '528. Random Pick with Weight'.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899" spans="1:15" x14ac:dyDescent="0.25">
      <c r="A899" s="1">
        <v>2461</v>
      </c>
      <c r="B899" s="2" t="str">
        <f>HYPERLINK("https://leetcode.com/problems/maximum-sum-of-distinct-subarrays-with-length-k/", "Maximum Sum of Distinct Subarrays With Length K")</f>
        <v>Maximum Sum of Distinct Subarrays With Length K</v>
      </c>
      <c r="C899" s="1">
        <v>2256</v>
      </c>
      <c r="D899" s="1">
        <v>48</v>
      </c>
      <c r="E899" s="3">
        <f t="shared" si="6"/>
        <v>0.97916666666666663</v>
      </c>
      <c r="F899" s="1" t="s">
        <v>185</v>
      </c>
      <c r="G899" s="1" t="s">
        <v>24</v>
      </c>
      <c r="H899" s="1">
        <v>245543</v>
      </c>
      <c r="I899" s="1">
        <v>574441</v>
      </c>
      <c r="J899" s="7">
        <v>0.42699999999999999</v>
      </c>
      <c r="K899" s="1" t="s">
        <v>21</v>
      </c>
      <c r="L899" s="1" t="s">
        <v>21</v>
      </c>
      <c r="M899" s="1" t="s">
        <v>29</v>
      </c>
      <c r="N899" s="1" t="s">
        <v>22</v>
      </c>
      <c r="O899" s="1" t="str">
        <f t="shared" ca="1" si="7"/>
        <v>Please solve the LeetCode problem '2461. Maximum Sum of Distinct Subarrays With Length K'.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00" spans="1:15" x14ac:dyDescent="0.25">
      <c r="A900" s="1">
        <v>2225</v>
      </c>
      <c r="B900" s="2" t="str">
        <f>HYPERLINK("https://leetcode.com/problems/find-players-with-zero-or-one-losses/", "Find Players With Zero or One Losses")</f>
        <v>Find Players With Zero or One Losses</v>
      </c>
      <c r="C900" s="1">
        <v>2252</v>
      </c>
      <c r="D900" s="1">
        <v>158</v>
      </c>
      <c r="E900" s="3">
        <f t="shared" si="6"/>
        <v>0.93443983402489628</v>
      </c>
      <c r="F900" s="1" t="s">
        <v>125</v>
      </c>
      <c r="G900" s="1" t="s">
        <v>24</v>
      </c>
      <c r="H900" s="1">
        <v>306007</v>
      </c>
      <c r="I900" s="1">
        <v>422320</v>
      </c>
      <c r="J900" s="7">
        <v>0.72499999999999998</v>
      </c>
      <c r="K900" s="1" t="s">
        <v>21</v>
      </c>
      <c r="L900" s="1" t="s">
        <v>21</v>
      </c>
      <c r="M900" s="1" t="s">
        <v>29</v>
      </c>
      <c r="N900" s="1" t="s">
        <v>22</v>
      </c>
      <c r="O900" s="1" t="str">
        <f t="shared" ca="1" si="7"/>
        <v>Please solve the LeetCode problem '2225. Find Players With Zero or One Losses'.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01" spans="1:15" x14ac:dyDescent="0.25">
      <c r="A901" s="1">
        <v>731</v>
      </c>
      <c r="B901" s="2" t="str">
        <f>HYPERLINK("https://leetcode.com/problems/my-calendar-ii/", "My Calendar II")</f>
        <v>My Calendar II</v>
      </c>
      <c r="C901" s="1">
        <v>2249</v>
      </c>
      <c r="D901" s="1">
        <v>186</v>
      </c>
      <c r="E901" s="3">
        <f t="shared" si="6"/>
        <v>0.92361396303901433</v>
      </c>
      <c r="F901" s="1" t="s">
        <v>463</v>
      </c>
      <c r="G901" s="1" t="s">
        <v>24</v>
      </c>
      <c r="H901" s="1">
        <v>207229</v>
      </c>
      <c r="I901" s="1">
        <v>330500</v>
      </c>
      <c r="J901" s="7">
        <v>0.627</v>
      </c>
      <c r="K901" s="1" t="s">
        <v>21</v>
      </c>
      <c r="L901" s="1" t="s">
        <v>21</v>
      </c>
      <c r="M901" s="1" t="s">
        <v>29</v>
      </c>
      <c r="N901" s="1" t="s">
        <v>22</v>
      </c>
      <c r="O901" s="1" t="str">
        <f t="shared" ca="1" si="7"/>
        <v>Please solve the LeetCode problem '731. My Calendar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02" spans="1:15" x14ac:dyDescent="0.25">
      <c r="A902" s="1">
        <v>1833</v>
      </c>
      <c r="B902" s="2" t="str">
        <f>HYPERLINK("https://leetcode.com/problems/maximum-ice-cream-bars/", "Maximum Ice Cream Bars")</f>
        <v>Maximum Ice Cream Bars</v>
      </c>
      <c r="C902" s="1">
        <v>2248</v>
      </c>
      <c r="D902" s="1">
        <v>679</v>
      </c>
      <c r="E902" s="3">
        <f t="shared" si="6"/>
        <v>0.76802186539118555</v>
      </c>
      <c r="F902" s="1" t="s">
        <v>443</v>
      </c>
      <c r="G902" s="1" t="s">
        <v>24</v>
      </c>
      <c r="H902" s="1">
        <v>185435</v>
      </c>
      <c r="I902" s="1">
        <v>250083</v>
      </c>
      <c r="J902" s="7">
        <v>0.74099999999999999</v>
      </c>
      <c r="K902" s="1" t="s">
        <v>21</v>
      </c>
      <c r="L902" s="1" t="s">
        <v>21</v>
      </c>
      <c r="M902" s="1" t="s">
        <v>29</v>
      </c>
      <c r="N902" s="1" t="s">
        <v>22</v>
      </c>
      <c r="O902" s="1" t="str">
        <f t="shared" ca="1" si="7"/>
        <v>Please solve the LeetCode problem '1833. Maximum Ice Cream Bars'.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03" spans="1:15" x14ac:dyDescent="0.25">
      <c r="A903" s="1">
        <v>1518</v>
      </c>
      <c r="B903" s="2" t="str">
        <f>HYPERLINK("https://leetcode.com/problems/water-bottles/", "Water Bottles")</f>
        <v>Water Bottles</v>
      </c>
      <c r="C903" s="1">
        <v>2247</v>
      </c>
      <c r="D903" s="1">
        <v>178</v>
      </c>
      <c r="E903" s="3">
        <f t="shared" si="6"/>
        <v>0.92659793814432989</v>
      </c>
      <c r="F903" s="1" t="s">
        <v>465</v>
      </c>
      <c r="G903" s="1" t="s">
        <v>20</v>
      </c>
      <c r="H903" s="1">
        <v>426339</v>
      </c>
      <c r="I903" s="1">
        <v>587223</v>
      </c>
      <c r="J903" s="7">
        <v>0.72599999999999998</v>
      </c>
      <c r="K903" s="1" t="s">
        <v>21</v>
      </c>
      <c r="L903" s="1" t="s">
        <v>21</v>
      </c>
      <c r="M903" s="1" t="s">
        <v>29</v>
      </c>
      <c r="N903" s="1" t="s">
        <v>22</v>
      </c>
      <c r="O903" s="1" t="str">
        <f t="shared" ca="1" si="7"/>
        <v>Please solve the LeetCode problem '1518. Water Bottles'.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04" spans="1:15" x14ac:dyDescent="0.25">
      <c r="A904" s="1">
        <v>888</v>
      </c>
      <c r="B904" s="2" t="str">
        <f>HYPERLINK("https://leetcode.com/problems/fair-candy-swap/", "Fair Candy Swap")</f>
        <v>Fair Candy Swap</v>
      </c>
      <c r="C904" s="1">
        <v>2246</v>
      </c>
      <c r="D904" s="1">
        <v>420</v>
      </c>
      <c r="E904" s="3">
        <f t="shared" si="6"/>
        <v>0.84246061515378845</v>
      </c>
      <c r="F904" s="1" t="s">
        <v>464</v>
      </c>
      <c r="G904" s="1" t="s">
        <v>20</v>
      </c>
      <c r="H904" s="1">
        <v>163339</v>
      </c>
      <c r="I904" s="1">
        <v>253892</v>
      </c>
      <c r="J904" s="7">
        <v>0.64300000000000002</v>
      </c>
      <c r="K904" s="1" t="s">
        <v>21</v>
      </c>
      <c r="L904" s="1" t="s">
        <v>21</v>
      </c>
      <c r="M904" s="1" t="s">
        <v>29</v>
      </c>
      <c r="N904" s="1" t="s">
        <v>22</v>
      </c>
      <c r="O904" s="1" t="str">
        <f t="shared" ca="1" si="7"/>
        <v>Please solve the LeetCode problem '888. Fair Candy Swap'.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05" spans="1:15" x14ac:dyDescent="0.25">
      <c r="A905" s="1">
        <v>1669</v>
      </c>
      <c r="B905" s="2" t="str">
        <f>HYPERLINK("https://leetcode.com/problems/merge-in-between-linked-lists/", "Merge In Between Linked Lists")</f>
        <v>Merge In Between Linked Lists</v>
      </c>
      <c r="C905" s="1">
        <v>2246</v>
      </c>
      <c r="D905" s="1">
        <v>227</v>
      </c>
      <c r="E905" s="3">
        <f t="shared" si="6"/>
        <v>0.90820865345733925</v>
      </c>
      <c r="F905" s="1" t="s">
        <v>104</v>
      </c>
      <c r="G905" s="1" t="s">
        <v>24</v>
      </c>
      <c r="H905" s="1">
        <v>269006</v>
      </c>
      <c r="I905" s="1">
        <v>324827</v>
      </c>
      <c r="J905" s="7">
        <v>0.82799999999999996</v>
      </c>
      <c r="K905" s="1" t="s">
        <v>21</v>
      </c>
      <c r="L905" s="1" t="s">
        <v>21</v>
      </c>
      <c r="M905" s="1" t="s">
        <v>29</v>
      </c>
      <c r="N905" s="1" t="s">
        <v>22</v>
      </c>
      <c r="O905" s="1" t="str">
        <f t="shared" ca="1" si="7"/>
        <v>Please solve the LeetCode problem '1669. Merge In Between Linked Lists'.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06" spans="1:15" x14ac:dyDescent="0.25">
      <c r="A906" s="1">
        <v>1160</v>
      </c>
      <c r="B906" s="2" t="str">
        <f>HYPERLINK("https://leetcode.com/problems/find-words-that-can-be-formed-by-characters/", "Find Words That Can Be Formed by Characters")</f>
        <v>Find Words That Can Be Formed by Characters</v>
      </c>
      <c r="C906" s="1">
        <v>2243</v>
      </c>
      <c r="D906" s="1">
        <v>189</v>
      </c>
      <c r="E906" s="3">
        <f t="shared" si="6"/>
        <v>0.92228618421052633</v>
      </c>
      <c r="F906" s="1" t="s">
        <v>467</v>
      </c>
      <c r="G906" s="1" t="s">
        <v>20</v>
      </c>
      <c r="H906" s="1">
        <v>323149</v>
      </c>
      <c r="I906" s="1">
        <v>452552</v>
      </c>
      <c r="J906" s="7">
        <v>0.71399999999999997</v>
      </c>
      <c r="K906" s="1" t="s">
        <v>21</v>
      </c>
      <c r="L906" s="1" t="s">
        <v>21</v>
      </c>
      <c r="M906" s="1" t="s">
        <v>29</v>
      </c>
      <c r="N906" s="1" t="s">
        <v>22</v>
      </c>
      <c r="O906" s="1" t="str">
        <f t="shared" ca="1" si="7"/>
        <v>Please solve the LeetCode problem '1160. Find Words That Can Be Formed by Characters'.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07" spans="1:15" x14ac:dyDescent="0.25">
      <c r="A907" s="1">
        <v>1361</v>
      </c>
      <c r="B907" s="2" t="str">
        <f>HYPERLINK("https://leetcode.com/problems/validate-binary-tree-nodes/", "Validate Binary Tree Nodes")</f>
        <v>Validate Binary Tree Nodes</v>
      </c>
      <c r="C907" s="1">
        <v>2243</v>
      </c>
      <c r="D907" s="1">
        <v>523</v>
      </c>
      <c r="E907" s="3">
        <f t="shared" si="6"/>
        <v>0.81091829356471434</v>
      </c>
      <c r="F907" s="1" t="s">
        <v>468</v>
      </c>
      <c r="G907" s="1" t="s">
        <v>24</v>
      </c>
      <c r="H907" s="1">
        <v>133005</v>
      </c>
      <c r="I907" s="1">
        <v>302103</v>
      </c>
      <c r="J907" s="7">
        <v>0.44</v>
      </c>
      <c r="K907" s="1" t="s">
        <v>21</v>
      </c>
      <c r="L907" s="1" t="s">
        <v>21</v>
      </c>
      <c r="M907" s="1" t="s">
        <v>29</v>
      </c>
      <c r="N907" s="1" t="s">
        <v>22</v>
      </c>
      <c r="O907" s="1" t="str">
        <f t="shared" ca="1" si="7"/>
        <v>Please solve the LeetCode problem '1361. Validate Binary Tree Nodes'.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08" spans="1:15" x14ac:dyDescent="0.25">
      <c r="A908" s="1">
        <v>2316</v>
      </c>
      <c r="B908" s="2" t="str">
        <f>HYPERLINK("https://leetcode.com/problems/count-unreachable-pairs-of-nodes-in-an-undirected-graph/", "Count Unreachable Pairs of Nodes in an Undirected Graph")</f>
        <v>Count Unreachable Pairs of Nodes in an Undirected Graph</v>
      </c>
      <c r="C908" s="1">
        <v>2241</v>
      </c>
      <c r="D908" s="1">
        <v>55</v>
      </c>
      <c r="E908" s="3">
        <f t="shared" si="6"/>
        <v>0.97604529616724733</v>
      </c>
      <c r="F908" s="1" t="s">
        <v>122</v>
      </c>
      <c r="G908" s="1" t="s">
        <v>24</v>
      </c>
      <c r="H908" s="1">
        <v>115980</v>
      </c>
      <c r="I908" s="1">
        <v>233205</v>
      </c>
      <c r="J908" s="7">
        <v>0.497</v>
      </c>
      <c r="K908" s="1" t="s">
        <v>21</v>
      </c>
      <c r="L908" s="1" t="s">
        <v>21</v>
      </c>
      <c r="M908" s="1" t="s">
        <v>29</v>
      </c>
      <c r="N908" s="1" t="s">
        <v>22</v>
      </c>
      <c r="O908" s="1" t="str">
        <f t="shared" ca="1" si="7"/>
        <v>Please solve the LeetCode problem '2316. Count Unreachable Pairs of Nodes in an Undirected Graph'.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09" spans="1:15" x14ac:dyDescent="0.25">
      <c r="A909" s="1">
        <v>828</v>
      </c>
      <c r="B909" s="2" t="str">
        <f>HYPERLINK("https://leetcode.com/problems/count-unique-characters-of-all-substrings-of-a-given-string/", "Count Unique Characters of All Substrings of a Given String")</f>
        <v>Count Unique Characters of All Substrings of a Given String</v>
      </c>
      <c r="C909" s="1">
        <v>2240</v>
      </c>
      <c r="D909" s="1">
        <v>256</v>
      </c>
      <c r="E909" s="3">
        <f t="shared" si="6"/>
        <v>0.89743589743589747</v>
      </c>
      <c r="F909" s="1" t="s">
        <v>466</v>
      </c>
      <c r="G909" s="1" t="s">
        <v>28</v>
      </c>
      <c r="H909" s="1">
        <v>82614</v>
      </c>
      <c r="I909" s="1">
        <v>154725</v>
      </c>
      <c r="J909" s="7">
        <v>0.53400000000000003</v>
      </c>
      <c r="K909" s="1" t="s">
        <v>21</v>
      </c>
      <c r="L909" s="1" t="s">
        <v>21</v>
      </c>
      <c r="M909" s="1" t="s">
        <v>29</v>
      </c>
      <c r="N909" s="1" t="s">
        <v>22</v>
      </c>
      <c r="O909" s="1" t="str">
        <f t="shared" ca="1" si="7"/>
        <v>Please solve the LeetCode problem '828. Count Unique Characters of All Substrings of a Given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10" spans="1:15" x14ac:dyDescent="0.25">
      <c r="A910" s="1">
        <v>1425</v>
      </c>
      <c r="B910" s="2" t="str">
        <f>HYPERLINK("https://leetcode.com/problems/constrained-subsequence-sum/", "Constrained Subsequence Sum")</f>
        <v>Constrained Subsequence Sum</v>
      </c>
      <c r="C910" s="1">
        <v>2228</v>
      </c>
      <c r="D910" s="1">
        <v>108</v>
      </c>
      <c r="E910" s="3">
        <f t="shared" si="6"/>
        <v>0.95376712328767121</v>
      </c>
      <c r="F910" s="1" t="s">
        <v>469</v>
      </c>
      <c r="G910" s="1" t="s">
        <v>28</v>
      </c>
      <c r="H910" s="1">
        <v>90007</v>
      </c>
      <c r="I910" s="1">
        <v>159668</v>
      </c>
      <c r="J910" s="7">
        <v>0.56399999999999995</v>
      </c>
      <c r="K910" s="1" t="s">
        <v>21</v>
      </c>
      <c r="L910" s="1" t="s">
        <v>21</v>
      </c>
      <c r="M910" s="1" t="s">
        <v>29</v>
      </c>
      <c r="N910" s="1" t="s">
        <v>22</v>
      </c>
      <c r="O910" s="1" t="str">
        <f t="shared" ca="1" si="7"/>
        <v>Please solve the LeetCode problem '1425. Constrained Subsequence Sum'.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11" spans="1:15" x14ac:dyDescent="0.25">
      <c r="A911" s="1">
        <v>2125</v>
      </c>
      <c r="B911" s="2" t="str">
        <f>HYPERLINK("https://leetcode.com/problems/number-of-laser-beams-in-a-bank/", "Number of Laser Beams in a Bank")</f>
        <v>Number of Laser Beams in a Bank</v>
      </c>
      <c r="C911" s="1">
        <v>2219</v>
      </c>
      <c r="D911" s="1">
        <v>223</v>
      </c>
      <c r="E911" s="3">
        <f t="shared" si="6"/>
        <v>0.90868140868140868</v>
      </c>
      <c r="F911" s="1" t="s">
        <v>470</v>
      </c>
      <c r="G911" s="1" t="s">
        <v>24</v>
      </c>
      <c r="H911" s="1">
        <v>343099</v>
      </c>
      <c r="I911" s="1">
        <v>394269</v>
      </c>
      <c r="J911" s="7">
        <v>0.87</v>
      </c>
      <c r="K911" s="1" t="s">
        <v>21</v>
      </c>
      <c r="L911" s="1" t="s">
        <v>21</v>
      </c>
      <c r="M911" s="1" t="s">
        <v>29</v>
      </c>
      <c r="N911" s="1" t="s">
        <v>22</v>
      </c>
      <c r="O911" s="1" t="str">
        <f t="shared" ca="1" si="7"/>
        <v>Please solve the LeetCode problem '2125. Number of Laser Beams in a Bank'.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12" spans="1:15" x14ac:dyDescent="0.25">
      <c r="A912" s="1">
        <v>432</v>
      </c>
      <c r="B912" s="2" t="str">
        <f>HYPERLINK("https://leetcode.com/problems/all-oone-data-structure/", "All O`one Data Structure")</f>
        <v>All O`one Data Structure</v>
      </c>
      <c r="C912" s="1">
        <v>2212</v>
      </c>
      <c r="D912" s="1">
        <v>223</v>
      </c>
      <c r="E912" s="3">
        <f t="shared" si="6"/>
        <v>0.90841889117043118</v>
      </c>
      <c r="F912" s="1" t="s">
        <v>45</v>
      </c>
      <c r="G912" s="1" t="s">
        <v>28</v>
      </c>
      <c r="H912" s="1">
        <v>197926</v>
      </c>
      <c r="I912" s="1">
        <v>448543</v>
      </c>
      <c r="J912" s="7">
        <v>0.441</v>
      </c>
      <c r="K912" s="1" t="s">
        <v>21</v>
      </c>
      <c r="L912" s="1" t="s">
        <v>21</v>
      </c>
      <c r="M912" s="1" t="s">
        <v>29</v>
      </c>
      <c r="N912" s="1" t="s">
        <v>22</v>
      </c>
      <c r="O912" s="1" t="str">
        <f t="shared" ca="1" si="7"/>
        <v>Please solve the LeetCode problem '432. All O`one Data Structure'.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13" spans="1:15" x14ac:dyDescent="0.25">
      <c r="A913" s="1">
        <v>2466</v>
      </c>
      <c r="B913" s="2" t="str">
        <f>HYPERLINK("https://leetcode.com/problems/count-ways-to-build-good-strings/", "Count Ways To Build Good Strings")</f>
        <v>Count Ways To Build Good Strings</v>
      </c>
      <c r="C913" s="1">
        <v>2211</v>
      </c>
      <c r="D913" s="1">
        <v>211</v>
      </c>
      <c r="E913" s="3">
        <f t="shared" si="6"/>
        <v>0.91288191577208921</v>
      </c>
      <c r="F913" s="1" t="s">
        <v>251</v>
      </c>
      <c r="G913" s="1" t="s">
        <v>24</v>
      </c>
      <c r="H913" s="1">
        <v>178057</v>
      </c>
      <c r="I913" s="1">
        <v>301837</v>
      </c>
      <c r="J913" s="7">
        <v>0.59</v>
      </c>
      <c r="K913" s="1" t="s">
        <v>21</v>
      </c>
      <c r="L913" s="1" t="s">
        <v>21</v>
      </c>
      <c r="M913" s="1" t="s">
        <v>29</v>
      </c>
      <c r="N913" s="1" t="s">
        <v>22</v>
      </c>
      <c r="O913" s="1" t="str">
        <f t="shared" ca="1" si="7"/>
        <v>Please solve the LeetCode problem '2466. Count Ways To Build Good Strings'.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14" spans="1:15" x14ac:dyDescent="0.25">
      <c r="A914" s="1">
        <v>690</v>
      </c>
      <c r="B914" s="2" t="str">
        <f>HYPERLINK("https://leetcode.com/problems/employee-importance/", "Employee Importance")</f>
        <v>Employee Importance</v>
      </c>
      <c r="C914" s="1">
        <v>2200</v>
      </c>
      <c r="D914" s="1">
        <v>1358</v>
      </c>
      <c r="E914" s="3">
        <f t="shared" si="6"/>
        <v>0.61832490163012932</v>
      </c>
      <c r="F914" s="1" t="s">
        <v>471</v>
      </c>
      <c r="G914" s="1" t="s">
        <v>24</v>
      </c>
      <c r="H914" s="1">
        <v>247879</v>
      </c>
      <c r="I914" s="1">
        <v>358311</v>
      </c>
      <c r="J914" s="7">
        <v>0.69199999999999995</v>
      </c>
      <c r="K914" s="1" t="s">
        <v>21</v>
      </c>
      <c r="L914" s="1" t="s">
        <v>21</v>
      </c>
      <c r="M914" s="1" t="s">
        <v>29</v>
      </c>
      <c r="N914" s="1" t="s">
        <v>22</v>
      </c>
      <c r="O914" s="1" t="str">
        <f t="shared" ca="1" si="7"/>
        <v>Please solve the LeetCode problem '690. Employee Importance'.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15" spans="1:15" x14ac:dyDescent="0.25">
      <c r="A915" s="1">
        <v>813</v>
      </c>
      <c r="B915" s="2" t="str">
        <f>HYPERLINK("https://leetcode.com/problems/largest-sum-of-averages/", "Largest Sum of Averages")</f>
        <v>Largest Sum of Averages</v>
      </c>
      <c r="C915" s="1">
        <v>2194</v>
      </c>
      <c r="D915" s="1">
        <v>104</v>
      </c>
      <c r="E915" s="3">
        <f t="shared" si="6"/>
        <v>0.95474325500435164</v>
      </c>
      <c r="F915" s="1" t="s">
        <v>407</v>
      </c>
      <c r="G915" s="1" t="s">
        <v>24</v>
      </c>
      <c r="H915" s="1">
        <v>65216</v>
      </c>
      <c r="I915" s="1">
        <v>119238</v>
      </c>
      <c r="J915" s="7">
        <v>0.54700000000000004</v>
      </c>
      <c r="K915" s="1" t="s">
        <v>21</v>
      </c>
      <c r="L915" s="1" t="s">
        <v>21</v>
      </c>
      <c r="M915" s="1" t="s">
        <v>29</v>
      </c>
      <c r="N915" s="1" t="s">
        <v>22</v>
      </c>
      <c r="O915" s="1" t="str">
        <f t="shared" ca="1" si="7"/>
        <v>Please solve the LeetCode problem '813. Largest Sum of Averages'.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16" spans="1:15" x14ac:dyDescent="0.25">
      <c r="A916" s="1">
        <v>1605</v>
      </c>
      <c r="B916" s="2" t="str">
        <f>HYPERLINK("https://leetcode.com/problems/find-valid-matrix-given-row-and-column-sums/", "Find Valid Matrix Given Row and Column Sums")</f>
        <v>Find Valid Matrix Given Row and Column Sums</v>
      </c>
      <c r="C916" s="1">
        <v>2192</v>
      </c>
      <c r="D916" s="1">
        <v>98</v>
      </c>
      <c r="E916" s="3">
        <f t="shared" si="6"/>
        <v>0.95720524017467246</v>
      </c>
      <c r="F916" s="1" t="s">
        <v>405</v>
      </c>
      <c r="G916" s="1" t="s">
        <v>24</v>
      </c>
      <c r="H916" s="1">
        <v>159902</v>
      </c>
      <c r="I916" s="1">
        <v>193324</v>
      </c>
      <c r="J916" s="7">
        <v>0.82699999999999996</v>
      </c>
      <c r="K916" s="1" t="s">
        <v>21</v>
      </c>
      <c r="L916" s="1" t="s">
        <v>21</v>
      </c>
      <c r="M916" s="1" t="s">
        <v>29</v>
      </c>
      <c r="N916" s="1" t="s">
        <v>22</v>
      </c>
      <c r="O916" s="1" t="str">
        <f t="shared" ca="1" si="7"/>
        <v>Please solve the LeetCode problem '1605. Find Valid Matrix Given Row and Column Sums'.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17" spans="1:15" x14ac:dyDescent="0.25">
      <c r="A917" s="1">
        <v>1148</v>
      </c>
      <c r="B917" s="2" t="str">
        <f>HYPERLINK("https://leetcode.com/problems/article-views-i/", "Article Views I")</f>
        <v>Article Views I</v>
      </c>
      <c r="C917" s="1">
        <v>2190</v>
      </c>
      <c r="D917" s="1">
        <v>133</v>
      </c>
      <c r="E917" s="3">
        <f t="shared" si="6"/>
        <v>0.94274644855789924</v>
      </c>
      <c r="F917" s="1" t="s">
        <v>297</v>
      </c>
      <c r="G917" s="1" t="s">
        <v>20</v>
      </c>
      <c r="H917" s="1">
        <v>1514736</v>
      </c>
      <c r="I917" s="1">
        <v>1972568</v>
      </c>
      <c r="J917" s="7">
        <v>0.76800000000000002</v>
      </c>
      <c r="K917" s="1" t="s">
        <v>21</v>
      </c>
      <c r="L917" s="1" t="s">
        <v>21</v>
      </c>
      <c r="M917" s="1" t="s">
        <v>29</v>
      </c>
      <c r="N917" s="1" t="s">
        <v>297</v>
      </c>
      <c r="O917" s="1" t="str">
        <f t="shared" ca="1" si="7"/>
        <v>Please solve the LeetCode problem '1148. Article Views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18" spans="1:15" x14ac:dyDescent="0.25">
      <c r="A918" s="1">
        <v>937</v>
      </c>
      <c r="B918" s="2" t="str">
        <f>HYPERLINK("https://leetcode.com/problems/reorder-data-in-log-files/", "Reorder Data in Log Files")</f>
        <v>Reorder Data in Log Files</v>
      </c>
      <c r="C918" s="1">
        <v>2188</v>
      </c>
      <c r="D918" s="1">
        <v>4418</v>
      </c>
      <c r="E918" s="3">
        <f t="shared" si="6"/>
        <v>0.33121404783530123</v>
      </c>
      <c r="F918" s="1" t="s">
        <v>472</v>
      </c>
      <c r="G918" s="1" t="s">
        <v>24</v>
      </c>
      <c r="H918" s="1">
        <v>406980</v>
      </c>
      <c r="I918" s="1">
        <v>715493</v>
      </c>
      <c r="J918" s="7">
        <v>0.56899999999999995</v>
      </c>
      <c r="K918" s="1" t="s">
        <v>21</v>
      </c>
      <c r="L918" s="1" t="s">
        <v>21</v>
      </c>
      <c r="M918" s="1" t="s">
        <v>29</v>
      </c>
      <c r="N918" s="1" t="s">
        <v>22</v>
      </c>
      <c r="O918" s="1" t="str">
        <f t="shared" ca="1" si="7"/>
        <v>Please solve the LeetCode problem '937. Reorder Data in Log Files'.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19" spans="1:15" x14ac:dyDescent="0.25">
      <c r="A919" s="1">
        <v>1685</v>
      </c>
      <c r="B919" s="2" t="str">
        <f>HYPERLINK("https://leetcode.com/problems/sum-of-absolute-differences-in-a-sorted-array/", "Sum of Absolute Differences in a Sorted Array")</f>
        <v>Sum of Absolute Differences in a Sorted Array</v>
      </c>
      <c r="C919" s="1">
        <v>2184</v>
      </c>
      <c r="D919" s="1">
        <v>82</v>
      </c>
      <c r="E919" s="3">
        <f t="shared" si="6"/>
        <v>0.96381288614298322</v>
      </c>
      <c r="F919" s="1" t="s">
        <v>317</v>
      </c>
      <c r="G919" s="1" t="s">
        <v>24</v>
      </c>
      <c r="H919" s="1">
        <v>128747</v>
      </c>
      <c r="I919" s="1">
        <v>189053</v>
      </c>
      <c r="J919" s="7">
        <v>0.68100000000000005</v>
      </c>
      <c r="K919" s="1" t="s">
        <v>21</v>
      </c>
      <c r="L919" s="1" t="s">
        <v>21</v>
      </c>
      <c r="M919" s="1" t="s">
        <v>29</v>
      </c>
      <c r="N919" s="1" t="s">
        <v>22</v>
      </c>
      <c r="O919" s="1" t="str">
        <f t="shared" ca="1" si="7"/>
        <v>Please solve the LeetCode problem '1685. Sum of Absolute Differences in a Sorted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20" spans="1:15" x14ac:dyDescent="0.25">
      <c r="A920" s="1">
        <v>1422</v>
      </c>
      <c r="B920" s="2" t="str">
        <f>HYPERLINK("https://leetcode.com/problems/maximum-score-after-splitting-a-string/", "Maximum Score After Splitting a String")</f>
        <v>Maximum Score After Splitting a String</v>
      </c>
      <c r="C920" s="1">
        <v>2181</v>
      </c>
      <c r="D920" s="1">
        <v>91</v>
      </c>
      <c r="E920" s="3">
        <f t="shared" si="6"/>
        <v>0.95994718309859151</v>
      </c>
      <c r="F920" s="1" t="s">
        <v>438</v>
      </c>
      <c r="G920" s="1" t="s">
        <v>20</v>
      </c>
      <c r="H920" s="1">
        <v>367359</v>
      </c>
      <c r="I920" s="1">
        <v>564392</v>
      </c>
      <c r="J920" s="7">
        <v>0.65100000000000002</v>
      </c>
      <c r="K920" s="1" t="s">
        <v>21</v>
      </c>
      <c r="L920" s="1" t="s">
        <v>21</v>
      </c>
      <c r="M920" s="1" t="s">
        <v>29</v>
      </c>
      <c r="N920" s="1" t="s">
        <v>22</v>
      </c>
      <c r="O920" s="1" t="str">
        <f t="shared" ca="1" si="7"/>
        <v>Please solve the LeetCode problem '1422. Maximum Score After Splitting a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21" spans="1:15" x14ac:dyDescent="0.25">
      <c r="A921" s="1">
        <v>642</v>
      </c>
      <c r="B921" s="2" t="str">
        <f>HYPERLINK("https://leetcode.com/problems/design-search-autocomplete-system/", "Design Search Autocomplete System")</f>
        <v>Design Search Autocomplete System</v>
      </c>
      <c r="C921" s="1">
        <v>2176</v>
      </c>
      <c r="D921" s="1">
        <v>198</v>
      </c>
      <c r="E921" s="3">
        <f t="shared" si="6"/>
        <v>0.91659646166807074</v>
      </c>
      <c r="F921" s="1" t="s">
        <v>474</v>
      </c>
      <c r="G921" s="1" t="s">
        <v>28</v>
      </c>
      <c r="H921" s="1">
        <v>163408</v>
      </c>
      <c r="I921" s="1">
        <v>329017</v>
      </c>
      <c r="J921" s="7">
        <v>0.497</v>
      </c>
      <c r="K921" s="1" t="s">
        <v>29</v>
      </c>
      <c r="L921" s="1" t="s">
        <v>21</v>
      </c>
      <c r="M921" s="1" t="s">
        <v>29</v>
      </c>
      <c r="N921" s="1" t="s">
        <v>22</v>
      </c>
      <c r="O921" s="1" t="str">
        <f t="shared" ca="1" si="7"/>
        <v>Please solve the LeetCode problem '642. Design Search Autocomplete System'.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22" spans="1:15" x14ac:dyDescent="0.25">
      <c r="A922" s="1">
        <v>1653</v>
      </c>
      <c r="B922" s="2" t="str">
        <f>HYPERLINK("https://leetcode.com/problems/minimum-deletions-to-make-string-balanced/", "Minimum Deletions to Make String Balanced")</f>
        <v>Minimum Deletions to Make String Balanced</v>
      </c>
      <c r="C922" s="1">
        <v>2172</v>
      </c>
      <c r="D922" s="1">
        <v>69</v>
      </c>
      <c r="E922" s="3">
        <f t="shared" si="6"/>
        <v>0.96921017402945109</v>
      </c>
      <c r="F922" s="1" t="s">
        <v>98</v>
      </c>
      <c r="G922" s="1" t="s">
        <v>24</v>
      </c>
      <c r="H922" s="1">
        <v>178502</v>
      </c>
      <c r="I922" s="1">
        <v>272151</v>
      </c>
      <c r="J922" s="7">
        <v>0.65600000000000003</v>
      </c>
      <c r="K922" s="1" t="s">
        <v>21</v>
      </c>
      <c r="L922" s="1" t="s">
        <v>21</v>
      </c>
      <c r="M922" s="1" t="s">
        <v>29</v>
      </c>
      <c r="N922" s="1" t="s">
        <v>22</v>
      </c>
      <c r="O922" s="1" t="str">
        <f t="shared" ca="1" si="7"/>
        <v>Please solve the LeetCode problem '1653. Minimum Deletions to Make String Balanced'.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23" spans="1:15" x14ac:dyDescent="0.25">
      <c r="A923" s="1">
        <v>1673</v>
      </c>
      <c r="B923" s="2" t="str">
        <f>HYPERLINK("https://leetcode.com/problems/find-the-most-competitive-subsequence/", "Find the Most Competitive Subsequence")</f>
        <v>Find the Most Competitive Subsequence</v>
      </c>
      <c r="C923" s="1">
        <v>2171</v>
      </c>
      <c r="D923" s="1">
        <v>105</v>
      </c>
      <c r="E923" s="3">
        <f t="shared" si="6"/>
        <v>0.95386643233743407</v>
      </c>
      <c r="F923" s="1" t="s">
        <v>473</v>
      </c>
      <c r="G923" s="1" t="s">
        <v>24</v>
      </c>
      <c r="H923" s="1">
        <v>81060</v>
      </c>
      <c r="I923" s="1">
        <v>154289</v>
      </c>
      <c r="J923" s="7">
        <v>0.52500000000000002</v>
      </c>
      <c r="K923" s="1" t="s">
        <v>21</v>
      </c>
      <c r="L923" s="1" t="s">
        <v>21</v>
      </c>
      <c r="M923" s="1" t="s">
        <v>29</v>
      </c>
      <c r="N923" s="1" t="s">
        <v>22</v>
      </c>
      <c r="O923" s="1" t="str">
        <f t="shared" ca="1" si="7"/>
        <v>Please solve the LeetCode problem '1673. Find the Most Competitive Subsequence'.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24" spans="1:15" x14ac:dyDescent="0.25">
      <c r="A924" s="1">
        <v>348</v>
      </c>
      <c r="B924" s="2" t="str">
        <f>HYPERLINK("https://leetcode.com/problems/design-tic-tac-toe/", "Design Tic-Tac-Toe")</f>
        <v>Design Tic-Tac-Toe</v>
      </c>
      <c r="C924" s="1">
        <v>2165</v>
      </c>
      <c r="D924" s="1">
        <v>120</v>
      </c>
      <c r="E924" s="3">
        <f t="shared" si="6"/>
        <v>0.94748358862144422</v>
      </c>
      <c r="F924" s="1" t="s">
        <v>475</v>
      </c>
      <c r="G924" s="1" t="s">
        <v>24</v>
      </c>
      <c r="H924" s="1">
        <v>309193</v>
      </c>
      <c r="I924" s="1">
        <v>526566</v>
      </c>
      <c r="J924" s="7">
        <v>0.58699999999999997</v>
      </c>
      <c r="K924" s="1" t="s">
        <v>29</v>
      </c>
      <c r="L924" s="1" t="s">
        <v>21</v>
      </c>
      <c r="M924" s="1" t="s">
        <v>29</v>
      </c>
      <c r="N924" s="1" t="s">
        <v>22</v>
      </c>
      <c r="O924" s="1" t="str">
        <f t="shared" ca="1" si="7"/>
        <v>Please solve the LeetCode problem '348. Design Tic-Tac-Toe'.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25" spans="1:15" x14ac:dyDescent="0.25">
      <c r="A925" s="1">
        <v>1352</v>
      </c>
      <c r="B925" s="2" t="str">
        <f>HYPERLINK("https://leetcode.com/problems/product-of-the-last-k-numbers/", "Product of the Last K Numbers")</f>
        <v>Product of the Last K Numbers</v>
      </c>
      <c r="C925" s="1">
        <v>2144</v>
      </c>
      <c r="D925" s="1">
        <v>107</v>
      </c>
      <c r="E925" s="3">
        <f t="shared" si="6"/>
        <v>0.95246557085739669</v>
      </c>
      <c r="F925" s="1" t="s">
        <v>476</v>
      </c>
      <c r="G925" s="1" t="s">
        <v>24</v>
      </c>
      <c r="H925" s="1">
        <v>257619</v>
      </c>
      <c r="I925" s="1">
        <v>409870</v>
      </c>
      <c r="J925" s="7">
        <v>0.629</v>
      </c>
      <c r="K925" s="1" t="s">
        <v>21</v>
      </c>
      <c r="L925" s="1" t="s">
        <v>21</v>
      </c>
      <c r="M925" s="1" t="s">
        <v>29</v>
      </c>
      <c r="N925" s="1" t="s">
        <v>22</v>
      </c>
      <c r="O925" s="1" t="str">
        <f t="shared" ca="1" si="7"/>
        <v>Please solve the LeetCode problem '1352. Product of the Last K Numbers'.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26" spans="1:15" x14ac:dyDescent="0.25">
      <c r="A926" s="1">
        <v>1458</v>
      </c>
      <c r="B926" s="2" t="str">
        <f>HYPERLINK("https://leetcode.com/problems/max-dot-product-of-two-subsequences/", "Max Dot Product of Two Subsequences")</f>
        <v>Max Dot Product of Two Subsequences</v>
      </c>
      <c r="C926" s="1">
        <v>2143</v>
      </c>
      <c r="D926" s="1">
        <v>51</v>
      </c>
      <c r="E926" s="3">
        <f t="shared" si="6"/>
        <v>0.97675478577939834</v>
      </c>
      <c r="F926" s="1" t="s">
        <v>30</v>
      </c>
      <c r="G926" s="1" t="s">
        <v>28</v>
      </c>
      <c r="H926" s="1">
        <v>180525</v>
      </c>
      <c r="I926" s="1">
        <v>260526</v>
      </c>
      <c r="J926" s="7">
        <v>0.69299999999999995</v>
      </c>
      <c r="K926" s="1" t="s">
        <v>21</v>
      </c>
      <c r="L926" s="1" t="s">
        <v>21</v>
      </c>
      <c r="M926" s="1" t="s">
        <v>29</v>
      </c>
      <c r="N926" s="1" t="s">
        <v>22</v>
      </c>
      <c r="O926" s="1" t="str">
        <f t="shared" ca="1" si="7"/>
        <v>Please solve the LeetCode problem '1458. Max Dot Product of Two Subsequences'.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27" spans="1:15" x14ac:dyDescent="0.25">
      <c r="A927" s="1">
        <v>506</v>
      </c>
      <c r="B927" s="2" t="str">
        <f>HYPERLINK("https://leetcode.com/problems/relative-ranks/", "Relative Ranks")</f>
        <v>Relative Ranks</v>
      </c>
      <c r="C927" s="1">
        <v>2140</v>
      </c>
      <c r="D927" s="1">
        <v>150</v>
      </c>
      <c r="E927" s="3">
        <f t="shared" si="6"/>
        <v>0.93449781659388642</v>
      </c>
      <c r="F927" s="1" t="s">
        <v>350</v>
      </c>
      <c r="G927" s="1" t="s">
        <v>20</v>
      </c>
      <c r="H927" s="1">
        <v>394376</v>
      </c>
      <c r="I927" s="1">
        <v>531307</v>
      </c>
      <c r="J927" s="7">
        <v>0.74199999999999999</v>
      </c>
      <c r="K927" s="1" t="s">
        <v>21</v>
      </c>
      <c r="L927" s="1" t="s">
        <v>21</v>
      </c>
      <c r="M927" s="1" t="s">
        <v>29</v>
      </c>
      <c r="N927" s="1" t="s">
        <v>22</v>
      </c>
      <c r="O927" s="1" t="str">
        <f t="shared" ca="1" si="7"/>
        <v>Please solve the LeetCode problem '506. Relative Ranks'.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28" spans="1:15" x14ac:dyDescent="0.25">
      <c r="A928" s="1">
        <v>223</v>
      </c>
      <c r="B928" s="2" t="str">
        <f>HYPERLINK("https://leetcode.com/problems/rectangle-area/", "Rectangle Area")</f>
        <v>Rectangle Area</v>
      </c>
      <c r="C928" s="1">
        <v>2138</v>
      </c>
      <c r="D928" s="1">
        <v>1665</v>
      </c>
      <c r="E928" s="3">
        <f t="shared" si="6"/>
        <v>0.56218774651590853</v>
      </c>
      <c r="F928" s="1" t="s">
        <v>477</v>
      </c>
      <c r="G928" s="1" t="s">
        <v>24</v>
      </c>
      <c r="H928" s="1">
        <v>274097</v>
      </c>
      <c r="I928" s="1">
        <v>562288</v>
      </c>
      <c r="J928" s="7">
        <v>0.48699999999999999</v>
      </c>
      <c r="K928" s="1" t="s">
        <v>21</v>
      </c>
      <c r="L928" s="1" t="s">
        <v>21</v>
      </c>
      <c r="M928" s="1" t="s">
        <v>29</v>
      </c>
      <c r="N928" s="1" t="s">
        <v>22</v>
      </c>
      <c r="O928" s="1" t="str">
        <f t="shared" ca="1" si="7"/>
        <v>Please solve the LeetCode problem '223. Rectangle Area'.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29" spans="1:15" x14ac:dyDescent="0.25">
      <c r="A929" s="1">
        <v>1488</v>
      </c>
      <c r="B929" s="2" t="str">
        <f>HYPERLINK("https://leetcode.com/problems/avoid-flood-in-the-city/", "Avoid Flood in The City")</f>
        <v>Avoid Flood in The City</v>
      </c>
      <c r="C929" s="1">
        <v>2135</v>
      </c>
      <c r="D929" s="1">
        <v>609</v>
      </c>
      <c r="E929" s="3">
        <f t="shared" si="6"/>
        <v>0.77806122448979587</v>
      </c>
      <c r="F929" s="1" t="s">
        <v>478</v>
      </c>
      <c r="G929" s="1" t="s">
        <v>24</v>
      </c>
      <c r="H929" s="1">
        <v>130625</v>
      </c>
      <c r="I929" s="1">
        <v>335287</v>
      </c>
      <c r="J929" s="7">
        <v>0.39</v>
      </c>
      <c r="K929" s="1" t="s">
        <v>21</v>
      </c>
      <c r="L929" s="1" t="s">
        <v>21</v>
      </c>
      <c r="M929" s="1" t="s">
        <v>29</v>
      </c>
      <c r="N929" s="1" t="s">
        <v>22</v>
      </c>
      <c r="O929" s="1" t="str">
        <f t="shared" ca="1" si="7"/>
        <v>Please solve the LeetCode problem '1488. Avoid Flood in The City'.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30" spans="1:15" x14ac:dyDescent="0.25">
      <c r="A930" s="1">
        <v>985</v>
      </c>
      <c r="B930" s="2" t="str">
        <f>HYPERLINK("https://leetcode.com/problems/sum-of-even-numbers-after-queries/", "Sum of Even Numbers After Queries")</f>
        <v>Sum of Even Numbers After Queries</v>
      </c>
      <c r="C930" s="1">
        <v>2132</v>
      </c>
      <c r="D930" s="1">
        <v>323</v>
      </c>
      <c r="E930" s="3">
        <f t="shared" si="6"/>
        <v>0.86843177189409371</v>
      </c>
      <c r="F930" s="1" t="s">
        <v>306</v>
      </c>
      <c r="G930" s="1" t="s">
        <v>24</v>
      </c>
      <c r="H930" s="1">
        <v>153342</v>
      </c>
      <c r="I930" s="1">
        <v>223116</v>
      </c>
      <c r="J930" s="7">
        <v>0.68700000000000006</v>
      </c>
      <c r="K930" s="1" t="s">
        <v>21</v>
      </c>
      <c r="L930" s="1" t="s">
        <v>21</v>
      </c>
      <c r="M930" s="1" t="s">
        <v>29</v>
      </c>
      <c r="N930" s="1" t="s">
        <v>22</v>
      </c>
      <c r="O930" s="1" t="str">
        <f t="shared" ca="1" si="7"/>
        <v>Please solve the LeetCode problem '985. Sum of Even Numbers After Queries'.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31" spans="1:15" x14ac:dyDescent="0.25">
      <c r="A931" s="1">
        <v>1944</v>
      </c>
      <c r="B931" s="2" t="str">
        <f>HYPERLINK("https://leetcode.com/problems/number-of-visible-people-in-a-queue/", "Number of Visible People in a Queue")</f>
        <v>Number of Visible People in a Queue</v>
      </c>
      <c r="C931" s="1">
        <v>2126</v>
      </c>
      <c r="D931" s="1">
        <v>65</v>
      </c>
      <c r="E931" s="3">
        <f t="shared" si="6"/>
        <v>0.97033318119580103</v>
      </c>
      <c r="F931" s="1" t="s">
        <v>61</v>
      </c>
      <c r="G931" s="1" t="s">
        <v>28</v>
      </c>
      <c r="H931" s="1">
        <v>110984</v>
      </c>
      <c r="I931" s="1">
        <v>153746</v>
      </c>
      <c r="J931" s="7">
        <v>0.72199999999999998</v>
      </c>
      <c r="K931" s="1" t="s">
        <v>21</v>
      </c>
      <c r="L931" s="1" t="s">
        <v>29</v>
      </c>
      <c r="M931" s="1" t="s">
        <v>29</v>
      </c>
      <c r="N931" s="1" t="s">
        <v>22</v>
      </c>
      <c r="O931" s="1" t="str">
        <f t="shared" ca="1" si="7"/>
        <v>Please solve the LeetCode problem '1944. Number of Visible People in a Queue'.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32" spans="1:15" x14ac:dyDescent="0.25">
      <c r="A932" s="1">
        <v>362</v>
      </c>
      <c r="B932" s="2" t="str">
        <f>HYPERLINK("https://leetcode.com/problems/design-hit-counter/", "Design Hit Counter")</f>
        <v>Design Hit Counter</v>
      </c>
      <c r="C932" s="1">
        <v>2125</v>
      </c>
      <c r="D932" s="1">
        <v>253</v>
      </c>
      <c r="E932" s="3">
        <f t="shared" si="6"/>
        <v>0.89360807401177456</v>
      </c>
      <c r="F932" s="1" t="s">
        <v>479</v>
      </c>
      <c r="G932" s="1" t="s">
        <v>24</v>
      </c>
      <c r="H932" s="1">
        <v>315589</v>
      </c>
      <c r="I932" s="1">
        <v>454668</v>
      </c>
      <c r="J932" s="7">
        <v>0.69399999999999995</v>
      </c>
      <c r="K932" s="1" t="s">
        <v>29</v>
      </c>
      <c r="L932" s="1" t="s">
        <v>21</v>
      </c>
      <c r="M932" s="1" t="s">
        <v>29</v>
      </c>
      <c r="N932" s="1" t="s">
        <v>22</v>
      </c>
      <c r="O932" s="1" t="str">
        <f t="shared" ca="1" si="7"/>
        <v>Please solve the LeetCode problem '362. Design Hit Counter'.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33" spans="1:15" x14ac:dyDescent="0.25">
      <c r="A933" s="1">
        <v>1473</v>
      </c>
      <c r="B933" s="2" t="str">
        <f>HYPERLINK("https://leetcode.com/problems/paint-house-iii/", "Paint House III")</f>
        <v>Paint House III</v>
      </c>
      <c r="C933" s="1">
        <v>2125</v>
      </c>
      <c r="D933" s="1">
        <v>156</v>
      </c>
      <c r="E933" s="3">
        <f t="shared" si="6"/>
        <v>0.9316089434458571</v>
      </c>
      <c r="F933" s="1" t="s">
        <v>30</v>
      </c>
      <c r="G933" s="1" t="s">
        <v>28</v>
      </c>
      <c r="H933" s="1">
        <v>71134</v>
      </c>
      <c r="I933" s="1">
        <v>116361</v>
      </c>
      <c r="J933" s="7">
        <v>0.61099999999999999</v>
      </c>
      <c r="K933" s="1" t="s">
        <v>21</v>
      </c>
      <c r="L933" s="1" t="s">
        <v>21</v>
      </c>
      <c r="M933" s="1" t="s">
        <v>29</v>
      </c>
      <c r="N933" s="1" t="s">
        <v>22</v>
      </c>
      <c r="O933" s="1" t="str">
        <f t="shared" ca="1" si="7"/>
        <v>Please solve the LeetCode problem '1473. Paint House III'.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34" spans="1:15" x14ac:dyDescent="0.25">
      <c r="A934" s="1">
        <v>786</v>
      </c>
      <c r="B934" s="2" t="str">
        <f>HYPERLINK("https://leetcode.com/problems/k-th-smallest-prime-fraction/", "K-th Smallest Prime Fraction")</f>
        <v>K-th Smallest Prime Fraction</v>
      </c>
      <c r="C934" s="1">
        <v>2124</v>
      </c>
      <c r="D934" s="1">
        <v>121</v>
      </c>
      <c r="E934" s="3">
        <f t="shared" si="6"/>
        <v>0.94610244988864145</v>
      </c>
      <c r="F934" s="1" t="s">
        <v>482</v>
      </c>
      <c r="G934" s="1" t="s">
        <v>24</v>
      </c>
      <c r="H934" s="1">
        <v>168903</v>
      </c>
      <c r="I934" s="1">
        <v>245144</v>
      </c>
      <c r="J934" s="7">
        <v>0.68899999999999995</v>
      </c>
      <c r="K934" s="1" t="s">
        <v>21</v>
      </c>
      <c r="L934" s="1" t="s">
        <v>21</v>
      </c>
      <c r="M934" s="1" t="s">
        <v>29</v>
      </c>
      <c r="N934" s="1" t="s">
        <v>22</v>
      </c>
      <c r="O934" s="1" t="str">
        <f t="shared" ca="1" si="7"/>
        <v>Please solve the LeetCode problem '786. K-th Smallest Prime Fraction'.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35" spans="1:15" x14ac:dyDescent="0.25">
      <c r="A935" s="1">
        <v>1318</v>
      </c>
      <c r="B935" s="2" t="str">
        <f>HYPERLINK("https://leetcode.com/problems/minimum-flips-to-make-a-or-b-equal-to-c/", "Minimum Flips to Make a OR b Equal to c")</f>
        <v>Minimum Flips to Make a OR b Equal to c</v>
      </c>
      <c r="C935" s="1">
        <v>2124</v>
      </c>
      <c r="D935" s="1">
        <v>111</v>
      </c>
      <c r="E935" s="3">
        <f t="shared" si="6"/>
        <v>0.95033557046979866</v>
      </c>
      <c r="F935" s="1" t="s">
        <v>298</v>
      </c>
      <c r="G935" s="1" t="s">
        <v>24</v>
      </c>
      <c r="H935" s="1">
        <v>189983</v>
      </c>
      <c r="I935" s="1">
        <v>264244</v>
      </c>
      <c r="J935" s="7">
        <v>0.71899999999999997</v>
      </c>
      <c r="K935" s="1" t="s">
        <v>21</v>
      </c>
      <c r="L935" s="1" t="s">
        <v>21</v>
      </c>
      <c r="M935" s="1" t="s">
        <v>29</v>
      </c>
      <c r="N935" s="1" t="s">
        <v>22</v>
      </c>
      <c r="O935" s="1" t="str">
        <f t="shared" ca="1" si="7"/>
        <v>Please solve the LeetCode problem '1318. Minimum Flips to Make a OR b Equal to c'.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36" spans="1:15" x14ac:dyDescent="0.25">
      <c r="A936" s="1">
        <v>325</v>
      </c>
      <c r="B936" s="2" t="str">
        <f>HYPERLINK("https://leetcode.com/problems/maximum-size-subarray-sum-equals-k/", "Maximum Size Subarray Sum Equals k")</f>
        <v>Maximum Size Subarray Sum Equals k</v>
      </c>
      <c r="C936" s="1">
        <v>2122</v>
      </c>
      <c r="D936" s="1">
        <v>66</v>
      </c>
      <c r="E936" s="3">
        <f t="shared" si="6"/>
        <v>0.96983546617915906</v>
      </c>
      <c r="F936" s="1" t="s">
        <v>39</v>
      </c>
      <c r="G936" s="1" t="s">
        <v>24</v>
      </c>
      <c r="H936" s="1">
        <v>218414</v>
      </c>
      <c r="I936" s="1">
        <v>430210</v>
      </c>
      <c r="J936" s="7">
        <v>0.50800000000000001</v>
      </c>
      <c r="K936" s="1" t="s">
        <v>29</v>
      </c>
      <c r="L936" s="1" t="s">
        <v>21</v>
      </c>
      <c r="M936" s="1" t="s">
        <v>29</v>
      </c>
      <c r="N936" s="1" t="s">
        <v>22</v>
      </c>
      <c r="O936" s="1" t="str">
        <f t="shared" ca="1" si="7"/>
        <v>Please solve the LeetCode problem '325. Maximum Size Subarray Sum Equals k'.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37" spans="1:15" x14ac:dyDescent="0.25">
      <c r="A937" s="1">
        <v>1526</v>
      </c>
      <c r="B937" s="2" t="str">
        <f>HYPERLINK("https://leetcode.com/problems/minimum-number-of-increments-on-subarrays-to-form-a-target-array/", "Minimum Number of Increments on Subarrays to Form a Target Array")</f>
        <v>Minimum Number of Increments on Subarrays to Form a Target Array</v>
      </c>
      <c r="C937" s="1">
        <v>2122</v>
      </c>
      <c r="D937" s="1">
        <v>108</v>
      </c>
      <c r="E937" s="3">
        <f t="shared" si="6"/>
        <v>0.95156950672645735</v>
      </c>
      <c r="F937" s="1" t="s">
        <v>289</v>
      </c>
      <c r="G937" s="1" t="s">
        <v>28</v>
      </c>
      <c r="H937" s="1">
        <v>150216</v>
      </c>
      <c r="I937" s="1">
        <v>192369</v>
      </c>
      <c r="J937" s="7">
        <v>0.78100000000000003</v>
      </c>
      <c r="K937" s="1" t="s">
        <v>21</v>
      </c>
      <c r="L937" s="1" t="s">
        <v>21</v>
      </c>
      <c r="M937" s="1" t="s">
        <v>29</v>
      </c>
      <c r="N937" s="1" t="s">
        <v>22</v>
      </c>
      <c r="O937" s="1" t="str">
        <f t="shared" ca="1" si="7"/>
        <v>Please solve the LeetCode problem '1526. Minimum Number of Increments on Subarrays to Form a Target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38" spans="1:15" x14ac:dyDescent="0.25">
      <c r="A938" s="1">
        <v>535</v>
      </c>
      <c r="B938" s="2" t="str">
        <f>HYPERLINK("https://leetcode.com/problems/encode-and-decode-tinyurl/", "Encode and Decode TinyURL")</f>
        <v>Encode and Decode TinyURL</v>
      </c>
      <c r="C938" s="1">
        <v>2119</v>
      </c>
      <c r="D938" s="1">
        <v>3816</v>
      </c>
      <c r="E938" s="3">
        <f t="shared" si="6"/>
        <v>0.35703454085930919</v>
      </c>
      <c r="F938" s="1" t="s">
        <v>481</v>
      </c>
      <c r="G938" s="1" t="s">
        <v>24</v>
      </c>
      <c r="H938" s="1">
        <v>302572</v>
      </c>
      <c r="I938" s="1">
        <v>349557</v>
      </c>
      <c r="J938" s="7">
        <v>0.86599999999999999</v>
      </c>
      <c r="K938" s="1" t="s">
        <v>21</v>
      </c>
      <c r="L938" s="1" t="s">
        <v>21</v>
      </c>
      <c r="M938" s="1" t="s">
        <v>29</v>
      </c>
      <c r="N938" s="1" t="s">
        <v>22</v>
      </c>
      <c r="O938" s="1" t="str">
        <f t="shared" ca="1" si="7"/>
        <v>Please solve the LeetCode problem '535. Encode and Decode TinyURL'.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39" spans="1:15" x14ac:dyDescent="0.25">
      <c r="A939" s="1">
        <v>781</v>
      </c>
      <c r="B939" s="2" t="str">
        <f>HYPERLINK("https://leetcode.com/problems/rabbits-in-forest/", "Rabbits in Forest")</f>
        <v>Rabbits in Forest</v>
      </c>
      <c r="C939" s="1">
        <v>2119</v>
      </c>
      <c r="D939" s="1">
        <v>986</v>
      </c>
      <c r="E939" s="3">
        <f t="shared" si="6"/>
        <v>0.68244766505636067</v>
      </c>
      <c r="F939" s="1" t="s">
        <v>480</v>
      </c>
      <c r="G939" s="1" t="s">
        <v>24</v>
      </c>
      <c r="H939" s="1">
        <v>183300</v>
      </c>
      <c r="I939" s="1">
        <v>315735</v>
      </c>
      <c r="J939" s="7">
        <v>0.58099999999999996</v>
      </c>
      <c r="K939" s="1" t="s">
        <v>21</v>
      </c>
      <c r="L939" s="1" t="s">
        <v>21</v>
      </c>
      <c r="M939" s="1" t="s">
        <v>29</v>
      </c>
      <c r="N939" s="1" t="s">
        <v>22</v>
      </c>
      <c r="O939" s="1" t="str">
        <f t="shared" ca="1" si="7"/>
        <v>Please solve the LeetCode problem '781. Rabbits in Forest'.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40" spans="1:15" x14ac:dyDescent="0.25">
      <c r="A940" s="1">
        <v>1525</v>
      </c>
      <c r="B940" s="2" t="str">
        <f>HYPERLINK("https://leetcode.com/problems/number-of-good-ways-to-split-a-string/", "Number of Good Ways to Split a String")</f>
        <v>Number of Good Ways to Split a String</v>
      </c>
      <c r="C940" s="1">
        <v>2114</v>
      </c>
      <c r="D940" s="1">
        <v>54</v>
      </c>
      <c r="E940" s="3">
        <f t="shared" si="6"/>
        <v>0.97509225092250917</v>
      </c>
      <c r="F940" s="1" t="s">
        <v>484</v>
      </c>
      <c r="G940" s="1" t="s">
        <v>24</v>
      </c>
      <c r="H940" s="1">
        <v>122405</v>
      </c>
      <c r="I940" s="1">
        <v>178890</v>
      </c>
      <c r="J940" s="7">
        <v>0.68400000000000005</v>
      </c>
      <c r="K940" s="1" t="s">
        <v>21</v>
      </c>
      <c r="L940" s="1" t="s">
        <v>29</v>
      </c>
      <c r="M940" s="1" t="s">
        <v>29</v>
      </c>
      <c r="N940" s="1" t="s">
        <v>22</v>
      </c>
      <c r="O940" s="1" t="str">
        <f t="shared" ca="1" si="7"/>
        <v>Please solve the LeetCode problem '1525. Number of Good Ways to Split a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41" spans="1:15" x14ac:dyDescent="0.25">
      <c r="A941" s="1">
        <v>252</v>
      </c>
      <c r="B941" s="2" t="str">
        <f>HYPERLINK("https://leetcode.com/problems/meeting-rooms/", "Meeting Rooms")</f>
        <v>Meeting Rooms</v>
      </c>
      <c r="C941" s="1">
        <v>2111</v>
      </c>
      <c r="D941" s="1">
        <v>115</v>
      </c>
      <c r="E941" s="3">
        <f t="shared" si="6"/>
        <v>0.94833782569631631</v>
      </c>
      <c r="F941" s="1" t="s">
        <v>42</v>
      </c>
      <c r="G941" s="1" t="s">
        <v>20</v>
      </c>
      <c r="H941" s="1">
        <v>502986</v>
      </c>
      <c r="I941" s="1">
        <v>848799</v>
      </c>
      <c r="J941" s="7">
        <v>0.59299999999999997</v>
      </c>
      <c r="K941" s="1" t="s">
        <v>29</v>
      </c>
      <c r="L941" s="1" t="s">
        <v>21</v>
      </c>
      <c r="M941" s="1" t="s">
        <v>21</v>
      </c>
      <c r="N941" s="1" t="s">
        <v>22</v>
      </c>
      <c r="O941" s="1" t="str">
        <f t="shared" ca="1" si="7"/>
        <v>Please solve the LeetCode problem '252. Meeting Rooms'.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42" spans="1:15" x14ac:dyDescent="0.25">
      <c r="A942" s="1">
        <v>2389</v>
      </c>
      <c r="B942" s="2" t="str">
        <f>HYPERLINK("https://leetcode.com/problems/longest-subsequence-with-limited-sum/", "Longest Subsequence With Limited Sum")</f>
        <v>Longest Subsequence With Limited Sum</v>
      </c>
      <c r="C942" s="1">
        <v>2111</v>
      </c>
      <c r="D942" s="1">
        <v>197</v>
      </c>
      <c r="E942" s="3">
        <f t="shared" si="6"/>
        <v>0.9146447140381283</v>
      </c>
      <c r="F942" s="1" t="s">
        <v>422</v>
      </c>
      <c r="G942" s="1" t="s">
        <v>20</v>
      </c>
      <c r="H942" s="1">
        <v>158164</v>
      </c>
      <c r="I942" s="1">
        <v>215618</v>
      </c>
      <c r="J942" s="7">
        <v>0.73399999999999999</v>
      </c>
      <c r="K942" s="1" t="s">
        <v>21</v>
      </c>
      <c r="L942" s="1" t="s">
        <v>21</v>
      </c>
      <c r="M942" s="1" t="s">
        <v>29</v>
      </c>
      <c r="N942" s="1" t="s">
        <v>22</v>
      </c>
      <c r="O942" s="1" t="str">
        <f t="shared" ca="1" si="7"/>
        <v>Please solve the LeetCode problem '2389. Longest Subsequence With Limited Sum'.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43" spans="1:15" x14ac:dyDescent="0.25">
      <c r="A943" s="1">
        <v>321</v>
      </c>
      <c r="B943" s="2" t="str">
        <f>HYPERLINK("https://leetcode.com/problems/create-maximum-number/", "Create Maximum Number")</f>
        <v>Create Maximum Number</v>
      </c>
      <c r="C943" s="1">
        <v>2108</v>
      </c>
      <c r="D943" s="1">
        <v>374</v>
      </c>
      <c r="E943" s="3">
        <f t="shared" si="6"/>
        <v>0.84931506849315064</v>
      </c>
      <c r="F943" s="1" t="s">
        <v>483</v>
      </c>
      <c r="G943" s="1" t="s">
        <v>28</v>
      </c>
      <c r="H943" s="1">
        <v>81431</v>
      </c>
      <c r="I943" s="1">
        <v>237294</v>
      </c>
      <c r="J943" s="7">
        <v>0.34300000000000003</v>
      </c>
      <c r="K943" s="1" t="s">
        <v>21</v>
      </c>
      <c r="L943" s="1" t="s">
        <v>29</v>
      </c>
      <c r="M943" s="1" t="s">
        <v>29</v>
      </c>
      <c r="N943" s="1" t="s">
        <v>22</v>
      </c>
      <c r="O943" s="1" t="str">
        <f t="shared" ca="1" si="7"/>
        <v>Please solve the LeetCode problem '321. Create Maximum Number'.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44" spans="1:15" x14ac:dyDescent="0.25">
      <c r="A944" s="1">
        <v>975</v>
      </c>
      <c r="B944" s="2" t="str">
        <f>HYPERLINK("https://leetcode.com/problems/odd-even-jump/", "Odd Even Jump")</f>
        <v>Odd Even Jump</v>
      </c>
      <c r="C944" s="1">
        <v>2108</v>
      </c>
      <c r="D944" s="1">
        <v>531</v>
      </c>
      <c r="E944" s="3">
        <f t="shared" si="6"/>
        <v>0.79878741947707466</v>
      </c>
      <c r="F944" s="1" t="s">
        <v>485</v>
      </c>
      <c r="G944" s="1" t="s">
        <v>28</v>
      </c>
      <c r="H944" s="1">
        <v>102088</v>
      </c>
      <c r="I944" s="1">
        <v>248904</v>
      </c>
      <c r="J944" s="7">
        <v>0.41</v>
      </c>
      <c r="K944" s="1" t="s">
        <v>21</v>
      </c>
      <c r="L944" s="1" t="s">
        <v>21</v>
      </c>
      <c r="M944" s="1" t="s">
        <v>29</v>
      </c>
      <c r="N944" s="1" t="s">
        <v>22</v>
      </c>
      <c r="O944" s="1" t="str">
        <f t="shared" ca="1" si="7"/>
        <v>Please solve the LeetCode problem '975. Odd Even Jump'.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45" spans="1:15" x14ac:dyDescent="0.25">
      <c r="A945" s="1">
        <v>978</v>
      </c>
      <c r="B945" s="2" t="str">
        <f>HYPERLINK("https://leetcode.com/problems/longest-turbulent-subarray/", "Longest Turbulent Subarray")</f>
        <v>Longest Turbulent Subarray</v>
      </c>
      <c r="C945" s="1">
        <v>2100</v>
      </c>
      <c r="D945" s="1">
        <v>255</v>
      </c>
      <c r="E945" s="3">
        <f t="shared" si="6"/>
        <v>0.89171974522292996</v>
      </c>
      <c r="F945" s="1" t="s">
        <v>239</v>
      </c>
      <c r="G945" s="1" t="s">
        <v>24</v>
      </c>
      <c r="H945" s="1">
        <v>133149</v>
      </c>
      <c r="I945" s="1">
        <v>273525</v>
      </c>
      <c r="J945" s="7">
        <v>0.48699999999999999</v>
      </c>
      <c r="K945" s="1" t="s">
        <v>21</v>
      </c>
      <c r="L945" s="1" t="s">
        <v>21</v>
      </c>
      <c r="M945" s="1" t="s">
        <v>29</v>
      </c>
      <c r="N945" s="1" t="s">
        <v>22</v>
      </c>
      <c r="O945" s="1" t="str">
        <f t="shared" ca="1" si="7"/>
        <v>Please solve the LeetCode problem '978. Longest Turbulent Subarray'.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46" spans="1:15" x14ac:dyDescent="0.25">
      <c r="A946" s="1">
        <v>1354</v>
      </c>
      <c r="B946" s="2" t="str">
        <f>HYPERLINK("https://leetcode.com/problems/construct-target-array-with-multiple-sums/", "Construct Target Array With Multiple Sums")</f>
        <v>Construct Target Array With Multiple Sums</v>
      </c>
      <c r="C946" s="1">
        <v>2100</v>
      </c>
      <c r="D946" s="1">
        <v>175</v>
      </c>
      <c r="E946" s="3">
        <f t="shared" si="6"/>
        <v>0.92307692307692313</v>
      </c>
      <c r="F946" s="1" t="s">
        <v>202</v>
      </c>
      <c r="G946" s="1" t="s">
        <v>28</v>
      </c>
      <c r="H946" s="1">
        <v>77389</v>
      </c>
      <c r="I946" s="1">
        <v>210992</v>
      </c>
      <c r="J946" s="7">
        <v>0.36699999999999999</v>
      </c>
      <c r="K946" s="1" t="s">
        <v>21</v>
      </c>
      <c r="L946" s="1" t="s">
        <v>21</v>
      </c>
      <c r="M946" s="1" t="s">
        <v>29</v>
      </c>
      <c r="N946" s="1" t="s">
        <v>22</v>
      </c>
      <c r="O946" s="1" t="str">
        <f t="shared" ca="1" si="7"/>
        <v>Please solve the LeetCode problem '1354. Construct Target Array With Multiple Sums'.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47" spans="1:15" x14ac:dyDescent="0.25">
      <c r="A947" s="1">
        <v>599</v>
      </c>
      <c r="B947" s="2" t="str">
        <f>HYPERLINK("https://leetcode.com/problems/minimum-index-sum-of-two-lists/", "Minimum Index Sum of Two Lists")</f>
        <v>Minimum Index Sum of Two Lists</v>
      </c>
      <c r="C947" s="1">
        <v>2099</v>
      </c>
      <c r="D947" s="1">
        <v>416</v>
      </c>
      <c r="E947" s="3">
        <f t="shared" si="6"/>
        <v>0.83459244532803178</v>
      </c>
      <c r="F947" s="1" t="s">
        <v>258</v>
      </c>
      <c r="G947" s="1" t="s">
        <v>20</v>
      </c>
      <c r="H947" s="1">
        <v>303613</v>
      </c>
      <c r="I947" s="1">
        <v>512768</v>
      </c>
      <c r="J947" s="7">
        <v>0.59199999999999997</v>
      </c>
      <c r="K947" s="1" t="s">
        <v>21</v>
      </c>
      <c r="L947" s="1" t="s">
        <v>21</v>
      </c>
      <c r="M947" s="1" t="s">
        <v>29</v>
      </c>
      <c r="N947" s="1" t="s">
        <v>22</v>
      </c>
      <c r="O947" s="1" t="str">
        <f t="shared" ca="1" si="7"/>
        <v>Please solve the LeetCode problem '599. Minimum Index Sum of Two Lists'.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48" spans="1:15" x14ac:dyDescent="0.25">
      <c r="A948" s="1">
        <v>1462</v>
      </c>
      <c r="B948" s="2" t="str">
        <f>HYPERLINK("https://leetcode.com/problems/course-schedule-iv/", "Course Schedule IV")</f>
        <v>Course Schedule IV</v>
      </c>
      <c r="C948" s="1">
        <v>2099</v>
      </c>
      <c r="D948" s="1">
        <v>92</v>
      </c>
      <c r="E948" s="3">
        <f t="shared" si="6"/>
        <v>0.95801004107713372</v>
      </c>
      <c r="F948" s="1" t="s">
        <v>72</v>
      </c>
      <c r="G948" s="1" t="s">
        <v>24</v>
      </c>
      <c r="H948" s="1">
        <v>196642</v>
      </c>
      <c r="I948" s="1">
        <v>329473</v>
      </c>
      <c r="J948" s="7">
        <v>0.59699999999999998</v>
      </c>
      <c r="K948" s="1" t="s">
        <v>21</v>
      </c>
      <c r="L948" s="1" t="s">
        <v>21</v>
      </c>
      <c r="M948" s="1" t="s">
        <v>29</v>
      </c>
      <c r="N948" s="1" t="s">
        <v>22</v>
      </c>
      <c r="O948" s="1" t="str">
        <f t="shared" ca="1" si="7"/>
        <v>Please solve the LeetCode problem '1462. Course Schedule IV'.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49" spans="1:15" x14ac:dyDescent="0.25">
      <c r="A949" s="1">
        <v>2328</v>
      </c>
      <c r="B949" s="2" t="str">
        <f>HYPERLINK("https://leetcode.com/problems/number-of-increasing-paths-in-a-grid/", "Number of Increasing Paths in a Grid")</f>
        <v>Number of Increasing Paths in a Grid</v>
      </c>
      <c r="C949" s="1">
        <v>2099</v>
      </c>
      <c r="D949" s="1">
        <v>45</v>
      </c>
      <c r="E949" s="3">
        <f t="shared" si="6"/>
        <v>0.97901119402985071</v>
      </c>
      <c r="F949" s="1" t="s">
        <v>140</v>
      </c>
      <c r="G949" s="1" t="s">
        <v>28</v>
      </c>
      <c r="H949" s="1">
        <v>80748</v>
      </c>
      <c r="I949" s="1">
        <v>140604</v>
      </c>
      <c r="J949" s="7">
        <v>0.57399999999999995</v>
      </c>
      <c r="K949" s="1" t="s">
        <v>21</v>
      </c>
      <c r="L949" s="1" t="s">
        <v>21</v>
      </c>
      <c r="M949" s="1" t="s">
        <v>29</v>
      </c>
      <c r="N949" s="1" t="s">
        <v>22</v>
      </c>
      <c r="O949" s="1" t="str">
        <f t="shared" ca="1" si="7"/>
        <v>Please solve the LeetCode problem '2328. Number of Increasing Paths in a Grid'.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50" spans="1:15" x14ac:dyDescent="0.25">
      <c r="A950" s="1">
        <v>939</v>
      </c>
      <c r="B950" s="2" t="str">
        <f>HYPERLINK("https://leetcode.com/problems/minimum-area-rectangle/", "Minimum Area Rectangle")</f>
        <v>Minimum Area Rectangle</v>
      </c>
      <c r="C950" s="1">
        <v>2094</v>
      </c>
      <c r="D950" s="1">
        <v>298</v>
      </c>
      <c r="E950" s="3">
        <f t="shared" si="6"/>
        <v>0.87541806020066892</v>
      </c>
      <c r="F950" s="1" t="s">
        <v>487</v>
      </c>
      <c r="G950" s="1" t="s">
        <v>24</v>
      </c>
      <c r="H950" s="1">
        <v>175151</v>
      </c>
      <c r="I950" s="1">
        <v>317020</v>
      </c>
      <c r="J950" s="7">
        <v>0.55200000000000005</v>
      </c>
      <c r="K950" s="1" t="s">
        <v>21</v>
      </c>
      <c r="L950" s="1" t="s">
        <v>21</v>
      </c>
      <c r="M950" s="1" t="s">
        <v>29</v>
      </c>
      <c r="N950" s="1" t="s">
        <v>22</v>
      </c>
      <c r="O950" s="1" t="str">
        <f t="shared" ca="1" si="7"/>
        <v>Please solve the LeetCode problem '939. Minimum Area Rectangle'.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51" spans="1:15" x14ac:dyDescent="0.25">
      <c r="A951" s="1">
        <v>2359</v>
      </c>
      <c r="B951" s="2" t="str">
        <f>HYPERLINK("https://leetcode.com/problems/find-closest-node-to-given-two-nodes/", "Find Closest Node to Given Two Nodes")</f>
        <v>Find Closest Node to Given Two Nodes</v>
      </c>
      <c r="C951" s="1">
        <v>2091</v>
      </c>
      <c r="D951" s="1">
        <v>469</v>
      </c>
      <c r="E951" s="3">
        <f t="shared" si="6"/>
        <v>0.81679687499999998</v>
      </c>
      <c r="F951" s="1" t="s">
        <v>488</v>
      </c>
      <c r="G951" s="1" t="s">
        <v>24</v>
      </c>
      <c r="H951" s="1">
        <v>166191</v>
      </c>
      <c r="I951" s="1">
        <v>314037</v>
      </c>
      <c r="J951" s="7">
        <v>0.52900000000000003</v>
      </c>
      <c r="K951" s="1" t="s">
        <v>21</v>
      </c>
      <c r="L951" s="1" t="s">
        <v>21</v>
      </c>
      <c r="M951" s="1" t="s">
        <v>29</v>
      </c>
      <c r="N951" s="1" t="s">
        <v>22</v>
      </c>
      <c r="O951" s="1" t="str">
        <f t="shared" ca="1" si="7"/>
        <v>Please solve the LeetCode problem '2359. Find Closest Node to Given Two Nodes'.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52" spans="1:15" x14ac:dyDescent="0.25">
      <c r="A952" s="1">
        <v>1697</v>
      </c>
      <c r="B952" s="2" t="str">
        <f>HYPERLINK("https://leetcode.com/problems/checking-existence-of-edge-length-limited-paths/", "Checking Existence of Edge Length Limited Paths")</f>
        <v>Checking Existence of Edge Length Limited Paths</v>
      </c>
      <c r="C952" s="1">
        <v>2089</v>
      </c>
      <c r="D952" s="1">
        <v>48</v>
      </c>
      <c r="E952" s="3">
        <f t="shared" si="6"/>
        <v>0.97753860552175953</v>
      </c>
      <c r="F952" s="1" t="s">
        <v>486</v>
      </c>
      <c r="G952" s="1" t="s">
        <v>28</v>
      </c>
      <c r="H952" s="1">
        <v>59270</v>
      </c>
      <c r="I952" s="1">
        <v>93897</v>
      </c>
      <c r="J952" s="7">
        <v>0.63100000000000001</v>
      </c>
      <c r="K952" s="1" t="s">
        <v>21</v>
      </c>
      <c r="L952" s="1" t="s">
        <v>21</v>
      </c>
      <c r="M952" s="1" t="s">
        <v>29</v>
      </c>
      <c r="N952" s="1" t="s">
        <v>22</v>
      </c>
      <c r="O952" s="1" t="str">
        <f t="shared" ca="1" si="7"/>
        <v>Please solve the LeetCode problem '1697. Checking Existence of Edge Length Limited Paths'.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53" spans="1:15" x14ac:dyDescent="0.25">
      <c r="A953" s="1">
        <v>1310</v>
      </c>
      <c r="B953" s="2" t="str">
        <f>HYPERLINK("https://leetcode.com/problems/xor-queries-of-a-subarray/", "XOR Queries of a Subarray")</f>
        <v>XOR Queries of a Subarray</v>
      </c>
      <c r="C953" s="1">
        <v>2085</v>
      </c>
      <c r="D953" s="1">
        <v>60</v>
      </c>
      <c r="E953" s="3">
        <f t="shared" si="6"/>
        <v>0.97202797202797198</v>
      </c>
      <c r="F953" s="1" t="s">
        <v>489</v>
      </c>
      <c r="G953" s="1" t="s">
        <v>24</v>
      </c>
      <c r="H953" s="1">
        <v>213641</v>
      </c>
      <c r="I953" s="1">
        <v>273272</v>
      </c>
      <c r="J953" s="7">
        <v>0.78200000000000003</v>
      </c>
      <c r="K953" s="1" t="s">
        <v>21</v>
      </c>
      <c r="L953" s="1" t="s">
        <v>21</v>
      </c>
      <c r="M953" s="1" t="s">
        <v>29</v>
      </c>
      <c r="N953" s="1" t="s">
        <v>22</v>
      </c>
      <c r="O953" s="1" t="str">
        <f t="shared" ca="1" si="7"/>
        <v>Please solve the LeetCode problem '1310. XOR Queries of a Subarray'.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54" spans="1:15" x14ac:dyDescent="0.25">
      <c r="A954" s="1">
        <v>836</v>
      </c>
      <c r="B954" s="2" t="str">
        <f>HYPERLINK("https://leetcode.com/problems/rectangle-overlap/", "Rectangle Overlap")</f>
        <v>Rectangle Overlap</v>
      </c>
      <c r="C954" s="1">
        <v>2081</v>
      </c>
      <c r="D954" s="1">
        <v>483</v>
      </c>
      <c r="E954" s="3">
        <f t="shared" si="6"/>
        <v>0.81162246489859591</v>
      </c>
      <c r="F954" s="1" t="s">
        <v>477</v>
      </c>
      <c r="G954" s="1" t="s">
        <v>20</v>
      </c>
      <c r="H954" s="1">
        <v>178046</v>
      </c>
      <c r="I954" s="1">
        <v>384510</v>
      </c>
      <c r="J954" s="7">
        <v>0.46300000000000002</v>
      </c>
      <c r="K954" s="1" t="s">
        <v>21</v>
      </c>
      <c r="L954" s="1" t="s">
        <v>21</v>
      </c>
      <c r="M954" s="1" t="s">
        <v>29</v>
      </c>
      <c r="N954" s="1" t="s">
        <v>22</v>
      </c>
      <c r="O954" s="1" t="str">
        <f t="shared" ca="1" si="7"/>
        <v>Please solve the LeetCode problem '836. Rectangle Overlap'.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55" spans="1:15" x14ac:dyDescent="0.25">
      <c r="A955" s="1">
        <v>1877</v>
      </c>
      <c r="B955" s="2" t="str">
        <f>HYPERLINK("https://leetcode.com/problems/minimize-maximum-pair-sum-in-array/", "Minimize Maximum Pair Sum in Array")</f>
        <v>Minimize Maximum Pair Sum in Array</v>
      </c>
      <c r="C955" s="1">
        <v>2078</v>
      </c>
      <c r="D955" s="1">
        <v>485</v>
      </c>
      <c r="E955" s="3">
        <f t="shared" si="6"/>
        <v>0.8107686305111198</v>
      </c>
      <c r="F955" s="1" t="s">
        <v>203</v>
      </c>
      <c r="G955" s="1" t="s">
        <v>24</v>
      </c>
      <c r="H955" s="1">
        <v>212448</v>
      </c>
      <c r="I955" s="1">
        <v>260284</v>
      </c>
      <c r="J955" s="7">
        <v>0.81599999999999995</v>
      </c>
      <c r="K955" s="1" t="s">
        <v>21</v>
      </c>
      <c r="L955" s="1" t="s">
        <v>21</v>
      </c>
      <c r="M955" s="1" t="s">
        <v>29</v>
      </c>
      <c r="N955" s="1" t="s">
        <v>22</v>
      </c>
      <c r="O955" s="1" t="str">
        <f t="shared" ca="1" si="7"/>
        <v>Please solve the LeetCode problem '1877. Minimize Maximum Pair Sum in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56" spans="1:15" x14ac:dyDescent="0.25">
      <c r="A956" s="1">
        <v>529</v>
      </c>
      <c r="B956" s="2" t="str">
        <f>HYPERLINK("https://leetcode.com/problems/minesweeper/", "Minesweeper")</f>
        <v>Minesweeper</v>
      </c>
      <c r="C956" s="1">
        <v>2077</v>
      </c>
      <c r="D956" s="1">
        <v>1088</v>
      </c>
      <c r="E956" s="3">
        <f t="shared" si="6"/>
        <v>0.65624012638230644</v>
      </c>
      <c r="F956" s="1" t="s">
        <v>143</v>
      </c>
      <c r="G956" s="1" t="s">
        <v>24</v>
      </c>
      <c r="H956" s="1">
        <v>200029</v>
      </c>
      <c r="I956" s="1">
        <v>291627</v>
      </c>
      <c r="J956" s="7">
        <v>0.68600000000000005</v>
      </c>
      <c r="K956" s="1" t="s">
        <v>21</v>
      </c>
      <c r="L956" s="1" t="s">
        <v>29</v>
      </c>
      <c r="M956" s="1" t="s">
        <v>29</v>
      </c>
      <c r="N956" s="1" t="s">
        <v>22</v>
      </c>
      <c r="O956" s="1" t="str">
        <f t="shared" ca="1" si="7"/>
        <v>Please solve the LeetCode problem '529. Minesweeper'.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57" spans="1:15" x14ac:dyDescent="0.25">
      <c r="A957" s="1">
        <v>2366</v>
      </c>
      <c r="B957" s="2" t="str">
        <f>HYPERLINK("https://leetcode.com/problems/minimum-replacements-to-sort-the-array/", "Minimum Replacements to Sort the Array")</f>
        <v>Minimum Replacements to Sort the Array</v>
      </c>
      <c r="C957" s="1">
        <v>2074</v>
      </c>
      <c r="D957" s="1">
        <v>69</v>
      </c>
      <c r="E957" s="3">
        <f t="shared" si="6"/>
        <v>0.96780214652356511</v>
      </c>
      <c r="F957" s="1" t="s">
        <v>435</v>
      </c>
      <c r="G957" s="1" t="s">
        <v>28</v>
      </c>
      <c r="H957" s="1">
        <v>73529</v>
      </c>
      <c r="I957" s="1">
        <v>138280</v>
      </c>
      <c r="J957" s="7">
        <v>0.53200000000000003</v>
      </c>
      <c r="K957" s="1" t="s">
        <v>21</v>
      </c>
      <c r="L957" s="1" t="s">
        <v>21</v>
      </c>
      <c r="M957" s="1" t="s">
        <v>29</v>
      </c>
      <c r="N957" s="1" t="s">
        <v>22</v>
      </c>
      <c r="O957" s="1" t="str">
        <f t="shared" ca="1" si="7"/>
        <v>Please solve the LeetCode problem '2366. Minimum Replacements to Sort the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58" spans="1:15" x14ac:dyDescent="0.25">
      <c r="A958" s="1">
        <v>2134</v>
      </c>
      <c r="B958" s="2" t="str">
        <f>HYPERLINK("https://leetcode.com/problems/minimum-swaps-to-group-all-1s-together-ii/", "Minimum Swaps to Group All 1's Together II")</f>
        <v>Minimum Swaps to Group All 1's Together II</v>
      </c>
      <c r="C958" s="1">
        <v>2072</v>
      </c>
      <c r="D958" s="1">
        <v>42</v>
      </c>
      <c r="E958" s="3">
        <f t="shared" si="6"/>
        <v>0.98013245033112584</v>
      </c>
      <c r="F958" s="1" t="s">
        <v>295</v>
      </c>
      <c r="G958" s="1" t="s">
        <v>24</v>
      </c>
      <c r="H958" s="1">
        <v>173680</v>
      </c>
      <c r="I958" s="1">
        <v>264815</v>
      </c>
      <c r="J958" s="7">
        <v>0.65600000000000003</v>
      </c>
      <c r="K958" s="1" t="s">
        <v>21</v>
      </c>
      <c r="L958" s="1" t="s">
        <v>21</v>
      </c>
      <c r="M958" s="1" t="s">
        <v>29</v>
      </c>
      <c r="N958" s="1" t="s">
        <v>22</v>
      </c>
      <c r="O958" s="1" t="str">
        <f t="shared" ca="1" si="7"/>
        <v>Please solve the LeetCode problem '2134. Minimum Swaps to Group All 1's Together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59" spans="1:15" x14ac:dyDescent="0.25">
      <c r="A959" s="1">
        <v>720</v>
      </c>
      <c r="B959" s="2" t="str">
        <f>HYPERLINK("https://leetcode.com/problems/longest-word-in-dictionary/", "Longest Word in Dictionary")</f>
        <v>Longest Word in Dictionary</v>
      </c>
      <c r="C959" s="1">
        <v>2069</v>
      </c>
      <c r="D959" s="1">
        <v>1505</v>
      </c>
      <c r="E959" s="3">
        <f t="shared" si="6"/>
        <v>0.57890318970341359</v>
      </c>
      <c r="F959" s="1" t="s">
        <v>492</v>
      </c>
      <c r="G959" s="1" t="s">
        <v>24</v>
      </c>
      <c r="H959" s="1">
        <v>186118</v>
      </c>
      <c r="I959" s="1">
        <v>342561</v>
      </c>
      <c r="J959" s="7">
        <v>0.54300000000000004</v>
      </c>
      <c r="K959" s="1" t="s">
        <v>21</v>
      </c>
      <c r="L959" s="1" t="s">
        <v>21</v>
      </c>
      <c r="M959" s="1" t="s">
        <v>29</v>
      </c>
      <c r="N959" s="1" t="s">
        <v>22</v>
      </c>
      <c r="O959" s="1" t="str">
        <f t="shared" ca="1" si="7"/>
        <v>Please solve the LeetCode problem '720. Longest Word in Dictionary'.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60" spans="1:15" x14ac:dyDescent="0.25">
      <c r="A960" s="1">
        <v>2235</v>
      </c>
      <c r="B960" s="2" t="str">
        <f>HYPERLINK("https://leetcode.com/problems/add-two-integers/", "Add Two Integers")</f>
        <v>Add Two Integers</v>
      </c>
      <c r="C960" s="1">
        <v>2068</v>
      </c>
      <c r="D960" s="1">
        <v>3219</v>
      </c>
      <c r="E960" s="3">
        <f t="shared" si="6"/>
        <v>0.39114809911102705</v>
      </c>
      <c r="F960" s="1" t="s">
        <v>84</v>
      </c>
      <c r="G960" s="1" t="s">
        <v>20</v>
      </c>
      <c r="H960" s="1">
        <v>834088</v>
      </c>
      <c r="I960" s="1">
        <v>949247</v>
      </c>
      <c r="J960" s="7">
        <v>0.879</v>
      </c>
      <c r="K960" s="1" t="s">
        <v>21</v>
      </c>
      <c r="L960" s="1" t="s">
        <v>29</v>
      </c>
      <c r="M960" s="1" t="s">
        <v>29</v>
      </c>
      <c r="N960" s="1" t="s">
        <v>22</v>
      </c>
      <c r="O960" s="1" t="str">
        <f t="shared" ca="1" si="7"/>
        <v>Please solve the LeetCode problem '2235. Add Two Integers'.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61" spans="1:15" x14ac:dyDescent="0.25">
      <c r="A961" s="1">
        <v>1483</v>
      </c>
      <c r="B961" s="2" t="str">
        <f>HYPERLINK("https://leetcode.com/problems/kth-ancestor-of-a-tree-node/", "Kth Ancestor of a Tree Node")</f>
        <v>Kth Ancestor of a Tree Node</v>
      </c>
      <c r="C961" s="1">
        <v>2067</v>
      </c>
      <c r="D961" s="1">
        <v>123</v>
      </c>
      <c r="E961" s="3">
        <f t="shared" si="6"/>
        <v>0.94383561643835612</v>
      </c>
      <c r="F961" s="1" t="s">
        <v>493</v>
      </c>
      <c r="G961" s="1" t="s">
        <v>28</v>
      </c>
      <c r="H961" s="1">
        <v>49749</v>
      </c>
      <c r="I961" s="1">
        <v>134834</v>
      </c>
      <c r="J961" s="7">
        <v>0.36899999999999999</v>
      </c>
      <c r="K961" s="1" t="s">
        <v>21</v>
      </c>
      <c r="L961" s="1" t="s">
        <v>29</v>
      </c>
      <c r="M961" s="1" t="s">
        <v>29</v>
      </c>
      <c r="N961" s="1" t="s">
        <v>22</v>
      </c>
      <c r="O961" s="1" t="str">
        <f t="shared" ca="1" si="7"/>
        <v>Please solve the LeetCode problem '1483. Kth Ancestor of a Tree Node'.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62" spans="1:15" x14ac:dyDescent="0.25">
      <c r="A962" s="1">
        <v>2401</v>
      </c>
      <c r="B962" s="2" t="str">
        <f>HYPERLINK("https://leetcode.com/problems/longest-nice-subarray/", "Longest Nice Subarray")</f>
        <v>Longest Nice Subarray</v>
      </c>
      <c r="C962" s="1">
        <v>2067</v>
      </c>
      <c r="D962" s="1">
        <v>62</v>
      </c>
      <c r="E962" s="3">
        <f t="shared" si="6"/>
        <v>0.97087834664161576</v>
      </c>
      <c r="F962" s="1" t="s">
        <v>491</v>
      </c>
      <c r="G962" s="1" t="s">
        <v>24</v>
      </c>
      <c r="H962" s="1">
        <v>173573</v>
      </c>
      <c r="I962" s="1">
        <v>267846</v>
      </c>
      <c r="J962" s="7">
        <v>0.64800000000000002</v>
      </c>
      <c r="K962" s="1" t="s">
        <v>21</v>
      </c>
      <c r="L962" s="1" t="s">
        <v>21</v>
      </c>
      <c r="M962" s="1" t="s">
        <v>29</v>
      </c>
      <c r="N962" s="1" t="s">
        <v>22</v>
      </c>
      <c r="O962" s="1" t="str">
        <f t="shared" ca="1" si="7"/>
        <v>Please solve the LeetCode problem '2401. Longest Nice Subarray'.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63" spans="1:15" x14ac:dyDescent="0.25">
      <c r="A963" s="1">
        <v>2090</v>
      </c>
      <c r="B963" s="2" t="str">
        <f>HYPERLINK("https://leetcode.com/problems/k-radius-subarray-averages/", "K Radius Subarray Averages")</f>
        <v>K Radius Subarray Averages</v>
      </c>
      <c r="C963" s="1">
        <v>2066</v>
      </c>
      <c r="D963" s="1">
        <v>103</v>
      </c>
      <c r="E963" s="3">
        <f t="shared" si="6"/>
        <v>0.95251267865375744</v>
      </c>
      <c r="F963" s="1" t="s">
        <v>295</v>
      </c>
      <c r="G963" s="1" t="s">
        <v>24</v>
      </c>
      <c r="H963" s="1">
        <v>188958</v>
      </c>
      <c r="I963" s="1">
        <v>411165</v>
      </c>
      <c r="J963" s="7">
        <v>0.46</v>
      </c>
      <c r="K963" s="1" t="s">
        <v>21</v>
      </c>
      <c r="L963" s="1" t="s">
        <v>21</v>
      </c>
      <c r="M963" s="1" t="s">
        <v>29</v>
      </c>
      <c r="N963" s="1" t="s">
        <v>22</v>
      </c>
      <c r="O963" s="1" t="str">
        <f t="shared" ca="1" si="7"/>
        <v>Please solve the LeetCode problem '2090. K Radius Subarray Averages'.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64" spans="1:15" x14ac:dyDescent="0.25">
      <c r="A964" s="1">
        <v>2462</v>
      </c>
      <c r="B964" s="2" t="str">
        <f>HYPERLINK("https://leetcode.com/problems/total-cost-to-hire-k-workers/", "Total Cost to Hire K Workers")</f>
        <v>Total Cost to Hire K Workers</v>
      </c>
      <c r="C964" s="1">
        <v>2066</v>
      </c>
      <c r="D964" s="1">
        <v>745</v>
      </c>
      <c r="E964" s="3">
        <f t="shared" si="6"/>
        <v>0.73496976165065808</v>
      </c>
      <c r="F964" s="1" t="s">
        <v>494</v>
      </c>
      <c r="G964" s="1" t="s">
        <v>24</v>
      </c>
      <c r="H964" s="1">
        <v>158644</v>
      </c>
      <c r="I964" s="1">
        <v>365067</v>
      </c>
      <c r="J964" s="7">
        <v>0.435</v>
      </c>
      <c r="K964" s="1" t="s">
        <v>21</v>
      </c>
      <c r="L964" s="1" t="s">
        <v>21</v>
      </c>
      <c r="M964" s="1" t="s">
        <v>29</v>
      </c>
      <c r="N964" s="1" t="s">
        <v>22</v>
      </c>
      <c r="O964" s="1" t="str">
        <f t="shared" ca="1" si="7"/>
        <v>Please solve the LeetCode problem '2462. Total Cost to Hire K Workers'.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65" spans="1:15" x14ac:dyDescent="0.25">
      <c r="A965" s="1">
        <v>2369</v>
      </c>
      <c r="B965" s="2" t="str">
        <f>HYPERLINK("https://leetcode.com/problems/check-if-there-is-a-valid-partition-for-the-array/", "Check if There is a Valid Partition For The Array")</f>
        <v>Check if There is a Valid Partition For The Array</v>
      </c>
      <c r="C965" s="1">
        <v>2064</v>
      </c>
      <c r="D965" s="1">
        <v>207</v>
      </c>
      <c r="E965" s="3">
        <f t="shared" si="6"/>
        <v>0.90885072655217969</v>
      </c>
      <c r="F965" s="1" t="s">
        <v>30</v>
      </c>
      <c r="G965" s="1" t="s">
        <v>24</v>
      </c>
      <c r="H965" s="1">
        <v>99943</v>
      </c>
      <c r="I965" s="1">
        <v>191520</v>
      </c>
      <c r="J965" s="7">
        <v>0.52200000000000002</v>
      </c>
      <c r="K965" s="1" t="s">
        <v>21</v>
      </c>
      <c r="L965" s="1" t="s">
        <v>21</v>
      </c>
      <c r="M965" s="1" t="s">
        <v>29</v>
      </c>
      <c r="N965" s="1" t="s">
        <v>22</v>
      </c>
      <c r="O965" s="1" t="str">
        <f t="shared" ca="1" si="7"/>
        <v>Please solve the LeetCode problem '2369. Check if There is a Valid Partition For The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66" spans="1:15" x14ac:dyDescent="0.25">
      <c r="A966" s="1">
        <v>732</v>
      </c>
      <c r="B966" s="2" t="str">
        <f>HYPERLINK("https://leetcode.com/problems/my-calendar-iii/", "My Calendar III")</f>
        <v>My Calendar III</v>
      </c>
      <c r="C966" s="1">
        <v>2057</v>
      </c>
      <c r="D966" s="1">
        <v>275</v>
      </c>
      <c r="E966" s="3">
        <f t="shared" si="6"/>
        <v>0.88207547169811318</v>
      </c>
      <c r="F966" s="1" t="s">
        <v>490</v>
      </c>
      <c r="G966" s="1" t="s">
        <v>28</v>
      </c>
      <c r="H966" s="1">
        <v>107677</v>
      </c>
      <c r="I966" s="1">
        <v>151299</v>
      </c>
      <c r="J966" s="7">
        <v>0.71199999999999997</v>
      </c>
      <c r="K966" s="1" t="s">
        <v>21</v>
      </c>
      <c r="L966" s="1" t="s">
        <v>21</v>
      </c>
      <c r="M966" s="1" t="s">
        <v>29</v>
      </c>
      <c r="N966" s="1" t="s">
        <v>22</v>
      </c>
      <c r="O966" s="1" t="str">
        <f t="shared" ca="1" si="7"/>
        <v>Please solve the LeetCode problem '732. My Calendar III'.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67" spans="1:15" x14ac:dyDescent="0.25">
      <c r="A967" s="1">
        <v>1524</v>
      </c>
      <c r="B967" s="2" t="str">
        <f>HYPERLINK("https://leetcode.com/problems/number-of-sub-arrays-with-odd-sum/", "Number of Sub-arrays With Odd Sum")</f>
        <v>Number of Sub-arrays With Odd Sum</v>
      </c>
      <c r="C967" s="1">
        <v>2057</v>
      </c>
      <c r="D967" s="1">
        <v>101</v>
      </c>
      <c r="E967" s="3">
        <f t="shared" si="6"/>
        <v>0.9531974050046339</v>
      </c>
      <c r="F967" s="1" t="s">
        <v>495</v>
      </c>
      <c r="G967" s="1" t="s">
        <v>24</v>
      </c>
      <c r="H967" s="1">
        <v>173119</v>
      </c>
      <c r="I967" s="1">
        <v>310179</v>
      </c>
      <c r="J967" s="7">
        <v>0.55800000000000005</v>
      </c>
      <c r="K967" s="1" t="s">
        <v>21</v>
      </c>
      <c r="L967" s="1" t="s">
        <v>21</v>
      </c>
      <c r="M967" s="1" t="s">
        <v>29</v>
      </c>
      <c r="N967" s="1" t="s">
        <v>22</v>
      </c>
      <c r="O967" s="1" t="str">
        <f t="shared" ca="1" si="7"/>
        <v>Please solve the LeetCode problem '1524. Number of Sub-arrays With Odd Sum'.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68" spans="1:15" x14ac:dyDescent="0.25">
      <c r="A968" s="1">
        <v>995</v>
      </c>
      <c r="B968" s="2" t="str">
        <f>HYPERLINK("https://leetcode.com/problems/minimum-number-of-k-consecutive-bit-flips/", "Minimum Number of K Consecutive Bit Flips")</f>
        <v>Minimum Number of K Consecutive Bit Flips</v>
      </c>
      <c r="C968" s="1">
        <v>2051</v>
      </c>
      <c r="D968" s="1">
        <v>90</v>
      </c>
      <c r="E968" s="3">
        <f t="shared" si="6"/>
        <v>0.95796356842596919</v>
      </c>
      <c r="F968" s="1" t="s">
        <v>497</v>
      </c>
      <c r="G968" s="1" t="s">
        <v>28</v>
      </c>
      <c r="H968" s="1">
        <v>140394</v>
      </c>
      <c r="I968" s="1">
        <v>225566</v>
      </c>
      <c r="J968" s="7">
        <v>0.622</v>
      </c>
      <c r="K968" s="1" t="s">
        <v>21</v>
      </c>
      <c r="L968" s="1" t="s">
        <v>21</v>
      </c>
      <c r="M968" s="1" t="s">
        <v>29</v>
      </c>
      <c r="N968" s="1" t="s">
        <v>22</v>
      </c>
      <c r="O968" s="1" t="str">
        <f t="shared" ca="1" si="7"/>
        <v>Please solve the LeetCode problem '995. Minimum Number of K Consecutive Bit Flips'.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69" spans="1:15" x14ac:dyDescent="0.25">
      <c r="A969" s="1">
        <v>944</v>
      </c>
      <c r="B969" s="2" t="str">
        <f>HYPERLINK("https://leetcode.com/problems/delete-columns-to-make-sorted/", "Delete Columns to Make Sorted")</f>
        <v>Delete Columns to Make Sorted</v>
      </c>
      <c r="C969" s="1">
        <v>2050</v>
      </c>
      <c r="D969" s="1">
        <v>3011</v>
      </c>
      <c r="E969" s="3">
        <f t="shared" si="6"/>
        <v>0.40505828887571627</v>
      </c>
      <c r="F969" s="1" t="s">
        <v>369</v>
      </c>
      <c r="G969" s="1" t="s">
        <v>20</v>
      </c>
      <c r="H969" s="1">
        <v>314262</v>
      </c>
      <c r="I969" s="1">
        <v>402817</v>
      </c>
      <c r="J969" s="7">
        <v>0.78</v>
      </c>
      <c r="K969" s="1" t="s">
        <v>21</v>
      </c>
      <c r="L969" s="1" t="s">
        <v>21</v>
      </c>
      <c r="M969" s="1" t="s">
        <v>29</v>
      </c>
      <c r="N969" s="1" t="s">
        <v>22</v>
      </c>
      <c r="O969" s="1" t="str">
        <f t="shared" ca="1" si="7"/>
        <v>Please solve the LeetCode problem '944. Delete Columns to Make Sorted'.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70" spans="1:15" x14ac:dyDescent="0.25">
      <c r="A970" s="1">
        <v>1639</v>
      </c>
      <c r="B970" s="2" t="str">
        <f>HYPERLINK("https://leetcode.com/problems/number-of-ways-to-form-a-target-string-given-a-dictionary/", "Number of Ways to Form a Target String Given a Dictionary")</f>
        <v>Number of Ways to Form a Target String Given a Dictionary</v>
      </c>
      <c r="C970" s="1">
        <v>2050</v>
      </c>
      <c r="D970" s="1">
        <v>120</v>
      </c>
      <c r="E970" s="3">
        <f t="shared" si="6"/>
        <v>0.9447004608294931</v>
      </c>
      <c r="F970" s="1" t="s">
        <v>225</v>
      </c>
      <c r="G970" s="1" t="s">
        <v>28</v>
      </c>
      <c r="H970" s="1">
        <v>132457</v>
      </c>
      <c r="I970" s="1">
        <v>233680</v>
      </c>
      <c r="J970" s="7">
        <v>0.56699999999999995</v>
      </c>
      <c r="K970" s="1" t="s">
        <v>21</v>
      </c>
      <c r="L970" s="1" t="s">
        <v>21</v>
      </c>
      <c r="M970" s="1" t="s">
        <v>29</v>
      </c>
      <c r="N970" s="1" t="s">
        <v>22</v>
      </c>
      <c r="O970" s="1" t="str">
        <f t="shared" ca="1" si="7"/>
        <v>Please solve the LeetCode problem '1639. Number of Ways to Form a Target String Given a Dictionary'.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71" spans="1:15" x14ac:dyDescent="0.25">
      <c r="A971" s="1">
        <v>1743</v>
      </c>
      <c r="B971" s="2" t="str">
        <f>HYPERLINK("https://leetcode.com/problems/restore-the-array-from-adjacent-pairs/", "Restore the Array From Adjacent Pairs")</f>
        <v>Restore the Array From Adjacent Pairs</v>
      </c>
      <c r="C971" s="1">
        <v>2044</v>
      </c>
      <c r="D971" s="1">
        <v>71</v>
      </c>
      <c r="E971" s="3">
        <f t="shared" si="6"/>
        <v>0.96643026004728128</v>
      </c>
      <c r="F971" s="1" t="s">
        <v>498</v>
      </c>
      <c r="G971" s="1" t="s">
        <v>24</v>
      </c>
      <c r="H971" s="1">
        <v>123012</v>
      </c>
      <c r="I971" s="1">
        <v>163949</v>
      </c>
      <c r="J971" s="7">
        <v>0.75</v>
      </c>
      <c r="K971" s="1" t="s">
        <v>21</v>
      </c>
      <c r="L971" s="1" t="s">
        <v>21</v>
      </c>
      <c r="M971" s="1" t="s">
        <v>29</v>
      </c>
      <c r="N971" s="1" t="s">
        <v>22</v>
      </c>
      <c r="O971" s="1" t="str">
        <f t="shared" ca="1" si="7"/>
        <v>Please solve the LeetCode problem '1743. Restore the Array From Adjacent Pairs'.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72" spans="1:15" x14ac:dyDescent="0.25">
      <c r="A972" s="1">
        <v>1603</v>
      </c>
      <c r="B972" s="2" t="str">
        <f>HYPERLINK("https://leetcode.com/problems/design-parking-system/", "Design Parking System")</f>
        <v>Design Parking System</v>
      </c>
      <c r="C972" s="1">
        <v>2042</v>
      </c>
      <c r="D972" s="1">
        <v>455</v>
      </c>
      <c r="E972" s="3">
        <f t="shared" si="6"/>
        <v>0.81778133760512617</v>
      </c>
      <c r="F972" s="1" t="s">
        <v>496</v>
      </c>
      <c r="G972" s="1" t="s">
        <v>20</v>
      </c>
      <c r="H972" s="1">
        <v>345605</v>
      </c>
      <c r="I972" s="1">
        <v>396616</v>
      </c>
      <c r="J972" s="7">
        <v>0.871</v>
      </c>
      <c r="K972" s="1" t="s">
        <v>21</v>
      </c>
      <c r="L972" s="1" t="s">
        <v>21</v>
      </c>
      <c r="M972" s="1" t="s">
        <v>29</v>
      </c>
      <c r="N972" s="1" t="s">
        <v>22</v>
      </c>
      <c r="O972" s="1" t="str">
        <f t="shared" ca="1" si="7"/>
        <v>Please solve the LeetCode problem '1603. Design Parking System'.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73" spans="1:15" x14ac:dyDescent="0.25">
      <c r="A973" s="1">
        <v>1814</v>
      </c>
      <c r="B973" s="2" t="str">
        <f>HYPERLINK("https://leetcode.com/problems/count-nice-pairs-in-an-array/", "Count Nice Pairs in an Array")</f>
        <v>Count Nice Pairs in an Array</v>
      </c>
      <c r="C973" s="1">
        <v>2026</v>
      </c>
      <c r="D973" s="1">
        <v>91</v>
      </c>
      <c r="E973" s="3">
        <f t="shared" si="6"/>
        <v>0.95701464336324993</v>
      </c>
      <c r="F973" s="1" t="s">
        <v>233</v>
      </c>
      <c r="G973" s="1" t="s">
        <v>24</v>
      </c>
      <c r="H973" s="1">
        <v>132021</v>
      </c>
      <c r="I973" s="1">
        <v>272461</v>
      </c>
      <c r="J973" s="7">
        <v>0.48499999999999999</v>
      </c>
      <c r="K973" s="1" t="s">
        <v>21</v>
      </c>
      <c r="L973" s="1" t="s">
        <v>21</v>
      </c>
      <c r="M973" s="1" t="s">
        <v>29</v>
      </c>
      <c r="N973" s="1" t="s">
        <v>22</v>
      </c>
      <c r="O973" s="1" t="str">
        <f t="shared" ca="1" si="7"/>
        <v>Please solve the LeetCode problem '1814. Count Nice Pairs in an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74" spans="1:15" x14ac:dyDescent="0.25">
      <c r="A974" s="1">
        <v>1773</v>
      </c>
      <c r="B974" s="2" t="str">
        <f>HYPERLINK("https://leetcode.com/problems/count-items-matching-a-rule/", "Count Items Matching a Rule")</f>
        <v>Count Items Matching a Rule</v>
      </c>
      <c r="C974" s="1">
        <v>2025</v>
      </c>
      <c r="D974" s="1">
        <v>284</v>
      </c>
      <c r="E974" s="3">
        <f t="shared" si="6"/>
        <v>0.87700303161541793</v>
      </c>
      <c r="F974" s="1" t="s">
        <v>369</v>
      </c>
      <c r="G974" s="1" t="s">
        <v>20</v>
      </c>
      <c r="H974" s="1">
        <v>278084</v>
      </c>
      <c r="I974" s="1">
        <v>326316</v>
      </c>
      <c r="J974" s="7">
        <v>0.85199999999999998</v>
      </c>
      <c r="K974" s="1" t="s">
        <v>21</v>
      </c>
      <c r="L974" s="1" t="s">
        <v>29</v>
      </c>
      <c r="M974" s="1" t="s">
        <v>29</v>
      </c>
      <c r="N974" s="1" t="s">
        <v>22</v>
      </c>
      <c r="O974" s="1" t="str">
        <f t="shared" ca="1" si="7"/>
        <v>Please solve the LeetCode problem '1773. Count Items Matching a Rule'.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75" spans="1:15" x14ac:dyDescent="0.25">
      <c r="A975" s="1">
        <v>709</v>
      </c>
      <c r="B975" s="2" t="str">
        <f>HYPERLINK("https://leetcode.com/problems/to-lower-case/", "To Lower Case")</f>
        <v>To Lower Case</v>
      </c>
      <c r="C975" s="1">
        <v>2016</v>
      </c>
      <c r="D975" s="1">
        <v>2796</v>
      </c>
      <c r="E975" s="3">
        <f t="shared" si="6"/>
        <v>0.41895261845386533</v>
      </c>
      <c r="F975" s="1" t="s">
        <v>146</v>
      </c>
      <c r="G975" s="1" t="s">
        <v>20</v>
      </c>
      <c r="H975" s="1">
        <v>696491</v>
      </c>
      <c r="I975" s="1">
        <v>823060</v>
      </c>
      <c r="J975" s="7">
        <v>0.84599999999999997</v>
      </c>
      <c r="K975" s="1" t="s">
        <v>21</v>
      </c>
      <c r="L975" s="1" t="s">
        <v>21</v>
      </c>
      <c r="M975" s="1" t="s">
        <v>29</v>
      </c>
      <c r="N975" s="1" t="s">
        <v>22</v>
      </c>
      <c r="O975" s="1" t="str">
        <f t="shared" ca="1" si="7"/>
        <v>Please solve the LeetCode problem '709. To Lower Case'.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76" spans="1:15" x14ac:dyDescent="0.25">
      <c r="A976" s="1">
        <v>1442</v>
      </c>
      <c r="B976" s="2" t="str">
        <f>HYPERLINK("https://leetcode.com/problems/count-triplets-that-can-form-two-arrays-of-equal-xor/", "Count Triplets That Can Form Two Arrays of Equal XOR")</f>
        <v>Count Triplets That Can Form Two Arrays of Equal XOR</v>
      </c>
      <c r="C976" s="1">
        <v>2016</v>
      </c>
      <c r="D976" s="1">
        <v>137</v>
      </c>
      <c r="E976" s="3">
        <f t="shared" si="6"/>
        <v>0.93636785880167206</v>
      </c>
      <c r="F976" s="1" t="s">
        <v>499</v>
      </c>
      <c r="G976" s="1" t="s">
        <v>24</v>
      </c>
      <c r="H976" s="1">
        <v>139468</v>
      </c>
      <c r="I976" s="1">
        <v>164371</v>
      </c>
      <c r="J976" s="7">
        <v>0.84799999999999998</v>
      </c>
      <c r="K976" s="1" t="s">
        <v>21</v>
      </c>
      <c r="L976" s="1" t="s">
        <v>21</v>
      </c>
      <c r="M976" s="1" t="s">
        <v>29</v>
      </c>
      <c r="N976" s="1" t="s">
        <v>22</v>
      </c>
      <c r="O976" s="1" t="str">
        <f t="shared" ca="1" si="7"/>
        <v>Please solve the LeetCode problem '1442. Count Triplets That Can Form Two Arrays of Equal XOR'.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77" spans="1:15" x14ac:dyDescent="0.25">
      <c r="A977" s="1">
        <v>2116</v>
      </c>
      <c r="B977" s="2" t="str">
        <f>HYPERLINK("https://leetcode.com/problems/check-if-a-parentheses-string-can-be-valid/", "Check if a Parentheses String Can Be Valid")</f>
        <v>Check if a Parentheses String Can Be Valid</v>
      </c>
      <c r="C977" s="1">
        <v>2016</v>
      </c>
      <c r="D977" s="1">
        <v>133</v>
      </c>
      <c r="E977" s="3">
        <f t="shared" si="6"/>
        <v>0.93811074918566772</v>
      </c>
      <c r="F977" s="1" t="s">
        <v>263</v>
      </c>
      <c r="G977" s="1" t="s">
        <v>24</v>
      </c>
      <c r="H977" s="1">
        <v>153983</v>
      </c>
      <c r="I977" s="1">
        <v>341996</v>
      </c>
      <c r="J977" s="7">
        <v>0.45</v>
      </c>
      <c r="K977" s="1" t="s">
        <v>21</v>
      </c>
      <c r="L977" s="1" t="s">
        <v>21</v>
      </c>
      <c r="M977" s="1" t="s">
        <v>29</v>
      </c>
      <c r="N977" s="1" t="s">
        <v>22</v>
      </c>
      <c r="O977" s="1" t="str">
        <f t="shared" ca="1" si="7"/>
        <v>Please solve the LeetCode problem '2116. Check if a Parentheses String Can Be Valid'.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78" spans="1:15" x14ac:dyDescent="0.25">
      <c r="A978" s="1">
        <v>196</v>
      </c>
      <c r="B978" s="2" t="str">
        <f>HYPERLINK("https://leetcode.com/problems/delete-duplicate-emails/", "Delete Duplicate Emails")</f>
        <v>Delete Duplicate Emails</v>
      </c>
      <c r="C978" s="1">
        <v>2012</v>
      </c>
      <c r="D978" s="1">
        <v>414</v>
      </c>
      <c r="E978" s="3">
        <f t="shared" si="6"/>
        <v>0.82934872217642208</v>
      </c>
      <c r="F978" s="1" t="s">
        <v>297</v>
      </c>
      <c r="G978" s="1" t="s">
        <v>20</v>
      </c>
      <c r="H978" s="1">
        <v>893663</v>
      </c>
      <c r="I978" s="1">
        <v>1366254</v>
      </c>
      <c r="J978" s="7">
        <v>0.65400000000000003</v>
      </c>
      <c r="K978" s="1" t="s">
        <v>21</v>
      </c>
      <c r="L978" s="1" t="s">
        <v>21</v>
      </c>
      <c r="M978" s="1" t="s">
        <v>29</v>
      </c>
      <c r="N978" s="1" t="s">
        <v>297</v>
      </c>
      <c r="O978" s="1" t="str">
        <f t="shared" ca="1" si="7"/>
        <v>Please solve the LeetCode problem '196. Delete Duplicate Emails'.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79" spans="1:15" x14ac:dyDescent="0.25">
      <c r="A979" s="1">
        <v>818</v>
      </c>
      <c r="B979" s="2" t="str">
        <f>HYPERLINK("https://leetcode.com/problems/race-car/", "Race Car")</f>
        <v>Race Car</v>
      </c>
      <c r="C979" s="1">
        <v>2011</v>
      </c>
      <c r="D979" s="1">
        <v>190</v>
      </c>
      <c r="E979" s="3">
        <f t="shared" si="6"/>
        <v>0.91367560199909137</v>
      </c>
      <c r="F979" s="1" t="s">
        <v>251</v>
      </c>
      <c r="G979" s="1" t="s">
        <v>28</v>
      </c>
      <c r="H979" s="1">
        <v>104215</v>
      </c>
      <c r="I979" s="1">
        <v>233951</v>
      </c>
      <c r="J979" s="7">
        <v>0.44500000000000001</v>
      </c>
      <c r="K979" s="1" t="s">
        <v>21</v>
      </c>
      <c r="L979" s="1" t="s">
        <v>21</v>
      </c>
      <c r="M979" s="1" t="s">
        <v>29</v>
      </c>
      <c r="N979" s="1" t="s">
        <v>22</v>
      </c>
      <c r="O979" s="1" t="str">
        <f t="shared" ca="1" si="7"/>
        <v>Please solve the LeetCode problem '818. Race Car'.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80" spans="1:15" x14ac:dyDescent="0.25">
      <c r="A980" s="1">
        <v>716</v>
      </c>
      <c r="B980" s="2" t="str">
        <f>HYPERLINK("https://leetcode.com/problems/max-stack/", "Max Stack")</f>
        <v>Max Stack</v>
      </c>
      <c r="C980" s="1">
        <v>2008</v>
      </c>
      <c r="D980" s="1">
        <v>513</v>
      </c>
      <c r="E980" s="3">
        <f t="shared" si="6"/>
        <v>0.79650932169773903</v>
      </c>
      <c r="F980" s="1" t="s">
        <v>500</v>
      </c>
      <c r="G980" s="1" t="s">
        <v>28</v>
      </c>
      <c r="H980" s="1">
        <v>180671</v>
      </c>
      <c r="I980" s="1">
        <v>394572</v>
      </c>
      <c r="J980" s="7">
        <v>0.45800000000000002</v>
      </c>
      <c r="K980" s="1" t="s">
        <v>29</v>
      </c>
      <c r="L980" s="1" t="s">
        <v>21</v>
      </c>
      <c r="M980" s="1" t="s">
        <v>29</v>
      </c>
      <c r="N980" s="1" t="s">
        <v>22</v>
      </c>
      <c r="O980" s="1" t="str">
        <f t="shared" ca="1" si="7"/>
        <v>Please solve the LeetCode problem '716. Max Stack'.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81" spans="1:15" x14ac:dyDescent="0.25">
      <c r="A981" s="1">
        <v>2011</v>
      </c>
      <c r="B981" s="2" t="str">
        <f>HYPERLINK("https://leetcode.com/problems/final-value-of-variable-after-performing-operations/", "Final Value of Variable After Performing Operations")</f>
        <v>Final Value of Variable After Performing Operations</v>
      </c>
      <c r="C981" s="1">
        <v>2004</v>
      </c>
      <c r="D981" s="1">
        <v>213</v>
      </c>
      <c r="E981" s="3">
        <f t="shared" si="6"/>
        <v>0.90392422192151556</v>
      </c>
      <c r="F981" s="1" t="s">
        <v>285</v>
      </c>
      <c r="G981" s="1" t="s">
        <v>20</v>
      </c>
      <c r="H981" s="1">
        <v>630623</v>
      </c>
      <c r="I981" s="1">
        <v>696330</v>
      </c>
      <c r="J981" s="7">
        <v>0.90600000000000003</v>
      </c>
      <c r="K981" s="1" t="s">
        <v>21</v>
      </c>
      <c r="L981" s="1" t="s">
        <v>21</v>
      </c>
      <c r="M981" s="1" t="s">
        <v>29</v>
      </c>
      <c r="N981" s="1" t="s">
        <v>22</v>
      </c>
      <c r="O981" s="1" t="str">
        <f t="shared" ca="1" si="7"/>
        <v>Please solve the LeetCode problem '2011. Final Value of Variable After Performing Operations'.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82" spans="1:15" x14ac:dyDescent="0.25">
      <c r="A982" s="1">
        <v>1186</v>
      </c>
      <c r="B982" s="2" t="str">
        <f>HYPERLINK("https://leetcode.com/problems/maximum-subarray-sum-with-one-deletion/", "Maximum Subarray Sum with One Deletion")</f>
        <v>Maximum Subarray Sum with One Deletion</v>
      </c>
      <c r="C982" s="1">
        <v>2000</v>
      </c>
      <c r="D982" s="1">
        <v>80</v>
      </c>
      <c r="E982" s="3">
        <f t="shared" si="6"/>
        <v>0.96153846153846156</v>
      </c>
      <c r="F982" s="1" t="s">
        <v>30</v>
      </c>
      <c r="G982" s="1" t="s">
        <v>24</v>
      </c>
      <c r="H982" s="1">
        <v>71956</v>
      </c>
      <c r="I982" s="1">
        <v>155524</v>
      </c>
      <c r="J982" s="7">
        <v>0.46300000000000002</v>
      </c>
      <c r="K982" s="1" t="s">
        <v>21</v>
      </c>
      <c r="L982" s="1" t="s">
        <v>29</v>
      </c>
      <c r="M982" s="1" t="s">
        <v>29</v>
      </c>
      <c r="N982" s="1" t="s">
        <v>22</v>
      </c>
      <c r="O982" s="1" t="str">
        <f t="shared" ca="1" si="7"/>
        <v>Please solve the LeetCode problem '1186. Maximum Subarray Sum with One Deletion'.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83" spans="1:15" x14ac:dyDescent="0.25">
      <c r="A983" s="1">
        <v>2563</v>
      </c>
      <c r="B983" s="2" t="str">
        <f>HYPERLINK("https://leetcode.com/problems/count-the-number-of-fair-pairs/", "Count the Number of Fair Pairs")</f>
        <v>Count the Number of Fair Pairs</v>
      </c>
      <c r="C983" s="1">
        <v>2000</v>
      </c>
      <c r="D983" s="1">
        <v>150</v>
      </c>
      <c r="E983" s="3">
        <f t="shared" si="6"/>
        <v>0.93023255813953487</v>
      </c>
      <c r="F983" s="1" t="s">
        <v>277</v>
      </c>
      <c r="G983" s="1" t="s">
        <v>24</v>
      </c>
      <c r="H983" s="1">
        <v>235796</v>
      </c>
      <c r="I983" s="1">
        <v>447287</v>
      </c>
      <c r="J983" s="7">
        <v>0.52700000000000002</v>
      </c>
      <c r="K983" s="1" t="s">
        <v>21</v>
      </c>
      <c r="L983" s="1" t="s">
        <v>21</v>
      </c>
      <c r="M983" s="1" t="s">
        <v>29</v>
      </c>
      <c r="N983" s="1" t="s">
        <v>22</v>
      </c>
      <c r="O983" s="1" t="str">
        <f t="shared" ca="1" si="7"/>
        <v>Please solve the LeetCode problem '2563. Count the Number of Fair Pairs'.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84" spans="1:15" x14ac:dyDescent="0.25">
      <c r="A984" s="1">
        <v>730</v>
      </c>
      <c r="B984" s="2" t="str">
        <f>HYPERLINK("https://leetcode.com/problems/count-different-palindromic-subsequences/", "Count Different Palindromic Subsequences")</f>
        <v>Count Different Palindromic Subsequences</v>
      </c>
      <c r="C984" s="1">
        <v>1998</v>
      </c>
      <c r="D984" s="1">
        <v>103</v>
      </c>
      <c r="E984" s="3">
        <f t="shared" si="6"/>
        <v>0.95097572584483581</v>
      </c>
      <c r="F984" s="1" t="s">
        <v>82</v>
      </c>
      <c r="G984" s="1" t="s">
        <v>28</v>
      </c>
      <c r="H984" s="1">
        <v>44366</v>
      </c>
      <c r="I984" s="1">
        <v>93632</v>
      </c>
      <c r="J984" s="7">
        <v>0.47399999999999998</v>
      </c>
      <c r="K984" s="1" t="s">
        <v>21</v>
      </c>
      <c r="L984" s="1" t="s">
        <v>21</v>
      </c>
      <c r="M984" s="1" t="s">
        <v>29</v>
      </c>
      <c r="N984" s="1" t="s">
        <v>22</v>
      </c>
      <c r="O984" s="1" t="str">
        <f t="shared" ca="1" si="7"/>
        <v>Please solve the LeetCode problem '730. Count Different Palindromic Subsequences'.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85" spans="1:15" x14ac:dyDescent="0.25">
      <c r="A985" s="1">
        <v>768</v>
      </c>
      <c r="B985" s="2" t="str">
        <f>HYPERLINK("https://leetcode.com/problems/max-chunks-to-make-sorted-ii/", "Max Chunks To Make Sorted II")</f>
        <v>Max Chunks To Make Sorted II</v>
      </c>
      <c r="C985" s="1">
        <v>1991</v>
      </c>
      <c r="D985" s="1">
        <v>63</v>
      </c>
      <c r="E985" s="3">
        <f t="shared" si="6"/>
        <v>0.96932814021421621</v>
      </c>
      <c r="F985" s="1" t="s">
        <v>335</v>
      </c>
      <c r="G985" s="1" t="s">
        <v>28</v>
      </c>
      <c r="H985" s="1">
        <v>84529</v>
      </c>
      <c r="I985" s="1">
        <v>154809</v>
      </c>
      <c r="J985" s="7">
        <v>0.54600000000000004</v>
      </c>
      <c r="K985" s="1" t="s">
        <v>21</v>
      </c>
      <c r="L985" s="1" t="s">
        <v>21</v>
      </c>
      <c r="M985" s="1" t="s">
        <v>29</v>
      </c>
      <c r="N985" s="1" t="s">
        <v>22</v>
      </c>
      <c r="O985" s="1" t="str">
        <f t="shared" ca="1" si="7"/>
        <v>Please solve the LeetCode problem '768. Max Chunks To Make Sorted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86" spans="1:15" x14ac:dyDescent="0.25">
      <c r="A986" s="1">
        <v>1793</v>
      </c>
      <c r="B986" s="2" t="str">
        <f>HYPERLINK("https://leetcode.com/problems/maximum-score-of-a-good-subarray/", "Maximum Score of a Good Subarray")</f>
        <v>Maximum Score of a Good Subarray</v>
      </c>
      <c r="C986" s="1">
        <v>1991</v>
      </c>
      <c r="D986" s="1">
        <v>50</v>
      </c>
      <c r="E986" s="3">
        <f t="shared" si="6"/>
        <v>0.97550220480156791</v>
      </c>
      <c r="F986" s="1" t="s">
        <v>437</v>
      </c>
      <c r="G986" s="1" t="s">
        <v>28</v>
      </c>
      <c r="H986" s="1">
        <v>87707</v>
      </c>
      <c r="I986" s="1">
        <v>136280</v>
      </c>
      <c r="J986" s="7">
        <v>0.64400000000000002</v>
      </c>
      <c r="K986" s="1" t="s">
        <v>21</v>
      </c>
      <c r="L986" s="1" t="s">
        <v>21</v>
      </c>
      <c r="M986" s="1" t="s">
        <v>29</v>
      </c>
      <c r="N986" s="1" t="s">
        <v>22</v>
      </c>
      <c r="O986" s="1" t="str">
        <f t="shared" ca="1" si="7"/>
        <v>Please solve the LeetCode problem '1793. Maximum Score of a Good Subarray'.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87" spans="1:15" x14ac:dyDescent="0.25">
      <c r="A987" s="1">
        <v>671</v>
      </c>
      <c r="B987" s="2" t="str">
        <f>HYPERLINK("https://leetcode.com/problems/second-minimum-node-in-a-binary-tree/", "Second Minimum Node In a Binary Tree")</f>
        <v>Second Minimum Node In a Binary Tree</v>
      </c>
      <c r="C987" s="1">
        <v>1990</v>
      </c>
      <c r="D987" s="1">
        <v>1902</v>
      </c>
      <c r="E987" s="3">
        <f t="shared" si="6"/>
        <v>0.51130524152106882</v>
      </c>
      <c r="F987" s="1" t="s">
        <v>67</v>
      </c>
      <c r="G987" s="1" t="s">
        <v>20</v>
      </c>
      <c r="H987" s="1">
        <v>237399</v>
      </c>
      <c r="I987" s="1">
        <v>517656</v>
      </c>
      <c r="J987" s="7">
        <v>0.45900000000000002</v>
      </c>
      <c r="K987" s="1" t="s">
        <v>21</v>
      </c>
      <c r="L987" s="1" t="s">
        <v>21</v>
      </c>
      <c r="M987" s="1" t="s">
        <v>29</v>
      </c>
      <c r="N987" s="1" t="s">
        <v>22</v>
      </c>
      <c r="O987" s="1" t="str">
        <f t="shared" ca="1" si="7"/>
        <v>Please solve the LeetCode problem '671. Second Minimum Node In a Binary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88" spans="1:15" x14ac:dyDescent="0.25">
      <c r="A988" s="1">
        <v>317</v>
      </c>
      <c r="B988" s="2" t="str">
        <f>HYPERLINK("https://leetcode.com/problems/shortest-distance-from-all-buildings/", "Shortest Distance from All Buildings")</f>
        <v>Shortest Distance from All Buildings</v>
      </c>
      <c r="C988" s="1">
        <v>1987</v>
      </c>
      <c r="D988" s="1">
        <v>343</v>
      </c>
      <c r="E988" s="3">
        <f t="shared" si="6"/>
        <v>0.85278969957081541</v>
      </c>
      <c r="F988" s="1" t="s">
        <v>86</v>
      </c>
      <c r="G988" s="1" t="s">
        <v>28</v>
      </c>
      <c r="H988" s="1">
        <v>216486</v>
      </c>
      <c r="I988" s="1">
        <v>483198</v>
      </c>
      <c r="J988" s="7">
        <v>0.44800000000000001</v>
      </c>
      <c r="K988" s="1" t="s">
        <v>29</v>
      </c>
      <c r="L988" s="1" t="s">
        <v>21</v>
      </c>
      <c r="M988" s="1" t="s">
        <v>29</v>
      </c>
      <c r="N988" s="1" t="s">
        <v>22</v>
      </c>
      <c r="O988" s="1" t="str">
        <f t="shared" ca="1" si="7"/>
        <v>Please solve the LeetCode problem '317. Shortest Distance from All Buildings'.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89" spans="1:15" x14ac:dyDescent="0.25">
      <c r="A989" s="1">
        <v>1489</v>
      </c>
      <c r="B989" s="2" t="str">
        <f>HYPERLINK("https://leetcode.com/problems/find-critical-and-pseudo-critical-edges-in-minimum-spanning-tree/", "Find Critical and Pseudo-Critical Edges in Minimum Spanning Tree")</f>
        <v>Find Critical and Pseudo-Critical Edges in Minimum Spanning Tree</v>
      </c>
      <c r="C989" s="1">
        <v>1985</v>
      </c>
      <c r="D989" s="1">
        <v>168</v>
      </c>
      <c r="E989" s="3">
        <f t="shared" si="6"/>
        <v>0.92196934509986062</v>
      </c>
      <c r="F989" s="1" t="s">
        <v>501</v>
      </c>
      <c r="G989" s="1" t="s">
        <v>28</v>
      </c>
      <c r="H989" s="1">
        <v>69655</v>
      </c>
      <c r="I989" s="1">
        <v>105122</v>
      </c>
      <c r="J989" s="7">
        <v>0.66300000000000003</v>
      </c>
      <c r="K989" s="1" t="s">
        <v>21</v>
      </c>
      <c r="L989" s="1" t="s">
        <v>21</v>
      </c>
      <c r="M989" s="1" t="s">
        <v>29</v>
      </c>
      <c r="N989" s="1" t="s">
        <v>22</v>
      </c>
      <c r="O989" s="1" t="str">
        <f t="shared" ca="1" si="7"/>
        <v>Please solve the LeetCode problem '1489. Find Critical and Pseudo-Critical Edges in Minimum Spanning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90" spans="1:15" x14ac:dyDescent="0.25">
      <c r="A990" s="1">
        <v>2009</v>
      </c>
      <c r="B990" s="2" t="str">
        <f>HYPERLINK("https://leetcode.com/problems/minimum-number-of-operations-to-make-array-continuous/", "Minimum Number of Operations to Make Array Continuous")</f>
        <v>Minimum Number of Operations to Make Array Continuous</v>
      </c>
      <c r="C990" s="1">
        <v>1980</v>
      </c>
      <c r="D990" s="1">
        <v>53</v>
      </c>
      <c r="E990" s="3">
        <f t="shared" si="6"/>
        <v>0.97393015248401382</v>
      </c>
      <c r="F990" s="1" t="s">
        <v>503</v>
      </c>
      <c r="G990" s="1" t="s">
        <v>28</v>
      </c>
      <c r="H990" s="1">
        <v>85552</v>
      </c>
      <c r="I990" s="1">
        <v>164064</v>
      </c>
      <c r="J990" s="7">
        <v>0.52100000000000002</v>
      </c>
      <c r="K990" s="1" t="s">
        <v>21</v>
      </c>
      <c r="L990" s="1" t="s">
        <v>21</v>
      </c>
      <c r="M990" s="1" t="s">
        <v>29</v>
      </c>
      <c r="N990" s="1" t="s">
        <v>22</v>
      </c>
      <c r="O990" s="1" t="str">
        <f t="shared" ca="1" si="7"/>
        <v>Please solve the LeetCode problem '2009. Minimum Number of Operations to Make Array Continuous'.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91" spans="1:15" x14ac:dyDescent="0.25">
      <c r="A991" s="1">
        <v>1727</v>
      </c>
      <c r="B991" s="2" t="str">
        <f>HYPERLINK("https://leetcode.com/problems/largest-submatrix-with-rearrangements/", "Largest Submatrix With Rearrangements")</f>
        <v>Largest Submatrix With Rearrangements</v>
      </c>
      <c r="C991" s="1">
        <v>1976</v>
      </c>
      <c r="D991" s="1">
        <v>107</v>
      </c>
      <c r="E991" s="3">
        <f t="shared" si="6"/>
        <v>0.94863178108497359</v>
      </c>
      <c r="F991" s="1" t="s">
        <v>504</v>
      </c>
      <c r="G991" s="1" t="s">
        <v>24</v>
      </c>
      <c r="H991" s="1">
        <v>78515</v>
      </c>
      <c r="I991" s="1">
        <v>104392</v>
      </c>
      <c r="J991" s="7">
        <v>0.752</v>
      </c>
      <c r="K991" s="1" t="s">
        <v>21</v>
      </c>
      <c r="L991" s="1" t="s">
        <v>21</v>
      </c>
      <c r="M991" s="1" t="s">
        <v>29</v>
      </c>
      <c r="N991" s="1" t="s">
        <v>22</v>
      </c>
      <c r="O991" s="1" t="str">
        <f t="shared" ca="1" si="7"/>
        <v>Please solve the LeetCode problem '1727. Largest Submatrix With Rearrangements'.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92" spans="1:15" x14ac:dyDescent="0.25">
      <c r="A992" s="1">
        <v>965</v>
      </c>
      <c r="B992" s="2" t="str">
        <f>HYPERLINK("https://leetcode.com/problems/univalued-binary-tree/", "Univalued Binary Tree")</f>
        <v>Univalued Binary Tree</v>
      </c>
      <c r="C992" s="1">
        <v>1974</v>
      </c>
      <c r="D992" s="1">
        <v>68</v>
      </c>
      <c r="E992" s="3">
        <f t="shared" si="6"/>
        <v>0.96669931439764933</v>
      </c>
      <c r="F992" s="1" t="s">
        <v>80</v>
      </c>
      <c r="G992" s="1" t="s">
        <v>20</v>
      </c>
      <c r="H992" s="1">
        <v>267074</v>
      </c>
      <c r="I992" s="1">
        <v>367329</v>
      </c>
      <c r="J992" s="7">
        <v>0.72699999999999998</v>
      </c>
      <c r="K992" s="1" t="s">
        <v>21</v>
      </c>
      <c r="L992" s="1" t="s">
        <v>21</v>
      </c>
      <c r="M992" s="1" t="s">
        <v>29</v>
      </c>
      <c r="N992" s="1" t="s">
        <v>22</v>
      </c>
      <c r="O992" s="1" t="str">
        <f t="shared" ca="1" si="7"/>
        <v>Please solve the LeetCode problem '965. Univalued Binary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93" spans="1:15" x14ac:dyDescent="0.25">
      <c r="A993" s="1">
        <v>305</v>
      </c>
      <c r="B993" s="2" t="str">
        <f>HYPERLINK("https://leetcode.com/problems/number-of-islands-ii/", "Number of Islands II")</f>
        <v>Number of Islands II</v>
      </c>
      <c r="C993" s="1">
        <v>1973</v>
      </c>
      <c r="D993" s="1">
        <v>77</v>
      </c>
      <c r="E993" s="3">
        <f t="shared" si="6"/>
        <v>0.96243902439024387</v>
      </c>
      <c r="F993" s="1" t="s">
        <v>46</v>
      </c>
      <c r="G993" s="1" t="s">
        <v>28</v>
      </c>
      <c r="H993" s="1">
        <v>174873</v>
      </c>
      <c r="I993" s="1">
        <v>433785</v>
      </c>
      <c r="J993" s="7">
        <v>0.40300000000000002</v>
      </c>
      <c r="K993" s="1" t="s">
        <v>29</v>
      </c>
      <c r="L993" s="1" t="s">
        <v>21</v>
      </c>
      <c r="M993" s="1" t="s">
        <v>29</v>
      </c>
      <c r="N993" s="1" t="s">
        <v>22</v>
      </c>
      <c r="O993" s="1" t="str">
        <f t="shared" ca="1" si="7"/>
        <v>Please solve the LeetCode problem '305. Number of Islands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94" spans="1:15" x14ac:dyDescent="0.25">
      <c r="A994" s="1">
        <v>1296</v>
      </c>
      <c r="B994" s="2" t="str">
        <f>HYPERLINK("https://leetcode.com/problems/divide-array-in-sets-of-k-consecutive-numbers/", "Divide Array in Sets of K Consecutive Numbers")</f>
        <v>Divide Array in Sets of K Consecutive Numbers</v>
      </c>
      <c r="C994" s="1">
        <v>1973</v>
      </c>
      <c r="D994" s="1">
        <v>117</v>
      </c>
      <c r="E994" s="3">
        <f t="shared" si="6"/>
        <v>0.94401913875598087</v>
      </c>
      <c r="F994" s="1" t="s">
        <v>333</v>
      </c>
      <c r="G994" s="1" t="s">
        <v>24</v>
      </c>
      <c r="H994" s="1">
        <v>122937</v>
      </c>
      <c r="I994" s="1">
        <v>208222</v>
      </c>
      <c r="J994" s="7">
        <v>0.59</v>
      </c>
      <c r="K994" s="1" t="s">
        <v>21</v>
      </c>
      <c r="L994" s="1" t="s">
        <v>29</v>
      </c>
      <c r="M994" s="1" t="s">
        <v>29</v>
      </c>
      <c r="N994" s="1" t="s">
        <v>22</v>
      </c>
      <c r="O994" s="1" t="str">
        <f t="shared" ca="1" si="7"/>
        <v>Please solve the LeetCode problem '1296. Divide Array in Sets of K Consecutive Numbers'.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95" spans="1:15" x14ac:dyDescent="0.25">
      <c r="A995" s="1">
        <v>1561</v>
      </c>
      <c r="B995" s="2" t="str">
        <f>HYPERLINK("https://leetcode.com/problems/maximum-number-of-coins-you-can-get/", "Maximum Number of Coins You Can Get")</f>
        <v>Maximum Number of Coins You Can Get</v>
      </c>
      <c r="C995" s="1">
        <v>1969</v>
      </c>
      <c r="D995" s="1">
        <v>223</v>
      </c>
      <c r="E995" s="3">
        <f t="shared" si="6"/>
        <v>0.89826642335766427</v>
      </c>
      <c r="F995" s="1" t="s">
        <v>505</v>
      </c>
      <c r="G995" s="1" t="s">
        <v>24</v>
      </c>
      <c r="H995" s="1">
        <v>194490</v>
      </c>
      <c r="I995" s="1">
        <v>229633</v>
      </c>
      <c r="J995" s="7">
        <v>0.84699999999999998</v>
      </c>
      <c r="K995" s="1" t="s">
        <v>21</v>
      </c>
      <c r="L995" s="1" t="s">
        <v>21</v>
      </c>
      <c r="M995" s="1" t="s">
        <v>29</v>
      </c>
      <c r="N995" s="1" t="s">
        <v>22</v>
      </c>
      <c r="O995" s="1" t="str">
        <f t="shared" ca="1" si="7"/>
        <v>Please solve the LeetCode problem '1561. Maximum Number of Coins You Can Get'.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96" spans="1:15" x14ac:dyDescent="0.25">
      <c r="A996" s="1">
        <v>1749</v>
      </c>
      <c r="B996" s="2" t="str">
        <f>HYPERLINK("https://leetcode.com/problems/maximum-absolute-sum-of-any-subarray/", "Maximum Absolute Sum of Any Subarray")</f>
        <v>Maximum Absolute Sum of Any Subarray</v>
      </c>
      <c r="C996" s="1">
        <v>1968</v>
      </c>
      <c r="D996" s="1">
        <v>45</v>
      </c>
      <c r="E996" s="3">
        <f t="shared" si="6"/>
        <v>0.97764530551415796</v>
      </c>
      <c r="F996" s="1" t="s">
        <v>30</v>
      </c>
      <c r="G996" s="1" t="s">
        <v>24</v>
      </c>
      <c r="H996" s="1">
        <v>181805</v>
      </c>
      <c r="I996" s="1">
        <v>255093</v>
      </c>
      <c r="J996" s="7">
        <v>0.71299999999999997</v>
      </c>
      <c r="K996" s="1" t="s">
        <v>21</v>
      </c>
      <c r="L996" s="1" t="s">
        <v>21</v>
      </c>
      <c r="M996" s="1" t="s">
        <v>29</v>
      </c>
      <c r="N996" s="1" t="s">
        <v>22</v>
      </c>
      <c r="O996" s="1" t="str">
        <f t="shared" ca="1" si="7"/>
        <v>Please solve the LeetCode problem '1749. Maximum Absolute Sum of Any Subarray'.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97" spans="1:15" x14ac:dyDescent="0.25">
      <c r="A997" s="1">
        <v>726</v>
      </c>
      <c r="B997" s="2" t="str">
        <f>HYPERLINK("https://leetcode.com/problems/number-of-atoms/", "Number of Atoms")</f>
        <v>Number of Atoms</v>
      </c>
      <c r="C997" s="1">
        <v>1967</v>
      </c>
      <c r="D997" s="1">
        <v>411</v>
      </c>
      <c r="E997" s="3">
        <f t="shared" si="6"/>
        <v>0.82716568544995794</v>
      </c>
      <c r="F997" s="1" t="s">
        <v>506</v>
      </c>
      <c r="G997" s="1" t="s">
        <v>28</v>
      </c>
      <c r="H997" s="1">
        <v>159606</v>
      </c>
      <c r="I997" s="1">
        <v>245390</v>
      </c>
      <c r="J997" s="7">
        <v>0.65</v>
      </c>
      <c r="K997" s="1" t="s">
        <v>21</v>
      </c>
      <c r="L997" s="1" t="s">
        <v>21</v>
      </c>
      <c r="M997" s="1" t="s">
        <v>29</v>
      </c>
      <c r="N997" s="1" t="s">
        <v>22</v>
      </c>
      <c r="O997" s="1" t="str">
        <f t="shared" ca="1" si="7"/>
        <v>Please solve the LeetCode problem '726. Number of Atoms'.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98" spans="1:15" x14ac:dyDescent="0.25">
      <c r="A998" s="1">
        <v>1378</v>
      </c>
      <c r="B998" s="2" t="str">
        <f>HYPERLINK("https://leetcode.com/problems/replace-employee-id-with-the-unique-identifier/", "Replace Employee ID With The Unique Identifier")</f>
        <v>Replace Employee ID With The Unique Identifier</v>
      </c>
      <c r="C998" s="1">
        <v>1965</v>
      </c>
      <c r="D998" s="1">
        <v>158</v>
      </c>
      <c r="E998" s="3">
        <f t="shared" si="6"/>
        <v>0.92557701365991518</v>
      </c>
      <c r="F998" s="1" t="s">
        <v>297</v>
      </c>
      <c r="G998" s="1" t="s">
        <v>20</v>
      </c>
      <c r="H998" s="1">
        <v>1231377</v>
      </c>
      <c r="I998" s="1">
        <v>1474264</v>
      </c>
      <c r="J998" s="7">
        <v>0.83499999999999996</v>
      </c>
      <c r="K998" s="1" t="s">
        <v>21</v>
      </c>
      <c r="L998" s="1" t="s">
        <v>21</v>
      </c>
      <c r="M998" s="1" t="s">
        <v>29</v>
      </c>
      <c r="N998" s="1" t="s">
        <v>297</v>
      </c>
      <c r="O998" s="1" t="str">
        <f t="shared" ca="1" si="7"/>
        <v>Please solve the LeetCode problem '1378. Replace Employee ID With The Unique Identifier'.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999" spans="1:15" x14ac:dyDescent="0.25">
      <c r="A999" s="1">
        <v>2306</v>
      </c>
      <c r="B999" s="2" t="str">
        <f>HYPERLINK("https://leetcode.com/problems/naming-a-company/", "Naming a Company")</f>
        <v>Naming a Company</v>
      </c>
      <c r="C999" s="1">
        <v>1964</v>
      </c>
      <c r="D999" s="1">
        <v>74</v>
      </c>
      <c r="E999" s="3">
        <f t="shared" si="6"/>
        <v>0.96368989205103039</v>
      </c>
      <c r="F999" s="1" t="s">
        <v>507</v>
      </c>
      <c r="G999" s="1" t="s">
        <v>28</v>
      </c>
      <c r="H999" s="1">
        <v>65025</v>
      </c>
      <c r="I999" s="1">
        <v>139980</v>
      </c>
      <c r="J999" s="7">
        <v>0.46500000000000002</v>
      </c>
      <c r="K999" s="1" t="s">
        <v>21</v>
      </c>
      <c r="L999" s="1" t="s">
        <v>21</v>
      </c>
      <c r="M999" s="1" t="s">
        <v>29</v>
      </c>
      <c r="N999" s="1" t="s">
        <v>22</v>
      </c>
      <c r="O999" s="1" t="str">
        <f t="shared" ca="1" si="7"/>
        <v>Please solve the LeetCode problem '2306. Naming a Company'.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00" spans="1:15" x14ac:dyDescent="0.25">
      <c r="A1000" s="1">
        <v>292</v>
      </c>
      <c r="B1000" s="2" t="str">
        <f>HYPERLINK("https://leetcode.com/problems/nim-game/", "Nim Game")</f>
        <v>Nim Game</v>
      </c>
      <c r="C1000" s="1">
        <v>1962</v>
      </c>
      <c r="D1000" s="1">
        <v>2745</v>
      </c>
      <c r="E1000" s="3">
        <f t="shared" si="6"/>
        <v>0.4168260038240918</v>
      </c>
      <c r="F1000" s="1" t="s">
        <v>502</v>
      </c>
      <c r="G1000" s="1" t="s">
        <v>20</v>
      </c>
      <c r="H1000" s="1">
        <v>514394</v>
      </c>
      <c r="I1000" s="1">
        <v>871722</v>
      </c>
      <c r="J1000" s="7">
        <v>0.59</v>
      </c>
      <c r="K1000" s="1" t="s">
        <v>21</v>
      </c>
      <c r="L1000" s="1" t="s">
        <v>21</v>
      </c>
      <c r="M1000" s="1" t="s">
        <v>29</v>
      </c>
      <c r="N1000" s="1" t="s">
        <v>22</v>
      </c>
      <c r="O1000" s="1" t="str">
        <f t="shared" ca="1" si="7"/>
        <v>Please solve the LeetCode problem '292. Nim Game'.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01" spans="1:15" x14ac:dyDescent="0.25">
      <c r="A1001" s="1">
        <v>898</v>
      </c>
      <c r="B1001" s="2" t="str">
        <f>HYPERLINK("https://leetcode.com/problems/bitwise-ors-of-subarrays/", "Bitwise ORs of Subarrays")</f>
        <v>Bitwise ORs of Subarrays</v>
      </c>
      <c r="C1001" s="1">
        <v>1954</v>
      </c>
      <c r="D1001" s="1">
        <v>244</v>
      </c>
      <c r="E1001" s="3">
        <f t="shared" si="6"/>
        <v>0.88898999090081887</v>
      </c>
      <c r="F1001" s="1" t="s">
        <v>508</v>
      </c>
      <c r="G1001" s="1" t="s">
        <v>24</v>
      </c>
      <c r="H1001" s="1">
        <v>131963</v>
      </c>
      <c r="I1001" s="1">
        <v>232618</v>
      </c>
      <c r="J1001" s="7">
        <v>0.56699999999999995</v>
      </c>
      <c r="K1001" s="1" t="s">
        <v>21</v>
      </c>
      <c r="L1001" s="1" t="s">
        <v>21</v>
      </c>
      <c r="M1001" s="1" t="s">
        <v>29</v>
      </c>
      <c r="N1001" s="1" t="s">
        <v>22</v>
      </c>
      <c r="O1001" s="1" t="str">
        <f t="shared" ca="1" si="7"/>
        <v>Please solve the LeetCode problem '898. Bitwise ORs of Subarrays'.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02" spans="1:15" x14ac:dyDescent="0.25">
      <c r="A1002" s="1">
        <v>1791</v>
      </c>
      <c r="B1002" s="2" t="str">
        <f>HYPERLINK("https://leetcode.com/problems/find-center-of-star-graph/", "Find Center of Star Graph")</f>
        <v>Find Center of Star Graph</v>
      </c>
      <c r="C1002" s="1">
        <v>1951</v>
      </c>
      <c r="D1002" s="1">
        <v>182</v>
      </c>
      <c r="E1002" s="3">
        <f t="shared" si="6"/>
        <v>0.91467416783872479</v>
      </c>
      <c r="F1002" s="1" t="s">
        <v>319</v>
      </c>
      <c r="G1002" s="1" t="s">
        <v>20</v>
      </c>
      <c r="H1002" s="1">
        <v>426718</v>
      </c>
      <c r="I1002" s="1">
        <v>492268</v>
      </c>
      <c r="J1002" s="7">
        <v>0.86699999999999999</v>
      </c>
      <c r="K1002" s="1" t="s">
        <v>21</v>
      </c>
      <c r="L1002" s="1" t="s">
        <v>21</v>
      </c>
      <c r="M1002" s="1" t="s">
        <v>29</v>
      </c>
      <c r="N1002" s="1" t="s">
        <v>22</v>
      </c>
      <c r="O1002" s="1" t="str">
        <f t="shared" ca="1" si="7"/>
        <v>Please solve the LeetCode problem '1791. Find Center of Star Graph'.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03" spans="1:15" x14ac:dyDescent="0.25">
      <c r="A1003" s="1">
        <v>2353</v>
      </c>
      <c r="B1003" s="2" t="str">
        <f>HYPERLINK("https://leetcode.com/problems/design-a-food-rating-system/", "Design a Food Rating System")</f>
        <v>Design a Food Rating System</v>
      </c>
      <c r="C1003" s="1">
        <v>1951</v>
      </c>
      <c r="D1003" s="1">
        <v>328</v>
      </c>
      <c r="E1003" s="3">
        <f t="shared" si="6"/>
        <v>0.85607722685388332</v>
      </c>
      <c r="F1003" s="1" t="s">
        <v>509</v>
      </c>
      <c r="G1003" s="1" t="s">
        <v>24</v>
      </c>
      <c r="H1003" s="1">
        <v>179226</v>
      </c>
      <c r="I1003" s="1">
        <v>339305</v>
      </c>
      <c r="J1003" s="7">
        <v>0.52800000000000002</v>
      </c>
      <c r="K1003" s="1" t="s">
        <v>21</v>
      </c>
      <c r="L1003" s="1" t="s">
        <v>21</v>
      </c>
      <c r="M1003" s="1" t="s">
        <v>29</v>
      </c>
      <c r="N1003" s="1" t="s">
        <v>22</v>
      </c>
      <c r="O1003" s="1" t="str">
        <f t="shared" ca="1" si="7"/>
        <v>Please solve the LeetCode problem '2353. Design a Food Rating System'.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04" spans="1:15" x14ac:dyDescent="0.25">
      <c r="A1004" s="1">
        <v>759</v>
      </c>
      <c r="B1004" s="2" t="str">
        <f>HYPERLINK("https://leetcode.com/problems/employee-free-time/", "Employee Free Time")</f>
        <v>Employee Free Time</v>
      </c>
      <c r="C1004" s="1">
        <v>1949</v>
      </c>
      <c r="D1004" s="1">
        <v>143</v>
      </c>
      <c r="E1004" s="3">
        <f t="shared" si="6"/>
        <v>0.9316443594646272</v>
      </c>
      <c r="F1004" s="1" t="s">
        <v>511</v>
      </c>
      <c r="G1004" s="1" t="s">
        <v>28</v>
      </c>
      <c r="H1004" s="1">
        <v>174675</v>
      </c>
      <c r="I1004" s="1">
        <v>240212</v>
      </c>
      <c r="J1004" s="7">
        <v>0.72699999999999998</v>
      </c>
      <c r="K1004" s="1" t="s">
        <v>29</v>
      </c>
      <c r="L1004" s="1" t="s">
        <v>21</v>
      </c>
      <c r="M1004" s="1" t="s">
        <v>29</v>
      </c>
      <c r="N1004" s="1" t="s">
        <v>22</v>
      </c>
      <c r="O1004" s="1" t="str">
        <f t="shared" ca="1" si="7"/>
        <v>Please solve the LeetCode problem '759. Employee Free Time'.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05" spans="1:15" x14ac:dyDescent="0.25">
      <c r="A1005" s="1">
        <v>1962</v>
      </c>
      <c r="B1005" s="2" t="str">
        <f>HYPERLINK("https://leetcode.com/problems/remove-stones-to-minimize-the-total/", "Remove Stones to Minimize the Total")</f>
        <v>Remove Stones to Minimize the Total</v>
      </c>
      <c r="C1005" s="1">
        <v>1949</v>
      </c>
      <c r="D1005" s="1">
        <v>180</v>
      </c>
      <c r="E1005" s="3">
        <f t="shared" si="6"/>
        <v>0.91545326444340069</v>
      </c>
      <c r="F1005" s="1" t="s">
        <v>221</v>
      </c>
      <c r="G1005" s="1" t="s">
        <v>24</v>
      </c>
      <c r="H1005" s="1">
        <v>144547</v>
      </c>
      <c r="I1005" s="1">
        <v>221264</v>
      </c>
      <c r="J1005" s="7">
        <v>0.65300000000000002</v>
      </c>
      <c r="K1005" s="1" t="s">
        <v>21</v>
      </c>
      <c r="L1005" s="1" t="s">
        <v>21</v>
      </c>
      <c r="M1005" s="1" t="s">
        <v>29</v>
      </c>
      <c r="N1005" s="1" t="s">
        <v>22</v>
      </c>
      <c r="O1005" s="1" t="str">
        <f t="shared" ca="1" si="7"/>
        <v>Please solve the LeetCode problem '1962. Remove Stones to Minimize the Total'.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06" spans="1:15" x14ac:dyDescent="0.25">
      <c r="A1006" s="1">
        <v>2089</v>
      </c>
      <c r="B1006" s="2" t="str">
        <f>HYPERLINK("https://leetcode.com/problems/find-target-indices-after-sorting-array/", "Find Target Indices After Sorting Array")</f>
        <v>Find Target Indices After Sorting Array</v>
      </c>
      <c r="C1006" s="1">
        <v>1944</v>
      </c>
      <c r="D1006" s="1">
        <v>106</v>
      </c>
      <c r="E1006" s="3">
        <f t="shared" si="6"/>
        <v>0.94829268292682922</v>
      </c>
      <c r="F1006" s="1" t="s">
        <v>367</v>
      </c>
      <c r="G1006" s="1" t="s">
        <v>20</v>
      </c>
      <c r="H1006" s="1">
        <v>263588</v>
      </c>
      <c r="I1006" s="1">
        <v>339126</v>
      </c>
      <c r="J1006" s="7">
        <v>0.77700000000000002</v>
      </c>
      <c r="K1006" s="1" t="s">
        <v>21</v>
      </c>
      <c r="L1006" s="1" t="s">
        <v>29</v>
      </c>
      <c r="M1006" s="1" t="s">
        <v>29</v>
      </c>
      <c r="N1006" s="1" t="s">
        <v>22</v>
      </c>
      <c r="O1006" s="1" t="str">
        <f t="shared" ca="1" si="7"/>
        <v>Please solve the LeetCode problem '2089. Find Target Indices After Sorting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07" spans="1:15" x14ac:dyDescent="0.25">
      <c r="A1007" s="1">
        <v>879</v>
      </c>
      <c r="B1007" s="2" t="str">
        <f>HYPERLINK("https://leetcode.com/problems/profitable-schemes/", "Profitable Schemes")</f>
        <v>Profitable Schemes</v>
      </c>
      <c r="C1007" s="1">
        <v>1935</v>
      </c>
      <c r="D1007" s="1">
        <v>126</v>
      </c>
      <c r="E1007" s="3">
        <f t="shared" si="6"/>
        <v>0.93886462882096067</v>
      </c>
      <c r="F1007" s="1" t="s">
        <v>30</v>
      </c>
      <c r="G1007" s="1" t="s">
        <v>28</v>
      </c>
      <c r="H1007" s="1">
        <v>76233</v>
      </c>
      <c r="I1007" s="1">
        <v>158215</v>
      </c>
      <c r="J1007" s="7">
        <v>0.48199999999999998</v>
      </c>
      <c r="K1007" s="1" t="s">
        <v>21</v>
      </c>
      <c r="L1007" s="1" t="s">
        <v>21</v>
      </c>
      <c r="M1007" s="1" t="s">
        <v>29</v>
      </c>
      <c r="N1007" s="1" t="s">
        <v>22</v>
      </c>
      <c r="O1007" s="1" t="str">
        <f t="shared" ca="1" si="7"/>
        <v>Please solve the LeetCode problem '879. Profitable Schemes'.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08" spans="1:15" x14ac:dyDescent="0.25">
      <c r="A1008" s="1">
        <v>754</v>
      </c>
      <c r="B1008" s="2" t="str">
        <f>HYPERLINK("https://leetcode.com/problems/reach-a-number/", "Reach a Number")</f>
        <v>Reach a Number</v>
      </c>
      <c r="C1008" s="1">
        <v>1929</v>
      </c>
      <c r="D1008" s="1">
        <v>839</v>
      </c>
      <c r="E1008" s="3">
        <f t="shared" si="6"/>
        <v>0.69689306358381498</v>
      </c>
      <c r="F1008" s="1" t="s">
        <v>139</v>
      </c>
      <c r="G1008" s="1" t="s">
        <v>24</v>
      </c>
      <c r="H1008" s="1">
        <v>68960</v>
      </c>
      <c r="I1008" s="1">
        <v>154940</v>
      </c>
      <c r="J1008" s="7">
        <v>0.44500000000000001</v>
      </c>
      <c r="K1008" s="1" t="s">
        <v>21</v>
      </c>
      <c r="L1008" s="1" t="s">
        <v>21</v>
      </c>
      <c r="M1008" s="1" t="s">
        <v>29</v>
      </c>
      <c r="N1008" s="1" t="s">
        <v>22</v>
      </c>
      <c r="O1008" s="1" t="str">
        <f t="shared" ca="1" si="7"/>
        <v>Please solve the LeetCode problem '754. Reach a Number'.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09" spans="1:15" x14ac:dyDescent="0.25">
      <c r="A1009" s="1">
        <v>2092</v>
      </c>
      <c r="B1009" s="2" t="str">
        <f>HYPERLINK("https://leetcode.com/problems/find-all-people-with-secret/", "Find All People With Secret")</f>
        <v>Find All People With Secret</v>
      </c>
      <c r="C1009" s="1">
        <v>1926</v>
      </c>
      <c r="D1009" s="1">
        <v>90</v>
      </c>
      <c r="E1009" s="3">
        <f t="shared" si="6"/>
        <v>0.9553571428571429</v>
      </c>
      <c r="F1009" s="1" t="s">
        <v>512</v>
      </c>
      <c r="G1009" s="1" t="s">
        <v>28</v>
      </c>
      <c r="H1009" s="1">
        <v>163482</v>
      </c>
      <c r="I1009" s="1">
        <v>337581</v>
      </c>
      <c r="J1009" s="7">
        <v>0.48399999999999999</v>
      </c>
      <c r="K1009" s="1" t="s">
        <v>21</v>
      </c>
      <c r="L1009" s="1" t="s">
        <v>21</v>
      </c>
      <c r="M1009" s="1" t="s">
        <v>29</v>
      </c>
      <c r="N1009" s="1" t="s">
        <v>22</v>
      </c>
      <c r="O1009" s="1" t="str">
        <f t="shared" ca="1" si="7"/>
        <v>Please solve the LeetCode problem '2092. Find All People With Secret'.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10" spans="1:15" x14ac:dyDescent="0.25">
      <c r="A1010" s="1">
        <v>1792</v>
      </c>
      <c r="B1010" s="2" t="str">
        <f>HYPERLINK("https://leetcode.com/problems/maximum-average-pass-ratio/", "Maximum Average Pass Ratio")</f>
        <v>Maximum Average Pass Ratio</v>
      </c>
      <c r="C1010" s="1">
        <v>1922</v>
      </c>
      <c r="D1010" s="1">
        <v>139</v>
      </c>
      <c r="E1010" s="3">
        <f t="shared" si="6"/>
        <v>0.9325570111596313</v>
      </c>
      <c r="F1010" s="1" t="s">
        <v>221</v>
      </c>
      <c r="G1010" s="1" t="s">
        <v>24</v>
      </c>
      <c r="H1010" s="1">
        <v>207286</v>
      </c>
      <c r="I1010" s="1">
        <v>279601</v>
      </c>
      <c r="J1010" s="7">
        <v>0.74099999999999999</v>
      </c>
      <c r="K1010" s="1" t="s">
        <v>21</v>
      </c>
      <c r="L1010" s="1" t="s">
        <v>21</v>
      </c>
      <c r="M1010" s="1" t="s">
        <v>29</v>
      </c>
      <c r="N1010" s="1" t="s">
        <v>22</v>
      </c>
      <c r="O1010" s="1" t="str">
        <f t="shared" ca="1" si="7"/>
        <v>Please solve the LeetCode problem '1792. Maximum Average Pass Ratio'.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11" spans="1:15" x14ac:dyDescent="0.25">
      <c r="A1011" s="1">
        <v>1663</v>
      </c>
      <c r="B1011" s="2" t="str">
        <f>HYPERLINK("https://leetcode.com/problems/smallest-string-with-a-given-numeric-value/", "Smallest String With A Given Numeric Value")</f>
        <v>Smallest String With A Given Numeric Value</v>
      </c>
      <c r="C1011" s="1">
        <v>1921</v>
      </c>
      <c r="D1011" s="1">
        <v>64</v>
      </c>
      <c r="E1011" s="3">
        <f t="shared" si="6"/>
        <v>0.96775818639798483</v>
      </c>
      <c r="F1011" s="1" t="s">
        <v>424</v>
      </c>
      <c r="G1011" s="1" t="s">
        <v>24</v>
      </c>
      <c r="H1011" s="1">
        <v>103869</v>
      </c>
      <c r="I1011" s="1">
        <v>154159</v>
      </c>
      <c r="J1011" s="7">
        <v>0.67400000000000004</v>
      </c>
      <c r="K1011" s="1" t="s">
        <v>21</v>
      </c>
      <c r="L1011" s="1" t="s">
        <v>21</v>
      </c>
      <c r="M1011" s="1" t="s">
        <v>29</v>
      </c>
      <c r="N1011" s="1" t="s">
        <v>22</v>
      </c>
      <c r="O1011" s="1" t="str">
        <f t="shared" ca="1" si="7"/>
        <v>Please solve the LeetCode problem '1663. Smallest String With A Given Numeric Value'.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12" spans="1:15" x14ac:dyDescent="0.25">
      <c r="A1012" s="1">
        <v>490</v>
      </c>
      <c r="B1012" s="2" t="str">
        <f>HYPERLINK("https://leetcode.com/problems/the-maze/", "The Maze")</f>
        <v>The Maze</v>
      </c>
      <c r="C1012" s="1">
        <v>1919</v>
      </c>
      <c r="D1012" s="1">
        <v>199</v>
      </c>
      <c r="E1012" s="3">
        <f t="shared" si="6"/>
        <v>0.90604343720491032</v>
      </c>
      <c r="F1012" s="1" t="s">
        <v>143</v>
      </c>
      <c r="G1012" s="1" t="s">
        <v>24</v>
      </c>
      <c r="H1012" s="1">
        <v>206160</v>
      </c>
      <c r="I1012" s="1">
        <v>342405</v>
      </c>
      <c r="J1012" s="7">
        <v>0.60199999999999998</v>
      </c>
      <c r="K1012" s="1" t="s">
        <v>29</v>
      </c>
      <c r="L1012" s="1" t="s">
        <v>21</v>
      </c>
      <c r="M1012" s="1" t="s">
        <v>29</v>
      </c>
      <c r="N1012" s="1" t="s">
        <v>22</v>
      </c>
      <c r="O1012" s="1" t="str">
        <f t="shared" ca="1" si="7"/>
        <v>Please solve the LeetCode problem '490. The Maze'.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13" spans="1:15" x14ac:dyDescent="0.25">
      <c r="A1013" s="1">
        <v>2272</v>
      </c>
      <c r="B1013" s="2" t="str">
        <f>HYPERLINK("https://leetcode.com/problems/substring-with-largest-variance/", "Substring With Largest Variance")</f>
        <v>Substring With Largest Variance</v>
      </c>
      <c r="C1013" s="1">
        <v>1916</v>
      </c>
      <c r="D1013" s="1">
        <v>212</v>
      </c>
      <c r="E1013" s="3">
        <f t="shared" si="6"/>
        <v>0.90037593984962405</v>
      </c>
      <c r="F1013" s="1" t="s">
        <v>30</v>
      </c>
      <c r="G1013" s="1" t="s">
        <v>28</v>
      </c>
      <c r="H1013" s="1">
        <v>75204</v>
      </c>
      <c r="I1013" s="1">
        <v>163520</v>
      </c>
      <c r="J1013" s="7">
        <v>0.46</v>
      </c>
      <c r="K1013" s="1" t="s">
        <v>21</v>
      </c>
      <c r="L1013" s="1" t="s">
        <v>21</v>
      </c>
      <c r="M1013" s="1" t="s">
        <v>29</v>
      </c>
      <c r="N1013" s="1" t="s">
        <v>22</v>
      </c>
      <c r="O1013" s="1" t="str">
        <f t="shared" ca="1" si="7"/>
        <v>Please solve the LeetCode problem '2272. Substring With Largest Variance'.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14" spans="1:15" x14ac:dyDescent="0.25">
      <c r="A1014" s="1">
        <v>1492</v>
      </c>
      <c r="B1014" s="2" t="str">
        <f>HYPERLINK("https://leetcode.com/problems/the-kth-factor-of-n/", "The kth Factor of n")</f>
        <v>The kth Factor of n</v>
      </c>
      <c r="C1014" s="1">
        <v>1915</v>
      </c>
      <c r="D1014" s="1">
        <v>312</v>
      </c>
      <c r="E1014" s="3">
        <f t="shared" si="6"/>
        <v>0.85990121239335426</v>
      </c>
      <c r="F1014" s="1" t="s">
        <v>513</v>
      </c>
      <c r="G1014" s="1" t="s">
        <v>24</v>
      </c>
      <c r="H1014" s="1">
        <v>344442</v>
      </c>
      <c r="I1014" s="1">
        <v>491522</v>
      </c>
      <c r="J1014" s="7">
        <v>0.70099999999999996</v>
      </c>
      <c r="K1014" s="1" t="s">
        <v>21</v>
      </c>
      <c r="L1014" s="1" t="s">
        <v>29</v>
      </c>
      <c r="M1014" s="1" t="s">
        <v>29</v>
      </c>
      <c r="N1014" s="1" t="s">
        <v>22</v>
      </c>
      <c r="O1014" s="1" t="str">
        <f t="shared" ca="1" si="7"/>
        <v>Please solve the LeetCode problem '1492. The kth Factor of 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15" spans="1:15" x14ac:dyDescent="0.25">
      <c r="A1015" s="1">
        <v>1717</v>
      </c>
      <c r="B1015" s="2" t="str">
        <f>HYPERLINK("https://leetcode.com/problems/maximum-score-from-removing-substrings/", "Maximum Score From Removing Substrings")</f>
        <v>Maximum Score From Removing Substrings</v>
      </c>
      <c r="C1015" s="1">
        <v>1914</v>
      </c>
      <c r="D1015" s="1">
        <v>137</v>
      </c>
      <c r="E1015" s="3">
        <f t="shared" si="6"/>
        <v>0.9332033154558752</v>
      </c>
      <c r="F1015" s="1" t="s">
        <v>263</v>
      </c>
      <c r="G1015" s="1" t="s">
        <v>24</v>
      </c>
      <c r="H1015" s="1">
        <v>241620</v>
      </c>
      <c r="I1015" s="1">
        <v>363037</v>
      </c>
      <c r="J1015" s="7">
        <v>0.66600000000000004</v>
      </c>
      <c r="K1015" s="1" t="s">
        <v>21</v>
      </c>
      <c r="L1015" s="1" t="s">
        <v>21</v>
      </c>
      <c r="M1015" s="1" t="s">
        <v>29</v>
      </c>
      <c r="N1015" s="1" t="s">
        <v>22</v>
      </c>
      <c r="O1015" s="1" t="str">
        <f t="shared" ca="1" si="7"/>
        <v>Please solve the LeetCode problem '1717. Maximum Score From Removing Substrings'.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16" spans="1:15" x14ac:dyDescent="0.25">
      <c r="A1016" s="1">
        <v>1106</v>
      </c>
      <c r="B1016" s="2" t="str">
        <f>HYPERLINK("https://leetcode.com/problems/parsing-a-boolean-expression/", "Parsing A Boolean Expression")</f>
        <v>Parsing A Boolean Expression</v>
      </c>
      <c r="C1016" s="1">
        <v>1910</v>
      </c>
      <c r="D1016" s="1">
        <v>86</v>
      </c>
      <c r="E1016" s="3">
        <f t="shared" si="6"/>
        <v>0.95691382765531063</v>
      </c>
      <c r="F1016" s="1" t="s">
        <v>91</v>
      </c>
      <c r="G1016" s="1" t="s">
        <v>28</v>
      </c>
      <c r="H1016" s="1">
        <v>144497</v>
      </c>
      <c r="I1016" s="1">
        <v>207076</v>
      </c>
      <c r="J1016" s="7">
        <v>0.69799999999999995</v>
      </c>
      <c r="K1016" s="1" t="s">
        <v>21</v>
      </c>
      <c r="L1016" s="1" t="s">
        <v>21</v>
      </c>
      <c r="M1016" s="1" t="s">
        <v>29</v>
      </c>
      <c r="N1016" s="1" t="s">
        <v>22</v>
      </c>
      <c r="O1016" s="1" t="str">
        <f t="shared" ca="1" si="7"/>
        <v>Please solve the LeetCode problem '1106. Parsing A Boolean Expression'.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17" spans="1:15" x14ac:dyDescent="0.25">
      <c r="A1017" s="1">
        <v>1208</v>
      </c>
      <c r="B1017" s="2" t="str">
        <f>HYPERLINK("https://leetcode.com/problems/get-equal-substrings-within-budget/", "Get Equal Substrings Within Budget")</f>
        <v>Get Equal Substrings Within Budget</v>
      </c>
      <c r="C1017" s="1">
        <v>1908</v>
      </c>
      <c r="D1017" s="1">
        <v>150</v>
      </c>
      <c r="E1017" s="3">
        <f t="shared" si="6"/>
        <v>0.92711370262390669</v>
      </c>
      <c r="F1017" s="1" t="s">
        <v>374</v>
      </c>
      <c r="G1017" s="1" t="s">
        <v>24</v>
      </c>
      <c r="H1017" s="1">
        <v>195328</v>
      </c>
      <c r="I1017" s="1">
        <v>328812</v>
      </c>
      <c r="J1017" s="7">
        <v>0.59399999999999997</v>
      </c>
      <c r="K1017" s="1" t="s">
        <v>21</v>
      </c>
      <c r="L1017" s="1" t="s">
        <v>21</v>
      </c>
      <c r="M1017" s="1" t="s">
        <v>29</v>
      </c>
      <c r="N1017" s="1" t="s">
        <v>22</v>
      </c>
      <c r="O1017" s="1" t="str">
        <f t="shared" ca="1" si="7"/>
        <v>Please solve the LeetCode problem '1208. Get Equal Substrings Within Budget'.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18" spans="1:15" x14ac:dyDescent="0.25">
      <c r="A1018" s="1">
        <v>1267</v>
      </c>
      <c r="B1018" s="2" t="str">
        <f>HYPERLINK("https://leetcode.com/problems/count-servers-that-communicate/", "Count Servers that Communicate")</f>
        <v>Count Servers that Communicate</v>
      </c>
      <c r="C1018" s="1">
        <v>1905</v>
      </c>
      <c r="D1018" s="1">
        <v>108</v>
      </c>
      <c r="E1018" s="3">
        <f t="shared" si="6"/>
        <v>0.94634873323397917</v>
      </c>
      <c r="F1018" s="1" t="s">
        <v>515</v>
      </c>
      <c r="G1018" s="1" t="s">
        <v>24</v>
      </c>
      <c r="H1018" s="1">
        <v>197892</v>
      </c>
      <c r="I1018" s="1">
        <v>269219</v>
      </c>
      <c r="J1018" s="7">
        <v>0.73499999999999999</v>
      </c>
      <c r="K1018" s="1" t="s">
        <v>21</v>
      </c>
      <c r="L1018" s="1" t="s">
        <v>21</v>
      </c>
      <c r="M1018" s="1" t="s">
        <v>29</v>
      </c>
      <c r="N1018" s="1" t="s">
        <v>22</v>
      </c>
      <c r="O1018" s="1" t="str">
        <f t="shared" ca="1" si="7"/>
        <v>Please solve the LeetCode problem '1267. Count Servers that Communicate'.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19" spans="1:15" x14ac:dyDescent="0.25">
      <c r="A1019" s="1">
        <v>284</v>
      </c>
      <c r="B1019" s="2" t="str">
        <f>HYPERLINK("https://leetcode.com/problems/peeking-iterator/", "Peeking Iterator")</f>
        <v>Peeking Iterator</v>
      </c>
      <c r="C1019" s="1">
        <v>1903</v>
      </c>
      <c r="D1019" s="1">
        <v>1051</v>
      </c>
      <c r="E1019" s="3">
        <f t="shared" si="6"/>
        <v>0.64421123899796884</v>
      </c>
      <c r="F1019" s="1" t="s">
        <v>516</v>
      </c>
      <c r="G1019" s="1" t="s">
        <v>24</v>
      </c>
      <c r="H1019" s="1">
        <v>250870</v>
      </c>
      <c r="I1019" s="1">
        <v>410612</v>
      </c>
      <c r="J1019" s="7">
        <v>0.61099999999999999</v>
      </c>
      <c r="K1019" s="1" t="s">
        <v>21</v>
      </c>
      <c r="L1019" s="1" t="s">
        <v>21</v>
      </c>
      <c r="M1019" s="1" t="s">
        <v>29</v>
      </c>
      <c r="N1019" s="1" t="s">
        <v>22</v>
      </c>
      <c r="O1019" s="1" t="str">
        <f t="shared" ca="1" si="7"/>
        <v>Please solve the LeetCode problem '284. Peeking Iterator'.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20" spans="1:15" x14ac:dyDescent="0.25">
      <c r="A1020" s="1">
        <v>728</v>
      </c>
      <c r="B1020" s="2" t="str">
        <f>HYPERLINK("https://leetcode.com/problems/self-dividing-numbers/", "Self Dividing Numbers")</f>
        <v>Self Dividing Numbers</v>
      </c>
      <c r="C1020" s="1">
        <v>1902</v>
      </c>
      <c r="D1020" s="1">
        <v>384</v>
      </c>
      <c r="E1020" s="3">
        <f t="shared" si="6"/>
        <v>0.83202099737532809</v>
      </c>
      <c r="F1020" s="1" t="s">
        <v>84</v>
      </c>
      <c r="G1020" s="1" t="s">
        <v>20</v>
      </c>
      <c r="H1020" s="1">
        <v>316183</v>
      </c>
      <c r="I1020" s="1">
        <v>393388</v>
      </c>
      <c r="J1020" s="7">
        <v>0.80400000000000005</v>
      </c>
      <c r="K1020" s="1" t="s">
        <v>21</v>
      </c>
      <c r="L1020" s="1" t="s">
        <v>21</v>
      </c>
      <c r="M1020" s="1" t="s">
        <v>29</v>
      </c>
      <c r="N1020" s="1" t="s">
        <v>22</v>
      </c>
      <c r="O1020" s="1" t="str">
        <f t="shared" ca="1" si="7"/>
        <v>Please solve the LeetCode problem '728. Self Dividing Numbers'.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21" spans="1:15" x14ac:dyDescent="0.25">
      <c r="A1021" s="1">
        <v>1444</v>
      </c>
      <c r="B1021" s="2" t="str">
        <f>HYPERLINK("https://leetcode.com/problems/number-of-ways-of-cutting-a-pizza/", "Number of Ways of Cutting a Pizza")</f>
        <v>Number of Ways of Cutting a Pizza</v>
      </c>
      <c r="C1021" s="1">
        <v>1902</v>
      </c>
      <c r="D1021" s="1">
        <v>96</v>
      </c>
      <c r="E1021" s="3">
        <f t="shared" si="6"/>
        <v>0.95195195195195192</v>
      </c>
      <c r="F1021" s="1" t="s">
        <v>517</v>
      </c>
      <c r="G1021" s="1" t="s">
        <v>28</v>
      </c>
      <c r="H1021" s="1">
        <v>75416</v>
      </c>
      <c r="I1021" s="1">
        <v>122473</v>
      </c>
      <c r="J1021" s="7">
        <v>0.61599999999999999</v>
      </c>
      <c r="K1021" s="1" t="s">
        <v>21</v>
      </c>
      <c r="L1021" s="1" t="s">
        <v>21</v>
      </c>
      <c r="M1021" s="1" t="s">
        <v>29</v>
      </c>
      <c r="N1021" s="1" t="s">
        <v>22</v>
      </c>
      <c r="O1021" s="1" t="str">
        <f t="shared" ca="1" si="7"/>
        <v>Please solve the LeetCode problem '1444. Number of Ways of Cutting a Pizza'.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22" spans="1:15" x14ac:dyDescent="0.25">
      <c r="A1022" s="1">
        <v>1203</v>
      </c>
      <c r="B1022" s="2" t="str">
        <f>HYPERLINK("https://leetcode.com/problems/sort-items-by-groups-respecting-dependencies/", "Sort Items by Groups Respecting Dependencies")</f>
        <v>Sort Items by Groups Respecting Dependencies</v>
      </c>
      <c r="C1022" s="1">
        <v>1897</v>
      </c>
      <c r="D1022" s="1">
        <v>319</v>
      </c>
      <c r="E1022" s="3">
        <f t="shared" si="6"/>
        <v>0.85604693140794219</v>
      </c>
      <c r="F1022" s="1" t="s">
        <v>72</v>
      </c>
      <c r="G1022" s="1" t="s">
        <v>28</v>
      </c>
      <c r="H1022" s="1">
        <v>64614</v>
      </c>
      <c r="I1022" s="1">
        <v>98512</v>
      </c>
      <c r="J1022" s="7">
        <v>0.65600000000000003</v>
      </c>
      <c r="K1022" s="1" t="s">
        <v>21</v>
      </c>
      <c r="L1022" s="1" t="s">
        <v>21</v>
      </c>
      <c r="M1022" s="1" t="s">
        <v>29</v>
      </c>
      <c r="N1022" s="1" t="s">
        <v>22</v>
      </c>
      <c r="O1022" s="1" t="str">
        <f t="shared" ca="1" si="7"/>
        <v>Please solve the LeetCode problem '1203. Sort Items by Groups Respecting Dependencies'.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23" spans="1:15" x14ac:dyDescent="0.25">
      <c r="A1023" s="1">
        <v>2492</v>
      </c>
      <c r="B1023" s="2" t="str">
        <f>HYPERLINK("https://leetcode.com/problems/minimum-score-of-a-path-between-two-cities/", "Minimum Score of a Path Between Two Cities")</f>
        <v>Minimum Score of a Path Between Two Cities</v>
      </c>
      <c r="C1023" s="1">
        <v>1896</v>
      </c>
      <c r="D1023" s="1">
        <v>323</v>
      </c>
      <c r="E1023" s="3">
        <f t="shared" si="6"/>
        <v>0.85443893645786395</v>
      </c>
      <c r="F1023" s="1" t="s">
        <v>122</v>
      </c>
      <c r="G1023" s="1" t="s">
        <v>24</v>
      </c>
      <c r="H1023" s="1">
        <v>106377</v>
      </c>
      <c r="I1023" s="1">
        <v>182119</v>
      </c>
      <c r="J1023" s="7">
        <v>0.58399999999999996</v>
      </c>
      <c r="K1023" s="1" t="s">
        <v>21</v>
      </c>
      <c r="L1023" s="1" t="s">
        <v>21</v>
      </c>
      <c r="M1023" s="1" t="s">
        <v>29</v>
      </c>
      <c r="N1023" s="1" t="s">
        <v>22</v>
      </c>
      <c r="O1023" s="1" t="str">
        <f t="shared" ca="1" si="7"/>
        <v>Please solve the LeetCode problem '2492. Minimum Score of a Path Between Two Cities'.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24" spans="1:15" x14ac:dyDescent="0.25">
      <c r="A1024" s="1">
        <v>270</v>
      </c>
      <c r="B1024" s="2" t="str">
        <f>HYPERLINK("https://leetcode.com/problems/closest-binary-search-tree-value/", "Closest Binary Search Tree Value")</f>
        <v>Closest Binary Search Tree Value</v>
      </c>
      <c r="C1024" s="1">
        <v>1893</v>
      </c>
      <c r="D1024" s="1">
        <v>165</v>
      </c>
      <c r="E1024" s="3">
        <f t="shared" ref="E1024:E1278" si="8">IF(INDEX(C:C, ROW())+INDEX(D:D, ROW())=0, 0, INDEX(C:C, ROW())/(INDEX(C:C, ROW())+INDEX(D:D, ROW())))</f>
        <v>0.91982507288629733</v>
      </c>
      <c r="F1024" s="1" t="s">
        <v>519</v>
      </c>
      <c r="G1024" s="1" t="s">
        <v>20</v>
      </c>
      <c r="H1024" s="1">
        <v>446136</v>
      </c>
      <c r="I1024" s="1">
        <v>904613</v>
      </c>
      <c r="J1024" s="7">
        <v>0.49299999999999999</v>
      </c>
      <c r="K1024" s="1" t="s">
        <v>29</v>
      </c>
      <c r="L1024" s="1" t="s">
        <v>21</v>
      </c>
      <c r="M1024" s="1" t="s">
        <v>29</v>
      </c>
      <c r="N1024" s="1" t="s">
        <v>22</v>
      </c>
      <c r="O1024" s="1" t="str">
        <f t="shared" ref="O1024:O1278" ca="1" si="9"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>Please solve the LeetCode problem '270. Closest Binary Search Tree Value'.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25" spans="1:15" x14ac:dyDescent="0.25">
      <c r="A1025" s="1">
        <v>1251</v>
      </c>
      <c r="B1025" s="2" t="str">
        <f>HYPERLINK("https://leetcode.com/problems/average-selling-price/", "Average Selling Price")</f>
        <v>Average Selling Price</v>
      </c>
      <c r="C1025" s="1">
        <v>1892</v>
      </c>
      <c r="D1025" s="1">
        <v>260</v>
      </c>
      <c r="E1025" s="3">
        <f t="shared" si="8"/>
        <v>0.879182156133829</v>
      </c>
      <c r="F1025" s="1" t="s">
        <v>297</v>
      </c>
      <c r="G1025" s="1" t="s">
        <v>20</v>
      </c>
      <c r="H1025" s="1">
        <v>598916</v>
      </c>
      <c r="I1025" s="1">
        <v>1617609</v>
      </c>
      <c r="J1025" s="7">
        <v>0.37</v>
      </c>
      <c r="K1025" s="1" t="s">
        <v>21</v>
      </c>
      <c r="L1025" s="1" t="s">
        <v>21</v>
      </c>
      <c r="M1025" s="1" t="s">
        <v>29</v>
      </c>
      <c r="N1025" s="1" t="s">
        <v>297</v>
      </c>
      <c r="O1025" s="1" t="str">
        <f t="shared" ca="1" si="9"/>
        <v>Please solve the LeetCode problem '1251. Average Selling Price'.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26" spans="1:15" x14ac:dyDescent="0.25">
      <c r="A1026" s="1">
        <v>1630</v>
      </c>
      <c r="B1026" s="2" t="str">
        <f>HYPERLINK("https://leetcode.com/problems/arithmetic-subarrays/", "Arithmetic Subarrays")</f>
        <v>Arithmetic Subarrays</v>
      </c>
      <c r="C1026" s="1">
        <v>1892</v>
      </c>
      <c r="D1026" s="1">
        <v>210</v>
      </c>
      <c r="E1026" s="3">
        <f t="shared" si="8"/>
        <v>0.90009514747859187</v>
      </c>
      <c r="F1026" s="1" t="s">
        <v>92</v>
      </c>
      <c r="G1026" s="1" t="s">
        <v>24</v>
      </c>
      <c r="H1026" s="1">
        <v>154766</v>
      </c>
      <c r="I1026" s="1">
        <v>184682</v>
      </c>
      <c r="J1026" s="7">
        <v>0.83799999999999997</v>
      </c>
      <c r="K1026" s="1" t="s">
        <v>21</v>
      </c>
      <c r="L1026" s="1" t="s">
        <v>21</v>
      </c>
      <c r="M1026" s="1" t="s">
        <v>29</v>
      </c>
      <c r="N1026" s="1" t="s">
        <v>22</v>
      </c>
      <c r="O1026" s="1" t="str">
        <f t="shared" ca="1" si="9"/>
        <v>Please solve the LeetCode problem '1630. Arithmetic Subarrays'.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27" spans="1:15" x14ac:dyDescent="0.25">
      <c r="A1027" s="1">
        <v>914</v>
      </c>
      <c r="B1027" s="2" t="str">
        <f>HYPERLINK("https://leetcode.com/problems/x-of-a-kind-in-a-deck-of-cards/", "X of a Kind in a Deck of Cards")</f>
        <v>X of a Kind in a Deck of Cards</v>
      </c>
      <c r="C1027" s="1">
        <v>1890</v>
      </c>
      <c r="D1027" s="1">
        <v>570</v>
      </c>
      <c r="E1027" s="3">
        <f t="shared" si="8"/>
        <v>0.76829268292682928</v>
      </c>
      <c r="F1027" s="1" t="s">
        <v>518</v>
      </c>
      <c r="G1027" s="1" t="s">
        <v>20</v>
      </c>
      <c r="H1027" s="1">
        <v>152583</v>
      </c>
      <c r="I1027" s="1">
        <v>507402</v>
      </c>
      <c r="J1027" s="7">
        <v>0.30099999999999999</v>
      </c>
      <c r="K1027" s="1" t="s">
        <v>21</v>
      </c>
      <c r="L1027" s="1" t="s">
        <v>21</v>
      </c>
      <c r="M1027" s="1" t="s">
        <v>29</v>
      </c>
      <c r="N1027" s="1" t="s">
        <v>22</v>
      </c>
      <c r="O1027" s="1" t="str">
        <f t="shared" ca="1" si="9"/>
        <v>Please solve the LeetCode problem '914. X of a Kind in a Deck of Cards'.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28" spans="1:15" x14ac:dyDescent="0.25">
      <c r="A1028" s="1">
        <v>884</v>
      </c>
      <c r="B1028" s="2" t="str">
        <f>HYPERLINK("https://leetcode.com/problems/uncommon-words-from-two-sentences/", "Uncommon Words from Two Sentences")</f>
        <v>Uncommon Words from Two Sentences</v>
      </c>
      <c r="C1028" s="1">
        <v>1888</v>
      </c>
      <c r="D1028" s="1">
        <v>209</v>
      </c>
      <c r="E1028" s="3">
        <f t="shared" si="8"/>
        <v>0.90033381020505487</v>
      </c>
      <c r="F1028" s="1" t="s">
        <v>237</v>
      </c>
      <c r="G1028" s="1" t="s">
        <v>20</v>
      </c>
      <c r="H1028" s="1">
        <v>331775</v>
      </c>
      <c r="I1028" s="1">
        <v>439167</v>
      </c>
      <c r="J1028" s="7">
        <v>0.755</v>
      </c>
      <c r="K1028" s="1" t="s">
        <v>21</v>
      </c>
      <c r="L1028" s="1" t="s">
        <v>21</v>
      </c>
      <c r="M1028" s="1" t="s">
        <v>29</v>
      </c>
      <c r="N1028" s="1" t="s">
        <v>22</v>
      </c>
      <c r="O1028" s="1" t="str">
        <f t="shared" ca="1" si="9"/>
        <v>Please solve the LeetCode problem '884. Uncommon Words from Two Sentences'.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29" spans="1:15" x14ac:dyDescent="0.25">
      <c r="A1029" s="1">
        <v>679</v>
      </c>
      <c r="B1029" s="2" t="str">
        <f>HYPERLINK("https://leetcode.com/problems/24-game/", "24 Game")</f>
        <v>24 Game</v>
      </c>
      <c r="C1029" s="1">
        <v>1886</v>
      </c>
      <c r="D1029" s="1">
        <v>288</v>
      </c>
      <c r="E1029" s="3">
        <f t="shared" si="8"/>
        <v>0.86752529898804043</v>
      </c>
      <c r="F1029" s="1" t="s">
        <v>521</v>
      </c>
      <c r="G1029" s="1" t="s">
        <v>28</v>
      </c>
      <c r="H1029" s="1">
        <v>166962</v>
      </c>
      <c r="I1029" s="1">
        <v>281484</v>
      </c>
      <c r="J1029" s="7">
        <v>0.59299999999999997</v>
      </c>
      <c r="K1029" s="1" t="s">
        <v>21</v>
      </c>
      <c r="L1029" s="1" t="s">
        <v>21</v>
      </c>
      <c r="M1029" s="1" t="s">
        <v>29</v>
      </c>
      <c r="N1029" s="1" t="s">
        <v>22</v>
      </c>
      <c r="O1029" s="1" t="str">
        <f t="shared" ca="1" si="9"/>
        <v>Please solve the LeetCode problem '679. 24 Game'.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30" spans="1:15" x14ac:dyDescent="0.25">
      <c r="A1030" s="1">
        <v>1964</v>
      </c>
      <c r="B1030" s="2" t="str">
        <f>HYPERLINK("https://leetcode.com/problems/find-the-longest-valid-obstacle-course-at-each-position/", "Find the Longest Valid Obstacle Course at Each Position")</f>
        <v>Find the Longest Valid Obstacle Course at Each Position</v>
      </c>
      <c r="C1030" s="1">
        <v>1881</v>
      </c>
      <c r="D1030" s="1">
        <v>74</v>
      </c>
      <c r="E1030" s="3">
        <f t="shared" si="8"/>
        <v>0.9621483375959079</v>
      </c>
      <c r="F1030" s="1" t="s">
        <v>520</v>
      </c>
      <c r="G1030" s="1" t="s">
        <v>28</v>
      </c>
      <c r="H1030" s="1">
        <v>67525</v>
      </c>
      <c r="I1030" s="1">
        <v>107992</v>
      </c>
      <c r="J1030" s="7">
        <v>0.625</v>
      </c>
      <c r="K1030" s="1" t="s">
        <v>21</v>
      </c>
      <c r="L1030" s="1" t="s">
        <v>21</v>
      </c>
      <c r="M1030" s="1" t="s">
        <v>29</v>
      </c>
      <c r="N1030" s="1" t="s">
        <v>22</v>
      </c>
      <c r="O1030" s="1" t="str">
        <f t="shared" ca="1" si="9"/>
        <v>Please solve the LeetCode problem '1964. Find the Longest Valid Obstacle Course at Each Position'.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31" spans="1:15" x14ac:dyDescent="0.25">
      <c r="A1031" s="1">
        <v>1609</v>
      </c>
      <c r="B1031" s="2" t="str">
        <f>HYPERLINK("https://leetcode.com/problems/even-odd-tree/", "Even Odd Tree")</f>
        <v>Even Odd Tree</v>
      </c>
      <c r="C1031" s="1">
        <v>1872</v>
      </c>
      <c r="D1031" s="1">
        <v>102</v>
      </c>
      <c r="E1031" s="3">
        <f t="shared" si="8"/>
        <v>0.94832826747720367</v>
      </c>
      <c r="F1031" s="1" t="s">
        <v>79</v>
      </c>
      <c r="G1031" s="1" t="s">
        <v>24</v>
      </c>
      <c r="H1031" s="1">
        <v>190669</v>
      </c>
      <c r="I1031" s="1">
        <v>284829</v>
      </c>
      <c r="J1031" s="7">
        <v>0.66900000000000004</v>
      </c>
      <c r="K1031" s="1" t="s">
        <v>21</v>
      </c>
      <c r="L1031" s="1" t="s">
        <v>21</v>
      </c>
      <c r="M1031" s="1" t="s">
        <v>29</v>
      </c>
      <c r="N1031" s="1" t="s">
        <v>22</v>
      </c>
      <c r="O1031" s="1" t="str">
        <f t="shared" ca="1" si="9"/>
        <v>Please solve the LeetCode problem '1609. Even Odd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32" spans="1:15" x14ac:dyDescent="0.25">
      <c r="A1032" s="1">
        <v>2114</v>
      </c>
      <c r="B1032" s="2" t="str">
        <f>HYPERLINK("https://leetcode.com/problems/maximum-number-of-words-found-in-sentences/", "Maximum Number of Words Found in Sentences")</f>
        <v>Maximum Number of Words Found in Sentences</v>
      </c>
      <c r="C1032" s="1">
        <v>1872</v>
      </c>
      <c r="D1032" s="1">
        <v>64</v>
      </c>
      <c r="E1032" s="3">
        <f t="shared" si="8"/>
        <v>0.96694214876033058</v>
      </c>
      <c r="F1032" s="1" t="s">
        <v>369</v>
      </c>
      <c r="G1032" s="1" t="s">
        <v>20</v>
      </c>
      <c r="H1032" s="1">
        <v>390395</v>
      </c>
      <c r="I1032" s="1">
        <v>450575</v>
      </c>
      <c r="J1032" s="7">
        <v>0.86599999999999999</v>
      </c>
      <c r="K1032" s="1" t="s">
        <v>21</v>
      </c>
      <c r="L1032" s="1" t="s">
        <v>29</v>
      </c>
      <c r="M1032" s="1" t="s">
        <v>29</v>
      </c>
      <c r="N1032" s="1" t="s">
        <v>22</v>
      </c>
      <c r="O1032" s="1" t="str">
        <f t="shared" ca="1" si="9"/>
        <v>Please solve the LeetCode problem '2114. Maximum Number of Words Found in Sentences'.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33" spans="1:15" x14ac:dyDescent="0.25">
      <c r="A1033" s="1">
        <v>775</v>
      </c>
      <c r="B1033" s="2" t="str">
        <f>HYPERLINK("https://leetcode.com/problems/global-and-local-inversions/", "Global and Local Inversions")</f>
        <v>Global and Local Inversions</v>
      </c>
      <c r="C1033" s="1">
        <v>1870</v>
      </c>
      <c r="D1033" s="1">
        <v>382</v>
      </c>
      <c r="E1033" s="3">
        <f t="shared" si="8"/>
        <v>0.83037300177619888</v>
      </c>
      <c r="F1033" s="1" t="s">
        <v>115</v>
      </c>
      <c r="G1033" s="1" t="s">
        <v>24</v>
      </c>
      <c r="H1033" s="1">
        <v>84497</v>
      </c>
      <c r="I1033" s="1">
        <v>198089</v>
      </c>
      <c r="J1033" s="7">
        <v>0.42699999999999999</v>
      </c>
      <c r="K1033" s="1" t="s">
        <v>21</v>
      </c>
      <c r="L1033" s="1" t="s">
        <v>21</v>
      </c>
      <c r="M1033" s="1" t="s">
        <v>29</v>
      </c>
      <c r="N1033" s="1" t="s">
        <v>22</v>
      </c>
      <c r="O1033" s="1" t="str">
        <f t="shared" ca="1" si="9"/>
        <v>Please solve the LeetCode problem '775. Global and Local Inversions'.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34" spans="1:15" x14ac:dyDescent="0.25">
      <c r="A1034" s="1">
        <v>2073</v>
      </c>
      <c r="B1034" s="2" t="str">
        <f>HYPERLINK("https://leetcode.com/problems/time-needed-to-buy-tickets/", "Time Needed to Buy Tickets")</f>
        <v>Time Needed to Buy Tickets</v>
      </c>
      <c r="C1034" s="1">
        <v>1869</v>
      </c>
      <c r="D1034" s="1">
        <v>165</v>
      </c>
      <c r="E1034" s="3">
        <f t="shared" si="8"/>
        <v>0.91887905604719766</v>
      </c>
      <c r="F1034" s="1" t="s">
        <v>522</v>
      </c>
      <c r="G1034" s="1" t="s">
        <v>20</v>
      </c>
      <c r="H1034" s="1">
        <v>289806</v>
      </c>
      <c r="I1034" s="1">
        <v>403348</v>
      </c>
      <c r="J1034" s="7">
        <v>0.71899999999999997</v>
      </c>
      <c r="K1034" s="1" t="s">
        <v>21</v>
      </c>
      <c r="L1034" s="1" t="s">
        <v>21</v>
      </c>
      <c r="M1034" s="1" t="s">
        <v>29</v>
      </c>
      <c r="N1034" s="1" t="s">
        <v>22</v>
      </c>
      <c r="O1034" s="1" t="str">
        <f t="shared" ca="1" si="9"/>
        <v>Please solve the LeetCode problem '2073. Time Needed to Buy Tickets'.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35" spans="1:15" x14ac:dyDescent="0.25">
      <c r="A1035" s="1">
        <v>1032</v>
      </c>
      <c r="B1035" s="2" t="str">
        <f>HYPERLINK("https://leetcode.com/problems/stream-of-characters/", "Stream of Characters")</f>
        <v>Stream of Characters</v>
      </c>
      <c r="C1035" s="1">
        <v>1868</v>
      </c>
      <c r="D1035" s="1">
        <v>186</v>
      </c>
      <c r="E1035" s="3">
        <f t="shared" si="8"/>
        <v>0.90944498539435248</v>
      </c>
      <c r="F1035" s="1" t="s">
        <v>524</v>
      </c>
      <c r="G1035" s="1" t="s">
        <v>28</v>
      </c>
      <c r="H1035" s="1">
        <v>104407</v>
      </c>
      <c r="I1035" s="1">
        <v>201677</v>
      </c>
      <c r="J1035" s="7">
        <v>0.51800000000000002</v>
      </c>
      <c r="K1035" s="1" t="s">
        <v>21</v>
      </c>
      <c r="L1035" s="1" t="s">
        <v>21</v>
      </c>
      <c r="M1035" s="1" t="s">
        <v>29</v>
      </c>
      <c r="N1035" s="1" t="s">
        <v>22</v>
      </c>
      <c r="O1035" s="1" t="str">
        <f t="shared" ca="1" si="9"/>
        <v>Please solve the LeetCode problem '1032. Stream of Characters'.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36" spans="1:15" x14ac:dyDescent="0.25">
      <c r="A1036" s="1">
        <v>1688</v>
      </c>
      <c r="B1036" s="2" t="str">
        <f>HYPERLINK("https://leetcode.com/problems/count-of-matches-in-tournament/", "Count of Matches in Tournament")</f>
        <v>Count of Matches in Tournament</v>
      </c>
      <c r="C1036" s="1">
        <v>1864</v>
      </c>
      <c r="D1036" s="1">
        <v>245</v>
      </c>
      <c r="E1036" s="3">
        <f t="shared" si="8"/>
        <v>0.88383119962067336</v>
      </c>
      <c r="F1036" s="1" t="s">
        <v>465</v>
      </c>
      <c r="G1036" s="1" t="s">
        <v>20</v>
      </c>
      <c r="H1036" s="1">
        <v>311422</v>
      </c>
      <c r="I1036" s="1">
        <v>360999</v>
      </c>
      <c r="J1036" s="7">
        <v>0.86299999999999999</v>
      </c>
      <c r="K1036" s="1" t="s">
        <v>21</v>
      </c>
      <c r="L1036" s="1" t="s">
        <v>21</v>
      </c>
      <c r="M1036" s="1" t="s">
        <v>29</v>
      </c>
      <c r="N1036" s="1" t="s">
        <v>22</v>
      </c>
      <c r="O1036" s="1" t="str">
        <f t="shared" ca="1" si="9"/>
        <v>Please solve the LeetCode problem '1688. Count of Matches in Tournament'.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37" spans="1:15" x14ac:dyDescent="0.25">
      <c r="A1037" s="1">
        <v>339</v>
      </c>
      <c r="B1037" s="2" t="str">
        <f>HYPERLINK("https://leetcode.com/problems/nested-list-weight-sum/", "Nested List Weight Sum")</f>
        <v>Nested List Weight Sum</v>
      </c>
      <c r="C1037" s="1">
        <v>1862</v>
      </c>
      <c r="D1037" s="1">
        <v>484</v>
      </c>
      <c r="E1037" s="3">
        <f t="shared" si="8"/>
        <v>0.79369138959931795</v>
      </c>
      <c r="F1037" s="1" t="s">
        <v>525</v>
      </c>
      <c r="G1037" s="1" t="s">
        <v>24</v>
      </c>
      <c r="H1037" s="1">
        <v>407222</v>
      </c>
      <c r="I1037" s="1">
        <v>474209</v>
      </c>
      <c r="J1037" s="7">
        <v>0.85899999999999999</v>
      </c>
      <c r="K1037" s="1" t="s">
        <v>29</v>
      </c>
      <c r="L1037" s="1" t="s">
        <v>21</v>
      </c>
      <c r="M1037" s="1" t="s">
        <v>21</v>
      </c>
      <c r="N1037" s="1" t="s">
        <v>22</v>
      </c>
      <c r="O1037" s="1" t="str">
        <f t="shared" ca="1" si="9"/>
        <v>Please solve the LeetCode problem '339. Nested List Weight Sum'.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38" spans="1:15" x14ac:dyDescent="0.25">
      <c r="A1038" s="1">
        <v>1189</v>
      </c>
      <c r="B1038" s="2" t="str">
        <f>HYPERLINK("https://leetcode.com/problems/maximum-number-of-balloons/", "Maximum Number of Balloons")</f>
        <v>Maximum Number of Balloons</v>
      </c>
      <c r="C1038" s="1">
        <v>1862</v>
      </c>
      <c r="D1038" s="1">
        <v>121</v>
      </c>
      <c r="E1038" s="3">
        <f t="shared" si="8"/>
        <v>0.93898134140191625</v>
      </c>
      <c r="F1038" s="1" t="s">
        <v>237</v>
      </c>
      <c r="G1038" s="1" t="s">
        <v>20</v>
      </c>
      <c r="H1038" s="1">
        <v>313731</v>
      </c>
      <c r="I1038" s="1">
        <v>523585</v>
      </c>
      <c r="J1038" s="7">
        <v>0.59899999999999998</v>
      </c>
      <c r="K1038" s="1" t="s">
        <v>21</v>
      </c>
      <c r="L1038" s="1" t="s">
        <v>21</v>
      </c>
      <c r="M1038" s="1" t="s">
        <v>29</v>
      </c>
      <c r="N1038" s="1" t="s">
        <v>22</v>
      </c>
      <c r="O1038" s="1" t="str">
        <f t="shared" ca="1" si="9"/>
        <v>Please solve the LeetCode problem '1189. Maximum Number of Balloons'.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39" spans="1:15" x14ac:dyDescent="0.25">
      <c r="A1039" s="1">
        <v>458</v>
      </c>
      <c r="B1039" s="2" t="str">
        <f>HYPERLINK("https://leetcode.com/problems/poor-pigs/", "Poor Pigs")</f>
        <v>Poor Pigs</v>
      </c>
      <c r="C1039" s="1">
        <v>1861</v>
      </c>
      <c r="D1039" s="1">
        <v>3367</v>
      </c>
      <c r="E1039" s="3">
        <f t="shared" si="8"/>
        <v>0.35596786534047437</v>
      </c>
      <c r="F1039" s="1" t="s">
        <v>70</v>
      </c>
      <c r="G1039" s="1" t="s">
        <v>28</v>
      </c>
      <c r="H1039" s="1">
        <v>130745</v>
      </c>
      <c r="I1039" s="1">
        <v>221167</v>
      </c>
      <c r="J1039" s="7">
        <v>0.59099999999999997</v>
      </c>
      <c r="K1039" s="1" t="s">
        <v>21</v>
      </c>
      <c r="L1039" s="1" t="s">
        <v>21</v>
      </c>
      <c r="M1039" s="1" t="s">
        <v>29</v>
      </c>
      <c r="N1039" s="1" t="s">
        <v>22</v>
      </c>
      <c r="O1039" s="1" t="str">
        <f t="shared" ca="1" si="9"/>
        <v>Please solve the LeetCode problem '458. Poor Pigs'.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40" spans="1:15" x14ac:dyDescent="0.25">
      <c r="A1040" s="1">
        <v>524</v>
      </c>
      <c r="B1040" s="2" t="str">
        <f>HYPERLINK("https://leetcode.com/problems/longest-word-in-dictionary-through-deleting/", "Longest Word in Dictionary through Deleting")</f>
        <v>Longest Word in Dictionary through Deleting</v>
      </c>
      <c r="C1040" s="1">
        <v>1859</v>
      </c>
      <c r="D1040" s="1">
        <v>363</v>
      </c>
      <c r="E1040" s="3">
        <f t="shared" si="8"/>
        <v>0.8366336633663366</v>
      </c>
      <c r="F1040" s="1" t="s">
        <v>526</v>
      </c>
      <c r="G1040" s="1" t="s">
        <v>24</v>
      </c>
      <c r="H1040" s="1">
        <v>179816</v>
      </c>
      <c r="I1040" s="1">
        <v>342949</v>
      </c>
      <c r="J1040" s="7">
        <v>0.52400000000000002</v>
      </c>
      <c r="K1040" s="1" t="s">
        <v>21</v>
      </c>
      <c r="L1040" s="1" t="s">
        <v>21</v>
      </c>
      <c r="M1040" s="1" t="s">
        <v>29</v>
      </c>
      <c r="N1040" s="1" t="s">
        <v>22</v>
      </c>
      <c r="O1040" s="1" t="str">
        <f t="shared" ca="1" si="9"/>
        <v>Please solve the LeetCode problem '524. Longest Word in Dictionary through Deleting'.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41" spans="1:15" x14ac:dyDescent="0.25">
      <c r="A1041" s="1">
        <v>626</v>
      </c>
      <c r="B1041" s="2" t="str">
        <f>HYPERLINK("https://leetcode.com/problems/exchange-seats/", "Exchange Seats")</f>
        <v>Exchange Seats</v>
      </c>
      <c r="C1041" s="1">
        <v>1854</v>
      </c>
      <c r="D1041" s="1">
        <v>611</v>
      </c>
      <c r="E1041" s="3">
        <f t="shared" si="8"/>
        <v>0.75212981744421903</v>
      </c>
      <c r="F1041" s="1" t="s">
        <v>297</v>
      </c>
      <c r="G1041" s="1" t="s">
        <v>24</v>
      </c>
      <c r="H1041" s="1">
        <v>423005</v>
      </c>
      <c r="I1041" s="1">
        <v>573898</v>
      </c>
      <c r="J1041" s="7">
        <v>0.73699999999999999</v>
      </c>
      <c r="K1041" s="1" t="s">
        <v>21</v>
      </c>
      <c r="L1041" s="1" t="s">
        <v>21</v>
      </c>
      <c r="M1041" s="1" t="s">
        <v>29</v>
      </c>
      <c r="N1041" s="1" t="s">
        <v>297</v>
      </c>
      <c r="O1041" s="1" t="str">
        <f t="shared" ca="1" si="9"/>
        <v>Please solve the LeetCode problem '626. Exchange Seats'.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42" spans="1:15" x14ac:dyDescent="0.25">
      <c r="A1042" s="1">
        <v>627</v>
      </c>
      <c r="B1042" s="2" t="str">
        <f>HYPERLINK("https://leetcode.com/problems/swap-sex-of-employees/", "Swap Sex of Employees")</f>
        <v>Swap Sex of Employees</v>
      </c>
      <c r="C1042" s="1">
        <v>1851</v>
      </c>
      <c r="D1042" s="1">
        <v>572</v>
      </c>
      <c r="E1042" s="3">
        <f t="shared" si="8"/>
        <v>0.76392901361947996</v>
      </c>
      <c r="F1042" s="1" t="s">
        <v>297</v>
      </c>
      <c r="G1042" s="1" t="s">
        <v>20</v>
      </c>
      <c r="H1042" s="1">
        <v>528448</v>
      </c>
      <c r="I1042" s="1">
        <v>625814</v>
      </c>
      <c r="J1042" s="7">
        <v>0.84399999999999997</v>
      </c>
      <c r="K1042" s="1" t="s">
        <v>21</v>
      </c>
      <c r="L1042" s="1" t="s">
        <v>21</v>
      </c>
      <c r="M1042" s="1" t="s">
        <v>29</v>
      </c>
      <c r="N1042" s="1" t="s">
        <v>297</v>
      </c>
      <c r="O1042" s="1" t="str">
        <f t="shared" ca="1" si="9"/>
        <v>Please solve the LeetCode problem '627. Swap Sex of Employees'.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43" spans="1:15" x14ac:dyDescent="0.25">
      <c r="A1043" s="1">
        <v>1024</v>
      </c>
      <c r="B1043" s="2" t="str">
        <f>HYPERLINK("https://leetcode.com/problems/video-stitching/", "Video Stitching")</f>
        <v>Video Stitching</v>
      </c>
      <c r="C1043" s="1">
        <v>1848</v>
      </c>
      <c r="D1043" s="1">
        <v>64</v>
      </c>
      <c r="E1043" s="3">
        <f t="shared" si="8"/>
        <v>0.96652719665271969</v>
      </c>
      <c r="F1043" s="1" t="s">
        <v>50</v>
      </c>
      <c r="G1043" s="1" t="s">
        <v>24</v>
      </c>
      <c r="H1043" s="1">
        <v>85208</v>
      </c>
      <c r="I1043" s="1">
        <v>162464</v>
      </c>
      <c r="J1043" s="7">
        <v>0.52400000000000002</v>
      </c>
      <c r="K1043" s="1" t="s">
        <v>21</v>
      </c>
      <c r="L1043" s="1" t="s">
        <v>29</v>
      </c>
      <c r="M1043" s="1" t="s">
        <v>29</v>
      </c>
      <c r="N1043" s="1" t="s">
        <v>22</v>
      </c>
      <c r="O1043" s="1" t="str">
        <f t="shared" ca="1" si="9"/>
        <v>Please solve the LeetCode problem '1024. Video Stitching'.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44" spans="1:15" x14ac:dyDescent="0.25">
      <c r="A1044" s="1">
        <v>1569</v>
      </c>
      <c r="B1044" s="2" t="str">
        <f>HYPERLINK("https://leetcode.com/problems/number-of-ways-to-reorder-array-to-get-same-bst/", "Number of Ways to Reorder Array to Get Same BST")</f>
        <v>Number of Ways to Reorder Array to Get Same BST</v>
      </c>
      <c r="C1044" s="1">
        <v>1848</v>
      </c>
      <c r="D1044" s="1">
        <v>210</v>
      </c>
      <c r="E1044" s="3">
        <f t="shared" si="8"/>
        <v>0.89795918367346939</v>
      </c>
      <c r="F1044" s="1" t="s">
        <v>527</v>
      </c>
      <c r="G1044" s="1" t="s">
        <v>28</v>
      </c>
      <c r="H1044" s="1">
        <v>62225</v>
      </c>
      <c r="I1044" s="1">
        <v>115459</v>
      </c>
      <c r="J1044" s="7">
        <v>0.53900000000000003</v>
      </c>
      <c r="K1044" s="1" t="s">
        <v>21</v>
      </c>
      <c r="L1044" s="1" t="s">
        <v>21</v>
      </c>
      <c r="M1044" s="1" t="s">
        <v>29</v>
      </c>
      <c r="N1044" s="1" t="s">
        <v>22</v>
      </c>
      <c r="O1044" s="1" t="str">
        <f t="shared" ca="1" si="9"/>
        <v>Please solve the LeetCode problem '1569. Number of Ways to Reorder Array to Get Same BST'.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45" spans="1:15" x14ac:dyDescent="0.25">
      <c r="A1045" s="1">
        <v>2418</v>
      </c>
      <c r="B1045" s="2" t="str">
        <f>HYPERLINK("https://leetcode.com/problems/sort-the-people/", "Sort the People")</f>
        <v>Sort the People</v>
      </c>
      <c r="C1045" s="1">
        <v>1846</v>
      </c>
      <c r="D1045" s="1">
        <v>39</v>
      </c>
      <c r="E1045" s="3">
        <f t="shared" si="8"/>
        <v>0.97931034482758617</v>
      </c>
      <c r="F1045" s="1" t="s">
        <v>49</v>
      </c>
      <c r="G1045" s="1" t="s">
        <v>20</v>
      </c>
      <c r="H1045" s="1">
        <v>369112</v>
      </c>
      <c r="I1045" s="1">
        <v>435410</v>
      </c>
      <c r="J1045" s="7">
        <v>0.84799999999999998</v>
      </c>
      <c r="K1045" s="1" t="s">
        <v>21</v>
      </c>
      <c r="L1045" s="1" t="s">
        <v>21</v>
      </c>
      <c r="M1045" s="1" t="s">
        <v>29</v>
      </c>
      <c r="N1045" s="1" t="s">
        <v>22</v>
      </c>
      <c r="O1045" s="1" t="str">
        <f t="shared" ca="1" si="9"/>
        <v>Please solve the LeetCode problem '2418. Sort the People'.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46" spans="1:15" x14ac:dyDescent="0.25">
      <c r="A1046" s="1">
        <v>2054</v>
      </c>
      <c r="B1046" s="2" t="str">
        <f>HYPERLINK("https://leetcode.com/problems/two-best-non-overlapping-events/", "Two Best Non-Overlapping Events")</f>
        <v>Two Best Non-Overlapping Events</v>
      </c>
      <c r="C1046" s="1">
        <v>1845</v>
      </c>
      <c r="D1046" s="1">
        <v>72</v>
      </c>
      <c r="E1046" s="3">
        <f t="shared" si="8"/>
        <v>0.96244131455399062</v>
      </c>
      <c r="F1046" s="1" t="s">
        <v>528</v>
      </c>
      <c r="G1046" s="1" t="s">
        <v>24</v>
      </c>
      <c r="H1046" s="1">
        <v>175368</v>
      </c>
      <c r="I1046" s="1">
        <v>273830</v>
      </c>
      <c r="J1046" s="7">
        <v>0.64</v>
      </c>
      <c r="K1046" s="1" t="s">
        <v>21</v>
      </c>
      <c r="L1046" s="1" t="s">
        <v>21</v>
      </c>
      <c r="M1046" s="1" t="s">
        <v>29</v>
      </c>
      <c r="N1046" s="1" t="s">
        <v>22</v>
      </c>
      <c r="O1046" s="1" t="str">
        <f t="shared" ca="1" si="9"/>
        <v>Please solve the LeetCode problem '2054. Two Best Non-Overlapping Events'.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47" spans="1:15" x14ac:dyDescent="0.25">
      <c r="A1047" s="1">
        <v>1255</v>
      </c>
      <c r="B1047" s="2" t="str">
        <f>HYPERLINK("https://leetcode.com/problems/maximum-score-words-formed-by-letters/", "Maximum Score Words Formed by Letters")</f>
        <v>Maximum Score Words Formed by Letters</v>
      </c>
      <c r="C1047" s="1">
        <v>1844</v>
      </c>
      <c r="D1047" s="1">
        <v>119</v>
      </c>
      <c r="E1047" s="3">
        <f t="shared" si="8"/>
        <v>0.9393785022924096</v>
      </c>
      <c r="F1047" s="1" t="s">
        <v>1360</v>
      </c>
      <c r="G1047" s="1" t="s">
        <v>28</v>
      </c>
      <c r="H1047" s="1">
        <v>132800</v>
      </c>
      <c r="I1047" s="1">
        <v>162828</v>
      </c>
      <c r="J1047" s="7">
        <v>0.81599999999999995</v>
      </c>
      <c r="K1047" s="1" t="s">
        <v>21</v>
      </c>
      <c r="L1047" s="1" t="s">
        <v>21</v>
      </c>
      <c r="M1047" s="1" t="s">
        <v>29</v>
      </c>
      <c r="N1047" s="1" t="s">
        <v>22</v>
      </c>
      <c r="O1047" s="1" t="str">
        <f t="shared" ca="1" si="9"/>
        <v>Please solve the LeetCode problem '1255. Maximum Score Words Formed by Letters'.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48" spans="1:15" x14ac:dyDescent="0.25">
      <c r="A1048" s="1">
        <v>274</v>
      </c>
      <c r="B1048" s="2" t="str">
        <f>HYPERLINK("https://leetcode.com/problems/h-index/", "H-Index")</f>
        <v>H-Index</v>
      </c>
      <c r="C1048" s="1">
        <v>1843</v>
      </c>
      <c r="D1048" s="1">
        <v>886</v>
      </c>
      <c r="E1048" s="3">
        <f t="shared" si="8"/>
        <v>0.6753389519970685</v>
      </c>
      <c r="F1048" s="1" t="s">
        <v>523</v>
      </c>
      <c r="G1048" s="1" t="s">
        <v>24</v>
      </c>
      <c r="H1048" s="1">
        <v>825541</v>
      </c>
      <c r="I1048" s="1">
        <v>2012328</v>
      </c>
      <c r="J1048" s="7">
        <v>0.41</v>
      </c>
      <c r="K1048" s="1" t="s">
        <v>21</v>
      </c>
      <c r="L1048" s="1" t="s">
        <v>21</v>
      </c>
      <c r="M1048" s="1" t="s">
        <v>29</v>
      </c>
      <c r="N1048" s="1" t="s">
        <v>22</v>
      </c>
      <c r="O1048" s="1" t="str">
        <f t="shared" ca="1" si="9"/>
        <v>Please solve the LeetCode problem '274. H-Index'.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49" spans="1:15" x14ac:dyDescent="0.25">
      <c r="A1049" s="1">
        <v>1109</v>
      </c>
      <c r="B1049" s="2" t="str">
        <f>HYPERLINK("https://leetcode.com/problems/corporate-flight-bookings/", "Corporate Flight Bookings")</f>
        <v>Corporate Flight Bookings</v>
      </c>
      <c r="C1049" s="1">
        <v>1838</v>
      </c>
      <c r="D1049" s="1">
        <v>166</v>
      </c>
      <c r="E1049" s="3">
        <f t="shared" si="8"/>
        <v>0.91716566866267468</v>
      </c>
      <c r="F1049" s="1" t="s">
        <v>37</v>
      </c>
      <c r="G1049" s="1" t="s">
        <v>24</v>
      </c>
      <c r="H1049" s="1">
        <v>96043</v>
      </c>
      <c r="I1049" s="1">
        <v>145531</v>
      </c>
      <c r="J1049" s="7">
        <v>0.66</v>
      </c>
      <c r="K1049" s="1" t="s">
        <v>21</v>
      </c>
      <c r="L1049" s="1" t="s">
        <v>29</v>
      </c>
      <c r="M1049" s="1" t="s">
        <v>29</v>
      </c>
      <c r="N1049" s="1" t="s">
        <v>22</v>
      </c>
      <c r="O1049" s="1" t="str">
        <f t="shared" ca="1" si="9"/>
        <v>Please solve the LeetCode problem '1109. Corporate Flight Bookings'.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50" spans="1:15" x14ac:dyDescent="0.25">
      <c r="A1050" s="1">
        <v>961</v>
      </c>
      <c r="B1050" s="2" t="str">
        <f>HYPERLINK("https://leetcode.com/problems/n-repeated-element-in-size-2n-array/", "N-Repeated Element in Size 2N Array")</f>
        <v>N-Repeated Element in Size 2N Array</v>
      </c>
      <c r="C1050" s="1">
        <v>1837</v>
      </c>
      <c r="D1050" s="1">
        <v>348</v>
      </c>
      <c r="E1050" s="3">
        <f t="shared" si="8"/>
        <v>0.84073226544622426</v>
      </c>
      <c r="F1050" s="1" t="s">
        <v>19</v>
      </c>
      <c r="G1050" s="1" t="s">
        <v>20</v>
      </c>
      <c r="H1050" s="1">
        <v>456115</v>
      </c>
      <c r="I1050" s="1">
        <v>571548</v>
      </c>
      <c r="J1050" s="7">
        <v>0.79800000000000004</v>
      </c>
      <c r="K1050" s="1" t="s">
        <v>21</v>
      </c>
      <c r="L1050" s="1" t="s">
        <v>21</v>
      </c>
      <c r="M1050" s="1" t="s">
        <v>29</v>
      </c>
      <c r="N1050" s="1" t="s">
        <v>22</v>
      </c>
      <c r="O1050" s="1" t="str">
        <f t="shared" ca="1" si="9"/>
        <v>Please solve the LeetCode problem '961. N-Repeated Element in Size 2N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51" spans="1:15" x14ac:dyDescent="0.25">
      <c r="A1051" s="1">
        <v>2336</v>
      </c>
      <c r="B1051" s="2" t="str">
        <f>HYPERLINK("https://leetcode.com/problems/smallest-number-in-infinite-set/", "Smallest Number in Infinite Set")</f>
        <v>Smallest Number in Infinite Set</v>
      </c>
      <c r="C1051" s="1">
        <v>1835</v>
      </c>
      <c r="D1051" s="1">
        <v>230</v>
      </c>
      <c r="E1051" s="3">
        <f t="shared" si="8"/>
        <v>0.88861985472154958</v>
      </c>
      <c r="F1051" s="1" t="s">
        <v>530</v>
      </c>
      <c r="G1051" s="1" t="s">
        <v>24</v>
      </c>
      <c r="H1051" s="1">
        <v>222884</v>
      </c>
      <c r="I1051" s="1">
        <v>315853</v>
      </c>
      <c r="J1051" s="7">
        <v>0.70599999999999996</v>
      </c>
      <c r="K1051" s="1" t="s">
        <v>21</v>
      </c>
      <c r="L1051" s="1" t="s">
        <v>21</v>
      </c>
      <c r="M1051" s="1" t="s">
        <v>29</v>
      </c>
      <c r="N1051" s="1" t="s">
        <v>22</v>
      </c>
      <c r="O1051" s="1" t="str">
        <f t="shared" ca="1" si="9"/>
        <v>Please solve the LeetCode problem '2336. Smallest Number in Infinite Set'.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52" spans="1:15" x14ac:dyDescent="0.25">
      <c r="A1052" s="1">
        <v>1446</v>
      </c>
      <c r="B1052" s="2" t="str">
        <f>HYPERLINK("https://leetcode.com/problems/consecutive-characters/", "Consecutive Characters")</f>
        <v>Consecutive Characters</v>
      </c>
      <c r="C1052" s="1">
        <v>1833</v>
      </c>
      <c r="D1052" s="1">
        <v>35</v>
      </c>
      <c r="E1052" s="3">
        <f t="shared" si="8"/>
        <v>0.98126338329764451</v>
      </c>
      <c r="F1052" s="1" t="s">
        <v>146</v>
      </c>
      <c r="G1052" s="1" t="s">
        <v>20</v>
      </c>
      <c r="H1052" s="1">
        <v>221119</v>
      </c>
      <c r="I1052" s="1">
        <v>366763</v>
      </c>
      <c r="J1052" s="7">
        <v>0.60299999999999998</v>
      </c>
      <c r="K1052" s="1" t="s">
        <v>21</v>
      </c>
      <c r="L1052" s="1" t="s">
        <v>21</v>
      </c>
      <c r="M1052" s="1" t="s">
        <v>29</v>
      </c>
      <c r="N1052" s="1" t="s">
        <v>22</v>
      </c>
      <c r="O1052" s="1" t="str">
        <f t="shared" ca="1" si="9"/>
        <v>Please solve the LeetCode problem '1446. Consecutive Characters'.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53" spans="1:15" x14ac:dyDescent="0.25">
      <c r="A1053" s="1">
        <v>819</v>
      </c>
      <c r="B1053" s="2" t="str">
        <f>HYPERLINK("https://leetcode.com/problems/most-common-word/", "Most Common Word")</f>
        <v>Most Common Word</v>
      </c>
      <c r="C1053" s="1">
        <v>1832</v>
      </c>
      <c r="D1053" s="1">
        <v>3115</v>
      </c>
      <c r="E1053" s="3">
        <f t="shared" si="8"/>
        <v>0.3703254497675359</v>
      </c>
      <c r="F1053" s="1" t="s">
        <v>467</v>
      </c>
      <c r="G1053" s="1" t="s">
        <v>20</v>
      </c>
      <c r="H1053" s="1">
        <v>440721</v>
      </c>
      <c r="I1053" s="1">
        <v>981298</v>
      </c>
      <c r="J1053" s="7">
        <v>0.44900000000000001</v>
      </c>
      <c r="K1053" s="1" t="s">
        <v>21</v>
      </c>
      <c r="L1053" s="1" t="s">
        <v>21</v>
      </c>
      <c r="M1053" s="1" t="s">
        <v>29</v>
      </c>
      <c r="N1053" s="1" t="s">
        <v>22</v>
      </c>
      <c r="O1053" s="1" t="str">
        <f t="shared" ca="1" si="9"/>
        <v>Please solve the LeetCode problem '819. Most Common Word'.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54" spans="1:15" x14ac:dyDescent="0.25">
      <c r="A1054" s="1">
        <v>1716</v>
      </c>
      <c r="B1054" s="2" t="str">
        <f>HYPERLINK("https://leetcode.com/problems/calculate-money-in-leetcode-bank/", "Calculate Money in Leetcode Bank")</f>
        <v>Calculate Money in Leetcode Bank</v>
      </c>
      <c r="C1054" s="1">
        <v>1827</v>
      </c>
      <c r="D1054" s="1">
        <v>64</v>
      </c>
      <c r="E1054" s="3">
        <f t="shared" si="8"/>
        <v>0.96615547329455309</v>
      </c>
      <c r="F1054" s="1" t="s">
        <v>84</v>
      </c>
      <c r="G1054" s="1" t="s">
        <v>20</v>
      </c>
      <c r="H1054" s="1">
        <v>294075</v>
      </c>
      <c r="I1054" s="1">
        <v>357369</v>
      </c>
      <c r="J1054" s="7">
        <v>0.82299999999999995</v>
      </c>
      <c r="K1054" s="1" t="s">
        <v>21</v>
      </c>
      <c r="L1054" s="1" t="s">
        <v>21</v>
      </c>
      <c r="M1054" s="1" t="s">
        <v>29</v>
      </c>
      <c r="N1054" s="1" t="s">
        <v>22</v>
      </c>
      <c r="O1054" s="1" t="str">
        <f t="shared" ca="1" si="9"/>
        <v>Please solve the LeetCode problem '1716. Calculate Money in Leetcode Bank'.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55" spans="1:15" x14ac:dyDescent="0.25">
      <c r="A1055" s="1">
        <v>1915</v>
      </c>
      <c r="B1055" s="2" t="str">
        <f>HYPERLINK("https://leetcode.com/problems/number-of-wonderful-substrings/", "Number of Wonderful Substrings")</f>
        <v>Number of Wonderful Substrings</v>
      </c>
      <c r="C1055" s="1">
        <v>1822</v>
      </c>
      <c r="D1055" s="1">
        <v>284</v>
      </c>
      <c r="E1055" s="3">
        <f t="shared" si="8"/>
        <v>0.86514719848053179</v>
      </c>
      <c r="F1055" s="1" t="s">
        <v>388</v>
      </c>
      <c r="G1055" s="1" t="s">
        <v>24</v>
      </c>
      <c r="H1055" s="1">
        <v>88959</v>
      </c>
      <c r="I1055" s="1">
        <v>133600</v>
      </c>
      <c r="J1055" s="7">
        <v>0.66600000000000004</v>
      </c>
      <c r="K1055" s="1" t="s">
        <v>21</v>
      </c>
      <c r="L1055" s="1" t="s">
        <v>21</v>
      </c>
      <c r="M1055" s="1" t="s">
        <v>29</v>
      </c>
      <c r="N1055" s="1" t="s">
        <v>22</v>
      </c>
      <c r="O1055" s="1" t="str">
        <f t="shared" ca="1" si="9"/>
        <v>Please solve the LeetCode problem '1915. Number of Wonderful Substrings'.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56" spans="1:15" x14ac:dyDescent="0.25">
      <c r="A1056" s="1">
        <v>899</v>
      </c>
      <c r="B1056" s="2" t="str">
        <f>HYPERLINK("https://leetcode.com/problems/orderly-queue/", "Orderly Queue")</f>
        <v>Orderly Queue</v>
      </c>
      <c r="C1056" s="1">
        <v>1820</v>
      </c>
      <c r="D1056" s="1">
        <v>620</v>
      </c>
      <c r="E1056" s="3">
        <f t="shared" si="8"/>
        <v>0.74590163934426235</v>
      </c>
      <c r="F1056" s="1" t="s">
        <v>531</v>
      </c>
      <c r="G1056" s="1" t="s">
        <v>28</v>
      </c>
      <c r="H1056" s="1">
        <v>82076</v>
      </c>
      <c r="I1056" s="1">
        <v>123205</v>
      </c>
      <c r="J1056" s="7">
        <v>0.66600000000000004</v>
      </c>
      <c r="K1056" s="1" t="s">
        <v>21</v>
      </c>
      <c r="L1056" s="1" t="s">
        <v>21</v>
      </c>
      <c r="M1056" s="1" t="s">
        <v>29</v>
      </c>
      <c r="N1056" s="1" t="s">
        <v>22</v>
      </c>
      <c r="O1056" s="1" t="str">
        <f t="shared" ca="1" si="9"/>
        <v>Please solve the LeetCode problem '899. Orderly Queue'.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57" spans="1:15" x14ac:dyDescent="0.25">
      <c r="A1057" s="1">
        <v>940</v>
      </c>
      <c r="B1057" s="2" t="str">
        <f>HYPERLINK("https://leetcode.com/problems/distinct-subsequences-ii/", "Distinct Subsequences II")</f>
        <v>Distinct Subsequences II</v>
      </c>
      <c r="C1057" s="1">
        <v>1817</v>
      </c>
      <c r="D1057" s="1">
        <v>39</v>
      </c>
      <c r="E1057" s="3">
        <f t="shared" si="8"/>
        <v>0.97898706896551724</v>
      </c>
      <c r="F1057" s="1" t="s">
        <v>82</v>
      </c>
      <c r="G1057" s="1" t="s">
        <v>28</v>
      </c>
      <c r="H1057" s="1">
        <v>50151</v>
      </c>
      <c r="I1057" s="1">
        <v>114129</v>
      </c>
      <c r="J1057" s="7">
        <v>0.439</v>
      </c>
      <c r="K1057" s="1" t="s">
        <v>21</v>
      </c>
      <c r="L1057" s="1" t="s">
        <v>21</v>
      </c>
      <c r="M1057" s="1" t="s">
        <v>21</v>
      </c>
      <c r="N1057" s="1" t="s">
        <v>22</v>
      </c>
      <c r="O1057" s="1" t="str">
        <f t="shared" ca="1" si="9"/>
        <v>Please solve the LeetCode problem '940. Distinct Subsequences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58" spans="1:15" x14ac:dyDescent="0.25">
      <c r="A1058" s="1">
        <v>2812</v>
      </c>
      <c r="B1058" s="2" t="str">
        <f>HYPERLINK("https://leetcode.com/problems/find-the-safest-path-in-a-grid/", "Find the Safest Path in a Grid")</f>
        <v>Find the Safest Path in a Grid</v>
      </c>
      <c r="C1058" s="1">
        <v>1809</v>
      </c>
      <c r="D1058" s="1">
        <v>322</v>
      </c>
      <c r="E1058" s="3">
        <f t="shared" si="8"/>
        <v>0.84889723134678552</v>
      </c>
      <c r="F1058" s="1" t="s">
        <v>532</v>
      </c>
      <c r="G1058" s="1" t="s">
        <v>24</v>
      </c>
      <c r="H1058" s="1">
        <v>110705</v>
      </c>
      <c r="I1058" s="1">
        <v>228034</v>
      </c>
      <c r="J1058" s="7">
        <v>0.48499999999999999</v>
      </c>
      <c r="K1058" s="1" t="s">
        <v>21</v>
      </c>
      <c r="L1058" s="1" t="s">
        <v>21</v>
      </c>
      <c r="M1058" s="1" t="s">
        <v>29</v>
      </c>
      <c r="N1058" s="1" t="s">
        <v>22</v>
      </c>
      <c r="O1058" s="1" t="str">
        <f t="shared" ca="1" si="9"/>
        <v>Please solve the LeetCode problem '2812. Find the Safest Path in a Grid'.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59" spans="1:15" x14ac:dyDescent="0.25">
      <c r="A1059" s="1">
        <v>352</v>
      </c>
      <c r="B1059" s="2" t="str">
        <f>HYPERLINK("https://leetcode.com/problems/data-stream-as-disjoint-intervals/", "Data Stream as Disjoint Intervals")</f>
        <v>Data Stream as Disjoint Intervals</v>
      </c>
      <c r="C1059" s="1">
        <v>1807</v>
      </c>
      <c r="D1059" s="1">
        <v>374</v>
      </c>
      <c r="E1059" s="3">
        <f t="shared" si="8"/>
        <v>0.8285190279688216</v>
      </c>
      <c r="F1059" s="1" t="s">
        <v>535</v>
      </c>
      <c r="G1059" s="1" t="s">
        <v>28</v>
      </c>
      <c r="H1059" s="1">
        <v>128830</v>
      </c>
      <c r="I1059" s="1">
        <v>215132</v>
      </c>
      <c r="J1059" s="7">
        <v>0.59899999999999998</v>
      </c>
      <c r="K1059" s="1" t="s">
        <v>21</v>
      </c>
      <c r="L1059" s="1" t="s">
        <v>21</v>
      </c>
      <c r="M1059" s="1" t="s">
        <v>29</v>
      </c>
      <c r="N1059" s="1" t="s">
        <v>22</v>
      </c>
      <c r="O1059" s="1" t="str">
        <f t="shared" ca="1" si="9"/>
        <v>Please solve the LeetCode problem '352. Data Stream as Disjoint Intervals'.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60" spans="1:15" x14ac:dyDescent="0.25">
      <c r="A1060" s="1">
        <v>1379</v>
      </c>
      <c r="B1060" s="2" t="str">
        <f>HYPERLINK("https://leetcode.com/problems/find-a-corresponding-node-of-a-binary-tree-in-a-clone-of-that-tree/", "Find a Corresponding Node of a Binary Tree in a Clone of That Tree")</f>
        <v>Find a Corresponding Node of a Binary Tree in a Clone of That Tree</v>
      </c>
      <c r="C1060" s="1">
        <v>1807</v>
      </c>
      <c r="D1060" s="1">
        <v>2017</v>
      </c>
      <c r="E1060" s="3">
        <f t="shared" si="8"/>
        <v>0.47254184100418412</v>
      </c>
      <c r="F1060" s="1" t="s">
        <v>80</v>
      </c>
      <c r="G1060" s="1" t="s">
        <v>20</v>
      </c>
      <c r="H1060" s="1">
        <v>261514</v>
      </c>
      <c r="I1060" s="1">
        <v>304759</v>
      </c>
      <c r="J1060" s="7">
        <v>0.85799999999999998</v>
      </c>
      <c r="K1060" s="1" t="s">
        <v>21</v>
      </c>
      <c r="L1060" s="1" t="s">
        <v>21</v>
      </c>
      <c r="M1060" s="1" t="s">
        <v>29</v>
      </c>
      <c r="N1060" s="1" t="s">
        <v>22</v>
      </c>
      <c r="O1060" s="1" t="str">
        <f t="shared" ca="1" si="9"/>
        <v>Please solve the LeetCode problem '1379. Find a Corresponding Node of a Binary Tree in a Clone of That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61" spans="1:15" x14ac:dyDescent="0.25">
      <c r="A1061" s="1">
        <v>2226</v>
      </c>
      <c r="B1061" s="2" t="str">
        <f>HYPERLINK("https://leetcode.com/problems/maximum-candies-allocated-to-k-children/", "Maximum Candies Allocated to K Children")</f>
        <v>Maximum Candies Allocated to K Children</v>
      </c>
      <c r="C1061" s="1">
        <v>1807</v>
      </c>
      <c r="D1061" s="1">
        <v>83</v>
      </c>
      <c r="E1061" s="3">
        <f t="shared" si="8"/>
        <v>0.95608465608465609</v>
      </c>
      <c r="F1061" s="1" t="s">
        <v>35</v>
      </c>
      <c r="G1061" s="1" t="s">
        <v>24</v>
      </c>
      <c r="H1061" s="1">
        <v>199691</v>
      </c>
      <c r="I1061" s="1">
        <v>400024</v>
      </c>
      <c r="J1061" s="7">
        <v>0.499</v>
      </c>
      <c r="K1061" s="1" t="s">
        <v>21</v>
      </c>
      <c r="L1061" s="1" t="s">
        <v>21</v>
      </c>
      <c r="M1061" s="1" t="s">
        <v>29</v>
      </c>
      <c r="N1061" s="1" t="s">
        <v>22</v>
      </c>
      <c r="O1061" s="1" t="str">
        <f t="shared" ca="1" si="9"/>
        <v>Please solve the LeetCode problem '2226. Maximum Candies Allocated to K Children'.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62" spans="1:15" x14ac:dyDescent="0.25">
      <c r="A1062" s="1">
        <v>2064</v>
      </c>
      <c r="B1062" s="2" t="str">
        <f>HYPERLINK("https://leetcode.com/problems/minimized-maximum-of-products-distributed-to-any-store/", "Minimized Maximum of Products Distributed to Any Store")</f>
        <v>Minimized Maximum of Products Distributed to Any Store</v>
      </c>
      <c r="C1062" s="1">
        <v>1805</v>
      </c>
      <c r="D1062" s="1">
        <v>107</v>
      </c>
      <c r="E1062" s="3">
        <f t="shared" si="8"/>
        <v>0.94403765690376573</v>
      </c>
      <c r="F1062" s="1" t="s">
        <v>533</v>
      </c>
      <c r="G1062" s="1" t="s">
        <v>24</v>
      </c>
      <c r="H1062" s="1">
        <v>146081</v>
      </c>
      <c r="I1062" s="1">
        <v>232173</v>
      </c>
      <c r="J1062" s="7">
        <v>0.629</v>
      </c>
      <c r="K1062" s="1" t="s">
        <v>21</v>
      </c>
      <c r="L1062" s="1" t="s">
        <v>21</v>
      </c>
      <c r="M1062" s="1" t="s">
        <v>29</v>
      </c>
      <c r="N1062" s="1" t="s">
        <v>22</v>
      </c>
      <c r="O1062" s="1" t="str">
        <f t="shared" ca="1" si="9"/>
        <v>Please solve the LeetCode problem '2064. Minimized Maximum of Products Distributed to Any Store'.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63" spans="1:15" x14ac:dyDescent="0.25">
      <c r="A1063" s="1">
        <v>2017</v>
      </c>
      <c r="B1063" s="2" t="str">
        <f>HYPERLINK("https://leetcode.com/problems/grid-game/", "Grid Game")</f>
        <v>Grid Game</v>
      </c>
      <c r="C1063" s="1">
        <v>1804</v>
      </c>
      <c r="D1063" s="1">
        <v>93</v>
      </c>
      <c r="E1063" s="3">
        <f t="shared" si="8"/>
        <v>0.95097522403795465</v>
      </c>
      <c r="F1063" s="1" t="s">
        <v>425</v>
      </c>
      <c r="G1063" s="1" t="s">
        <v>24</v>
      </c>
      <c r="H1063" s="1">
        <v>138060</v>
      </c>
      <c r="I1063" s="1">
        <v>226756</v>
      </c>
      <c r="J1063" s="7">
        <v>0.60899999999999999</v>
      </c>
      <c r="K1063" s="1" t="s">
        <v>21</v>
      </c>
      <c r="L1063" s="1" t="s">
        <v>21</v>
      </c>
      <c r="M1063" s="1" t="s">
        <v>29</v>
      </c>
      <c r="N1063" s="1" t="s">
        <v>22</v>
      </c>
      <c r="O1063" s="1" t="str">
        <f t="shared" ca="1" si="9"/>
        <v>Please solve the LeetCode problem '2017. Grid Game'.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64" spans="1:15" x14ac:dyDescent="0.25">
      <c r="A1064" s="1">
        <v>233</v>
      </c>
      <c r="B1064" s="2" t="str">
        <f>HYPERLINK("https://leetcode.com/problems/number-of-digit-one/", "Number of Digit One")</f>
        <v>Number of Digit One</v>
      </c>
      <c r="C1064" s="1">
        <v>1802</v>
      </c>
      <c r="D1064" s="1">
        <v>1546</v>
      </c>
      <c r="E1064" s="3">
        <f t="shared" si="8"/>
        <v>0.53823178016726403</v>
      </c>
      <c r="F1064" s="1" t="s">
        <v>534</v>
      </c>
      <c r="G1064" s="1" t="s">
        <v>28</v>
      </c>
      <c r="H1064" s="1">
        <v>133680</v>
      </c>
      <c r="I1064" s="1">
        <v>356847</v>
      </c>
      <c r="J1064" s="7">
        <v>0.375</v>
      </c>
      <c r="K1064" s="1" t="s">
        <v>21</v>
      </c>
      <c r="L1064" s="1" t="s">
        <v>21</v>
      </c>
      <c r="M1064" s="1" t="s">
        <v>29</v>
      </c>
      <c r="N1064" s="1" t="s">
        <v>22</v>
      </c>
      <c r="O1064" s="1" t="str">
        <f t="shared" ca="1" si="9"/>
        <v>Please solve the LeetCode problem '233. Number of Digit One'.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65" spans="1:15" x14ac:dyDescent="0.25">
      <c r="A1065" s="1">
        <v>2251</v>
      </c>
      <c r="B1065" s="2" t="str">
        <f>HYPERLINK("https://leetcode.com/problems/number-of-flowers-in-full-bloom/", "Number of Flowers in Full Bloom")</f>
        <v>Number of Flowers in Full Bloom</v>
      </c>
      <c r="C1065" s="1">
        <v>1802</v>
      </c>
      <c r="D1065" s="1">
        <v>46</v>
      </c>
      <c r="E1065" s="3">
        <f t="shared" si="8"/>
        <v>0.97510822510822515</v>
      </c>
      <c r="F1065" s="1" t="s">
        <v>536</v>
      </c>
      <c r="G1065" s="1" t="s">
        <v>28</v>
      </c>
      <c r="H1065" s="1">
        <v>105571</v>
      </c>
      <c r="I1065" s="1">
        <v>183013</v>
      </c>
      <c r="J1065" s="7">
        <v>0.57699999999999996</v>
      </c>
      <c r="K1065" s="1" t="s">
        <v>21</v>
      </c>
      <c r="L1065" s="1" t="s">
        <v>21</v>
      </c>
      <c r="M1065" s="1" t="s">
        <v>29</v>
      </c>
      <c r="N1065" s="1" t="s">
        <v>22</v>
      </c>
      <c r="O1065" s="1" t="str">
        <f t="shared" ca="1" si="9"/>
        <v>Please solve the LeetCode problem '2251. Number of Flowers in Full Bloom'.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66" spans="1:15" x14ac:dyDescent="0.25">
      <c r="A1066" s="1">
        <v>1343</v>
      </c>
      <c r="B1066" s="2" t="str">
        <f>HYPERLINK("https://leetcode.com/problems/number-of-sub-arrays-of-size-k-and-average-greater-than-or-equal-to-threshold/", "Number of Sub-arrays of Size K and Average Greater than or Equal to Threshold")</f>
        <v>Number of Sub-arrays of Size K and Average Greater than or Equal to Threshold</v>
      </c>
      <c r="C1066" s="1">
        <v>1799</v>
      </c>
      <c r="D1066" s="1">
        <v>108</v>
      </c>
      <c r="E1066" s="3">
        <f t="shared" si="8"/>
        <v>0.94336654431043521</v>
      </c>
      <c r="F1066" s="1" t="s">
        <v>295</v>
      </c>
      <c r="G1066" s="1" t="s">
        <v>24</v>
      </c>
      <c r="H1066" s="1">
        <v>173899</v>
      </c>
      <c r="I1066" s="1">
        <v>242549</v>
      </c>
      <c r="J1066" s="7">
        <v>0.71699999999999997</v>
      </c>
      <c r="K1066" s="1" t="s">
        <v>21</v>
      </c>
      <c r="L1066" s="1" t="s">
        <v>29</v>
      </c>
      <c r="M1066" s="1" t="s">
        <v>29</v>
      </c>
      <c r="N1066" s="1" t="s">
        <v>22</v>
      </c>
      <c r="O1066" s="1" t="str">
        <f t="shared" ca="1" si="9"/>
        <v>Please solve the LeetCode problem '1343. Number of Sub-arrays of Size K and Average Greater than or Equal to Threshold'.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67" spans="1:15" x14ac:dyDescent="0.25">
      <c r="A1067" s="1">
        <v>359</v>
      </c>
      <c r="B1067" s="2" t="str">
        <f>HYPERLINK("https://leetcode.com/problems/logger-rate-limiter/", "Logger Rate Limiter")</f>
        <v>Logger Rate Limiter</v>
      </c>
      <c r="C1067" s="1">
        <v>1798</v>
      </c>
      <c r="D1067" s="1">
        <v>198</v>
      </c>
      <c r="E1067" s="3">
        <f t="shared" si="8"/>
        <v>0.90080160320641278</v>
      </c>
      <c r="F1067" s="1" t="s">
        <v>537</v>
      </c>
      <c r="G1067" s="1" t="s">
        <v>20</v>
      </c>
      <c r="H1067" s="1">
        <v>382898</v>
      </c>
      <c r="I1067" s="1">
        <v>498984</v>
      </c>
      <c r="J1067" s="7">
        <v>0.76700000000000002</v>
      </c>
      <c r="K1067" s="1" t="s">
        <v>29</v>
      </c>
      <c r="L1067" s="1" t="s">
        <v>21</v>
      </c>
      <c r="M1067" s="1" t="s">
        <v>21</v>
      </c>
      <c r="N1067" s="1" t="s">
        <v>22</v>
      </c>
      <c r="O1067" s="1" t="str">
        <f t="shared" ca="1" si="9"/>
        <v>Please solve the LeetCode problem '359. Logger Rate Limiter'.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68" spans="1:15" x14ac:dyDescent="0.25">
      <c r="A1068" s="1">
        <v>1871</v>
      </c>
      <c r="B1068" s="2" t="str">
        <f>HYPERLINK("https://leetcode.com/problems/jump-game-vii/", "Jump Game VII")</f>
        <v>Jump Game VII</v>
      </c>
      <c r="C1068" s="1">
        <v>1796</v>
      </c>
      <c r="D1068" s="1">
        <v>120</v>
      </c>
      <c r="E1068" s="3">
        <f t="shared" si="8"/>
        <v>0.93736951983298533</v>
      </c>
      <c r="F1068" s="1" t="s">
        <v>538</v>
      </c>
      <c r="G1068" s="1" t="s">
        <v>24</v>
      </c>
      <c r="H1068" s="1">
        <v>64299</v>
      </c>
      <c r="I1068" s="1">
        <v>245099</v>
      </c>
      <c r="J1068" s="7">
        <v>0.26200000000000001</v>
      </c>
      <c r="K1068" s="1" t="s">
        <v>21</v>
      </c>
      <c r="L1068" s="1" t="s">
        <v>29</v>
      </c>
      <c r="M1068" s="1" t="s">
        <v>29</v>
      </c>
      <c r="N1068" s="1" t="s">
        <v>22</v>
      </c>
      <c r="O1068" s="1" t="str">
        <f t="shared" ca="1" si="9"/>
        <v>Please solve the LeetCode problem '1871. Jump Game VII'.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69" spans="1:15" x14ac:dyDescent="0.25">
      <c r="A1069" s="1">
        <v>500</v>
      </c>
      <c r="B1069" s="2" t="str">
        <f>HYPERLINK("https://leetcode.com/problems/keyboard-row/", "Keyboard Row")</f>
        <v>Keyboard Row</v>
      </c>
      <c r="C1069" s="1">
        <v>1792</v>
      </c>
      <c r="D1069" s="1">
        <v>1158</v>
      </c>
      <c r="E1069" s="3">
        <f t="shared" si="8"/>
        <v>0.60745762711864404</v>
      </c>
      <c r="F1069" s="1" t="s">
        <v>258</v>
      </c>
      <c r="G1069" s="1" t="s">
        <v>20</v>
      </c>
      <c r="H1069" s="1">
        <v>314006</v>
      </c>
      <c r="I1069" s="1">
        <v>427927</v>
      </c>
      <c r="J1069" s="7">
        <v>0.73399999999999999</v>
      </c>
      <c r="K1069" s="1" t="s">
        <v>21</v>
      </c>
      <c r="L1069" s="1" t="s">
        <v>29</v>
      </c>
      <c r="M1069" s="1" t="s">
        <v>29</v>
      </c>
      <c r="N1069" s="1" t="s">
        <v>22</v>
      </c>
      <c r="O1069" s="1" t="str">
        <f t="shared" ca="1" si="9"/>
        <v>Please solve the LeetCode problem '500. Keyboard Row'.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70" spans="1:15" x14ac:dyDescent="0.25">
      <c r="A1070" s="1">
        <v>1260</v>
      </c>
      <c r="B1070" s="2" t="str">
        <f>HYPERLINK("https://leetcode.com/problems/shift-2d-grid/", "Shift 2D Grid")</f>
        <v>Shift 2D Grid</v>
      </c>
      <c r="C1070" s="1">
        <v>1790</v>
      </c>
      <c r="D1070" s="1">
        <v>349</v>
      </c>
      <c r="E1070" s="3">
        <f t="shared" si="8"/>
        <v>0.83683964469378214</v>
      </c>
      <c r="F1070" s="1" t="s">
        <v>77</v>
      </c>
      <c r="G1070" s="1" t="s">
        <v>20</v>
      </c>
      <c r="H1070" s="1">
        <v>122950</v>
      </c>
      <c r="I1070" s="1">
        <v>181071</v>
      </c>
      <c r="J1070" s="7">
        <v>0.67900000000000005</v>
      </c>
      <c r="K1070" s="1" t="s">
        <v>21</v>
      </c>
      <c r="L1070" s="1" t="s">
        <v>21</v>
      </c>
      <c r="M1070" s="1" t="s">
        <v>29</v>
      </c>
      <c r="N1070" s="1" t="s">
        <v>22</v>
      </c>
      <c r="O1070" s="1" t="str">
        <f t="shared" ca="1" si="9"/>
        <v>Please solve the LeetCode problem '1260. Shift 2D Grid'.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71" spans="1:15" x14ac:dyDescent="0.25">
      <c r="A1071" s="1">
        <v>1400</v>
      </c>
      <c r="B1071" s="2" t="str">
        <f>HYPERLINK("https://leetcode.com/problems/construct-k-palindrome-strings/", "Construct K Palindrome Strings")</f>
        <v>Construct K Palindrome Strings</v>
      </c>
      <c r="C1071" s="1">
        <v>1790</v>
      </c>
      <c r="D1071" s="1">
        <v>160</v>
      </c>
      <c r="E1071" s="3">
        <f t="shared" si="8"/>
        <v>0.91794871794871791</v>
      </c>
      <c r="F1071" s="1" t="s">
        <v>539</v>
      </c>
      <c r="G1071" s="1" t="s">
        <v>24</v>
      </c>
      <c r="H1071" s="1">
        <v>208528</v>
      </c>
      <c r="I1071" s="1">
        <v>303942</v>
      </c>
      <c r="J1071" s="7">
        <v>0.68600000000000005</v>
      </c>
      <c r="K1071" s="1" t="s">
        <v>21</v>
      </c>
      <c r="L1071" s="1" t="s">
        <v>21</v>
      </c>
      <c r="M1071" s="1" t="s">
        <v>29</v>
      </c>
      <c r="N1071" s="1" t="s">
        <v>22</v>
      </c>
      <c r="O1071" s="1" t="str">
        <f t="shared" ca="1" si="9"/>
        <v>Please solve the LeetCode problem '1400. Construct K Palindrome Strings'.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72" spans="1:15" x14ac:dyDescent="0.25">
      <c r="A1072" s="1">
        <v>2006</v>
      </c>
      <c r="B1072" s="2" t="str">
        <f>HYPERLINK("https://leetcode.com/problems/count-number-of-pairs-with-absolute-difference-k/", "Count Number of Pairs With Absolute Difference K")</f>
        <v>Count Number of Pairs With Absolute Difference K</v>
      </c>
      <c r="C1072" s="1">
        <v>1785</v>
      </c>
      <c r="D1072" s="1">
        <v>49</v>
      </c>
      <c r="E1072" s="3">
        <f t="shared" si="8"/>
        <v>0.97328244274809161</v>
      </c>
      <c r="F1072" s="1" t="s">
        <v>294</v>
      </c>
      <c r="G1072" s="1" t="s">
        <v>20</v>
      </c>
      <c r="H1072" s="1">
        <v>225048</v>
      </c>
      <c r="I1072" s="1">
        <v>263944</v>
      </c>
      <c r="J1072" s="7">
        <v>0.85299999999999998</v>
      </c>
      <c r="K1072" s="1" t="s">
        <v>21</v>
      </c>
      <c r="L1072" s="1" t="s">
        <v>29</v>
      </c>
      <c r="M1072" s="1" t="s">
        <v>29</v>
      </c>
      <c r="N1072" s="1" t="s">
        <v>22</v>
      </c>
      <c r="O1072" s="1" t="str">
        <f t="shared" ca="1" si="9"/>
        <v>Please solve the LeetCode problem '2006. Count Number of Pairs With Absolute Difference K'.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73" spans="1:15" x14ac:dyDescent="0.25">
      <c r="A1073" s="1">
        <v>1013</v>
      </c>
      <c r="B1073" s="2" t="str">
        <f>HYPERLINK("https://leetcode.com/problems/partition-array-into-three-parts-with-equal-sum/", "Partition Array Into Three Parts With Equal Sum")</f>
        <v>Partition Array Into Three Parts With Equal Sum</v>
      </c>
      <c r="C1073" s="1">
        <v>1783</v>
      </c>
      <c r="D1073" s="1">
        <v>169</v>
      </c>
      <c r="E1073" s="3">
        <f t="shared" si="8"/>
        <v>0.91342213114754101</v>
      </c>
      <c r="F1073" s="1" t="s">
        <v>96</v>
      </c>
      <c r="G1073" s="1" t="s">
        <v>20</v>
      </c>
      <c r="H1073" s="1">
        <v>120816</v>
      </c>
      <c r="I1073" s="1">
        <v>284377</v>
      </c>
      <c r="J1073" s="7">
        <v>0.42499999999999999</v>
      </c>
      <c r="K1073" s="1" t="s">
        <v>21</v>
      </c>
      <c r="L1073" s="1" t="s">
        <v>29</v>
      </c>
      <c r="M1073" s="1" t="s">
        <v>29</v>
      </c>
      <c r="N1073" s="1" t="s">
        <v>22</v>
      </c>
      <c r="O1073" s="1" t="str">
        <f t="shared" ca="1" si="9"/>
        <v>Please solve the LeetCode problem '1013. Partition Array Into Three Parts With Equal Sum'.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74" spans="1:15" x14ac:dyDescent="0.25">
      <c r="A1074" s="1">
        <v>2364</v>
      </c>
      <c r="B1074" s="2" t="str">
        <f>HYPERLINK("https://leetcode.com/problems/count-number-of-bad-pairs/", "Count Number of Bad Pairs")</f>
        <v>Count Number of Bad Pairs</v>
      </c>
      <c r="C1074" s="1">
        <v>1783</v>
      </c>
      <c r="D1074" s="1">
        <v>62</v>
      </c>
      <c r="E1074" s="3">
        <f t="shared" si="8"/>
        <v>0.96639566395663956</v>
      </c>
      <c r="F1074" s="1" t="s">
        <v>233</v>
      </c>
      <c r="G1074" s="1" t="s">
        <v>24</v>
      </c>
      <c r="H1074" s="1">
        <v>183872</v>
      </c>
      <c r="I1074" s="1">
        <v>338886</v>
      </c>
      <c r="J1074" s="7">
        <v>0.54300000000000004</v>
      </c>
      <c r="K1074" s="1" t="s">
        <v>21</v>
      </c>
      <c r="L1074" s="1" t="s">
        <v>21</v>
      </c>
      <c r="M1074" s="1" t="s">
        <v>29</v>
      </c>
      <c r="N1074" s="1" t="s">
        <v>22</v>
      </c>
      <c r="O1074" s="1" t="str">
        <f t="shared" ca="1" si="9"/>
        <v>Please solve the LeetCode problem '2364. Count Number of Bad Pairs'.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75" spans="1:15" x14ac:dyDescent="0.25">
      <c r="A1075" s="1">
        <v>820</v>
      </c>
      <c r="B1075" s="2" t="str">
        <f>HYPERLINK("https://leetcode.com/problems/short-encoding-of-words/", "Short Encoding of Words")</f>
        <v>Short Encoding of Words</v>
      </c>
      <c r="C1075" s="1">
        <v>1780</v>
      </c>
      <c r="D1075" s="1">
        <v>670</v>
      </c>
      <c r="E1075" s="3">
        <f t="shared" si="8"/>
        <v>0.72653061224489801</v>
      </c>
      <c r="F1075" s="1" t="s">
        <v>279</v>
      </c>
      <c r="G1075" s="1" t="s">
        <v>24</v>
      </c>
      <c r="H1075" s="1">
        <v>104557</v>
      </c>
      <c r="I1075" s="1">
        <v>171998</v>
      </c>
      <c r="J1075" s="7">
        <v>0.60799999999999998</v>
      </c>
      <c r="K1075" s="1" t="s">
        <v>21</v>
      </c>
      <c r="L1075" s="1" t="s">
        <v>21</v>
      </c>
      <c r="M1075" s="1" t="s">
        <v>29</v>
      </c>
      <c r="N1075" s="1" t="s">
        <v>22</v>
      </c>
      <c r="O1075" s="1" t="str">
        <f t="shared" ca="1" si="9"/>
        <v>Please solve the LeetCode problem '820. Short Encoding of Words'.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76" spans="1:15" x14ac:dyDescent="0.25">
      <c r="A1076" s="1">
        <v>249</v>
      </c>
      <c r="B1076" s="2" t="str">
        <f>HYPERLINK("https://leetcode.com/problems/group-shifted-strings/", "Group Shifted Strings")</f>
        <v>Group Shifted Strings</v>
      </c>
      <c r="C1076" s="1">
        <v>1778</v>
      </c>
      <c r="D1076" s="1">
        <v>444</v>
      </c>
      <c r="E1076" s="3">
        <f t="shared" si="8"/>
        <v>0.80018001800180016</v>
      </c>
      <c r="F1076" s="1" t="s">
        <v>258</v>
      </c>
      <c r="G1076" s="1" t="s">
        <v>24</v>
      </c>
      <c r="H1076" s="1">
        <v>311776</v>
      </c>
      <c r="I1076" s="1">
        <v>460532</v>
      </c>
      <c r="J1076" s="7">
        <v>0.67700000000000005</v>
      </c>
      <c r="K1076" s="1" t="s">
        <v>29</v>
      </c>
      <c r="L1076" s="1" t="s">
        <v>21</v>
      </c>
      <c r="M1076" s="1" t="s">
        <v>21</v>
      </c>
      <c r="N1076" s="1" t="s">
        <v>22</v>
      </c>
      <c r="O1076" s="1" t="str">
        <f t="shared" ca="1" si="9"/>
        <v>Please solve the LeetCode problem '249. Group Shifted Strings'.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77" spans="1:15" x14ac:dyDescent="0.25">
      <c r="A1077" s="1">
        <v>1287</v>
      </c>
      <c r="B1077" s="2" t="str">
        <f>HYPERLINK("https://leetcode.com/problems/element-appearing-more-than-25-in-sorted-array/", "Element Appearing More Than 25% In Sorted Array")</f>
        <v>Element Appearing More Than 25% In Sorted Array</v>
      </c>
      <c r="C1077" s="1">
        <v>1768</v>
      </c>
      <c r="D1077" s="1">
        <v>83</v>
      </c>
      <c r="E1077" s="3">
        <f t="shared" si="8"/>
        <v>0.9551593733117234</v>
      </c>
      <c r="F1077" s="1" t="s">
        <v>113</v>
      </c>
      <c r="G1077" s="1" t="s">
        <v>20</v>
      </c>
      <c r="H1077" s="1">
        <v>252008</v>
      </c>
      <c r="I1077" s="1">
        <v>412207</v>
      </c>
      <c r="J1077" s="7">
        <v>0.61099999999999999</v>
      </c>
      <c r="K1077" s="1" t="s">
        <v>21</v>
      </c>
      <c r="L1077" s="1" t="s">
        <v>21</v>
      </c>
      <c r="M1077" s="1" t="s">
        <v>29</v>
      </c>
      <c r="N1077" s="1" t="s">
        <v>22</v>
      </c>
      <c r="O1077" s="1" t="str">
        <f t="shared" ca="1" si="9"/>
        <v>Please solve the LeetCode problem '1287. Element Appearing More Than 25% In Sorted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78" spans="1:15" x14ac:dyDescent="0.25">
      <c r="A1078" s="1">
        <v>1477</v>
      </c>
      <c r="B1078" s="2" t="str">
        <f>HYPERLINK("https://leetcode.com/problems/find-two-non-overlapping-sub-arrays-each-with-target-sum/", "Find Two Non-overlapping Sub-arrays Each With Target Sum")</f>
        <v>Find Two Non-overlapping Sub-arrays Each With Target Sum</v>
      </c>
      <c r="C1078" s="1">
        <v>1764</v>
      </c>
      <c r="D1078" s="1">
        <v>91</v>
      </c>
      <c r="E1078" s="3">
        <f t="shared" si="8"/>
        <v>0.95094339622641511</v>
      </c>
      <c r="F1078" s="1" t="s">
        <v>540</v>
      </c>
      <c r="G1078" s="1" t="s">
        <v>24</v>
      </c>
      <c r="H1078" s="1">
        <v>54355</v>
      </c>
      <c r="I1078" s="1">
        <v>148140</v>
      </c>
      <c r="J1078" s="7">
        <v>0.36699999999999999</v>
      </c>
      <c r="K1078" s="1" t="s">
        <v>21</v>
      </c>
      <c r="L1078" s="1" t="s">
        <v>29</v>
      </c>
      <c r="M1078" s="1" t="s">
        <v>29</v>
      </c>
      <c r="N1078" s="1" t="s">
        <v>22</v>
      </c>
      <c r="O1078" s="1" t="str">
        <f t="shared" ca="1" si="9"/>
        <v>Please solve the LeetCode problem '1477. Find Two Non-overlapping Sub-arrays Each With Target Sum'.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79" spans="1:15" x14ac:dyDescent="0.25">
      <c r="A1079" s="1">
        <v>915</v>
      </c>
      <c r="B1079" s="2" t="str">
        <f>HYPERLINK("https://leetcode.com/problems/partition-array-into-disjoint-intervals/", "Partition Array into Disjoint Intervals")</f>
        <v>Partition Array into Disjoint Intervals</v>
      </c>
      <c r="C1079" s="1">
        <v>1760</v>
      </c>
      <c r="D1079" s="1">
        <v>83</v>
      </c>
      <c r="E1079" s="3">
        <f t="shared" si="8"/>
        <v>0.95496473141616933</v>
      </c>
      <c r="F1079" s="1" t="s">
        <v>113</v>
      </c>
      <c r="G1079" s="1" t="s">
        <v>24</v>
      </c>
      <c r="H1079" s="1">
        <v>96021</v>
      </c>
      <c r="I1079" s="1">
        <v>194718</v>
      </c>
      <c r="J1079" s="7">
        <v>0.49299999999999999</v>
      </c>
      <c r="K1079" s="1" t="s">
        <v>21</v>
      </c>
      <c r="L1079" s="1" t="s">
        <v>21</v>
      </c>
      <c r="M1079" s="1" t="s">
        <v>29</v>
      </c>
      <c r="N1079" s="1" t="s">
        <v>22</v>
      </c>
      <c r="O1079" s="1" t="str">
        <f t="shared" ca="1" si="9"/>
        <v>Please solve the LeetCode problem '915. Partition Array into Disjoint Intervals'.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80" spans="1:15" x14ac:dyDescent="0.25">
      <c r="A1080" s="1">
        <v>2279</v>
      </c>
      <c r="B1080" s="2" t="str">
        <f>HYPERLINK("https://leetcode.com/problems/maximum-bags-with-full-capacity-of-rocks/", "Maximum Bags With Full Capacity of Rocks")</f>
        <v>Maximum Bags With Full Capacity of Rocks</v>
      </c>
      <c r="C1080" s="1">
        <v>1756</v>
      </c>
      <c r="D1080" s="1">
        <v>71</v>
      </c>
      <c r="E1080" s="3">
        <f t="shared" si="8"/>
        <v>0.96113847837985766</v>
      </c>
      <c r="F1080" s="1" t="s">
        <v>169</v>
      </c>
      <c r="G1080" s="1" t="s">
        <v>24</v>
      </c>
      <c r="H1080" s="1">
        <v>110439</v>
      </c>
      <c r="I1080" s="1">
        <v>162667</v>
      </c>
      <c r="J1080" s="7">
        <v>0.67900000000000005</v>
      </c>
      <c r="K1080" s="1" t="s">
        <v>21</v>
      </c>
      <c r="L1080" s="1" t="s">
        <v>21</v>
      </c>
      <c r="M1080" s="1" t="s">
        <v>29</v>
      </c>
      <c r="N1080" s="1" t="s">
        <v>22</v>
      </c>
      <c r="O1080" s="1" t="str">
        <f t="shared" ca="1" si="9"/>
        <v>Please solve the LeetCode problem '2279. Maximum Bags With Full Capacity of Rocks'.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81" spans="1:15" x14ac:dyDescent="0.25">
      <c r="A1081" s="1">
        <v>1051</v>
      </c>
      <c r="B1081" s="2" t="str">
        <f>HYPERLINK("https://leetcode.com/problems/height-checker/", "Height Checker")</f>
        <v>Height Checker</v>
      </c>
      <c r="C1081" s="1">
        <v>1754</v>
      </c>
      <c r="D1081" s="1">
        <v>122</v>
      </c>
      <c r="E1081" s="3">
        <f t="shared" si="8"/>
        <v>0.93496801705756927</v>
      </c>
      <c r="F1081" s="1" t="s">
        <v>523</v>
      </c>
      <c r="G1081" s="1" t="s">
        <v>20</v>
      </c>
      <c r="H1081" s="1">
        <v>616332</v>
      </c>
      <c r="I1081" s="1">
        <v>756694</v>
      </c>
      <c r="J1081" s="7">
        <v>0.81499999999999995</v>
      </c>
      <c r="K1081" s="1" t="s">
        <v>21</v>
      </c>
      <c r="L1081" s="1" t="s">
        <v>21</v>
      </c>
      <c r="M1081" s="1" t="s">
        <v>29</v>
      </c>
      <c r="N1081" s="1" t="s">
        <v>22</v>
      </c>
      <c r="O1081" s="1" t="str">
        <f t="shared" ca="1" si="9"/>
        <v>Please solve the LeetCode problem '1051. Height Checker'.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82" spans="1:15" x14ac:dyDescent="0.25">
      <c r="A1082" s="1">
        <v>346</v>
      </c>
      <c r="B1082" s="2" t="str">
        <f>HYPERLINK("https://leetcode.com/problems/moving-average-from-data-stream/", "Moving Average from Data Stream")</f>
        <v>Moving Average from Data Stream</v>
      </c>
      <c r="C1082" s="1">
        <v>1752</v>
      </c>
      <c r="D1082" s="1">
        <v>192</v>
      </c>
      <c r="E1082" s="3">
        <f t="shared" si="8"/>
        <v>0.90123456790123457</v>
      </c>
      <c r="F1082" s="1" t="s">
        <v>541</v>
      </c>
      <c r="G1082" s="1" t="s">
        <v>20</v>
      </c>
      <c r="H1082" s="1">
        <v>522389</v>
      </c>
      <c r="I1082" s="1">
        <v>651611</v>
      </c>
      <c r="J1082" s="7">
        <v>0.80200000000000005</v>
      </c>
      <c r="K1082" s="1" t="s">
        <v>29</v>
      </c>
      <c r="L1082" s="1" t="s">
        <v>21</v>
      </c>
      <c r="M1082" s="1" t="s">
        <v>21</v>
      </c>
      <c r="N1082" s="1" t="s">
        <v>22</v>
      </c>
      <c r="O1082" s="1" t="str">
        <f t="shared" ca="1" si="9"/>
        <v>Please solve the LeetCode problem '346. Moving Average from Data Stream'.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83" spans="1:15" x14ac:dyDescent="0.25">
      <c r="A1083" s="1">
        <v>2381</v>
      </c>
      <c r="B1083" s="2" t="str">
        <f>HYPERLINK("https://leetcode.com/problems/shifting-letters-ii/", "Shifting Letters II")</f>
        <v>Shifting Letters II</v>
      </c>
      <c r="C1083" s="1">
        <v>1751</v>
      </c>
      <c r="D1083" s="1">
        <v>71</v>
      </c>
      <c r="E1083" s="3">
        <f t="shared" si="8"/>
        <v>0.96103183315038421</v>
      </c>
      <c r="F1083" s="1" t="s">
        <v>372</v>
      </c>
      <c r="G1083" s="1" t="s">
        <v>24</v>
      </c>
      <c r="H1083" s="1">
        <v>158107</v>
      </c>
      <c r="I1083" s="1">
        <v>295657</v>
      </c>
      <c r="J1083" s="7">
        <v>0.53500000000000003</v>
      </c>
      <c r="K1083" s="1" t="s">
        <v>21</v>
      </c>
      <c r="L1083" s="1" t="s">
        <v>21</v>
      </c>
      <c r="M1083" s="1" t="s">
        <v>29</v>
      </c>
      <c r="N1083" s="1" t="s">
        <v>22</v>
      </c>
      <c r="O1083" s="1" t="str">
        <f t="shared" ca="1" si="9"/>
        <v>Please solve the LeetCode problem '2381. Shifting Letters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84" spans="1:15" x14ac:dyDescent="0.25">
      <c r="A1084" s="1">
        <v>2415</v>
      </c>
      <c r="B1084" s="2" t="str">
        <f>HYPERLINK("https://leetcode.com/problems/reverse-odd-levels-of-binary-tree/", "Reverse Odd Levels of Binary Tree")</f>
        <v>Reverse Odd Levels of Binary Tree</v>
      </c>
      <c r="C1084" s="1">
        <v>1746</v>
      </c>
      <c r="D1084" s="1">
        <v>74</v>
      </c>
      <c r="E1084" s="3">
        <f t="shared" si="8"/>
        <v>0.95934065934065937</v>
      </c>
      <c r="F1084" s="1" t="s">
        <v>80</v>
      </c>
      <c r="G1084" s="1" t="s">
        <v>24</v>
      </c>
      <c r="H1084" s="1">
        <v>182880</v>
      </c>
      <c r="I1084" s="1">
        <v>211013</v>
      </c>
      <c r="J1084" s="7">
        <v>0.86699999999999999</v>
      </c>
      <c r="K1084" s="1" t="s">
        <v>21</v>
      </c>
      <c r="L1084" s="1" t="s">
        <v>21</v>
      </c>
      <c r="M1084" s="1" t="s">
        <v>29</v>
      </c>
      <c r="N1084" s="1" t="s">
        <v>22</v>
      </c>
      <c r="O1084" s="1" t="str">
        <f t="shared" ca="1" si="9"/>
        <v>Please solve the LeetCode problem '2415. Reverse Odd Levels of Binary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85" spans="1:15" x14ac:dyDescent="0.25">
      <c r="A1085" s="1">
        <v>2099</v>
      </c>
      <c r="B1085" s="2" t="str">
        <f>HYPERLINK("https://leetcode.com/problems/find-subsequence-of-length-k-with-the-largest-sum/", "Find Subsequence of Length K With the Largest Sum")</f>
        <v>Find Subsequence of Length K With the Largest Sum</v>
      </c>
      <c r="C1085" s="1">
        <v>1745</v>
      </c>
      <c r="D1085" s="1">
        <v>184</v>
      </c>
      <c r="E1085" s="3">
        <f t="shared" si="8"/>
        <v>0.904613789528253</v>
      </c>
      <c r="F1085" s="1" t="s">
        <v>542</v>
      </c>
      <c r="G1085" s="1" t="s">
        <v>20</v>
      </c>
      <c r="H1085" s="1">
        <v>176888</v>
      </c>
      <c r="I1085" s="1">
        <v>308028</v>
      </c>
      <c r="J1085" s="7">
        <v>0.57399999999999995</v>
      </c>
      <c r="K1085" s="1" t="s">
        <v>21</v>
      </c>
      <c r="L1085" s="1" t="s">
        <v>21</v>
      </c>
      <c r="M1085" s="1" t="s">
        <v>29</v>
      </c>
      <c r="N1085" s="1" t="s">
        <v>22</v>
      </c>
      <c r="O1085" s="1" t="str">
        <f t="shared" ca="1" si="9"/>
        <v>Please solve the LeetCode problem '2099. Find Subsequence of Length K With the Largest Sum'.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86" spans="1:15" x14ac:dyDescent="0.25">
      <c r="A1086" s="1">
        <v>2161</v>
      </c>
      <c r="B1086" s="2" t="str">
        <f>HYPERLINK("https://leetcode.com/problems/partition-array-according-to-given-pivot/", "Partition Array According to Given Pivot")</f>
        <v>Partition Array According to Given Pivot</v>
      </c>
      <c r="C1086" s="1">
        <v>1745</v>
      </c>
      <c r="D1086" s="1">
        <v>122</v>
      </c>
      <c r="E1086" s="3">
        <f t="shared" si="8"/>
        <v>0.93465452597750398</v>
      </c>
      <c r="F1086" s="1" t="s">
        <v>303</v>
      </c>
      <c r="G1086" s="1" t="s">
        <v>24</v>
      </c>
      <c r="H1086" s="1">
        <v>299890</v>
      </c>
      <c r="I1086" s="1">
        <v>333919</v>
      </c>
      <c r="J1086" s="7">
        <v>0.89800000000000002</v>
      </c>
      <c r="K1086" s="1" t="s">
        <v>21</v>
      </c>
      <c r="L1086" s="1" t="s">
        <v>21</v>
      </c>
      <c r="M1086" s="1" t="s">
        <v>29</v>
      </c>
      <c r="N1086" s="1" t="s">
        <v>22</v>
      </c>
      <c r="O1086" s="1" t="str">
        <f t="shared" ca="1" si="9"/>
        <v>Please solve the LeetCode problem '2161. Partition Array According to Given Pivot'.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87" spans="1:15" x14ac:dyDescent="0.25">
      <c r="A1087" s="1">
        <v>2192</v>
      </c>
      <c r="B1087" s="2" t="str">
        <f>HYPERLINK("https://leetcode.com/problems/all-ancestors-of-a-node-in-a-directed-acyclic-graph/", "All Ancestors of a Node in a Directed Acyclic Graph")</f>
        <v>All Ancestors of a Node in a Directed Acyclic Graph</v>
      </c>
      <c r="C1087" s="1">
        <v>1741</v>
      </c>
      <c r="D1087" s="1">
        <v>44</v>
      </c>
      <c r="E1087" s="3">
        <f t="shared" si="8"/>
        <v>0.97535014005602239</v>
      </c>
      <c r="F1087" s="1" t="s">
        <v>72</v>
      </c>
      <c r="G1087" s="1" t="s">
        <v>24</v>
      </c>
      <c r="H1087" s="1">
        <v>157584</v>
      </c>
      <c r="I1087" s="1">
        <v>253832</v>
      </c>
      <c r="J1087" s="7">
        <v>0.621</v>
      </c>
      <c r="K1087" s="1" t="s">
        <v>21</v>
      </c>
      <c r="L1087" s="1" t="s">
        <v>21</v>
      </c>
      <c r="M1087" s="1" t="s">
        <v>29</v>
      </c>
      <c r="N1087" s="1" t="s">
        <v>22</v>
      </c>
      <c r="O1087" s="1" t="str">
        <f t="shared" ca="1" si="9"/>
        <v>Please solve the LeetCode problem '2192. All Ancestors of a Node in a Directed Acyclic Graph'.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88" spans="1:15" x14ac:dyDescent="0.25">
      <c r="A1088" s="1">
        <v>1332</v>
      </c>
      <c r="B1088" s="2" t="str">
        <f>HYPERLINK("https://leetcode.com/problems/remove-palindromic-subsequences/", "Remove Palindromic Subsequences")</f>
        <v>Remove Palindromic Subsequences</v>
      </c>
      <c r="C1088" s="1">
        <v>1739</v>
      </c>
      <c r="D1088" s="1">
        <v>1794</v>
      </c>
      <c r="E1088" s="3">
        <f t="shared" si="8"/>
        <v>0.49221624681573733</v>
      </c>
      <c r="F1088" s="1" t="s">
        <v>117</v>
      </c>
      <c r="G1088" s="1" t="s">
        <v>20</v>
      </c>
      <c r="H1088" s="1">
        <v>150454</v>
      </c>
      <c r="I1088" s="1">
        <v>195645</v>
      </c>
      <c r="J1088" s="7">
        <v>0.76900000000000002</v>
      </c>
      <c r="K1088" s="1" t="s">
        <v>21</v>
      </c>
      <c r="L1088" s="1" t="s">
        <v>21</v>
      </c>
      <c r="M1088" s="1" t="s">
        <v>29</v>
      </c>
      <c r="N1088" s="1" t="s">
        <v>22</v>
      </c>
      <c r="O1088" s="1" t="str">
        <f t="shared" ca="1" si="9"/>
        <v>Please solve the LeetCode problem '1332. Remove Palindromic Subsequences'.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89" spans="1:15" x14ac:dyDescent="0.25">
      <c r="A1089" s="1">
        <v>1060</v>
      </c>
      <c r="B1089" s="2" t="str">
        <f>HYPERLINK("https://leetcode.com/problems/missing-element-in-sorted-array/", "Missing Element in Sorted Array")</f>
        <v>Missing Element in Sorted Array</v>
      </c>
      <c r="C1089" s="1">
        <v>1737</v>
      </c>
      <c r="D1089" s="1">
        <v>68</v>
      </c>
      <c r="E1089" s="3">
        <f t="shared" si="8"/>
        <v>0.96232686980609417</v>
      </c>
      <c r="F1089" s="1" t="s">
        <v>35</v>
      </c>
      <c r="G1089" s="1" t="s">
        <v>24</v>
      </c>
      <c r="H1089" s="1">
        <v>169391</v>
      </c>
      <c r="I1089" s="1">
        <v>284068</v>
      </c>
      <c r="J1089" s="7">
        <v>0.59599999999999997</v>
      </c>
      <c r="K1089" s="1" t="s">
        <v>29</v>
      </c>
      <c r="L1089" s="1" t="s">
        <v>21</v>
      </c>
      <c r="M1089" s="1" t="s">
        <v>29</v>
      </c>
      <c r="N1089" s="1" t="s">
        <v>22</v>
      </c>
      <c r="O1089" s="1" t="str">
        <f t="shared" ca="1" si="9"/>
        <v>Please solve the LeetCode problem '1060. Missing Element in Sorted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90" spans="1:15" x14ac:dyDescent="0.25">
      <c r="A1090" s="1">
        <v>677</v>
      </c>
      <c r="B1090" s="2" t="str">
        <f>HYPERLINK("https://leetcode.com/problems/map-sum-pairs/", "Map Sum Pairs")</f>
        <v>Map Sum Pairs</v>
      </c>
      <c r="C1090" s="1">
        <v>1729</v>
      </c>
      <c r="D1090" s="1">
        <v>165</v>
      </c>
      <c r="E1090" s="3">
        <f t="shared" si="8"/>
        <v>0.91288278775079201</v>
      </c>
      <c r="F1090" s="1" t="s">
        <v>105</v>
      </c>
      <c r="G1090" s="1" t="s">
        <v>24</v>
      </c>
      <c r="H1090" s="1">
        <v>138184</v>
      </c>
      <c r="I1090" s="1">
        <v>242344</v>
      </c>
      <c r="J1090" s="7">
        <v>0.56999999999999995</v>
      </c>
      <c r="K1090" s="1" t="s">
        <v>21</v>
      </c>
      <c r="L1090" s="1" t="s">
        <v>21</v>
      </c>
      <c r="M1090" s="1" t="s">
        <v>29</v>
      </c>
      <c r="N1090" s="1" t="s">
        <v>22</v>
      </c>
      <c r="O1090" s="1" t="str">
        <f t="shared" ca="1" si="9"/>
        <v>Please solve the LeetCode problem '677. Map Sum Pairs'.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91" spans="1:15" x14ac:dyDescent="0.25">
      <c r="A1091" s="1">
        <v>427</v>
      </c>
      <c r="B1091" s="2" t="str">
        <f>HYPERLINK("https://leetcode.com/problems/construct-quad-tree/", "Construct Quad Tree")</f>
        <v>Construct Quad Tree</v>
      </c>
      <c r="C1091" s="1">
        <v>1728</v>
      </c>
      <c r="D1091" s="1">
        <v>1953</v>
      </c>
      <c r="E1091" s="3">
        <f t="shared" si="8"/>
        <v>0.46943765281173594</v>
      </c>
      <c r="F1091" s="1" t="s">
        <v>543</v>
      </c>
      <c r="G1091" s="1" t="s">
        <v>24</v>
      </c>
      <c r="H1091" s="1">
        <v>191910</v>
      </c>
      <c r="I1091" s="1">
        <v>246126</v>
      </c>
      <c r="J1091" s="7">
        <v>0.78</v>
      </c>
      <c r="K1091" s="1" t="s">
        <v>21</v>
      </c>
      <c r="L1091" s="1" t="s">
        <v>21</v>
      </c>
      <c r="M1091" s="1" t="s">
        <v>29</v>
      </c>
      <c r="N1091" s="1" t="s">
        <v>22</v>
      </c>
      <c r="O1091" s="1" t="str">
        <f t="shared" ca="1" si="9"/>
        <v>Please solve the LeetCode problem '427. Construct Quad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92" spans="1:15" x14ac:dyDescent="0.25">
      <c r="A1092" s="1">
        <v>390</v>
      </c>
      <c r="B1092" s="2" t="str">
        <f>HYPERLINK("https://leetcode.com/problems/elimination-game/", "Elimination Game")</f>
        <v>Elimination Game</v>
      </c>
      <c r="C1092" s="1">
        <v>1718</v>
      </c>
      <c r="D1092" s="1">
        <v>756</v>
      </c>
      <c r="E1092" s="3">
        <f t="shared" si="8"/>
        <v>0.69442198868229588</v>
      </c>
      <c r="F1092" s="1" t="s">
        <v>116</v>
      </c>
      <c r="G1092" s="1" t="s">
        <v>24</v>
      </c>
      <c r="H1092" s="1">
        <v>102020</v>
      </c>
      <c r="I1092" s="1">
        <v>222872</v>
      </c>
      <c r="J1092" s="7">
        <v>0.45800000000000002</v>
      </c>
      <c r="K1092" s="1" t="s">
        <v>21</v>
      </c>
      <c r="L1092" s="1" t="s">
        <v>29</v>
      </c>
      <c r="M1092" s="1" t="s">
        <v>29</v>
      </c>
      <c r="N1092" s="1" t="s">
        <v>22</v>
      </c>
      <c r="O1092" s="1" t="str">
        <f t="shared" ca="1" si="9"/>
        <v>Please solve the LeetCode problem '390. Elimination Game'.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93" spans="1:15" x14ac:dyDescent="0.25">
      <c r="A1093" s="1">
        <v>575</v>
      </c>
      <c r="B1093" s="2" t="str">
        <f>HYPERLINK("https://leetcode.com/problems/distribute-candies/", "Distribute Candies")</f>
        <v>Distribute Candies</v>
      </c>
      <c r="C1093" s="1">
        <v>1714</v>
      </c>
      <c r="D1093" s="1">
        <v>1464</v>
      </c>
      <c r="E1093" s="3">
        <f t="shared" si="8"/>
        <v>0.53933291378225301</v>
      </c>
      <c r="F1093" s="1" t="s">
        <v>19</v>
      </c>
      <c r="G1093" s="1" t="s">
        <v>20</v>
      </c>
      <c r="H1093" s="1">
        <v>384036</v>
      </c>
      <c r="I1093" s="1">
        <v>544130</v>
      </c>
      <c r="J1093" s="7">
        <v>0.70599999999999996</v>
      </c>
      <c r="K1093" s="1" t="s">
        <v>21</v>
      </c>
      <c r="L1093" s="1" t="s">
        <v>21</v>
      </c>
      <c r="M1093" s="1" t="s">
        <v>29</v>
      </c>
      <c r="N1093" s="1" t="s">
        <v>22</v>
      </c>
      <c r="O1093" s="1" t="str">
        <f t="shared" ca="1" si="9"/>
        <v>Please solve the LeetCode problem '575. Distribute Candies'.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94" spans="1:15" x14ac:dyDescent="0.25">
      <c r="A1094" s="1">
        <v>952</v>
      </c>
      <c r="B1094" s="2" t="str">
        <f>HYPERLINK("https://leetcode.com/problems/largest-component-size-by-common-factor/", "Largest Component Size by Common Factor")</f>
        <v>Largest Component Size by Common Factor</v>
      </c>
      <c r="C1094" s="1">
        <v>1713</v>
      </c>
      <c r="D1094" s="1">
        <v>95</v>
      </c>
      <c r="E1094" s="3">
        <f t="shared" si="8"/>
        <v>0.94745575221238942</v>
      </c>
      <c r="F1094" s="1" t="s">
        <v>545</v>
      </c>
      <c r="G1094" s="1" t="s">
        <v>28</v>
      </c>
      <c r="H1094" s="1">
        <v>63949</v>
      </c>
      <c r="I1094" s="1">
        <v>151902</v>
      </c>
      <c r="J1094" s="7">
        <v>0.42099999999999999</v>
      </c>
      <c r="K1094" s="1" t="s">
        <v>21</v>
      </c>
      <c r="L1094" s="1" t="s">
        <v>21</v>
      </c>
      <c r="M1094" s="1" t="s">
        <v>29</v>
      </c>
      <c r="N1094" s="1" t="s">
        <v>22</v>
      </c>
      <c r="O1094" s="1" t="str">
        <f t="shared" ca="1" si="9"/>
        <v>Please solve the LeetCode problem '952. Largest Component Size by Common Factor'.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95" spans="1:15" x14ac:dyDescent="0.25">
      <c r="A1095" s="1">
        <v>2050</v>
      </c>
      <c r="B1095" s="2" t="str">
        <f>HYPERLINK("https://leetcode.com/problems/parallel-courses-iii/", "Parallel Courses III")</f>
        <v>Parallel Courses III</v>
      </c>
      <c r="C1095" s="1">
        <v>1712</v>
      </c>
      <c r="D1095" s="1">
        <v>47</v>
      </c>
      <c r="E1095" s="3">
        <f t="shared" si="8"/>
        <v>0.97328027288231955</v>
      </c>
      <c r="F1095" s="1" t="s">
        <v>544</v>
      </c>
      <c r="G1095" s="1" t="s">
        <v>28</v>
      </c>
      <c r="H1095" s="1">
        <v>108507</v>
      </c>
      <c r="I1095" s="1">
        <v>162451</v>
      </c>
      <c r="J1095" s="7">
        <v>0.66800000000000004</v>
      </c>
      <c r="K1095" s="1" t="s">
        <v>21</v>
      </c>
      <c r="L1095" s="1" t="s">
        <v>21</v>
      </c>
      <c r="M1095" s="1" t="s">
        <v>29</v>
      </c>
      <c r="N1095" s="1" t="s">
        <v>22</v>
      </c>
      <c r="O1095" s="1" t="str">
        <f t="shared" ca="1" si="9"/>
        <v>Please solve the LeetCode problem '2050. Parallel Courses III'.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96" spans="1:15" x14ac:dyDescent="0.25">
      <c r="A1096" s="1">
        <v>910</v>
      </c>
      <c r="B1096" s="2" t="str">
        <f>HYPERLINK("https://leetcode.com/problems/smallest-range-ii/", "Smallest Range II")</f>
        <v>Smallest Range II</v>
      </c>
      <c r="C1096" s="1">
        <v>1709</v>
      </c>
      <c r="D1096" s="1">
        <v>467</v>
      </c>
      <c r="E1096" s="3">
        <f t="shared" si="8"/>
        <v>0.78538602941176472</v>
      </c>
      <c r="F1096" s="1" t="s">
        <v>354</v>
      </c>
      <c r="G1096" s="1" t="s">
        <v>24</v>
      </c>
      <c r="H1096" s="1">
        <v>64671</v>
      </c>
      <c r="I1096" s="1">
        <v>171654</v>
      </c>
      <c r="J1096" s="7">
        <v>0.377</v>
      </c>
      <c r="K1096" s="1" t="s">
        <v>21</v>
      </c>
      <c r="L1096" s="1" t="s">
        <v>21</v>
      </c>
      <c r="M1096" s="1" t="s">
        <v>29</v>
      </c>
      <c r="N1096" s="1" t="s">
        <v>22</v>
      </c>
      <c r="O1096" s="1" t="str">
        <f t="shared" ca="1" si="9"/>
        <v>Please solve the LeetCode problem '910. Smallest Range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97" spans="1:15" x14ac:dyDescent="0.25">
      <c r="A1097" s="1">
        <v>1799</v>
      </c>
      <c r="B1097" s="2" t="str">
        <f>HYPERLINK("https://leetcode.com/problems/maximize-score-after-n-operations/", "Maximize Score After N Operations")</f>
        <v>Maximize Score After N Operations</v>
      </c>
      <c r="C1097" s="1">
        <v>1705</v>
      </c>
      <c r="D1097" s="1">
        <v>114</v>
      </c>
      <c r="E1097" s="3">
        <f t="shared" si="8"/>
        <v>0.93732820230896097</v>
      </c>
      <c r="F1097" s="1" t="s">
        <v>1361</v>
      </c>
      <c r="G1097" s="1" t="s">
        <v>28</v>
      </c>
      <c r="H1097" s="1">
        <v>68894</v>
      </c>
      <c r="I1097" s="1">
        <v>118900</v>
      </c>
      <c r="J1097" s="7">
        <v>0.57899999999999996</v>
      </c>
      <c r="K1097" s="1" t="s">
        <v>21</v>
      </c>
      <c r="L1097" s="1" t="s">
        <v>21</v>
      </c>
      <c r="M1097" s="1" t="s">
        <v>29</v>
      </c>
      <c r="N1097" s="1" t="s">
        <v>22</v>
      </c>
      <c r="O1097" s="1" t="str">
        <f t="shared" ca="1" si="9"/>
        <v>Please solve the LeetCode problem '1799. Maximize Score After N Operations'.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98" spans="1:15" x14ac:dyDescent="0.25">
      <c r="A1098" s="1">
        <v>1790</v>
      </c>
      <c r="B1098" s="2" t="str">
        <f>HYPERLINK("https://leetcode.com/problems/check-if-one-string-swap-can-make-strings-equal/", "Check if One String Swap Can Make Strings Equal")</f>
        <v>Check if One String Swap Can Make Strings Equal</v>
      </c>
      <c r="C1098" s="1">
        <v>1701</v>
      </c>
      <c r="D1098" s="1">
        <v>86</v>
      </c>
      <c r="E1098" s="3">
        <f t="shared" si="8"/>
        <v>0.95187465025181872</v>
      </c>
      <c r="F1098" s="1" t="s">
        <v>237</v>
      </c>
      <c r="G1098" s="1" t="s">
        <v>20</v>
      </c>
      <c r="H1098" s="1">
        <v>306697</v>
      </c>
      <c r="I1098" s="1">
        <v>619821</v>
      </c>
      <c r="J1098" s="7">
        <v>0.495</v>
      </c>
      <c r="K1098" s="1" t="s">
        <v>21</v>
      </c>
      <c r="L1098" s="1" t="s">
        <v>21</v>
      </c>
      <c r="M1098" s="1" t="s">
        <v>29</v>
      </c>
      <c r="N1098" s="1" t="s">
        <v>22</v>
      </c>
      <c r="O1098" s="1" t="str">
        <f t="shared" ca="1" si="9"/>
        <v>Please solve the LeetCode problem '1790. Check if One String Swap Can Make Strings Equal'.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099" spans="1:15" x14ac:dyDescent="0.25">
      <c r="A1099" s="1">
        <v>570</v>
      </c>
      <c r="B1099" s="2" t="str">
        <f>HYPERLINK("https://leetcode.com/problems/managers-with-at-least-5-direct-reports/", "Managers with at Least 5 Direct Reports")</f>
        <v>Managers with at Least 5 Direct Reports</v>
      </c>
      <c r="C1099" s="1">
        <v>1699</v>
      </c>
      <c r="D1099" s="1">
        <v>183</v>
      </c>
      <c r="E1099" s="3">
        <f t="shared" si="8"/>
        <v>0.90276301806588732</v>
      </c>
      <c r="F1099" s="1" t="s">
        <v>297</v>
      </c>
      <c r="G1099" s="1" t="s">
        <v>24</v>
      </c>
      <c r="H1099" s="1">
        <v>887494</v>
      </c>
      <c r="I1099" s="1">
        <v>1814365</v>
      </c>
      <c r="J1099" s="7">
        <v>0.48899999999999999</v>
      </c>
      <c r="K1099" s="1" t="s">
        <v>21</v>
      </c>
      <c r="L1099" s="1" t="s">
        <v>21</v>
      </c>
      <c r="M1099" s="1" t="s">
        <v>29</v>
      </c>
      <c r="N1099" s="1" t="s">
        <v>297</v>
      </c>
      <c r="O1099" s="1" t="str">
        <f t="shared" ca="1" si="9"/>
        <v>Please solve the LeetCode problem '570. Managers with at Least 5 Direct Reports'.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00" spans="1:15" x14ac:dyDescent="0.25">
      <c r="A1100" s="1">
        <v>2962</v>
      </c>
      <c r="B1100" s="2" t="str">
        <f>HYPERLINK("https://leetcode.com/problems/count-subarrays-where-max-element-appears-at-least-k-times/", "Count Subarrays Where Max Element Appears at Least K Times")</f>
        <v>Count Subarrays Where Max Element Appears at Least K Times</v>
      </c>
      <c r="C1100" s="1">
        <v>1699</v>
      </c>
      <c r="D1100" s="1">
        <v>81</v>
      </c>
      <c r="E1100" s="3">
        <f t="shared" si="8"/>
        <v>0.95449438202247194</v>
      </c>
      <c r="F1100" s="1" t="s">
        <v>295</v>
      </c>
      <c r="G1100" s="1" t="s">
        <v>24</v>
      </c>
      <c r="H1100" s="1">
        <v>255435</v>
      </c>
      <c r="I1100" s="1">
        <v>409408</v>
      </c>
      <c r="J1100" s="7">
        <v>0.624</v>
      </c>
      <c r="K1100" s="1" t="s">
        <v>21</v>
      </c>
      <c r="L1100" s="1" t="s">
        <v>21</v>
      </c>
      <c r="M1100" s="1" t="s">
        <v>29</v>
      </c>
      <c r="N1100" s="1" t="s">
        <v>22</v>
      </c>
      <c r="O1100" s="1" t="str">
        <f t="shared" ca="1" si="9"/>
        <v>Please solve the LeetCode problem '2962. Count Subarrays Where Max Element Appears at Least K Times'.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01" spans="1:15" x14ac:dyDescent="0.25">
      <c r="A1101" s="1">
        <v>2560</v>
      </c>
      <c r="B1101" s="2" t="str">
        <f>HYPERLINK("https://leetcode.com/problems/house-robber-iv/", "House Robber IV")</f>
        <v>House Robber IV</v>
      </c>
      <c r="C1101" s="1">
        <v>1692</v>
      </c>
      <c r="D1101" s="1">
        <v>101</v>
      </c>
      <c r="E1101" s="3">
        <f t="shared" si="8"/>
        <v>0.94366982710540992</v>
      </c>
      <c r="F1101" s="1" t="s">
        <v>458</v>
      </c>
      <c r="G1101" s="1" t="s">
        <v>24</v>
      </c>
      <c r="H1101" s="1">
        <v>137187</v>
      </c>
      <c r="I1101" s="1">
        <v>211613</v>
      </c>
      <c r="J1101" s="7">
        <v>0.64800000000000002</v>
      </c>
      <c r="K1101" s="1" t="s">
        <v>21</v>
      </c>
      <c r="L1101" s="1" t="s">
        <v>21</v>
      </c>
      <c r="M1101" s="1" t="s">
        <v>29</v>
      </c>
      <c r="N1101" s="1" t="s">
        <v>22</v>
      </c>
      <c r="O1101" s="1" t="str">
        <f t="shared" ca="1" si="9"/>
        <v>Please solve the LeetCode problem '2560. House Robber IV'.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02" spans="1:15" x14ac:dyDescent="0.25">
      <c r="A1102" s="1">
        <v>357</v>
      </c>
      <c r="B1102" s="2" t="str">
        <f>HYPERLINK("https://leetcode.com/problems/count-numbers-with-unique-digits/", "Count Numbers with Unique Digits")</f>
        <v>Count Numbers with Unique Digits</v>
      </c>
      <c r="C1102" s="1">
        <v>1688</v>
      </c>
      <c r="D1102" s="1">
        <v>1522</v>
      </c>
      <c r="E1102" s="3">
        <f t="shared" si="8"/>
        <v>0.52585669781931466</v>
      </c>
      <c r="F1102" s="1" t="s">
        <v>547</v>
      </c>
      <c r="G1102" s="1" t="s">
        <v>24</v>
      </c>
      <c r="H1102" s="1">
        <v>180179</v>
      </c>
      <c r="I1102" s="1">
        <v>326398</v>
      </c>
      <c r="J1102" s="7">
        <v>0.55200000000000005</v>
      </c>
      <c r="K1102" s="1" t="s">
        <v>21</v>
      </c>
      <c r="L1102" s="1" t="s">
        <v>29</v>
      </c>
      <c r="M1102" s="1" t="s">
        <v>29</v>
      </c>
      <c r="N1102" s="1" t="s">
        <v>22</v>
      </c>
      <c r="O1102" s="1" t="str">
        <f t="shared" ca="1" si="9"/>
        <v>Please solve the LeetCode problem '357. Count Numbers with Unique Digits'.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03" spans="1:15" x14ac:dyDescent="0.25">
      <c r="A1103" s="1">
        <v>1005</v>
      </c>
      <c r="B1103" s="2" t="str">
        <f>HYPERLINK("https://leetcode.com/problems/maximize-sum-of-array-after-k-negations/", "Maximize Sum Of Array After K Negations")</f>
        <v>Maximize Sum Of Array After K Negations</v>
      </c>
      <c r="C1103" s="1">
        <v>1687</v>
      </c>
      <c r="D1103" s="1">
        <v>124</v>
      </c>
      <c r="E1103" s="3">
        <f t="shared" si="8"/>
        <v>0.93152954168967417</v>
      </c>
      <c r="F1103" s="1" t="s">
        <v>169</v>
      </c>
      <c r="G1103" s="1" t="s">
        <v>20</v>
      </c>
      <c r="H1103" s="1">
        <v>132162</v>
      </c>
      <c r="I1103" s="1">
        <v>247835</v>
      </c>
      <c r="J1103" s="7">
        <v>0.53300000000000003</v>
      </c>
      <c r="K1103" s="1" t="s">
        <v>21</v>
      </c>
      <c r="L1103" s="1" t="s">
        <v>29</v>
      </c>
      <c r="M1103" s="1" t="s">
        <v>29</v>
      </c>
      <c r="N1103" s="1" t="s">
        <v>22</v>
      </c>
      <c r="O1103" s="1" t="str">
        <f t="shared" ca="1" si="9"/>
        <v>Please solve the LeetCode problem '1005. Maximize Sum Of Array After K Negations'.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04" spans="1:15" x14ac:dyDescent="0.25">
      <c r="A1104" s="1">
        <v>2610</v>
      </c>
      <c r="B1104" s="2" t="str">
        <f>HYPERLINK("https://leetcode.com/problems/convert-an-array-into-a-2d-array-with-conditions/", "Convert an Array Into a 2D Array With Conditions")</f>
        <v>Convert an Array Into a 2D Array With Conditions</v>
      </c>
      <c r="C1104" s="1">
        <v>1685</v>
      </c>
      <c r="D1104" s="1">
        <v>81</v>
      </c>
      <c r="E1104" s="3">
        <f t="shared" si="8"/>
        <v>0.95413363533408835</v>
      </c>
      <c r="F1104" s="1" t="s">
        <v>19</v>
      </c>
      <c r="G1104" s="1" t="s">
        <v>24</v>
      </c>
      <c r="H1104" s="1">
        <v>222538</v>
      </c>
      <c r="I1104" s="1">
        <v>257626</v>
      </c>
      <c r="J1104" s="7">
        <v>0.86399999999999999</v>
      </c>
      <c r="K1104" s="1" t="s">
        <v>21</v>
      </c>
      <c r="L1104" s="1" t="s">
        <v>21</v>
      </c>
      <c r="M1104" s="1" t="s">
        <v>29</v>
      </c>
      <c r="N1104" s="1" t="s">
        <v>22</v>
      </c>
      <c r="O1104" s="1" t="str">
        <f t="shared" ca="1" si="9"/>
        <v>Please solve the LeetCode problem '2610. Convert an Array Into a 2D Array With Conditions'.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05" spans="1:15" x14ac:dyDescent="0.25">
      <c r="A1105" s="1">
        <v>870</v>
      </c>
      <c r="B1105" s="2" t="str">
        <f>HYPERLINK("https://leetcode.com/problems/advantage-shuffle/", "Advantage Shuffle")</f>
        <v>Advantage Shuffle</v>
      </c>
      <c r="C1105" s="1">
        <v>1682</v>
      </c>
      <c r="D1105" s="1">
        <v>100</v>
      </c>
      <c r="E1105" s="3">
        <f t="shared" si="8"/>
        <v>0.94388327721661058</v>
      </c>
      <c r="F1105" s="1" t="s">
        <v>203</v>
      </c>
      <c r="G1105" s="1" t="s">
        <v>24</v>
      </c>
      <c r="H1105" s="1">
        <v>79700</v>
      </c>
      <c r="I1105" s="1">
        <v>147242</v>
      </c>
      <c r="J1105" s="7">
        <v>0.54100000000000004</v>
      </c>
      <c r="K1105" s="1" t="s">
        <v>21</v>
      </c>
      <c r="L1105" s="1" t="s">
        <v>21</v>
      </c>
      <c r="M1105" s="1" t="s">
        <v>29</v>
      </c>
      <c r="N1105" s="1" t="s">
        <v>22</v>
      </c>
      <c r="O1105" s="1" t="str">
        <f t="shared" ca="1" si="9"/>
        <v>Please solve the LeetCode problem '870. Advantage Shuffle'.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06" spans="1:15" x14ac:dyDescent="0.25">
      <c r="A1106" s="1">
        <v>1748</v>
      </c>
      <c r="B1106" s="2" t="str">
        <f>HYPERLINK("https://leetcode.com/problems/sum-of-unique-elements/", "Sum of Unique Elements")</f>
        <v>Sum of Unique Elements</v>
      </c>
      <c r="C1106" s="1">
        <v>1682</v>
      </c>
      <c r="D1106" s="1">
        <v>34</v>
      </c>
      <c r="E1106" s="3">
        <f t="shared" si="8"/>
        <v>0.98018648018648014</v>
      </c>
      <c r="F1106" s="1" t="s">
        <v>294</v>
      </c>
      <c r="G1106" s="1" t="s">
        <v>20</v>
      </c>
      <c r="H1106" s="1">
        <v>248009</v>
      </c>
      <c r="I1106" s="1">
        <v>311331</v>
      </c>
      <c r="J1106" s="7">
        <v>0.79700000000000004</v>
      </c>
      <c r="K1106" s="1" t="s">
        <v>21</v>
      </c>
      <c r="L1106" s="1" t="s">
        <v>29</v>
      </c>
      <c r="M1106" s="1" t="s">
        <v>29</v>
      </c>
      <c r="N1106" s="1" t="s">
        <v>22</v>
      </c>
      <c r="O1106" s="1" t="str">
        <f t="shared" ca="1" si="9"/>
        <v>Please solve the LeetCode problem '1748. Sum of Unique Elements'.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07" spans="1:15" x14ac:dyDescent="0.25">
      <c r="A1107" s="1">
        <v>370</v>
      </c>
      <c r="B1107" s="2" t="str">
        <f>HYPERLINK("https://leetcode.com/problems/range-addition/", "Range Addition")</f>
        <v>Range Addition</v>
      </c>
      <c r="C1107" s="1">
        <v>1680</v>
      </c>
      <c r="D1107" s="1">
        <v>86</v>
      </c>
      <c r="E1107" s="3">
        <f t="shared" si="8"/>
        <v>0.95130237825594566</v>
      </c>
      <c r="F1107" s="1" t="s">
        <v>37</v>
      </c>
      <c r="G1107" s="1" t="s">
        <v>24</v>
      </c>
      <c r="H1107" s="1">
        <v>105112</v>
      </c>
      <c r="I1107" s="1">
        <v>144219</v>
      </c>
      <c r="J1107" s="7">
        <v>0.72899999999999998</v>
      </c>
      <c r="K1107" s="1" t="s">
        <v>29</v>
      </c>
      <c r="L1107" s="1" t="s">
        <v>21</v>
      </c>
      <c r="M1107" s="1" t="s">
        <v>29</v>
      </c>
      <c r="N1107" s="1" t="s">
        <v>22</v>
      </c>
      <c r="O1107" s="1" t="str">
        <f t="shared" ca="1" si="9"/>
        <v>Please solve the LeetCode problem '370. Range Addition'.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08" spans="1:15" x14ac:dyDescent="0.25">
      <c r="A1108" s="1">
        <v>1484</v>
      </c>
      <c r="B1108" s="2" t="str">
        <f>HYPERLINK("https://leetcode.com/problems/group-sold-products-by-the-date/", "Group Sold Products By The Date")</f>
        <v>Group Sold Products By The Date</v>
      </c>
      <c r="C1108" s="1">
        <v>1674</v>
      </c>
      <c r="D1108" s="1">
        <v>123</v>
      </c>
      <c r="E1108" s="3">
        <f t="shared" si="8"/>
        <v>0.93155258764607685</v>
      </c>
      <c r="F1108" s="1" t="s">
        <v>297</v>
      </c>
      <c r="G1108" s="1" t="s">
        <v>20</v>
      </c>
      <c r="H1108" s="1">
        <v>384336</v>
      </c>
      <c r="I1108" s="1">
        <v>493611</v>
      </c>
      <c r="J1108" s="7">
        <v>0.77900000000000003</v>
      </c>
      <c r="K1108" s="1" t="s">
        <v>21</v>
      </c>
      <c r="L1108" s="1" t="s">
        <v>21</v>
      </c>
      <c r="M1108" s="1" t="s">
        <v>29</v>
      </c>
      <c r="N1108" s="1" t="s">
        <v>297</v>
      </c>
      <c r="O1108" s="1" t="str">
        <f t="shared" ca="1" si="9"/>
        <v>Please solve the LeetCode problem '1484. Group Sold Products By The Date'.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09" spans="1:15" x14ac:dyDescent="0.25">
      <c r="A1109" s="1">
        <v>641</v>
      </c>
      <c r="B1109" s="2" t="str">
        <f>HYPERLINK("https://leetcode.com/problems/design-circular-deque/", "Design Circular Deque")</f>
        <v>Design Circular Deque</v>
      </c>
      <c r="C1109" s="1">
        <v>1671</v>
      </c>
      <c r="D1109" s="1">
        <v>108</v>
      </c>
      <c r="E1109" s="3">
        <f t="shared" si="8"/>
        <v>0.93929173693085999</v>
      </c>
      <c r="F1109" s="1" t="s">
        <v>323</v>
      </c>
      <c r="G1109" s="1" t="s">
        <v>24</v>
      </c>
      <c r="H1109" s="1">
        <v>193465</v>
      </c>
      <c r="I1109" s="1">
        <v>300399</v>
      </c>
      <c r="J1109" s="7">
        <v>0.64400000000000002</v>
      </c>
      <c r="K1109" s="1" t="s">
        <v>21</v>
      </c>
      <c r="L1109" s="1" t="s">
        <v>21</v>
      </c>
      <c r="M1109" s="1" t="s">
        <v>29</v>
      </c>
      <c r="N1109" s="1" t="s">
        <v>22</v>
      </c>
      <c r="O1109" s="1" t="str">
        <f t="shared" ca="1" si="9"/>
        <v>Please solve the LeetCode problem '641. Design Circular Deque'.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10" spans="1:15" x14ac:dyDescent="0.25">
      <c r="A1110" s="1">
        <v>396</v>
      </c>
      <c r="B1110" s="2" t="str">
        <f>HYPERLINK("https://leetcode.com/problems/rotate-function/", "Rotate Function")</f>
        <v>Rotate Function</v>
      </c>
      <c r="C1110" s="1">
        <v>1669</v>
      </c>
      <c r="D1110" s="1">
        <v>280</v>
      </c>
      <c r="E1110" s="3">
        <f t="shared" si="8"/>
        <v>0.85633658286300662</v>
      </c>
      <c r="F1110" s="1" t="s">
        <v>457</v>
      </c>
      <c r="G1110" s="1" t="s">
        <v>24</v>
      </c>
      <c r="H1110" s="1">
        <v>109360</v>
      </c>
      <c r="I1110" s="1">
        <v>241881</v>
      </c>
      <c r="J1110" s="7">
        <v>0.45200000000000001</v>
      </c>
      <c r="K1110" s="1" t="s">
        <v>21</v>
      </c>
      <c r="L1110" s="1" t="s">
        <v>29</v>
      </c>
      <c r="M1110" s="1" t="s">
        <v>29</v>
      </c>
      <c r="N1110" s="1" t="s">
        <v>22</v>
      </c>
      <c r="O1110" s="1" t="str">
        <f t="shared" ca="1" si="9"/>
        <v>Please solve the LeetCode problem '396. Rotate Function'.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11" spans="1:15" x14ac:dyDescent="0.25">
      <c r="A1111" s="1">
        <v>1575</v>
      </c>
      <c r="B1111" s="2" t="str">
        <f>HYPERLINK("https://leetcode.com/problems/count-all-possible-routes/", "Count All Possible Routes")</f>
        <v>Count All Possible Routes</v>
      </c>
      <c r="C1111" s="1">
        <v>1668</v>
      </c>
      <c r="D1111" s="1">
        <v>60</v>
      </c>
      <c r="E1111" s="3">
        <f t="shared" si="8"/>
        <v>0.96527777777777779</v>
      </c>
      <c r="F1111" s="1" t="s">
        <v>434</v>
      </c>
      <c r="G1111" s="1" t="s">
        <v>28</v>
      </c>
      <c r="H1111" s="1">
        <v>65001</v>
      </c>
      <c r="I1111" s="1">
        <v>100160</v>
      </c>
      <c r="J1111" s="7">
        <v>0.64900000000000002</v>
      </c>
      <c r="K1111" s="1" t="s">
        <v>21</v>
      </c>
      <c r="L1111" s="1" t="s">
        <v>21</v>
      </c>
      <c r="M1111" s="1" t="s">
        <v>29</v>
      </c>
      <c r="N1111" s="1" t="s">
        <v>22</v>
      </c>
      <c r="O1111" s="1" t="str">
        <f t="shared" ca="1" si="9"/>
        <v>Please solve the LeetCode problem '1575. Count All Possible Routes'.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12" spans="1:15" x14ac:dyDescent="0.25">
      <c r="A1112" s="1">
        <v>1780</v>
      </c>
      <c r="B1112" s="2" t="str">
        <f>HYPERLINK("https://leetcode.com/problems/check-if-number-is-a-sum-of-powers-of-three/", "Check if Number is a Sum of Powers of Three")</f>
        <v>Check if Number is a Sum of Powers of Three</v>
      </c>
      <c r="C1112" s="1">
        <v>1667</v>
      </c>
      <c r="D1112" s="1">
        <v>67</v>
      </c>
      <c r="E1112" s="3">
        <f t="shared" si="8"/>
        <v>0.96136101499423299</v>
      </c>
      <c r="F1112" s="1" t="s">
        <v>84</v>
      </c>
      <c r="G1112" s="1" t="s">
        <v>24</v>
      </c>
      <c r="H1112" s="1">
        <v>213297</v>
      </c>
      <c r="I1112" s="1">
        <v>268790</v>
      </c>
      <c r="J1112" s="7">
        <v>0.79400000000000004</v>
      </c>
      <c r="K1112" s="1" t="s">
        <v>21</v>
      </c>
      <c r="L1112" s="1" t="s">
        <v>21</v>
      </c>
      <c r="M1112" s="1" t="s">
        <v>29</v>
      </c>
      <c r="N1112" s="1" t="s">
        <v>22</v>
      </c>
      <c r="O1112" s="1" t="str">
        <f t="shared" ca="1" si="9"/>
        <v>Please solve the LeetCode problem '1780. Check if Number is a Sum of Powers of Three'.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13" spans="1:15" x14ac:dyDescent="0.25">
      <c r="A1113" s="1">
        <v>2136</v>
      </c>
      <c r="B1113" s="2" t="str">
        <f>HYPERLINK("https://leetcode.com/problems/earliest-possible-day-of-full-bloom/", "Earliest Possible Day of Full Bloom")</f>
        <v>Earliest Possible Day of Full Bloom</v>
      </c>
      <c r="C1113" s="1">
        <v>1665</v>
      </c>
      <c r="D1113" s="1">
        <v>85</v>
      </c>
      <c r="E1113" s="3">
        <f t="shared" si="8"/>
        <v>0.9514285714285714</v>
      </c>
      <c r="F1113" s="1" t="s">
        <v>169</v>
      </c>
      <c r="G1113" s="1" t="s">
        <v>28</v>
      </c>
      <c r="H1113" s="1">
        <v>62904</v>
      </c>
      <c r="I1113" s="1">
        <v>88369</v>
      </c>
      <c r="J1113" s="7">
        <v>0.71199999999999997</v>
      </c>
      <c r="K1113" s="1" t="s">
        <v>21</v>
      </c>
      <c r="L1113" s="1" t="s">
        <v>21</v>
      </c>
      <c r="M1113" s="1" t="s">
        <v>29</v>
      </c>
      <c r="N1113" s="1" t="s">
        <v>22</v>
      </c>
      <c r="O1113" s="1" t="str">
        <f t="shared" ca="1" si="9"/>
        <v>Please solve the LeetCode problem '2136. Earliest Possible Day of Full Bloom'.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14" spans="1:15" x14ac:dyDescent="0.25">
      <c r="A1114" s="1">
        <v>1720</v>
      </c>
      <c r="B1114" s="2" t="str">
        <f>HYPERLINK("https://leetcode.com/problems/decode-xored-array/", "Decode XORed Array")</f>
        <v>Decode XORed Array</v>
      </c>
      <c r="C1114" s="1">
        <v>1664</v>
      </c>
      <c r="D1114" s="1">
        <v>220</v>
      </c>
      <c r="E1114" s="3">
        <f t="shared" si="8"/>
        <v>0.88322717622080682</v>
      </c>
      <c r="F1114" s="1" t="s">
        <v>65</v>
      </c>
      <c r="G1114" s="1" t="s">
        <v>20</v>
      </c>
      <c r="H1114" s="1">
        <v>186837</v>
      </c>
      <c r="I1114" s="1">
        <v>214131</v>
      </c>
      <c r="J1114" s="7">
        <v>0.873</v>
      </c>
      <c r="K1114" s="1" t="s">
        <v>21</v>
      </c>
      <c r="L1114" s="1" t="s">
        <v>29</v>
      </c>
      <c r="M1114" s="1" t="s">
        <v>29</v>
      </c>
      <c r="N1114" s="1" t="s">
        <v>22</v>
      </c>
      <c r="O1114" s="1" t="str">
        <f t="shared" ca="1" si="9"/>
        <v>Please solve the LeetCode problem '1720. Decode XORed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15" spans="1:15" x14ac:dyDescent="0.25">
      <c r="A1115" s="1">
        <v>2127</v>
      </c>
      <c r="B1115" s="2" t="str">
        <f>HYPERLINK("https://leetcode.com/problems/maximum-employees-to-be-invited-to-a-meeting/", "Maximum Employees to Be Invited to a Meeting")</f>
        <v>Maximum Employees to Be Invited to a Meeting</v>
      </c>
      <c r="C1115" s="1">
        <v>1664</v>
      </c>
      <c r="D1115" s="1">
        <v>70</v>
      </c>
      <c r="E1115" s="3">
        <f t="shared" si="8"/>
        <v>0.95963091118800459</v>
      </c>
      <c r="F1115" s="1" t="s">
        <v>549</v>
      </c>
      <c r="G1115" s="1" t="s">
        <v>28</v>
      </c>
      <c r="H1115" s="1">
        <v>87632</v>
      </c>
      <c r="I1115" s="1">
        <v>141754</v>
      </c>
      <c r="J1115" s="7">
        <v>0.61799999999999999</v>
      </c>
      <c r="K1115" s="1" t="s">
        <v>21</v>
      </c>
      <c r="L1115" s="1" t="s">
        <v>21</v>
      </c>
      <c r="M1115" s="1" t="s">
        <v>29</v>
      </c>
      <c r="N1115" s="1" t="s">
        <v>22</v>
      </c>
      <c r="O1115" s="1" t="str">
        <f t="shared" ca="1" si="9"/>
        <v>Please solve the LeetCode problem '2127. Maximum Employees to Be Invited to a Meeting'.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16" spans="1:15" x14ac:dyDescent="0.25">
      <c r="A1116" s="1">
        <v>1678</v>
      </c>
      <c r="B1116" s="2" t="str">
        <f>HYPERLINK("https://leetcode.com/problems/goal-parser-interpretation/", "Goal Parser Interpretation")</f>
        <v>Goal Parser Interpretation</v>
      </c>
      <c r="C1116" s="1">
        <v>1663</v>
      </c>
      <c r="D1116" s="1">
        <v>93</v>
      </c>
      <c r="E1116" s="3">
        <f t="shared" si="8"/>
        <v>0.94703872437357628</v>
      </c>
      <c r="F1116" s="1" t="s">
        <v>146</v>
      </c>
      <c r="G1116" s="1" t="s">
        <v>20</v>
      </c>
      <c r="H1116" s="1">
        <v>315895</v>
      </c>
      <c r="I1116" s="1">
        <v>359237</v>
      </c>
      <c r="J1116" s="7">
        <v>0.879</v>
      </c>
      <c r="K1116" s="1" t="s">
        <v>21</v>
      </c>
      <c r="L1116" s="1" t="s">
        <v>29</v>
      </c>
      <c r="M1116" s="1" t="s">
        <v>29</v>
      </c>
      <c r="N1116" s="1" t="s">
        <v>22</v>
      </c>
      <c r="O1116" s="1" t="str">
        <f t="shared" ca="1" si="9"/>
        <v>Please solve the LeetCode problem '1678. Goal Parser Interpretation'.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17" spans="1:15" x14ac:dyDescent="0.25">
      <c r="A1117" s="1">
        <v>1876</v>
      </c>
      <c r="B1117" s="2" t="str">
        <f>HYPERLINK("https://leetcode.com/problems/substrings-of-size-three-with-distinct-characters/", "Substrings of Size Three with Distinct Characters")</f>
        <v>Substrings of Size Three with Distinct Characters</v>
      </c>
      <c r="C1117" s="1">
        <v>1663</v>
      </c>
      <c r="D1117" s="1">
        <v>54</v>
      </c>
      <c r="E1117" s="3">
        <f t="shared" si="8"/>
        <v>0.96854979615608616</v>
      </c>
      <c r="F1117" s="1" t="s">
        <v>548</v>
      </c>
      <c r="G1117" s="1" t="s">
        <v>20</v>
      </c>
      <c r="H1117" s="1">
        <v>198959</v>
      </c>
      <c r="I1117" s="1">
        <v>260483</v>
      </c>
      <c r="J1117" s="7">
        <v>0.76400000000000001</v>
      </c>
      <c r="K1117" s="1" t="s">
        <v>21</v>
      </c>
      <c r="L1117" s="1" t="s">
        <v>29</v>
      </c>
      <c r="M1117" s="1" t="s">
        <v>29</v>
      </c>
      <c r="N1117" s="1" t="s">
        <v>22</v>
      </c>
      <c r="O1117" s="1" t="str">
        <f t="shared" ca="1" si="9"/>
        <v>Please solve the LeetCode problem '1876. Substrings of Size Three with Distinct Characters'.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18" spans="1:15" x14ac:dyDescent="0.25">
      <c r="A1118" s="1">
        <v>1416</v>
      </c>
      <c r="B1118" s="2" t="str">
        <f>HYPERLINK("https://leetcode.com/problems/restore-the-array/", "Restore The Array")</f>
        <v>Restore The Array</v>
      </c>
      <c r="C1118" s="1">
        <v>1661</v>
      </c>
      <c r="D1118" s="1">
        <v>53</v>
      </c>
      <c r="E1118" s="3">
        <f t="shared" si="8"/>
        <v>0.96907817969661614</v>
      </c>
      <c r="F1118" s="1" t="s">
        <v>82</v>
      </c>
      <c r="G1118" s="1" t="s">
        <v>28</v>
      </c>
      <c r="H1118" s="1">
        <v>66722</v>
      </c>
      <c r="I1118" s="1">
        <v>142680</v>
      </c>
      <c r="J1118" s="7">
        <v>0.46800000000000003</v>
      </c>
      <c r="K1118" s="1" t="s">
        <v>21</v>
      </c>
      <c r="L1118" s="1" t="s">
        <v>21</v>
      </c>
      <c r="M1118" s="1" t="s">
        <v>29</v>
      </c>
      <c r="N1118" s="1" t="s">
        <v>22</v>
      </c>
      <c r="O1118" s="1" t="str">
        <f t="shared" ca="1" si="9"/>
        <v>Please solve the LeetCode problem '1416. Restore The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19" spans="1:15" x14ac:dyDescent="0.25">
      <c r="A1119" s="1">
        <v>1413</v>
      </c>
      <c r="B1119" s="2" t="str">
        <f>HYPERLINK("https://leetcode.com/problems/minimum-value-to-get-positive-step-by-step-sum/", "Minimum Value to Get Positive Step by Step Sum")</f>
        <v>Minimum Value to Get Positive Step by Step Sum</v>
      </c>
      <c r="C1119" s="1">
        <v>1660</v>
      </c>
      <c r="D1119" s="1">
        <v>382</v>
      </c>
      <c r="E1119" s="3">
        <f t="shared" si="8"/>
        <v>0.81292850146914786</v>
      </c>
      <c r="F1119" s="1" t="s">
        <v>37</v>
      </c>
      <c r="G1119" s="1" t="s">
        <v>20</v>
      </c>
      <c r="H1119" s="1">
        <v>217463</v>
      </c>
      <c r="I1119" s="1">
        <v>336968</v>
      </c>
      <c r="J1119" s="7">
        <v>0.64500000000000002</v>
      </c>
      <c r="K1119" s="1" t="s">
        <v>21</v>
      </c>
      <c r="L1119" s="1" t="s">
        <v>21</v>
      </c>
      <c r="M1119" s="1" t="s">
        <v>29</v>
      </c>
      <c r="N1119" s="1" t="s">
        <v>22</v>
      </c>
      <c r="O1119" s="1" t="str">
        <f t="shared" ca="1" si="9"/>
        <v>Please solve the LeetCode problem '1413. Minimum Value to Get Positive Step by Step Sum'.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20" spans="1:15" x14ac:dyDescent="0.25">
      <c r="A1120" s="1">
        <v>365</v>
      </c>
      <c r="B1120" s="2" t="str">
        <f>HYPERLINK("https://leetcode.com/problems/water-and-jug-problem/", "Water and Jug Problem")</f>
        <v>Water and Jug Problem</v>
      </c>
      <c r="C1120" s="1">
        <v>1658</v>
      </c>
      <c r="D1120" s="1">
        <v>1512</v>
      </c>
      <c r="E1120" s="3">
        <f t="shared" si="8"/>
        <v>0.52302839116719246</v>
      </c>
      <c r="F1120" s="1" t="s">
        <v>550</v>
      </c>
      <c r="G1120" s="1" t="s">
        <v>24</v>
      </c>
      <c r="H1120" s="1">
        <v>139689</v>
      </c>
      <c r="I1120" s="1">
        <v>312934</v>
      </c>
      <c r="J1120" s="7">
        <v>0.44600000000000001</v>
      </c>
      <c r="K1120" s="1" t="s">
        <v>21</v>
      </c>
      <c r="L1120" s="1" t="s">
        <v>29</v>
      </c>
      <c r="M1120" s="1" t="s">
        <v>29</v>
      </c>
      <c r="N1120" s="1" t="s">
        <v>22</v>
      </c>
      <c r="O1120" s="1" t="str">
        <f t="shared" ca="1" si="9"/>
        <v>Please solve the LeetCode problem '365. Water and Jug Problem'.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21" spans="1:15" x14ac:dyDescent="0.25">
      <c r="A1121" s="1">
        <v>885</v>
      </c>
      <c r="B1121" s="2" t="str">
        <f>HYPERLINK("https://leetcode.com/problems/spiral-matrix-iii/", "Spiral Matrix III")</f>
        <v>Spiral Matrix III</v>
      </c>
      <c r="C1121" s="1">
        <v>1653</v>
      </c>
      <c r="D1121" s="1">
        <v>1045</v>
      </c>
      <c r="E1121" s="3">
        <f t="shared" si="8"/>
        <v>0.61267605633802813</v>
      </c>
      <c r="F1121" s="1" t="s">
        <v>77</v>
      </c>
      <c r="G1121" s="1" t="s">
        <v>24</v>
      </c>
      <c r="H1121" s="1">
        <v>173244</v>
      </c>
      <c r="I1121" s="1">
        <v>204949</v>
      </c>
      <c r="J1121" s="7">
        <v>0.84499999999999997</v>
      </c>
      <c r="K1121" s="1" t="s">
        <v>21</v>
      </c>
      <c r="L1121" s="1" t="s">
        <v>21</v>
      </c>
      <c r="M1121" s="1" t="s">
        <v>29</v>
      </c>
      <c r="N1121" s="1" t="s">
        <v>22</v>
      </c>
      <c r="O1121" s="1" t="str">
        <f t="shared" ca="1" si="9"/>
        <v>Please solve the LeetCode problem '885. Spiral Matrix III'.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22" spans="1:15" x14ac:dyDescent="0.25">
      <c r="A1122" s="1">
        <v>2196</v>
      </c>
      <c r="B1122" s="2" t="str">
        <f>HYPERLINK("https://leetcode.com/problems/create-binary-tree-from-descriptions/", "Create Binary Tree From Descriptions")</f>
        <v>Create Binary Tree From Descriptions</v>
      </c>
      <c r="C1122" s="1">
        <v>1653</v>
      </c>
      <c r="D1122" s="1">
        <v>38</v>
      </c>
      <c r="E1122" s="3">
        <f t="shared" si="8"/>
        <v>0.97752808988764039</v>
      </c>
      <c r="F1122" s="1" t="s">
        <v>551</v>
      </c>
      <c r="G1122" s="1" t="s">
        <v>24</v>
      </c>
      <c r="H1122" s="1">
        <v>167876</v>
      </c>
      <c r="I1122" s="1">
        <v>205531</v>
      </c>
      <c r="J1122" s="7">
        <v>0.81699999999999995</v>
      </c>
      <c r="K1122" s="1" t="s">
        <v>21</v>
      </c>
      <c r="L1122" s="1" t="s">
        <v>21</v>
      </c>
      <c r="M1122" s="1" t="s">
        <v>29</v>
      </c>
      <c r="N1122" s="1" t="s">
        <v>22</v>
      </c>
      <c r="O1122" s="1" t="str">
        <f t="shared" ca="1" si="9"/>
        <v>Please solve the LeetCode problem '2196. Create Binary Tree From Descriptions'.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23" spans="1:15" x14ac:dyDescent="0.25">
      <c r="A1123" s="1">
        <v>639</v>
      </c>
      <c r="B1123" s="2" t="str">
        <f>HYPERLINK("https://leetcode.com/problems/decode-ways-ii/", "Decode Ways II")</f>
        <v>Decode Ways II</v>
      </c>
      <c r="C1123" s="1">
        <v>1652</v>
      </c>
      <c r="D1123" s="1">
        <v>825</v>
      </c>
      <c r="E1123" s="3">
        <f t="shared" si="8"/>
        <v>0.66693580944691155</v>
      </c>
      <c r="F1123" s="1" t="s">
        <v>82</v>
      </c>
      <c r="G1123" s="1" t="s">
        <v>28</v>
      </c>
      <c r="H1123" s="1">
        <v>87047</v>
      </c>
      <c r="I1123" s="1">
        <v>275126</v>
      </c>
      <c r="J1123" s="7">
        <v>0.316</v>
      </c>
      <c r="K1123" s="1" t="s">
        <v>21</v>
      </c>
      <c r="L1123" s="1" t="s">
        <v>21</v>
      </c>
      <c r="M1123" s="1" t="s">
        <v>29</v>
      </c>
      <c r="N1123" s="1" t="s">
        <v>22</v>
      </c>
      <c r="O1123" s="1" t="str">
        <f t="shared" ca="1" si="9"/>
        <v>Please solve the LeetCode problem '639. Decode Ways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24" spans="1:15" x14ac:dyDescent="0.25">
      <c r="A1124" s="1">
        <v>2290</v>
      </c>
      <c r="B1124" s="2" t="str">
        <f>HYPERLINK("https://leetcode.com/problems/minimum-obstacle-removal-to-reach-corner/", "Minimum Obstacle Removal to Reach Corner")</f>
        <v>Minimum Obstacle Removal to Reach Corner</v>
      </c>
      <c r="C1124" s="1">
        <v>1649</v>
      </c>
      <c r="D1124" s="1">
        <v>29</v>
      </c>
      <c r="E1124" s="3">
        <f t="shared" si="8"/>
        <v>0.98271752085816444</v>
      </c>
      <c r="F1124" s="1" t="s">
        <v>415</v>
      </c>
      <c r="G1124" s="1" t="s">
        <v>28</v>
      </c>
      <c r="H1124" s="1">
        <v>119282</v>
      </c>
      <c r="I1124" s="1">
        <v>169558</v>
      </c>
      <c r="J1124" s="7">
        <v>0.70299999999999996</v>
      </c>
      <c r="K1124" s="1" t="s">
        <v>21</v>
      </c>
      <c r="L1124" s="1" t="s">
        <v>21</v>
      </c>
      <c r="M1124" s="1" t="s">
        <v>29</v>
      </c>
      <c r="N1124" s="1" t="s">
        <v>22</v>
      </c>
      <c r="O1124" s="1" t="str">
        <f t="shared" ca="1" si="9"/>
        <v>Please solve the LeetCode problem '2290. Minimum Obstacle Removal to Reach Corner'.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25" spans="1:15" x14ac:dyDescent="0.25">
      <c r="A1125" s="1">
        <v>1233</v>
      </c>
      <c r="B1125" s="2" t="str">
        <f>HYPERLINK("https://leetcode.com/problems/remove-sub-folders-from-the-filesystem/", "Remove Sub-Folders from the Filesystem")</f>
        <v>Remove Sub-Folders from the Filesystem</v>
      </c>
      <c r="C1125" s="1">
        <v>1648</v>
      </c>
      <c r="D1125" s="1">
        <v>230</v>
      </c>
      <c r="E1125" s="3">
        <f t="shared" si="8"/>
        <v>0.87752928647497341</v>
      </c>
      <c r="F1125" s="1" t="s">
        <v>553</v>
      </c>
      <c r="G1125" s="1" t="s">
        <v>24</v>
      </c>
      <c r="H1125" s="1">
        <v>263107</v>
      </c>
      <c r="I1125" s="1">
        <v>334658</v>
      </c>
      <c r="J1125" s="7">
        <v>0.78600000000000003</v>
      </c>
      <c r="K1125" s="1" t="s">
        <v>21</v>
      </c>
      <c r="L1125" s="1" t="s">
        <v>21</v>
      </c>
      <c r="M1125" s="1" t="s">
        <v>29</v>
      </c>
      <c r="N1125" s="1" t="s">
        <v>22</v>
      </c>
      <c r="O1125" s="1" t="str">
        <f t="shared" ca="1" si="9"/>
        <v>Please solve the LeetCode problem '1233. Remove Sub-Folders from the Filesystem'.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26" spans="1:15" x14ac:dyDescent="0.25">
      <c r="A1126" s="1">
        <v>2375</v>
      </c>
      <c r="B1126" s="2" t="str">
        <f>HYPERLINK("https://leetcode.com/problems/construct-smallest-number-from-di-string/", "Construct Smallest Number From DI String")</f>
        <v>Construct Smallest Number From DI String</v>
      </c>
      <c r="C1126" s="1">
        <v>1648</v>
      </c>
      <c r="D1126" s="1">
        <v>87</v>
      </c>
      <c r="E1126" s="3">
        <f t="shared" si="8"/>
        <v>0.94985590778097984</v>
      </c>
      <c r="F1126" s="1" t="s">
        <v>552</v>
      </c>
      <c r="G1126" s="1" t="s">
        <v>24</v>
      </c>
      <c r="H1126" s="1">
        <v>165739</v>
      </c>
      <c r="I1126" s="1">
        <v>193501</v>
      </c>
      <c r="J1126" s="7">
        <v>0.85699999999999998</v>
      </c>
      <c r="K1126" s="1" t="s">
        <v>21</v>
      </c>
      <c r="L1126" s="1" t="s">
        <v>21</v>
      </c>
      <c r="M1126" s="1" t="s">
        <v>29</v>
      </c>
      <c r="N1126" s="1" t="s">
        <v>22</v>
      </c>
      <c r="O1126" s="1" t="str">
        <f t="shared" ca="1" si="9"/>
        <v>Please solve the LeetCode problem '2375. Construct Smallest Number From DI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27" spans="1:15" x14ac:dyDescent="0.25">
      <c r="A1127" s="1">
        <v>440</v>
      </c>
      <c r="B1127" s="2" t="str">
        <f>HYPERLINK("https://leetcode.com/problems/k-th-smallest-in-lexicographical-order/", "K-th Smallest in Lexicographical Order")</f>
        <v>K-th Smallest in Lexicographical Order</v>
      </c>
      <c r="C1127" s="1">
        <v>1640</v>
      </c>
      <c r="D1127" s="1">
        <v>147</v>
      </c>
      <c r="E1127" s="3">
        <f t="shared" si="8"/>
        <v>0.91773922775601569</v>
      </c>
      <c r="F1127" s="1" t="s">
        <v>554</v>
      </c>
      <c r="G1127" s="1" t="s">
        <v>28</v>
      </c>
      <c r="H1127" s="1">
        <v>166985</v>
      </c>
      <c r="I1127" s="1">
        <v>361925</v>
      </c>
      <c r="J1127" s="7">
        <v>0.46100000000000002</v>
      </c>
      <c r="K1127" s="1" t="s">
        <v>21</v>
      </c>
      <c r="L1127" s="1" t="s">
        <v>21</v>
      </c>
      <c r="M1127" s="1" t="s">
        <v>29</v>
      </c>
      <c r="N1127" s="1" t="s">
        <v>22</v>
      </c>
      <c r="O1127" s="1" t="str">
        <f t="shared" ca="1" si="9"/>
        <v>Please solve the LeetCode problem '440. K-th Smallest in Lexicographical Order'.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28" spans="1:15" x14ac:dyDescent="0.25">
      <c r="A1128" s="1">
        <v>1411</v>
      </c>
      <c r="B1128" s="2" t="str">
        <f>HYPERLINK("https://leetcode.com/problems/number-of-ways-to-paint-n-3-grid/", "Number of Ways to Paint N × 3 Grid")</f>
        <v>Number of Ways to Paint N × 3 Grid</v>
      </c>
      <c r="C1128" s="1">
        <v>1638</v>
      </c>
      <c r="D1128" s="1">
        <v>90</v>
      </c>
      <c r="E1128" s="3">
        <f t="shared" si="8"/>
        <v>0.94791666666666663</v>
      </c>
      <c r="F1128" s="1" t="s">
        <v>251</v>
      </c>
      <c r="G1128" s="1" t="s">
        <v>28</v>
      </c>
      <c r="H1128" s="1">
        <v>130535</v>
      </c>
      <c r="I1128" s="1">
        <v>162248</v>
      </c>
      <c r="J1128" s="7">
        <v>0.80500000000000005</v>
      </c>
      <c r="K1128" s="1" t="s">
        <v>21</v>
      </c>
      <c r="L1128" s="1" t="s">
        <v>29</v>
      </c>
      <c r="M1128" s="1" t="s">
        <v>29</v>
      </c>
      <c r="N1128" s="1" t="s">
        <v>22</v>
      </c>
      <c r="O1128" s="1" t="str">
        <f t="shared" ca="1" si="9"/>
        <v>Please solve the LeetCode problem '1411. Number of Ways to Paint N × 3 Grid'.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29" spans="1:15" x14ac:dyDescent="0.25">
      <c r="A1129" s="1">
        <v>1510</v>
      </c>
      <c r="B1129" s="2" t="str">
        <f>HYPERLINK("https://leetcode.com/problems/stone-game-iv/", "Stone Game IV")</f>
        <v>Stone Game IV</v>
      </c>
      <c r="C1129" s="1">
        <v>1638</v>
      </c>
      <c r="D1129" s="1">
        <v>76</v>
      </c>
      <c r="E1129" s="3">
        <f t="shared" si="8"/>
        <v>0.95565927654609106</v>
      </c>
      <c r="F1129" s="1" t="s">
        <v>453</v>
      </c>
      <c r="G1129" s="1" t="s">
        <v>28</v>
      </c>
      <c r="H1129" s="1">
        <v>82099</v>
      </c>
      <c r="I1129" s="1">
        <v>137915</v>
      </c>
      <c r="J1129" s="7">
        <v>0.59499999999999997</v>
      </c>
      <c r="K1129" s="1" t="s">
        <v>21</v>
      </c>
      <c r="L1129" s="1" t="s">
        <v>21</v>
      </c>
      <c r="M1129" s="1" t="s">
        <v>29</v>
      </c>
      <c r="N1129" s="1" t="s">
        <v>22</v>
      </c>
      <c r="O1129" s="1" t="str">
        <f t="shared" ca="1" si="9"/>
        <v>Please solve the LeetCode problem '1510. Stone Game IV'.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30" spans="1:15" x14ac:dyDescent="0.25">
      <c r="A1130" s="1">
        <v>2108</v>
      </c>
      <c r="B1130" s="2" t="str">
        <f>HYPERLINK("https://leetcode.com/problems/find-first-palindromic-string-in-the-array/", "Find First Palindromic String in the Array")</f>
        <v>Find First Palindromic String in the Array</v>
      </c>
      <c r="C1130" s="1">
        <v>1636</v>
      </c>
      <c r="D1130" s="1">
        <v>60</v>
      </c>
      <c r="E1130" s="3">
        <f t="shared" si="8"/>
        <v>0.964622641509434</v>
      </c>
      <c r="F1130" s="1" t="s">
        <v>360</v>
      </c>
      <c r="G1130" s="1" t="s">
        <v>20</v>
      </c>
      <c r="H1130" s="1">
        <v>370301</v>
      </c>
      <c r="I1130" s="1">
        <v>441049</v>
      </c>
      <c r="J1130" s="7">
        <v>0.84</v>
      </c>
      <c r="K1130" s="1" t="s">
        <v>21</v>
      </c>
      <c r="L1130" s="1" t="s">
        <v>21</v>
      </c>
      <c r="M1130" s="1" t="s">
        <v>29</v>
      </c>
      <c r="N1130" s="1" t="s">
        <v>22</v>
      </c>
      <c r="O1130" s="1" t="str">
        <f t="shared" ca="1" si="9"/>
        <v>Please solve the LeetCode problem '2108. Find First Palindromic String in the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31" spans="1:15" x14ac:dyDescent="0.25">
      <c r="A1131" s="1">
        <v>2038</v>
      </c>
      <c r="B1131" s="2" t="str">
        <f>HYPERLINK("https://leetcode.com/problems/remove-colored-pieces-if-both-neighbors-are-the-same-color/", "Remove Colored Pieces if Both Neighbors are the Same Color")</f>
        <v>Remove Colored Pieces if Both Neighbors are the Same Color</v>
      </c>
      <c r="C1131" s="1">
        <v>1634</v>
      </c>
      <c r="D1131" s="1">
        <v>127</v>
      </c>
      <c r="E1131" s="3">
        <f t="shared" si="8"/>
        <v>0.92788188529244753</v>
      </c>
      <c r="F1131" s="1" t="s">
        <v>556</v>
      </c>
      <c r="G1131" s="1" t="s">
        <v>24</v>
      </c>
      <c r="H1131" s="1">
        <v>159791</v>
      </c>
      <c r="I1131" s="1">
        <v>253719</v>
      </c>
      <c r="J1131" s="7">
        <v>0.63</v>
      </c>
      <c r="K1131" s="1" t="s">
        <v>21</v>
      </c>
      <c r="L1131" s="1" t="s">
        <v>21</v>
      </c>
      <c r="M1131" s="1" t="s">
        <v>29</v>
      </c>
      <c r="N1131" s="1" t="s">
        <v>22</v>
      </c>
      <c r="O1131" s="1" t="str">
        <f t="shared" ca="1" si="9"/>
        <v>Please solve the LeetCode problem '2038. Remove Colored Pieces if Both Neighbors are the Same Color'.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32" spans="1:15" x14ac:dyDescent="0.25">
      <c r="A1132" s="1">
        <v>276</v>
      </c>
      <c r="B1132" s="2" t="str">
        <f>HYPERLINK("https://leetcode.com/problems/paint-fence/", "Paint Fence")</f>
        <v>Paint Fence</v>
      </c>
      <c r="C1132" s="1">
        <v>1631</v>
      </c>
      <c r="D1132" s="1">
        <v>397</v>
      </c>
      <c r="E1132" s="3">
        <f t="shared" si="8"/>
        <v>0.80424063116370814</v>
      </c>
      <c r="F1132" s="1" t="s">
        <v>251</v>
      </c>
      <c r="G1132" s="1" t="s">
        <v>24</v>
      </c>
      <c r="H1132" s="1">
        <v>127856</v>
      </c>
      <c r="I1132" s="1">
        <v>265386</v>
      </c>
      <c r="J1132" s="7">
        <v>0.48199999999999998</v>
      </c>
      <c r="K1132" s="1" t="s">
        <v>29</v>
      </c>
      <c r="L1132" s="1" t="s">
        <v>21</v>
      </c>
      <c r="M1132" s="1" t="s">
        <v>29</v>
      </c>
      <c r="N1132" s="1" t="s">
        <v>22</v>
      </c>
      <c r="O1132" s="1" t="str">
        <f t="shared" ca="1" si="9"/>
        <v>Please solve the LeetCode problem '276. Paint Fence'.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33" spans="1:15" x14ac:dyDescent="0.25">
      <c r="A1133" s="1">
        <v>259</v>
      </c>
      <c r="B1133" s="2" t="str">
        <f>HYPERLINK("https://leetcode.com/problems/3sum-smaller/", "3Sum Smaller")</f>
        <v>3Sum Smaller</v>
      </c>
      <c r="C1133" s="1">
        <v>1626</v>
      </c>
      <c r="D1133" s="1">
        <v>169</v>
      </c>
      <c r="E1133" s="3">
        <f t="shared" si="8"/>
        <v>0.90584958217270195</v>
      </c>
      <c r="F1133" s="1" t="s">
        <v>277</v>
      </c>
      <c r="G1133" s="1" t="s">
        <v>24</v>
      </c>
      <c r="H1133" s="1">
        <v>172796</v>
      </c>
      <c r="I1133" s="1">
        <v>336929</v>
      </c>
      <c r="J1133" s="7">
        <v>0.51300000000000001</v>
      </c>
      <c r="K1133" s="1" t="s">
        <v>29</v>
      </c>
      <c r="L1133" s="1" t="s">
        <v>21</v>
      </c>
      <c r="M1133" s="1" t="s">
        <v>29</v>
      </c>
      <c r="N1133" s="1" t="s">
        <v>22</v>
      </c>
      <c r="O1133" s="1" t="str">
        <f t="shared" ca="1" si="9"/>
        <v>Please solve the LeetCode problem '259. 3Sum Smaller'.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34" spans="1:15" x14ac:dyDescent="0.25">
      <c r="A1134" s="1">
        <v>2391</v>
      </c>
      <c r="B1134" s="2" t="str">
        <f>HYPERLINK("https://leetcode.com/problems/minimum-amount-of-time-to-collect-garbage/", "Minimum Amount of Time to Collect Garbage")</f>
        <v>Minimum Amount of Time to Collect Garbage</v>
      </c>
      <c r="C1134" s="1">
        <v>1625</v>
      </c>
      <c r="D1134" s="1">
        <v>244</v>
      </c>
      <c r="E1134" s="3">
        <f t="shared" si="8"/>
        <v>0.86944890315676837</v>
      </c>
      <c r="F1134" s="1" t="s">
        <v>372</v>
      </c>
      <c r="G1134" s="1" t="s">
        <v>24</v>
      </c>
      <c r="H1134" s="1">
        <v>152105</v>
      </c>
      <c r="I1134" s="1">
        <v>178704</v>
      </c>
      <c r="J1134" s="7">
        <v>0.85099999999999998</v>
      </c>
      <c r="K1134" s="1" t="s">
        <v>21</v>
      </c>
      <c r="L1134" s="1" t="s">
        <v>21</v>
      </c>
      <c r="M1134" s="1" t="s">
        <v>29</v>
      </c>
      <c r="N1134" s="1" t="s">
        <v>22</v>
      </c>
      <c r="O1134" s="1" t="str">
        <f t="shared" ca="1" si="9"/>
        <v>Please solve the LeetCode problem '2391. Minimum Amount of Time to Collect Garbage'.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35" spans="1:15" x14ac:dyDescent="0.25">
      <c r="A1135" s="1">
        <v>638</v>
      </c>
      <c r="B1135" s="2" t="str">
        <f>HYPERLINK("https://leetcode.com/problems/shopping-offers/", "Shopping Offers")</f>
        <v>Shopping Offers</v>
      </c>
      <c r="C1135" s="1">
        <v>1621</v>
      </c>
      <c r="D1135" s="1">
        <v>789</v>
      </c>
      <c r="E1135" s="3">
        <f t="shared" si="8"/>
        <v>0.67261410788381748</v>
      </c>
      <c r="F1135" s="1" t="s">
        <v>1351</v>
      </c>
      <c r="G1135" s="1" t="s">
        <v>24</v>
      </c>
      <c r="H1135" s="1">
        <v>78361</v>
      </c>
      <c r="I1135" s="1">
        <v>150092</v>
      </c>
      <c r="J1135" s="7">
        <v>0.52200000000000002</v>
      </c>
      <c r="K1135" s="1" t="s">
        <v>21</v>
      </c>
      <c r="L1135" s="1" t="s">
        <v>21</v>
      </c>
      <c r="M1135" s="1" t="s">
        <v>29</v>
      </c>
      <c r="N1135" s="1" t="s">
        <v>22</v>
      </c>
      <c r="O1135" s="1" t="str">
        <f t="shared" ca="1" si="9"/>
        <v>Please solve the LeetCode problem '638. Shopping Offers'.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36" spans="1:15" x14ac:dyDescent="0.25">
      <c r="A1136" s="1">
        <v>843</v>
      </c>
      <c r="B1136" s="2" t="str">
        <f>HYPERLINK("https://leetcode.com/problems/guess-the-word/", "Guess the Word")</f>
        <v>Guess the Word</v>
      </c>
      <c r="C1136" s="1">
        <v>1620</v>
      </c>
      <c r="D1136" s="1">
        <v>1864</v>
      </c>
      <c r="E1136" s="3">
        <f t="shared" si="8"/>
        <v>0.46498277841561425</v>
      </c>
      <c r="F1136" s="1" t="s">
        <v>558</v>
      </c>
      <c r="G1136" s="1" t="s">
        <v>28</v>
      </c>
      <c r="H1136" s="1">
        <v>166271</v>
      </c>
      <c r="I1136" s="1">
        <v>449302</v>
      </c>
      <c r="J1136" s="7">
        <v>0.37</v>
      </c>
      <c r="K1136" s="1" t="s">
        <v>21</v>
      </c>
      <c r="L1136" s="1" t="s">
        <v>29</v>
      </c>
      <c r="M1136" s="1" t="s">
        <v>29</v>
      </c>
      <c r="N1136" s="1" t="s">
        <v>22</v>
      </c>
      <c r="O1136" s="1" t="str">
        <f t="shared" ca="1" si="9"/>
        <v>Please solve the LeetCode problem '843. Guess the Word'.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37" spans="1:15" x14ac:dyDescent="0.25">
      <c r="A1137" s="1">
        <v>1861</v>
      </c>
      <c r="B1137" s="2" t="str">
        <f>HYPERLINK("https://leetcode.com/problems/rotating-the-box/", "Rotating the Box")</f>
        <v>Rotating the Box</v>
      </c>
      <c r="C1137" s="1">
        <v>1620</v>
      </c>
      <c r="D1137" s="1">
        <v>82</v>
      </c>
      <c r="E1137" s="3">
        <f t="shared" si="8"/>
        <v>0.95182138660399529</v>
      </c>
      <c r="F1137" s="1" t="s">
        <v>559</v>
      </c>
      <c r="G1137" s="1" t="s">
        <v>24</v>
      </c>
      <c r="H1137" s="1">
        <v>167271</v>
      </c>
      <c r="I1137" s="1">
        <v>211137</v>
      </c>
      <c r="J1137" s="7">
        <v>0.79200000000000004</v>
      </c>
      <c r="K1137" s="1" t="s">
        <v>21</v>
      </c>
      <c r="L1137" s="1" t="s">
        <v>21</v>
      </c>
      <c r="M1137" s="1" t="s">
        <v>29</v>
      </c>
      <c r="N1137" s="1" t="s">
        <v>22</v>
      </c>
      <c r="O1137" s="1" t="str">
        <f t="shared" ca="1" si="9"/>
        <v>Please solve the LeetCode problem '1861. Rotating the Box'.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38" spans="1:15" x14ac:dyDescent="0.25">
      <c r="A1138" s="1">
        <v>1275</v>
      </c>
      <c r="B1138" s="2" t="str">
        <f>HYPERLINK("https://leetcode.com/problems/find-winner-on-a-tic-tac-toe-game/", "Find Winner on a Tic Tac Toe Game")</f>
        <v>Find Winner on a Tic Tac Toe Game</v>
      </c>
      <c r="C1138" s="1">
        <v>1618</v>
      </c>
      <c r="D1138" s="1">
        <v>367</v>
      </c>
      <c r="E1138" s="3">
        <f t="shared" si="8"/>
        <v>0.81511335012594455</v>
      </c>
      <c r="F1138" s="1" t="s">
        <v>428</v>
      </c>
      <c r="G1138" s="1" t="s">
        <v>20</v>
      </c>
      <c r="H1138" s="1">
        <v>164722</v>
      </c>
      <c r="I1138" s="1">
        <v>302709</v>
      </c>
      <c r="J1138" s="7">
        <v>0.54400000000000004</v>
      </c>
      <c r="K1138" s="1" t="s">
        <v>21</v>
      </c>
      <c r="L1138" s="1" t="s">
        <v>21</v>
      </c>
      <c r="M1138" s="1" t="s">
        <v>29</v>
      </c>
      <c r="N1138" s="1" t="s">
        <v>22</v>
      </c>
      <c r="O1138" s="1" t="str">
        <f t="shared" ca="1" si="9"/>
        <v>Please solve the LeetCode problem '1275. Find Winner on a Tic Tac Toe Game'.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39" spans="1:15" x14ac:dyDescent="0.25">
      <c r="A1139" s="1">
        <v>1015</v>
      </c>
      <c r="B1139" s="2" t="str">
        <f>HYPERLINK("https://leetcode.com/problems/smallest-integer-divisible-by-k/", "Smallest Integer Divisible by K")</f>
        <v>Smallest Integer Divisible by K</v>
      </c>
      <c r="C1139" s="1">
        <v>1617</v>
      </c>
      <c r="D1139" s="1">
        <v>1161</v>
      </c>
      <c r="E1139" s="3">
        <f t="shared" si="8"/>
        <v>0.58207343412527002</v>
      </c>
      <c r="F1139" s="1" t="s">
        <v>557</v>
      </c>
      <c r="G1139" s="1" t="s">
        <v>24</v>
      </c>
      <c r="H1139" s="1">
        <v>178296</v>
      </c>
      <c r="I1139" s="1">
        <v>327637</v>
      </c>
      <c r="J1139" s="7">
        <v>0.54400000000000004</v>
      </c>
      <c r="K1139" s="1" t="s">
        <v>21</v>
      </c>
      <c r="L1139" s="1" t="s">
        <v>21</v>
      </c>
      <c r="M1139" s="1" t="s">
        <v>29</v>
      </c>
      <c r="N1139" s="1" t="s">
        <v>22</v>
      </c>
      <c r="O1139" s="1" t="str">
        <f t="shared" ca="1" si="9"/>
        <v>Please solve the LeetCode problem '1015. Smallest Integer Divisible by K'.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40" spans="1:15" x14ac:dyDescent="0.25">
      <c r="A1140" s="1">
        <v>1535</v>
      </c>
      <c r="B1140" s="2" t="str">
        <f>HYPERLINK("https://leetcode.com/problems/find-the-winner-of-an-array-game/", "Find the Winner of an Array Game")</f>
        <v>Find the Winner of an Array Game</v>
      </c>
      <c r="C1140" s="1">
        <v>1617</v>
      </c>
      <c r="D1140" s="1">
        <v>88</v>
      </c>
      <c r="E1140" s="3">
        <f t="shared" si="8"/>
        <v>0.94838709677419353</v>
      </c>
      <c r="F1140" s="1" t="s">
        <v>306</v>
      </c>
      <c r="G1140" s="1" t="s">
        <v>24</v>
      </c>
      <c r="H1140" s="1">
        <v>124841</v>
      </c>
      <c r="I1140" s="1">
        <v>219754</v>
      </c>
      <c r="J1140" s="7">
        <v>0.56799999999999995</v>
      </c>
      <c r="K1140" s="1" t="s">
        <v>21</v>
      </c>
      <c r="L1140" s="1" t="s">
        <v>21</v>
      </c>
      <c r="M1140" s="1" t="s">
        <v>29</v>
      </c>
      <c r="N1140" s="1" t="s">
        <v>22</v>
      </c>
      <c r="O1140" s="1" t="str">
        <f t="shared" ca="1" si="9"/>
        <v>Please solve the LeetCode problem '1535. Find the Winner of an Array Game'.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41" spans="1:15" x14ac:dyDescent="0.25">
      <c r="A1141" s="1">
        <v>600</v>
      </c>
      <c r="B1141" s="2" t="str">
        <f>HYPERLINK("https://leetcode.com/problems/non-negative-integers-without-consecutive-ones/", "Non-negative Integers without Consecutive Ones")</f>
        <v>Non-negative Integers without Consecutive Ones</v>
      </c>
      <c r="C1141" s="1">
        <v>1613</v>
      </c>
      <c r="D1141" s="1">
        <v>137</v>
      </c>
      <c r="E1141" s="3">
        <f t="shared" si="8"/>
        <v>0.92171428571428571</v>
      </c>
      <c r="F1141" s="1" t="s">
        <v>251</v>
      </c>
      <c r="G1141" s="1" t="s">
        <v>28</v>
      </c>
      <c r="H1141" s="1">
        <v>49636</v>
      </c>
      <c r="I1141" s="1">
        <v>119465</v>
      </c>
      <c r="J1141" s="7">
        <v>0.41499999999999998</v>
      </c>
      <c r="K1141" s="1" t="s">
        <v>21</v>
      </c>
      <c r="L1141" s="1" t="s">
        <v>21</v>
      </c>
      <c r="M1141" s="1" t="s">
        <v>29</v>
      </c>
      <c r="N1141" s="1" t="s">
        <v>22</v>
      </c>
      <c r="O1141" s="1" t="str">
        <f t="shared" ca="1" si="9"/>
        <v>Please solve the LeetCode problem '600. Non-negative Integers without Consecutive Ones'.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42" spans="1:15" x14ac:dyDescent="0.25">
      <c r="A1142" s="1">
        <v>1394</v>
      </c>
      <c r="B1142" s="2" t="str">
        <f>HYPERLINK("https://leetcode.com/problems/find-lucky-integer-in-an-array/", "Find Lucky Integer in an Array")</f>
        <v>Find Lucky Integer in an Array</v>
      </c>
      <c r="C1142" s="1">
        <v>1609</v>
      </c>
      <c r="D1142" s="1">
        <v>45</v>
      </c>
      <c r="E1142" s="3">
        <f t="shared" si="8"/>
        <v>0.97279322853688033</v>
      </c>
      <c r="F1142" s="1" t="s">
        <v>294</v>
      </c>
      <c r="G1142" s="1" t="s">
        <v>20</v>
      </c>
      <c r="H1142" s="1">
        <v>327384</v>
      </c>
      <c r="I1142" s="1">
        <v>433901</v>
      </c>
      <c r="J1142" s="7">
        <v>0.755</v>
      </c>
      <c r="K1142" s="1" t="s">
        <v>21</v>
      </c>
      <c r="L1142" s="1" t="s">
        <v>21</v>
      </c>
      <c r="M1142" s="1" t="s">
        <v>29</v>
      </c>
      <c r="N1142" s="1" t="s">
        <v>22</v>
      </c>
      <c r="O1142" s="1" t="str">
        <f t="shared" ca="1" si="9"/>
        <v>Please solve the LeetCode problem '1394. Find Lucky Integer in an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43" spans="1:15" x14ac:dyDescent="0.25">
      <c r="A1143" s="1">
        <v>2667</v>
      </c>
      <c r="B1143" s="2" t="str">
        <f>HYPERLINK("https://leetcode.com/problems/create-hello-world-function/", "Create Hello World Function")</f>
        <v>Create Hello World Function</v>
      </c>
      <c r="C1143" s="1">
        <v>1608</v>
      </c>
      <c r="D1143" s="1">
        <v>224</v>
      </c>
      <c r="E1143" s="3">
        <f t="shared" si="8"/>
        <v>0.87772925764192145</v>
      </c>
      <c r="G1143" s="1" t="s">
        <v>20</v>
      </c>
      <c r="H1143" s="1">
        <v>801080</v>
      </c>
      <c r="I1143" s="1">
        <v>977152</v>
      </c>
      <c r="J1143" s="7">
        <v>0.82</v>
      </c>
      <c r="K1143" s="1" t="s">
        <v>21</v>
      </c>
      <c r="L1143" s="1" t="s">
        <v>21</v>
      </c>
      <c r="M1143" s="1" t="s">
        <v>29</v>
      </c>
      <c r="N1143" s="1" t="s">
        <v>555</v>
      </c>
      <c r="O1143" s="1" t="str">
        <f t="shared" ca="1" si="9"/>
        <v>Please solve the LeetCode problem '2667. Create Hello World Function'.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44" spans="1:15" x14ac:dyDescent="0.25">
      <c r="A1144" s="1">
        <v>1975</v>
      </c>
      <c r="B1144" s="2" t="str">
        <f>HYPERLINK("https://leetcode.com/problems/maximum-matrix-sum/", "Maximum Matrix Sum")</f>
        <v>Maximum Matrix Sum</v>
      </c>
      <c r="C1144" s="1">
        <v>1605</v>
      </c>
      <c r="D1144" s="1">
        <v>74</v>
      </c>
      <c r="E1144" s="3">
        <f t="shared" si="8"/>
        <v>0.95592614651578323</v>
      </c>
      <c r="F1144" s="1" t="s">
        <v>405</v>
      </c>
      <c r="G1144" s="1" t="s">
        <v>24</v>
      </c>
      <c r="H1144" s="1">
        <v>230810</v>
      </c>
      <c r="I1144" s="1">
        <v>341427</v>
      </c>
      <c r="J1144" s="7">
        <v>0.67600000000000005</v>
      </c>
      <c r="K1144" s="1" t="s">
        <v>21</v>
      </c>
      <c r="L1144" s="1" t="s">
        <v>21</v>
      </c>
      <c r="M1144" s="1" t="s">
        <v>29</v>
      </c>
      <c r="N1144" s="1" t="s">
        <v>22</v>
      </c>
      <c r="O1144" s="1" t="str">
        <f t="shared" ca="1" si="9"/>
        <v>Please solve the LeetCode problem '1975. Maximum Matrix Sum'.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45" spans="1:15" x14ac:dyDescent="0.25">
      <c r="A1145" s="1">
        <v>1309</v>
      </c>
      <c r="B1145" s="2" t="str">
        <f>HYPERLINK("https://leetcode.com/problems/decrypt-string-from-alphabet-to-integer-mapping/", "Decrypt String from Alphabet to Integer Mapping")</f>
        <v>Decrypt String from Alphabet to Integer Mapping</v>
      </c>
      <c r="C1145" s="1">
        <v>1601</v>
      </c>
      <c r="D1145" s="1">
        <v>120</v>
      </c>
      <c r="E1145" s="3">
        <f t="shared" si="8"/>
        <v>0.93027309703660666</v>
      </c>
      <c r="F1145" s="1" t="s">
        <v>146</v>
      </c>
      <c r="G1145" s="1" t="s">
        <v>20</v>
      </c>
      <c r="H1145" s="1">
        <v>146488</v>
      </c>
      <c r="I1145" s="1">
        <v>182009</v>
      </c>
      <c r="J1145" s="7">
        <v>0.80500000000000005</v>
      </c>
      <c r="K1145" s="1" t="s">
        <v>21</v>
      </c>
      <c r="L1145" s="1" t="s">
        <v>29</v>
      </c>
      <c r="M1145" s="1" t="s">
        <v>29</v>
      </c>
      <c r="N1145" s="1" t="s">
        <v>22</v>
      </c>
      <c r="O1145" s="1" t="str">
        <f t="shared" ca="1" si="9"/>
        <v>Please solve the LeetCode problem '1309. Decrypt String from Alphabet to Integer Mapping'.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46" spans="1:15" x14ac:dyDescent="0.25">
      <c r="A1146" s="1">
        <v>487</v>
      </c>
      <c r="B1146" s="2" t="str">
        <f>HYPERLINK("https://leetcode.com/problems/max-consecutive-ones-ii/", "Max Consecutive Ones II")</f>
        <v>Max Consecutive Ones II</v>
      </c>
      <c r="C1146" s="1">
        <v>1599</v>
      </c>
      <c r="D1146" s="1">
        <v>27</v>
      </c>
      <c r="E1146" s="3">
        <f t="shared" si="8"/>
        <v>0.98339483394833949</v>
      </c>
      <c r="F1146" s="1" t="s">
        <v>239</v>
      </c>
      <c r="G1146" s="1" t="s">
        <v>24</v>
      </c>
      <c r="H1146" s="1">
        <v>180536</v>
      </c>
      <c r="I1146" s="1">
        <v>348056</v>
      </c>
      <c r="J1146" s="7">
        <v>0.51900000000000002</v>
      </c>
      <c r="K1146" s="1" t="s">
        <v>29</v>
      </c>
      <c r="L1146" s="1" t="s">
        <v>21</v>
      </c>
      <c r="M1146" s="1" t="s">
        <v>29</v>
      </c>
      <c r="N1146" s="1" t="s">
        <v>22</v>
      </c>
      <c r="O1146" s="1" t="str">
        <f t="shared" ca="1" si="9"/>
        <v>Please solve the LeetCode problem '487. Max Consecutive Ones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47" spans="1:15" x14ac:dyDescent="0.25">
      <c r="A1147" s="1">
        <v>1269</v>
      </c>
      <c r="B1147" s="2" t="str">
        <f>HYPERLINK("https://leetcode.com/problems/number-of-ways-to-stay-in-the-same-place-after-some-steps/", "Number of Ways to Stay in the Same Place After Some Steps")</f>
        <v>Number of Ways to Stay in the Same Place After Some Steps</v>
      </c>
      <c r="C1147" s="1">
        <v>1597</v>
      </c>
      <c r="D1147" s="1">
        <v>67</v>
      </c>
      <c r="E1147" s="3">
        <f t="shared" si="8"/>
        <v>0.95973557692307687</v>
      </c>
      <c r="F1147" s="1" t="s">
        <v>251</v>
      </c>
      <c r="G1147" s="1" t="s">
        <v>28</v>
      </c>
      <c r="H1147" s="1">
        <v>101455</v>
      </c>
      <c r="I1147" s="1">
        <v>202987</v>
      </c>
      <c r="J1147" s="7">
        <v>0.5</v>
      </c>
      <c r="K1147" s="1" t="s">
        <v>21</v>
      </c>
      <c r="L1147" s="1" t="s">
        <v>21</v>
      </c>
      <c r="M1147" s="1" t="s">
        <v>29</v>
      </c>
      <c r="N1147" s="1" t="s">
        <v>22</v>
      </c>
      <c r="O1147" s="1" t="str">
        <f t="shared" ca="1" si="9"/>
        <v>Please solve the LeetCode problem '1269. Number of Ways to Stay in the Same Place After Some Steps'.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48" spans="1:15" x14ac:dyDescent="0.25">
      <c r="A1148" s="1">
        <v>1508</v>
      </c>
      <c r="B1148" s="2" t="str">
        <f>HYPERLINK("https://leetcode.com/problems/range-sum-of-sorted-subarray-sums/", "Range Sum of Sorted Subarray Sums")</f>
        <v>Range Sum of Sorted Subarray Sums</v>
      </c>
      <c r="C1148" s="1">
        <v>1596</v>
      </c>
      <c r="D1148" s="1">
        <v>268</v>
      </c>
      <c r="E1148" s="3">
        <f t="shared" si="8"/>
        <v>0.85622317596566522</v>
      </c>
      <c r="F1148" s="1" t="s">
        <v>560</v>
      </c>
      <c r="G1148" s="1" t="s">
        <v>24</v>
      </c>
      <c r="H1148" s="1">
        <v>184668</v>
      </c>
      <c r="I1148" s="1">
        <v>292693</v>
      </c>
      <c r="J1148" s="7">
        <v>0.63100000000000001</v>
      </c>
      <c r="K1148" s="1" t="s">
        <v>21</v>
      </c>
      <c r="L1148" s="1" t="s">
        <v>21</v>
      </c>
      <c r="M1148" s="1" t="s">
        <v>29</v>
      </c>
      <c r="N1148" s="1" t="s">
        <v>22</v>
      </c>
      <c r="O1148" s="1" t="str">
        <f t="shared" ca="1" si="9"/>
        <v>Please solve the LeetCode problem '1508. Range Sum of Sorted Subarray Sums'.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49" spans="1:15" x14ac:dyDescent="0.25">
      <c r="A1149" s="1">
        <v>811</v>
      </c>
      <c r="B1149" s="2" t="str">
        <f>HYPERLINK("https://leetcode.com/problems/subdomain-visit-count/", "Subdomain Visit Count")</f>
        <v>Subdomain Visit Count</v>
      </c>
      <c r="C1149" s="1">
        <v>1594</v>
      </c>
      <c r="D1149" s="1">
        <v>1307</v>
      </c>
      <c r="E1149" s="3">
        <f t="shared" si="8"/>
        <v>0.54946570148224749</v>
      </c>
      <c r="F1149" s="1" t="s">
        <v>467</v>
      </c>
      <c r="G1149" s="1" t="s">
        <v>24</v>
      </c>
      <c r="H1149" s="1">
        <v>258368</v>
      </c>
      <c r="I1149" s="1">
        <v>335096</v>
      </c>
      <c r="J1149" s="7">
        <v>0.77100000000000002</v>
      </c>
      <c r="K1149" s="1" t="s">
        <v>21</v>
      </c>
      <c r="L1149" s="1" t="s">
        <v>21</v>
      </c>
      <c r="M1149" s="1" t="s">
        <v>29</v>
      </c>
      <c r="N1149" s="1" t="s">
        <v>22</v>
      </c>
      <c r="O1149" s="1" t="str">
        <f t="shared" ca="1" si="9"/>
        <v>Please solve the LeetCode problem '811. Subdomain Visit Count'.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50" spans="1:15" x14ac:dyDescent="0.25">
      <c r="A1150" s="1">
        <v>969</v>
      </c>
      <c r="B1150" s="2" t="str">
        <f>HYPERLINK("https://leetcode.com/problems/pancake-sorting/", "Pancake Sorting")</f>
        <v>Pancake Sorting</v>
      </c>
      <c r="C1150" s="1">
        <v>1592</v>
      </c>
      <c r="D1150" s="1">
        <v>1560</v>
      </c>
      <c r="E1150" s="3">
        <f t="shared" si="8"/>
        <v>0.50507614213197971</v>
      </c>
      <c r="F1150" s="1" t="s">
        <v>203</v>
      </c>
      <c r="G1150" s="1" t="s">
        <v>24</v>
      </c>
      <c r="H1150" s="1">
        <v>111662</v>
      </c>
      <c r="I1150" s="1">
        <v>155958</v>
      </c>
      <c r="J1150" s="7">
        <v>0.71599999999999997</v>
      </c>
      <c r="K1150" s="1" t="s">
        <v>21</v>
      </c>
      <c r="L1150" s="1" t="s">
        <v>21</v>
      </c>
      <c r="M1150" s="1" t="s">
        <v>29</v>
      </c>
      <c r="N1150" s="1" t="s">
        <v>22</v>
      </c>
      <c r="O1150" s="1" t="str">
        <f t="shared" ca="1" si="9"/>
        <v>Please solve the LeetCode problem '969. Pancake Sorting'.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51" spans="1:15" x14ac:dyDescent="0.25">
      <c r="A1151" s="1">
        <v>2302</v>
      </c>
      <c r="B1151" s="2" t="str">
        <f>HYPERLINK("https://leetcode.com/problems/count-subarrays-with-score-less-than-k/", "Count Subarrays With Score Less Than K")</f>
        <v>Count Subarrays With Score Less Than K</v>
      </c>
      <c r="C1151" s="1">
        <v>1591</v>
      </c>
      <c r="D1151" s="1">
        <v>61</v>
      </c>
      <c r="E1151" s="3">
        <f t="shared" si="8"/>
        <v>0.96307506053268765</v>
      </c>
      <c r="F1151" s="1" t="s">
        <v>88</v>
      </c>
      <c r="G1151" s="1" t="s">
        <v>28</v>
      </c>
      <c r="H1151" s="1">
        <v>142178</v>
      </c>
      <c r="I1151" s="1">
        <v>228154</v>
      </c>
      <c r="J1151" s="7">
        <v>0.623</v>
      </c>
      <c r="K1151" s="1" t="s">
        <v>21</v>
      </c>
      <c r="L1151" s="1" t="s">
        <v>21</v>
      </c>
      <c r="M1151" s="1" t="s">
        <v>29</v>
      </c>
      <c r="N1151" s="1" t="s">
        <v>22</v>
      </c>
      <c r="O1151" s="1" t="str">
        <f t="shared" ca="1" si="9"/>
        <v>Please solve the LeetCode problem '2302. Count Subarrays With Score Less Than K'.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52" spans="1:15" x14ac:dyDescent="0.25">
      <c r="A1152" s="1">
        <v>2620</v>
      </c>
      <c r="B1152" s="2" t="str">
        <f>HYPERLINK("https://leetcode.com/problems/counter/", "Counter")</f>
        <v>Counter</v>
      </c>
      <c r="C1152" s="1">
        <v>1589</v>
      </c>
      <c r="D1152" s="1">
        <v>127</v>
      </c>
      <c r="E1152" s="3">
        <f t="shared" si="8"/>
        <v>0.92599067599067597</v>
      </c>
      <c r="G1152" s="1" t="s">
        <v>20</v>
      </c>
      <c r="H1152" s="1">
        <v>673798</v>
      </c>
      <c r="I1152" s="1">
        <v>818209</v>
      </c>
      <c r="J1152" s="7">
        <v>0.82399999999999995</v>
      </c>
      <c r="K1152" s="1" t="s">
        <v>21</v>
      </c>
      <c r="L1152" s="1" t="s">
        <v>21</v>
      </c>
      <c r="M1152" s="1" t="s">
        <v>29</v>
      </c>
      <c r="N1152" s="1" t="s">
        <v>555</v>
      </c>
      <c r="O1152" s="1" t="str">
        <f t="shared" ca="1" si="9"/>
        <v>Please solve the LeetCode problem '2620. Counter'.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53" spans="1:15" x14ac:dyDescent="0.25">
      <c r="A1153" s="1">
        <v>715</v>
      </c>
      <c r="B1153" s="2" t="str">
        <f>HYPERLINK("https://leetcode.com/problems/range-module/", "Range Module")</f>
        <v>Range Module</v>
      </c>
      <c r="C1153" s="1">
        <v>1584</v>
      </c>
      <c r="D1153" s="1">
        <v>138</v>
      </c>
      <c r="E1153" s="3">
        <f t="shared" si="8"/>
        <v>0.91986062717770034</v>
      </c>
      <c r="F1153" s="1" t="s">
        <v>562</v>
      </c>
      <c r="G1153" s="1" t="s">
        <v>28</v>
      </c>
      <c r="H1153" s="1">
        <v>90791</v>
      </c>
      <c r="I1153" s="1">
        <v>203759</v>
      </c>
      <c r="J1153" s="7">
        <v>0.44600000000000001</v>
      </c>
      <c r="K1153" s="1" t="s">
        <v>21</v>
      </c>
      <c r="L1153" s="1" t="s">
        <v>21</v>
      </c>
      <c r="M1153" s="1" t="s">
        <v>29</v>
      </c>
      <c r="N1153" s="1" t="s">
        <v>22</v>
      </c>
      <c r="O1153" s="1" t="str">
        <f t="shared" ca="1" si="9"/>
        <v>Please solve the LeetCode problem '715. Range Module'.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54" spans="1:15" x14ac:dyDescent="0.25">
      <c r="A1154" s="1">
        <v>780</v>
      </c>
      <c r="B1154" s="2" t="str">
        <f>HYPERLINK("https://leetcode.com/problems/reaching-points/", "Reaching Points")</f>
        <v>Reaching Points</v>
      </c>
      <c r="C1154" s="1">
        <v>1581</v>
      </c>
      <c r="D1154" s="1">
        <v>237</v>
      </c>
      <c r="E1154" s="3">
        <f t="shared" si="8"/>
        <v>0.86963696369636967</v>
      </c>
      <c r="F1154" s="1" t="s">
        <v>84</v>
      </c>
      <c r="G1154" s="1" t="s">
        <v>28</v>
      </c>
      <c r="H1154" s="1">
        <v>79896</v>
      </c>
      <c r="I1154" s="1">
        <v>234103</v>
      </c>
      <c r="J1154" s="7">
        <v>0.34100000000000003</v>
      </c>
      <c r="K1154" s="1" t="s">
        <v>21</v>
      </c>
      <c r="L1154" s="1" t="s">
        <v>21</v>
      </c>
      <c r="M1154" s="1" t="s">
        <v>29</v>
      </c>
      <c r="N1154" s="1" t="s">
        <v>22</v>
      </c>
      <c r="O1154" s="1" t="str">
        <f t="shared" ca="1" si="9"/>
        <v>Please solve the LeetCode problem '780. Reaching Points'.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55" spans="1:15" x14ac:dyDescent="0.25">
      <c r="A1155" s="1">
        <v>1913</v>
      </c>
      <c r="B1155" s="2" t="str">
        <f>HYPERLINK("https://leetcode.com/problems/maximum-product-difference-between-two-pairs/", "Maximum Product Difference Between Two Pairs")</f>
        <v>Maximum Product Difference Between Two Pairs</v>
      </c>
      <c r="C1155" s="1">
        <v>1581</v>
      </c>
      <c r="D1155" s="1">
        <v>69</v>
      </c>
      <c r="E1155" s="3">
        <f t="shared" si="8"/>
        <v>0.95818181818181813</v>
      </c>
      <c r="F1155" s="1" t="s">
        <v>42</v>
      </c>
      <c r="G1155" s="1" t="s">
        <v>20</v>
      </c>
      <c r="H1155" s="1">
        <v>291808</v>
      </c>
      <c r="I1155" s="1">
        <v>351509</v>
      </c>
      <c r="J1155" s="7">
        <v>0.83</v>
      </c>
      <c r="K1155" s="1" t="s">
        <v>21</v>
      </c>
      <c r="L1155" s="1" t="s">
        <v>21</v>
      </c>
      <c r="M1155" s="1" t="s">
        <v>29</v>
      </c>
      <c r="N1155" s="1" t="s">
        <v>22</v>
      </c>
      <c r="O1155" s="1" t="str">
        <f t="shared" ca="1" si="9"/>
        <v>Please solve the LeetCode problem '1913. Maximum Product Difference Between Two Pairs'.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56" spans="1:15" x14ac:dyDescent="0.25">
      <c r="A1156" s="1">
        <v>1114</v>
      </c>
      <c r="B1156" s="2" t="str">
        <f>HYPERLINK("https://leetcode.com/problems/print-in-order/", "Print in Order")</f>
        <v>Print in Order</v>
      </c>
      <c r="C1156" s="1">
        <v>1580</v>
      </c>
      <c r="D1156" s="1">
        <v>219</v>
      </c>
      <c r="E1156" s="3">
        <f t="shared" si="8"/>
        <v>0.87826570316842689</v>
      </c>
      <c r="F1156" s="1" t="s">
        <v>561</v>
      </c>
      <c r="G1156" s="1" t="s">
        <v>20</v>
      </c>
      <c r="H1156" s="1">
        <v>224632</v>
      </c>
      <c r="I1156" s="1">
        <v>309608</v>
      </c>
      <c r="J1156" s="7">
        <v>0.72599999999999998</v>
      </c>
      <c r="K1156" s="1" t="s">
        <v>21</v>
      </c>
      <c r="L1156" s="1" t="s">
        <v>21</v>
      </c>
      <c r="M1156" s="1" t="s">
        <v>29</v>
      </c>
      <c r="N1156" s="1" t="s">
        <v>561</v>
      </c>
      <c r="O1156" s="1" t="str">
        <f t="shared" ca="1" si="9"/>
        <v>Please solve the LeetCode problem '1114. Print in Order'.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57" spans="1:15" x14ac:dyDescent="0.25">
      <c r="A1157" s="1">
        <v>1759</v>
      </c>
      <c r="B1157" s="2" t="str">
        <f>HYPERLINK("https://leetcode.com/problems/count-number-of-homogenous-substrings/", "Count Number of Homogenous Substrings")</f>
        <v>Count Number of Homogenous Substrings</v>
      </c>
      <c r="C1157" s="1">
        <v>1579</v>
      </c>
      <c r="D1157" s="1">
        <v>104</v>
      </c>
      <c r="E1157" s="3">
        <f t="shared" si="8"/>
        <v>0.93820558526440878</v>
      </c>
      <c r="F1157" s="1" t="s">
        <v>228</v>
      </c>
      <c r="G1157" s="1" t="s">
        <v>24</v>
      </c>
      <c r="H1157" s="1">
        <v>130119</v>
      </c>
      <c r="I1157" s="1">
        <v>226786</v>
      </c>
      <c r="J1157" s="7">
        <v>0.57399999999999995</v>
      </c>
      <c r="K1157" s="1" t="s">
        <v>21</v>
      </c>
      <c r="L1157" s="1" t="s">
        <v>21</v>
      </c>
      <c r="M1157" s="1" t="s">
        <v>29</v>
      </c>
      <c r="N1157" s="1" t="s">
        <v>22</v>
      </c>
      <c r="O1157" s="1" t="str">
        <f t="shared" ca="1" si="9"/>
        <v>Please solve the LeetCode problem '1759. Count Number of Homogenous Substrings'.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58" spans="1:15" x14ac:dyDescent="0.25">
      <c r="A1158" s="1">
        <v>1886</v>
      </c>
      <c r="B1158" s="2" t="str">
        <f>HYPERLINK("https://leetcode.com/problems/determine-whether-matrix-can-be-obtained-by-rotation/", "Determine Whether Matrix Can Be Obtained By Rotation")</f>
        <v>Determine Whether Matrix Can Be Obtained By Rotation</v>
      </c>
      <c r="C1158" s="1">
        <v>1577</v>
      </c>
      <c r="D1158" s="1">
        <v>148</v>
      </c>
      <c r="E1158" s="3">
        <f t="shared" si="8"/>
        <v>0.91420289855072467</v>
      </c>
      <c r="F1158" s="1" t="s">
        <v>266</v>
      </c>
      <c r="G1158" s="1" t="s">
        <v>20</v>
      </c>
      <c r="H1158" s="1">
        <v>94681</v>
      </c>
      <c r="I1158" s="1">
        <v>160353</v>
      </c>
      <c r="J1158" s="7">
        <v>0.59</v>
      </c>
      <c r="K1158" s="1" t="s">
        <v>21</v>
      </c>
      <c r="L1158" s="1" t="s">
        <v>29</v>
      </c>
      <c r="M1158" s="1" t="s">
        <v>29</v>
      </c>
      <c r="N1158" s="1" t="s">
        <v>22</v>
      </c>
      <c r="O1158" s="1" t="str">
        <f t="shared" ca="1" si="9"/>
        <v>Please solve the LeetCode problem '1886. Determine Whether Matrix Can Be Obtained By Rotation'.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59" spans="1:15" x14ac:dyDescent="0.25">
      <c r="A1159" s="1">
        <v>588</v>
      </c>
      <c r="B1159" s="2" t="str">
        <f>HYPERLINK("https://leetcode.com/problems/design-in-memory-file-system/", "Design In-Memory File System")</f>
        <v>Design In-Memory File System</v>
      </c>
      <c r="C1159" s="1">
        <v>1576</v>
      </c>
      <c r="D1159" s="1">
        <v>175</v>
      </c>
      <c r="E1159" s="3">
        <f t="shared" si="8"/>
        <v>0.90005711022272983</v>
      </c>
      <c r="F1159" s="1" t="s">
        <v>563</v>
      </c>
      <c r="G1159" s="1" t="s">
        <v>28</v>
      </c>
      <c r="H1159" s="1">
        <v>136009</v>
      </c>
      <c r="I1159" s="1">
        <v>281232</v>
      </c>
      <c r="J1159" s="7">
        <v>0.48399999999999999</v>
      </c>
      <c r="K1159" s="1" t="s">
        <v>29</v>
      </c>
      <c r="L1159" s="1" t="s">
        <v>21</v>
      </c>
      <c r="M1159" s="1" t="s">
        <v>29</v>
      </c>
      <c r="N1159" s="1" t="s">
        <v>22</v>
      </c>
      <c r="O1159" s="1" t="str">
        <f t="shared" ca="1" si="9"/>
        <v>Please solve the LeetCode problem '588. Design In-Memory File System'.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60" spans="1:15" x14ac:dyDescent="0.25">
      <c r="A1160" s="1">
        <v>1921</v>
      </c>
      <c r="B1160" s="2" t="str">
        <f>HYPERLINK("https://leetcode.com/problems/eliminate-maximum-number-of-monsters/", "Eliminate Maximum Number of Monsters")</f>
        <v>Eliminate Maximum Number of Monsters</v>
      </c>
      <c r="C1160" s="1">
        <v>1575</v>
      </c>
      <c r="D1160" s="1">
        <v>237</v>
      </c>
      <c r="E1160" s="3">
        <f t="shared" si="8"/>
        <v>0.86920529801324509</v>
      </c>
      <c r="F1160" s="1" t="s">
        <v>169</v>
      </c>
      <c r="G1160" s="1" t="s">
        <v>24</v>
      </c>
      <c r="H1160" s="1">
        <v>121495</v>
      </c>
      <c r="I1160" s="1">
        <v>238314</v>
      </c>
      <c r="J1160" s="7">
        <v>0.51</v>
      </c>
      <c r="K1160" s="1" t="s">
        <v>21</v>
      </c>
      <c r="L1160" s="1" t="s">
        <v>21</v>
      </c>
      <c r="M1160" s="1" t="s">
        <v>29</v>
      </c>
      <c r="N1160" s="1" t="s">
        <v>22</v>
      </c>
      <c r="O1160" s="1" t="str">
        <f t="shared" ca="1" si="9"/>
        <v>Please solve the LeetCode problem '1921. Eliminate Maximum Number of Monsters'.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61" spans="1:15" x14ac:dyDescent="0.25">
      <c r="A1161" s="1">
        <v>936</v>
      </c>
      <c r="B1161" s="2" t="str">
        <f>HYPERLINK("https://leetcode.com/problems/stamping-the-sequence/", "Stamping The Sequence")</f>
        <v>Stamping The Sequence</v>
      </c>
      <c r="C1161" s="1">
        <v>1573</v>
      </c>
      <c r="D1161" s="1">
        <v>222</v>
      </c>
      <c r="E1161" s="3">
        <f t="shared" si="8"/>
        <v>0.87632311977715882</v>
      </c>
      <c r="F1161" s="1" t="s">
        <v>565</v>
      </c>
      <c r="G1161" s="1" t="s">
        <v>28</v>
      </c>
      <c r="H1161" s="1">
        <v>63574</v>
      </c>
      <c r="I1161" s="1">
        <v>102317</v>
      </c>
      <c r="J1161" s="7">
        <v>0.621</v>
      </c>
      <c r="K1161" s="1" t="s">
        <v>21</v>
      </c>
      <c r="L1161" s="1" t="s">
        <v>21</v>
      </c>
      <c r="M1161" s="1" t="s">
        <v>29</v>
      </c>
      <c r="N1161" s="1" t="s">
        <v>22</v>
      </c>
      <c r="O1161" s="1" t="str">
        <f t="shared" ca="1" si="9"/>
        <v>Please solve the LeetCode problem '936. Stamping The Sequence'.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62" spans="1:15" x14ac:dyDescent="0.25">
      <c r="A1162" s="1">
        <v>1652</v>
      </c>
      <c r="B1162" s="2" t="str">
        <f>HYPERLINK("https://leetcode.com/problems/defuse-the-bomb/", "Defuse the Bomb")</f>
        <v>Defuse the Bomb</v>
      </c>
      <c r="C1162" s="1">
        <v>1571</v>
      </c>
      <c r="D1162" s="1">
        <v>178</v>
      </c>
      <c r="E1162" s="3">
        <f t="shared" si="8"/>
        <v>0.8982275586049171</v>
      </c>
      <c r="F1162" s="1" t="s">
        <v>295</v>
      </c>
      <c r="G1162" s="1" t="s">
        <v>20</v>
      </c>
      <c r="H1162" s="1">
        <v>210754</v>
      </c>
      <c r="I1162" s="1">
        <v>265944</v>
      </c>
      <c r="J1162" s="7">
        <v>0.79200000000000004</v>
      </c>
      <c r="K1162" s="1" t="s">
        <v>21</v>
      </c>
      <c r="L1162" s="1" t="s">
        <v>21</v>
      </c>
      <c r="M1162" s="1" t="s">
        <v>29</v>
      </c>
      <c r="N1162" s="1" t="s">
        <v>22</v>
      </c>
      <c r="O1162" s="1" t="str">
        <f t="shared" ca="1" si="9"/>
        <v>Please solve the LeetCode problem '1652. Defuse the Bomb'.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63" spans="1:15" x14ac:dyDescent="0.25">
      <c r="A1163" s="1">
        <v>2220</v>
      </c>
      <c r="B1163" s="2" t="str">
        <f>HYPERLINK("https://leetcode.com/problems/minimum-bit-flips-to-convert-number/", "Minimum Bit Flips to Convert Number")</f>
        <v>Minimum Bit Flips to Convert Number</v>
      </c>
      <c r="C1163" s="1">
        <v>1570</v>
      </c>
      <c r="D1163" s="1">
        <v>36</v>
      </c>
      <c r="E1163" s="3">
        <f t="shared" si="8"/>
        <v>0.97758405977584062</v>
      </c>
      <c r="F1163" s="1" t="s">
        <v>298</v>
      </c>
      <c r="G1163" s="1" t="s">
        <v>20</v>
      </c>
      <c r="H1163" s="1">
        <v>351180</v>
      </c>
      <c r="I1163" s="1">
        <v>400154</v>
      </c>
      <c r="J1163" s="7">
        <v>0.878</v>
      </c>
      <c r="K1163" s="1" t="s">
        <v>21</v>
      </c>
      <c r="L1163" s="1" t="s">
        <v>21</v>
      </c>
      <c r="M1163" s="1" t="s">
        <v>29</v>
      </c>
      <c r="N1163" s="1" t="s">
        <v>22</v>
      </c>
      <c r="O1163" s="1" t="str">
        <f t="shared" ca="1" si="9"/>
        <v>Please solve the LeetCode problem '2220. Minimum Bit Flips to Convert Number'.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64" spans="1:15" x14ac:dyDescent="0.25">
      <c r="A1164" s="1">
        <v>954</v>
      </c>
      <c r="B1164" s="2" t="str">
        <f>HYPERLINK("https://leetcode.com/problems/array-of-doubled-pairs/", "Array of Doubled Pairs")</f>
        <v>Array of Doubled Pairs</v>
      </c>
      <c r="C1164" s="1">
        <v>1569</v>
      </c>
      <c r="D1164" s="1">
        <v>184</v>
      </c>
      <c r="E1164" s="3">
        <f t="shared" si="8"/>
        <v>0.8950370792926412</v>
      </c>
      <c r="F1164" s="1" t="s">
        <v>333</v>
      </c>
      <c r="G1164" s="1" t="s">
        <v>24</v>
      </c>
      <c r="H1164" s="1">
        <v>103133</v>
      </c>
      <c r="I1164" s="1">
        <v>259850</v>
      </c>
      <c r="J1164" s="7">
        <v>0.39700000000000002</v>
      </c>
      <c r="K1164" s="1" t="s">
        <v>21</v>
      </c>
      <c r="L1164" s="1" t="s">
        <v>21</v>
      </c>
      <c r="M1164" s="1" t="s">
        <v>29</v>
      </c>
      <c r="N1164" s="1" t="s">
        <v>22</v>
      </c>
      <c r="O1164" s="1" t="str">
        <f t="shared" ca="1" si="9"/>
        <v>Please solve the LeetCode problem '954. Array of Doubled Pairs'.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65" spans="1:15" x14ac:dyDescent="0.25">
      <c r="A1165" s="1">
        <v>514</v>
      </c>
      <c r="B1165" s="2" t="str">
        <f>HYPERLINK("https://leetcode.com/problems/freedom-trail/", "Freedom Trail")</f>
        <v>Freedom Trail</v>
      </c>
      <c r="C1165" s="1">
        <v>1568</v>
      </c>
      <c r="D1165" s="1">
        <v>82</v>
      </c>
      <c r="E1165" s="3">
        <f t="shared" si="8"/>
        <v>0.95030303030303032</v>
      </c>
      <c r="F1165" s="1" t="s">
        <v>564</v>
      </c>
      <c r="G1165" s="1" t="s">
        <v>28</v>
      </c>
      <c r="H1165" s="1">
        <v>122366</v>
      </c>
      <c r="I1165" s="1">
        <v>206646</v>
      </c>
      <c r="J1165" s="7">
        <v>0.59199999999999997</v>
      </c>
      <c r="K1165" s="1" t="s">
        <v>21</v>
      </c>
      <c r="L1165" s="1" t="s">
        <v>21</v>
      </c>
      <c r="M1165" s="1" t="s">
        <v>29</v>
      </c>
      <c r="N1165" s="1" t="s">
        <v>22</v>
      </c>
      <c r="O1165" s="1" t="str">
        <f t="shared" ca="1" si="9"/>
        <v>Please solve the LeetCode problem '514. Freedom Trail'.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66" spans="1:15" x14ac:dyDescent="0.25">
      <c r="A1166" s="1">
        <v>1503</v>
      </c>
      <c r="B1166" s="2" t="str">
        <f>HYPERLINK("https://leetcode.com/problems/last-moment-before-all-ants-fall-out-of-a-plank/", "Last Moment Before All Ants Fall Out of a Plank")</f>
        <v>Last Moment Before All Ants Fall Out of a Plank</v>
      </c>
      <c r="C1166" s="1">
        <v>1568</v>
      </c>
      <c r="D1166" s="1">
        <v>436</v>
      </c>
      <c r="E1166" s="3">
        <f t="shared" si="8"/>
        <v>0.78243512974051899</v>
      </c>
      <c r="F1166" s="1" t="s">
        <v>566</v>
      </c>
      <c r="G1166" s="1" t="s">
        <v>24</v>
      </c>
      <c r="H1166" s="1">
        <v>97785</v>
      </c>
      <c r="I1166" s="1">
        <v>143369</v>
      </c>
      <c r="J1166" s="7">
        <v>0.68200000000000005</v>
      </c>
      <c r="K1166" s="1" t="s">
        <v>21</v>
      </c>
      <c r="L1166" s="1" t="s">
        <v>21</v>
      </c>
      <c r="M1166" s="1" t="s">
        <v>29</v>
      </c>
      <c r="N1166" s="1" t="s">
        <v>22</v>
      </c>
      <c r="O1166" s="1" t="str">
        <f t="shared" ca="1" si="9"/>
        <v>Please solve the LeetCode problem '1503. Last Moment Before All Ants Fall Out of a Plank'.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67" spans="1:15" x14ac:dyDescent="0.25">
      <c r="A1167" s="1">
        <v>2256</v>
      </c>
      <c r="B1167" s="2" t="str">
        <f>HYPERLINK("https://leetcode.com/problems/minimum-average-difference/", "Minimum Average Difference")</f>
        <v>Minimum Average Difference</v>
      </c>
      <c r="C1167" s="1">
        <v>1567</v>
      </c>
      <c r="D1167" s="1">
        <v>182</v>
      </c>
      <c r="E1167" s="3">
        <f t="shared" si="8"/>
        <v>0.89594053744997137</v>
      </c>
      <c r="F1167" s="1" t="s">
        <v>37</v>
      </c>
      <c r="G1167" s="1" t="s">
        <v>24</v>
      </c>
      <c r="H1167" s="1">
        <v>96377</v>
      </c>
      <c r="I1167" s="1">
        <v>220267</v>
      </c>
      <c r="J1167" s="7">
        <v>0.438</v>
      </c>
      <c r="K1167" s="1" t="s">
        <v>21</v>
      </c>
      <c r="L1167" s="1" t="s">
        <v>21</v>
      </c>
      <c r="M1167" s="1" t="s">
        <v>29</v>
      </c>
      <c r="N1167" s="1" t="s">
        <v>22</v>
      </c>
      <c r="O1167" s="1" t="str">
        <f t="shared" ca="1" si="9"/>
        <v>Please solve the LeetCode problem '2256. Minimum Average Difference'.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68" spans="1:15" x14ac:dyDescent="0.25">
      <c r="A1168" s="1">
        <v>271</v>
      </c>
      <c r="B1168" s="2" t="str">
        <f>HYPERLINK("https://leetcode.com/problems/encode-and-decode-strings/", "Encode and Decode Strings")</f>
        <v>Encode and Decode Strings</v>
      </c>
      <c r="C1168" s="1">
        <v>1566</v>
      </c>
      <c r="D1168" s="1">
        <v>451</v>
      </c>
      <c r="E1168" s="3">
        <f t="shared" si="8"/>
        <v>0.77640059494298463</v>
      </c>
      <c r="F1168" s="1" t="s">
        <v>567</v>
      </c>
      <c r="G1168" s="1" t="s">
        <v>24</v>
      </c>
      <c r="H1168" s="1">
        <v>292666</v>
      </c>
      <c r="I1168" s="1">
        <v>574030</v>
      </c>
      <c r="J1168" s="7">
        <v>0.51</v>
      </c>
      <c r="K1168" s="1" t="s">
        <v>29</v>
      </c>
      <c r="L1168" s="1" t="s">
        <v>21</v>
      </c>
      <c r="M1168" s="1" t="s">
        <v>29</v>
      </c>
      <c r="N1168" s="1" t="s">
        <v>22</v>
      </c>
      <c r="O1168" s="1" t="str">
        <f t="shared" ca="1" si="9"/>
        <v>Please solve the LeetCode problem '271. Encode and Decode Strings'.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69" spans="1:15" x14ac:dyDescent="0.25">
      <c r="A1169" s="1">
        <v>401</v>
      </c>
      <c r="B1169" s="2" t="str">
        <f>HYPERLINK("https://leetcode.com/problems/binary-watch/", "Binary Watch")</f>
        <v>Binary Watch</v>
      </c>
      <c r="C1169" s="1">
        <v>1564</v>
      </c>
      <c r="D1169" s="1">
        <v>2864</v>
      </c>
      <c r="E1169" s="3">
        <f t="shared" si="8"/>
        <v>0.35320686540198737</v>
      </c>
      <c r="F1169" s="1" t="s">
        <v>510</v>
      </c>
      <c r="G1169" s="1" t="s">
        <v>20</v>
      </c>
      <c r="H1169" s="1">
        <v>183225</v>
      </c>
      <c r="I1169" s="1">
        <v>316134</v>
      </c>
      <c r="J1169" s="7">
        <v>0.57999999999999996</v>
      </c>
      <c r="K1169" s="1" t="s">
        <v>21</v>
      </c>
      <c r="L1169" s="1" t="s">
        <v>29</v>
      </c>
      <c r="M1169" s="1" t="s">
        <v>29</v>
      </c>
      <c r="N1169" s="1" t="s">
        <v>22</v>
      </c>
      <c r="O1169" s="1" t="str">
        <f t="shared" ca="1" si="9"/>
        <v>Please solve the LeetCode problem '401. Binary Watch'.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70" spans="1:15" x14ac:dyDescent="0.25">
      <c r="A1170" s="1">
        <v>333</v>
      </c>
      <c r="B1170" s="2" t="str">
        <f>HYPERLINK("https://leetcode.com/problems/largest-bst-subtree/", "Largest BST Subtree")</f>
        <v>Largest BST Subtree</v>
      </c>
      <c r="C1170" s="1">
        <v>1563</v>
      </c>
      <c r="D1170" s="1">
        <v>147</v>
      </c>
      <c r="E1170" s="3">
        <f t="shared" si="8"/>
        <v>0.9140350877192982</v>
      </c>
      <c r="F1170" s="1" t="s">
        <v>379</v>
      </c>
      <c r="G1170" s="1" t="s">
        <v>24</v>
      </c>
      <c r="H1170" s="1">
        <v>127928</v>
      </c>
      <c r="I1170" s="1">
        <v>279454</v>
      </c>
      <c r="J1170" s="7">
        <v>0.45800000000000002</v>
      </c>
      <c r="K1170" s="1" t="s">
        <v>29</v>
      </c>
      <c r="L1170" s="1" t="s">
        <v>21</v>
      </c>
      <c r="M1170" s="1" t="s">
        <v>29</v>
      </c>
      <c r="N1170" s="1" t="s">
        <v>22</v>
      </c>
      <c r="O1170" s="1" t="str">
        <f t="shared" ca="1" si="9"/>
        <v>Please solve the LeetCode problem '333. Largest BST Subtree'.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71" spans="1:15" x14ac:dyDescent="0.25">
      <c r="A1171" s="1">
        <v>1197</v>
      </c>
      <c r="B1171" s="2" t="str">
        <f>HYPERLINK("https://leetcode.com/problems/minimum-knight-moves/", "Minimum Knight Moves")</f>
        <v>Minimum Knight Moves</v>
      </c>
      <c r="C1171" s="1">
        <v>1559</v>
      </c>
      <c r="D1171" s="1">
        <v>411</v>
      </c>
      <c r="E1171" s="3">
        <f t="shared" si="8"/>
        <v>0.79137055837563453</v>
      </c>
      <c r="F1171" s="1" t="s">
        <v>570</v>
      </c>
      <c r="G1171" s="1" t="s">
        <v>24</v>
      </c>
      <c r="H1171" s="1">
        <v>186255</v>
      </c>
      <c r="I1171" s="1">
        <v>447078</v>
      </c>
      <c r="J1171" s="7">
        <v>0.41699999999999998</v>
      </c>
      <c r="K1171" s="1" t="s">
        <v>29</v>
      </c>
      <c r="L1171" s="1" t="s">
        <v>21</v>
      </c>
      <c r="M1171" s="1" t="s">
        <v>29</v>
      </c>
      <c r="N1171" s="1" t="s">
        <v>22</v>
      </c>
      <c r="O1171" s="1" t="str">
        <f t="shared" ca="1" si="9"/>
        <v>Please solve the LeetCode problem '1197. Minimum Knight Moves'.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72" spans="1:15" x14ac:dyDescent="0.25">
      <c r="A1172" s="1">
        <v>1392</v>
      </c>
      <c r="B1172" s="2" t="str">
        <f>HYPERLINK("https://leetcode.com/problems/longest-happy-prefix/", "Longest Happy Prefix")</f>
        <v>Longest Happy Prefix</v>
      </c>
      <c r="C1172" s="1">
        <v>1559</v>
      </c>
      <c r="D1172" s="1">
        <v>46</v>
      </c>
      <c r="E1172" s="3">
        <f t="shared" si="8"/>
        <v>0.9713395638629283</v>
      </c>
      <c r="F1172" s="1" t="s">
        <v>283</v>
      </c>
      <c r="G1172" s="1" t="s">
        <v>28</v>
      </c>
      <c r="H1172" s="1">
        <v>85936</v>
      </c>
      <c r="I1172" s="1">
        <v>168279</v>
      </c>
      <c r="J1172" s="7">
        <v>0.51100000000000001</v>
      </c>
      <c r="K1172" s="1" t="s">
        <v>21</v>
      </c>
      <c r="L1172" s="1" t="s">
        <v>29</v>
      </c>
      <c r="M1172" s="1" t="s">
        <v>29</v>
      </c>
      <c r="N1172" s="1" t="s">
        <v>22</v>
      </c>
      <c r="O1172" s="1" t="str">
        <f t="shared" ca="1" si="9"/>
        <v>Please solve the LeetCode problem '1392. Longest Happy Prefix'.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73" spans="1:15" x14ac:dyDescent="0.25">
      <c r="A1173" s="1">
        <v>1366</v>
      </c>
      <c r="B1173" s="2" t="str">
        <f>HYPERLINK("https://leetcode.com/problems/rank-teams-by-votes/", "Rank Teams by Votes")</f>
        <v>Rank Teams by Votes</v>
      </c>
      <c r="C1173" s="1">
        <v>1558</v>
      </c>
      <c r="D1173" s="1">
        <v>197</v>
      </c>
      <c r="E1173" s="3">
        <f t="shared" si="8"/>
        <v>0.88774928774928774</v>
      </c>
      <c r="F1173" s="1" t="s">
        <v>569</v>
      </c>
      <c r="G1173" s="1" t="s">
        <v>24</v>
      </c>
      <c r="H1173" s="1">
        <v>100702</v>
      </c>
      <c r="I1173" s="1">
        <v>167927</v>
      </c>
      <c r="J1173" s="7">
        <v>0.6</v>
      </c>
      <c r="K1173" s="1" t="s">
        <v>21</v>
      </c>
      <c r="L1173" s="1" t="s">
        <v>29</v>
      </c>
      <c r="M1173" s="1" t="s">
        <v>29</v>
      </c>
      <c r="N1173" s="1" t="s">
        <v>22</v>
      </c>
      <c r="O1173" s="1" t="str">
        <f t="shared" ca="1" si="9"/>
        <v>Please solve the LeetCode problem '1366. Rank Teams by Votes'.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74" spans="1:15" x14ac:dyDescent="0.25">
      <c r="A1174" s="1">
        <v>1654</v>
      </c>
      <c r="B1174" s="2" t="str">
        <f>HYPERLINK("https://leetcode.com/problems/minimum-jumps-to-reach-home/", "Minimum Jumps to Reach Home")</f>
        <v>Minimum Jumps to Reach Home</v>
      </c>
      <c r="C1174" s="1">
        <v>1558</v>
      </c>
      <c r="D1174" s="1">
        <v>285</v>
      </c>
      <c r="E1174" s="3">
        <f t="shared" si="8"/>
        <v>0.84536082474226804</v>
      </c>
      <c r="F1174" s="1" t="s">
        <v>57</v>
      </c>
      <c r="G1174" s="1" t="s">
        <v>24</v>
      </c>
      <c r="H1174" s="1">
        <v>51713</v>
      </c>
      <c r="I1174" s="1">
        <v>169280</v>
      </c>
      <c r="J1174" s="7">
        <v>0.30499999999999999</v>
      </c>
      <c r="K1174" s="1" t="s">
        <v>21</v>
      </c>
      <c r="L1174" s="1" t="s">
        <v>29</v>
      </c>
      <c r="M1174" s="1" t="s">
        <v>29</v>
      </c>
      <c r="N1174" s="1" t="s">
        <v>22</v>
      </c>
      <c r="O1174" s="1" t="str">
        <f t="shared" ca="1" si="9"/>
        <v>Please solve the LeetCode problem '1654. Minimum Jumps to Reach Home'.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75" spans="1:15" x14ac:dyDescent="0.25">
      <c r="A1175" s="1">
        <v>1042</v>
      </c>
      <c r="B1175" s="2" t="str">
        <f>HYPERLINK("https://leetcode.com/problems/flower-planting-with-no-adjacent/", "Flower Planting With No Adjacent")</f>
        <v>Flower Planting With No Adjacent</v>
      </c>
      <c r="C1175" s="1">
        <v>1557</v>
      </c>
      <c r="D1175" s="1">
        <v>725</v>
      </c>
      <c r="E1175" s="3">
        <f t="shared" si="8"/>
        <v>0.68229623137598594</v>
      </c>
      <c r="F1175" s="1" t="s">
        <v>212</v>
      </c>
      <c r="G1175" s="1" t="s">
        <v>24</v>
      </c>
      <c r="H1175" s="1">
        <v>100896</v>
      </c>
      <c r="I1175" s="1">
        <v>189279</v>
      </c>
      <c r="J1175" s="7">
        <v>0.53300000000000003</v>
      </c>
      <c r="K1175" s="1" t="s">
        <v>21</v>
      </c>
      <c r="L1175" s="1" t="s">
        <v>29</v>
      </c>
      <c r="M1175" s="1" t="s">
        <v>29</v>
      </c>
      <c r="N1175" s="1" t="s">
        <v>22</v>
      </c>
      <c r="O1175" s="1" t="str">
        <f t="shared" ca="1" si="9"/>
        <v>Please solve the LeetCode problem '1042. Flower Planting With No Adjacent'.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76" spans="1:15" x14ac:dyDescent="0.25">
      <c r="A1176" s="1">
        <v>957</v>
      </c>
      <c r="B1176" s="2" t="str">
        <f>HYPERLINK("https://leetcode.com/problems/prison-cells-after-n-days/", "Prison Cells After N Days")</f>
        <v>Prison Cells After N Days</v>
      </c>
      <c r="C1176" s="1">
        <v>1556</v>
      </c>
      <c r="D1176" s="1">
        <v>1779</v>
      </c>
      <c r="E1176" s="3">
        <f t="shared" si="8"/>
        <v>0.46656671664167915</v>
      </c>
      <c r="F1176" s="1" t="s">
        <v>572</v>
      </c>
      <c r="G1176" s="1" t="s">
        <v>24</v>
      </c>
      <c r="H1176" s="1">
        <v>174721</v>
      </c>
      <c r="I1176" s="1">
        <v>446925</v>
      </c>
      <c r="J1176" s="7">
        <v>0.39100000000000001</v>
      </c>
      <c r="K1176" s="1" t="s">
        <v>21</v>
      </c>
      <c r="L1176" s="1" t="s">
        <v>21</v>
      </c>
      <c r="M1176" s="1" t="s">
        <v>29</v>
      </c>
      <c r="N1176" s="1" t="s">
        <v>22</v>
      </c>
      <c r="O1176" s="1" t="str">
        <f t="shared" ca="1" si="9"/>
        <v>Please solve the LeetCode problem '957. Prison Cells After N Days'.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77" spans="1:15" x14ac:dyDescent="0.25">
      <c r="A1177" s="1">
        <v>609</v>
      </c>
      <c r="B1177" s="2" t="str">
        <f>HYPERLINK("https://leetcode.com/problems/find-duplicate-file-in-system/", "Find Duplicate File in System")</f>
        <v>Find Duplicate File in System</v>
      </c>
      <c r="C1177" s="1">
        <v>1552</v>
      </c>
      <c r="D1177" s="1">
        <v>1656</v>
      </c>
      <c r="E1177" s="3">
        <f t="shared" si="8"/>
        <v>0.48379052369077308</v>
      </c>
      <c r="F1177" s="1" t="s">
        <v>258</v>
      </c>
      <c r="G1177" s="1" t="s">
        <v>24</v>
      </c>
      <c r="H1177" s="1">
        <v>172338</v>
      </c>
      <c r="I1177" s="1">
        <v>254911</v>
      </c>
      <c r="J1177" s="7">
        <v>0.67600000000000005</v>
      </c>
      <c r="K1177" s="1" t="s">
        <v>21</v>
      </c>
      <c r="L1177" s="1" t="s">
        <v>21</v>
      </c>
      <c r="M1177" s="1" t="s">
        <v>29</v>
      </c>
      <c r="N1177" s="1" t="s">
        <v>22</v>
      </c>
      <c r="O1177" s="1" t="str">
        <f t="shared" ca="1" si="9"/>
        <v>Please solve the LeetCode problem '609. Find Duplicate File in System'.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78" spans="1:15" x14ac:dyDescent="0.25">
      <c r="A1178" s="1">
        <v>2537</v>
      </c>
      <c r="B1178" s="2" t="str">
        <f>HYPERLINK("https://leetcode.com/problems/count-the-number-of-good-subarrays/", "Count the Number of Good Subarrays")</f>
        <v>Count the Number of Good Subarrays</v>
      </c>
      <c r="C1178" s="1">
        <v>1551</v>
      </c>
      <c r="D1178" s="1">
        <v>59</v>
      </c>
      <c r="E1178" s="3">
        <f t="shared" si="8"/>
        <v>0.9633540372670808</v>
      </c>
      <c r="F1178" s="1" t="s">
        <v>185</v>
      </c>
      <c r="G1178" s="1" t="s">
        <v>24</v>
      </c>
      <c r="H1178" s="1">
        <v>128586</v>
      </c>
      <c r="I1178" s="1">
        <v>195128</v>
      </c>
      <c r="J1178" s="7">
        <v>0.65900000000000003</v>
      </c>
      <c r="K1178" s="1" t="s">
        <v>21</v>
      </c>
      <c r="L1178" s="1" t="s">
        <v>21</v>
      </c>
      <c r="M1178" s="1" t="s">
        <v>29</v>
      </c>
      <c r="N1178" s="1" t="s">
        <v>22</v>
      </c>
      <c r="O1178" s="1" t="str">
        <f t="shared" ca="1" si="9"/>
        <v>Please solve the LeetCode problem '2537. Count the Number of Good Subarrays'.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79" spans="1:15" x14ac:dyDescent="0.25">
      <c r="A1179" s="1">
        <v>1496</v>
      </c>
      <c r="B1179" s="2" t="str">
        <f>HYPERLINK("https://leetcode.com/problems/path-crossing/", "Path Crossing")</f>
        <v>Path Crossing</v>
      </c>
      <c r="C1179" s="1">
        <v>1550</v>
      </c>
      <c r="D1179" s="1">
        <v>49</v>
      </c>
      <c r="E1179" s="3">
        <f t="shared" si="8"/>
        <v>0.96935584740462788</v>
      </c>
      <c r="F1179" s="1" t="s">
        <v>131</v>
      </c>
      <c r="G1179" s="1" t="s">
        <v>20</v>
      </c>
      <c r="H1179" s="1">
        <v>192303</v>
      </c>
      <c r="I1179" s="1">
        <v>307510</v>
      </c>
      <c r="J1179" s="7">
        <v>0.625</v>
      </c>
      <c r="K1179" s="1" t="s">
        <v>21</v>
      </c>
      <c r="L1179" s="1" t="s">
        <v>21</v>
      </c>
      <c r="M1179" s="1" t="s">
        <v>29</v>
      </c>
      <c r="N1179" s="1" t="s">
        <v>22</v>
      </c>
      <c r="O1179" s="1" t="str">
        <f t="shared" ca="1" si="9"/>
        <v>Please solve the LeetCode problem '1496. Path Crossing'.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80" spans="1:15" x14ac:dyDescent="0.25">
      <c r="A1180" s="1">
        <v>2236</v>
      </c>
      <c r="B1180" s="2" t="str">
        <f>HYPERLINK("https://leetcode.com/problems/root-equals-sum-of-children/", "Root Equals Sum of Children")</f>
        <v>Root Equals Sum of Children</v>
      </c>
      <c r="C1180" s="1">
        <v>1550</v>
      </c>
      <c r="D1180" s="1">
        <v>1639</v>
      </c>
      <c r="E1180" s="3">
        <f t="shared" si="8"/>
        <v>0.48604578237692064</v>
      </c>
      <c r="F1180" s="1" t="s">
        <v>571</v>
      </c>
      <c r="G1180" s="1" t="s">
        <v>20</v>
      </c>
      <c r="H1180" s="1">
        <v>338269</v>
      </c>
      <c r="I1180" s="1">
        <v>398878</v>
      </c>
      <c r="J1180" s="7">
        <v>0.84799999999999998</v>
      </c>
      <c r="K1180" s="1" t="s">
        <v>21</v>
      </c>
      <c r="L1180" s="1" t="s">
        <v>29</v>
      </c>
      <c r="M1180" s="1" t="s">
        <v>29</v>
      </c>
      <c r="N1180" s="1" t="s">
        <v>22</v>
      </c>
      <c r="O1180" s="1" t="str">
        <f t="shared" ca="1" si="9"/>
        <v>Please solve the LeetCode problem '2236. Root Equals Sum of Children'.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81" spans="1:15" x14ac:dyDescent="0.25">
      <c r="A1181" s="1">
        <v>2529</v>
      </c>
      <c r="B1181" s="2" t="str">
        <f>HYPERLINK("https://leetcode.com/problems/maximum-count-of-positive-integer-and-negative-integer/", "Maximum Count of Positive Integer and Negative Integer")</f>
        <v>Maximum Count of Positive Integer and Negative Integer</v>
      </c>
      <c r="C1181" s="1">
        <v>1546</v>
      </c>
      <c r="D1181" s="1">
        <v>87</v>
      </c>
      <c r="E1181" s="3">
        <f t="shared" si="8"/>
        <v>0.94672382118799758</v>
      </c>
      <c r="F1181" s="1" t="s">
        <v>568</v>
      </c>
      <c r="G1181" s="1" t="s">
        <v>20</v>
      </c>
      <c r="H1181" s="1">
        <v>348789</v>
      </c>
      <c r="I1181" s="1">
        <v>469085</v>
      </c>
      <c r="J1181" s="7">
        <v>0.74399999999999999</v>
      </c>
      <c r="K1181" s="1" t="s">
        <v>21</v>
      </c>
      <c r="L1181" s="1" t="s">
        <v>21</v>
      </c>
      <c r="M1181" s="1" t="s">
        <v>29</v>
      </c>
      <c r="N1181" s="1" t="s">
        <v>22</v>
      </c>
      <c r="O1181" s="1" t="str">
        <f t="shared" ca="1" si="9"/>
        <v>Please solve the LeetCode problem '2529. Maximum Count of Positive Integer and Negative Integer'.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82" spans="1:15" x14ac:dyDescent="0.25">
      <c r="A1182" s="1">
        <v>1104</v>
      </c>
      <c r="B1182" s="2" t="str">
        <f>HYPERLINK("https://leetcode.com/problems/path-in-zigzag-labelled-binary-tree/", "Path In Zigzag Labelled Binary Tree")</f>
        <v>Path In Zigzag Labelled Binary Tree</v>
      </c>
      <c r="C1182" s="1">
        <v>1541</v>
      </c>
      <c r="D1182" s="1">
        <v>329</v>
      </c>
      <c r="E1182" s="3">
        <f t="shared" si="8"/>
        <v>0.82406417112299468</v>
      </c>
      <c r="F1182" s="1" t="s">
        <v>575</v>
      </c>
      <c r="G1182" s="1" t="s">
        <v>24</v>
      </c>
      <c r="H1182" s="1">
        <v>52577</v>
      </c>
      <c r="I1182" s="1">
        <v>69433</v>
      </c>
      <c r="J1182" s="7">
        <v>0.75700000000000001</v>
      </c>
      <c r="K1182" s="1" t="s">
        <v>21</v>
      </c>
      <c r="L1182" s="1" t="s">
        <v>29</v>
      </c>
      <c r="M1182" s="1" t="s">
        <v>29</v>
      </c>
      <c r="N1182" s="1" t="s">
        <v>22</v>
      </c>
      <c r="O1182" s="1" t="str">
        <f t="shared" ca="1" si="9"/>
        <v>Please solve the LeetCode problem '1104. Path In Zigzag Labelled Binary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83" spans="1:15" x14ac:dyDescent="0.25">
      <c r="A1183" s="1">
        <v>2331</v>
      </c>
      <c r="B1183" s="2" t="str">
        <f>HYPERLINK("https://leetcode.com/problems/evaluate-boolean-binary-tree/", "Evaluate Boolean Binary Tree")</f>
        <v>Evaluate Boolean Binary Tree</v>
      </c>
      <c r="C1183" s="1">
        <v>1540</v>
      </c>
      <c r="D1183" s="1">
        <v>43</v>
      </c>
      <c r="E1183" s="3">
        <f t="shared" si="8"/>
        <v>0.97283638660770688</v>
      </c>
      <c r="F1183" s="1" t="s">
        <v>67</v>
      </c>
      <c r="G1183" s="1" t="s">
        <v>20</v>
      </c>
      <c r="H1183" s="1">
        <v>221520</v>
      </c>
      <c r="I1183" s="1">
        <v>268790</v>
      </c>
      <c r="J1183" s="7">
        <v>0.82399999999999995</v>
      </c>
      <c r="K1183" s="1" t="s">
        <v>21</v>
      </c>
      <c r="L1183" s="1" t="s">
        <v>21</v>
      </c>
      <c r="M1183" s="1" t="s">
        <v>29</v>
      </c>
      <c r="N1183" s="1" t="s">
        <v>22</v>
      </c>
      <c r="O1183" s="1" t="str">
        <f t="shared" ca="1" si="9"/>
        <v>Please solve the LeetCode problem '2331. Evaluate Boolean Binary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84" spans="1:15" x14ac:dyDescent="0.25">
      <c r="A1184" s="1">
        <v>2458</v>
      </c>
      <c r="B1184" s="2" t="str">
        <f>HYPERLINK("https://leetcode.com/problems/height-of-binary-tree-after-subtree-removal-queries/", "Height of Binary Tree After Subtree Removal Queries")</f>
        <v>Height of Binary Tree After Subtree Removal Queries</v>
      </c>
      <c r="C1184" s="1">
        <v>1540</v>
      </c>
      <c r="D1184" s="1">
        <v>38</v>
      </c>
      <c r="E1184" s="3">
        <f t="shared" si="8"/>
        <v>0.97591888466413179</v>
      </c>
      <c r="F1184" s="1" t="s">
        <v>574</v>
      </c>
      <c r="G1184" s="1" t="s">
        <v>28</v>
      </c>
      <c r="H1184" s="1">
        <v>103749</v>
      </c>
      <c r="I1184" s="1">
        <v>189055</v>
      </c>
      <c r="J1184" s="7">
        <v>0.54900000000000004</v>
      </c>
      <c r="K1184" s="1" t="s">
        <v>21</v>
      </c>
      <c r="L1184" s="1" t="s">
        <v>21</v>
      </c>
      <c r="M1184" s="1" t="s">
        <v>29</v>
      </c>
      <c r="N1184" s="1" t="s">
        <v>22</v>
      </c>
      <c r="O1184" s="1" t="str">
        <f t="shared" ca="1" si="9"/>
        <v>Please solve the LeetCode problem '2458. Height of Binary Tree After Subtree Removal Queries'.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85" spans="1:15" x14ac:dyDescent="0.25">
      <c r="A1185" s="1">
        <v>1856</v>
      </c>
      <c r="B1185" s="2" t="str">
        <f>HYPERLINK("https://leetcode.com/problems/maximum-subarray-min-product/", "Maximum Subarray Min-Product")</f>
        <v>Maximum Subarray Min-Product</v>
      </c>
      <c r="C1185" s="1">
        <v>1538</v>
      </c>
      <c r="D1185" s="1">
        <v>143</v>
      </c>
      <c r="E1185" s="3">
        <f t="shared" si="8"/>
        <v>0.91493158834027366</v>
      </c>
      <c r="F1185" s="1" t="s">
        <v>573</v>
      </c>
      <c r="G1185" s="1" t="s">
        <v>24</v>
      </c>
      <c r="H1185" s="1">
        <v>38183</v>
      </c>
      <c r="I1185" s="1">
        <v>95996</v>
      </c>
      <c r="J1185" s="7">
        <v>0.39800000000000002</v>
      </c>
      <c r="K1185" s="1" t="s">
        <v>21</v>
      </c>
      <c r="L1185" s="1" t="s">
        <v>29</v>
      </c>
      <c r="M1185" s="1" t="s">
        <v>29</v>
      </c>
      <c r="N1185" s="1" t="s">
        <v>22</v>
      </c>
      <c r="O1185" s="1" t="str">
        <f t="shared" ca="1" si="9"/>
        <v>Please solve the LeetCode problem '1856. Maximum Subarray Min-Product'.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86" spans="1:15" x14ac:dyDescent="0.25">
      <c r="A1186" s="1">
        <v>587</v>
      </c>
      <c r="B1186" s="2" t="str">
        <f>HYPERLINK("https://leetcode.com/problems/erect-the-fence/", "Erect the Fence")</f>
        <v>Erect the Fence</v>
      </c>
      <c r="C1186" s="1">
        <v>1535</v>
      </c>
      <c r="D1186" s="1">
        <v>649</v>
      </c>
      <c r="E1186" s="3">
        <f t="shared" si="8"/>
        <v>0.70283882783882778</v>
      </c>
      <c r="F1186" s="1" t="s">
        <v>397</v>
      </c>
      <c r="G1186" s="1" t="s">
        <v>28</v>
      </c>
      <c r="H1186" s="1">
        <v>65653</v>
      </c>
      <c r="I1186" s="1">
        <v>124708</v>
      </c>
      <c r="J1186" s="7">
        <v>0.52600000000000002</v>
      </c>
      <c r="K1186" s="1" t="s">
        <v>21</v>
      </c>
      <c r="L1186" s="1" t="s">
        <v>21</v>
      </c>
      <c r="M1186" s="1" t="s">
        <v>29</v>
      </c>
      <c r="N1186" s="1" t="s">
        <v>22</v>
      </c>
      <c r="O1186" s="1" t="str">
        <f t="shared" ca="1" si="9"/>
        <v>Please solve the LeetCode problem '587. Erect the Fence'.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87" spans="1:15" x14ac:dyDescent="0.25">
      <c r="A1187" s="1">
        <v>764</v>
      </c>
      <c r="B1187" s="2" t="str">
        <f>HYPERLINK("https://leetcode.com/problems/largest-plus-sign/", "Largest Plus Sign")</f>
        <v>Largest Plus Sign</v>
      </c>
      <c r="C1187" s="1">
        <v>1533</v>
      </c>
      <c r="D1187" s="1">
        <v>241</v>
      </c>
      <c r="E1187" s="3">
        <f t="shared" si="8"/>
        <v>0.86414881623449835</v>
      </c>
      <c r="F1187" s="1" t="s">
        <v>30</v>
      </c>
      <c r="G1187" s="1" t="s">
        <v>24</v>
      </c>
      <c r="H1187" s="1">
        <v>68492</v>
      </c>
      <c r="I1187" s="1">
        <v>139823</v>
      </c>
      <c r="J1187" s="7">
        <v>0.49</v>
      </c>
      <c r="K1187" s="1" t="s">
        <v>21</v>
      </c>
      <c r="L1187" s="1" t="s">
        <v>21</v>
      </c>
      <c r="M1187" s="1" t="s">
        <v>29</v>
      </c>
      <c r="N1187" s="1" t="s">
        <v>22</v>
      </c>
      <c r="O1187" s="1" t="str">
        <f t="shared" ca="1" si="9"/>
        <v>Please solve the LeetCode problem '764. Largest Plus Sign'.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88" spans="1:15" x14ac:dyDescent="0.25">
      <c r="A1188" s="1">
        <v>1781</v>
      </c>
      <c r="B1188" s="2" t="str">
        <f>HYPERLINK("https://leetcode.com/problems/sum-of-beauty-of-all-substrings/", "Sum of Beauty of All Substrings")</f>
        <v>Sum of Beauty of All Substrings</v>
      </c>
      <c r="C1188" s="1">
        <v>1533</v>
      </c>
      <c r="D1188" s="1">
        <v>222</v>
      </c>
      <c r="E1188" s="3">
        <f t="shared" si="8"/>
        <v>0.87350427350427351</v>
      </c>
      <c r="F1188" s="1" t="s">
        <v>237</v>
      </c>
      <c r="G1188" s="1" t="s">
        <v>24</v>
      </c>
      <c r="H1188" s="1">
        <v>166317</v>
      </c>
      <c r="I1188" s="1">
        <v>227164</v>
      </c>
      <c r="J1188" s="7">
        <v>0.73199999999999998</v>
      </c>
      <c r="K1188" s="1" t="s">
        <v>21</v>
      </c>
      <c r="L1188" s="1" t="s">
        <v>29</v>
      </c>
      <c r="M1188" s="1" t="s">
        <v>29</v>
      </c>
      <c r="N1188" s="1" t="s">
        <v>22</v>
      </c>
      <c r="O1188" s="1" t="str">
        <f t="shared" ca="1" si="9"/>
        <v>Please solve the LeetCode problem '1781. Sum of Beauty of All Substrings'.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89" spans="1:15" x14ac:dyDescent="0.25">
      <c r="A1189" s="1">
        <v>2221</v>
      </c>
      <c r="B1189" s="2" t="str">
        <f>HYPERLINK("https://leetcode.com/problems/find-triangular-sum-of-an-array/", "Find Triangular Sum of an Array")</f>
        <v>Find Triangular Sum of an Array</v>
      </c>
      <c r="C1189" s="1">
        <v>1533</v>
      </c>
      <c r="D1189" s="1">
        <v>77</v>
      </c>
      <c r="E1189" s="3">
        <f t="shared" si="8"/>
        <v>0.95217391304347831</v>
      </c>
      <c r="F1189" s="1" t="s">
        <v>1362</v>
      </c>
      <c r="G1189" s="1" t="s">
        <v>24</v>
      </c>
      <c r="H1189" s="1">
        <v>233062</v>
      </c>
      <c r="I1189" s="1">
        <v>284331</v>
      </c>
      <c r="J1189" s="7">
        <v>0.82</v>
      </c>
      <c r="K1189" s="1" t="s">
        <v>21</v>
      </c>
      <c r="L1189" s="1" t="s">
        <v>21</v>
      </c>
      <c r="M1189" s="1" t="s">
        <v>29</v>
      </c>
      <c r="N1189" s="1" t="s">
        <v>22</v>
      </c>
      <c r="O1189" s="1" t="str">
        <f t="shared" ca="1" si="9"/>
        <v>Please solve the LeetCode problem '2221. Find Triangular Sum of an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90" spans="1:15" x14ac:dyDescent="0.25">
      <c r="A1190" s="1">
        <v>848</v>
      </c>
      <c r="B1190" s="2" t="str">
        <f>HYPERLINK("https://leetcode.com/problems/shifting-letters/", "Shifting Letters")</f>
        <v>Shifting Letters</v>
      </c>
      <c r="C1190" s="1">
        <v>1532</v>
      </c>
      <c r="D1190" s="1">
        <v>141</v>
      </c>
      <c r="E1190" s="3">
        <f t="shared" si="8"/>
        <v>0.91572026300059772</v>
      </c>
      <c r="F1190" s="1" t="s">
        <v>372</v>
      </c>
      <c r="G1190" s="1" t="s">
        <v>24</v>
      </c>
      <c r="H1190" s="1">
        <v>131939</v>
      </c>
      <c r="I1190" s="1">
        <v>286942</v>
      </c>
      <c r="J1190" s="7">
        <v>0.46</v>
      </c>
      <c r="K1190" s="1" t="s">
        <v>21</v>
      </c>
      <c r="L1190" s="1" t="s">
        <v>21</v>
      </c>
      <c r="M1190" s="1" t="s">
        <v>29</v>
      </c>
      <c r="N1190" s="1" t="s">
        <v>22</v>
      </c>
      <c r="O1190" s="1" t="str">
        <f t="shared" ca="1" si="9"/>
        <v>Please solve the LeetCode problem '848. Shifting Letters'.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91" spans="1:15" x14ac:dyDescent="0.25">
      <c r="A1191" s="1">
        <v>1884</v>
      </c>
      <c r="B1191" s="2" t="str">
        <f>HYPERLINK("https://leetcode.com/problems/egg-drop-with-2-eggs-and-n-floors/", "Egg Drop With 2 Eggs and N Floors")</f>
        <v>Egg Drop With 2 Eggs and N Floors</v>
      </c>
      <c r="C1191" s="1">
        <v>1532</v>
      </c>
      <c r="D1191" s="1">
        <v>162</v>
      </c>
      <c r="E1191" s="3">
        <f t="shared" si="8"/>
        <v>0.90436835891381351</v>
      </c>
      <c r="F1191" s="1" t="s">
        <v>250</v>
      </c>
      <c r="G1191" s="1" t="s">
        <v>24</v>
      </c>
      <c r="H1191" s="1">
        <v>62462</v>
      </c>
      <c r="I1191" s="1">
        <v>83871</v>
      </c>
      <c r="J1191" s="7">
        <v>0.745</v>
      </c>
      <c r="K1191" s="1" t="s">
        <v>21</v>
      </c>
      <c r="L1191" s="1" t="s">
        <v>29</v>
      </c>
      <c r="M1191" s="1" t="s">
        <v>29</v>
      </c>
      <c r="N1191" s="1" t="s">
        <v>22</v>
      </c>
      <c r="O1191" s="1" t="str">
        <f t="shared" ca="1" si="9"/>
        <v>Please solve the LeetCode problem '1884. Egg Drop With 2 Eggs and N Floors'.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92" spans="1:15" x14ac:dyDescent="0.25">
      <c r="A1192" s="1">
        <v>1650</v>
      </c>
      <c r="B1192" s="2" t="str">
        <f>HYPERLINK("https://leetcode.com/problems/lowest-common-ancestor-of-a-binary-tree-iii/", "Lowest Common Ancestor of a Binary Tree III")</f>
        <v>Lowest Common Ancestor of a Binary Tree III</v>
      </c>
      <c r="C1192" s="1">
        <v>1530</v>
      </c>
      <c r="D1192" s="1">
        <v>60</v>
      </c>
      <c r="E1192" s="3">
        <f t="shared" si="8"/>
        <v>0.96226415094339623</v>
      </c>
      <c r="F1192" s="1" t="s">
        <v>581</v>
      </c>
      <c r="G1192" s="1" t="s">
        <v>24</v>
      </c>
      <c r="H1192" s="1">
        <v>400688</v>
      </c>
      <c r="I1192" s="1">
        <v>483312</v>
      </c>
      <c r="J1192" s="7">
        <v>0.82899999999999996</v>
      </c>
      <c r="K1192" s="1" t="s">
        <v>29</v>
      </c>
      <c r="L1192" s="1" t="s">
        <v>29</v>
      </c>
      <c r="M1192" s="1" t="s">
        <v>29</v>
      </c>
      <c r="N1192" s="1" t="s">
        <v>22</v>
      </c>
      <c r="O1192" s="1" t="str">
        <f t="shared" ca="1" si="9"/>
        <v>Please solve the LeetCode problem '1650. Lowest Common Ancestor of a Binary Tree III'.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93" spans="1:15" x14ac:dyDescent="0.25">
      <c r="A1193" s="1">
        <v>1991</v>
      </c>
      <c r="B1193" s="2" t="str">
        <f>HYPERLINK("https://leetcode.com/problems/find-the-middle-index-in-array/", "Find the Middle Index in Array")</f>
        <v>Find the Middle Index in Array</v>
      </c>
      <c r="C1193" s="1">
        <v>1530</v>
      </c>
      <c r="D1193" s="1">
        <v>80</v>
      </c>
      <c r="E1193" s="3">
        <f t="shared" si="8"/>
        <v>0.9503105590062112</v>
      </c>
      <c r="F1193" s="1" t="s">
        <v>37</v>
      </c>
      <c r="G1193" s="1" t="s">
        <v>20</v>
      </c>
      <c r="H1193" s="1">
        <v>153286</v>
      </c>
      <c r="I1193" s="1">
        <v>222478</v>
      </c>
      <c r="J1193" s="7">
        <v>0.68899999999999995</v>
      </c>
      <c r="K1193" s="1" t="s">
        <v>21</v>
      </c>
      <c r="L1193" s="1" t="s">
        <v>29</v>
      </c>
      <c r="M1193" s="1" t="s">
        <v>29</v>
      </c>
      <c r="N1193" s="1" t="s">
        <v>22</v>
      </c>
      <c r="O1193" s="1" t="str">
        <f t="shared" ca="1" si="9"/>
        <v>Please solve the LeetCode problem '1991. Find the Middle Index in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94" spans="1:15" x14ac:dyDescent="0.25">
      <c r="A1194" s="1">
        <v>1598</v>
      </c>
      <c r="B1194" s="2" t="str">
        <f>HYPERLINK("https://leetcode.com/problems/crawler-log-folder/", "Crawler Log Folder")</f>
        <v>Crawler Log Folder</v>
      </c>
      <c r="C1194" s="1">
        <v>1529</v>
      </c>
      <c r="D1194" s="1">
        <v>99</v>
      </c>
      <c r="E1194" s="3">
        <f t="shared" si="8"/>
        <v>0.93918918918918914</v>
      </c>
      <c r="F1194" s="1" t="s">
        <v>577</v>
      </c>
      <c r="G1194" s="1" t="s">
        <v>20</v>
      </c>
      <c r="H1194" s="1">
        <v>284774</v>
      </c>
      <c r="I1194" s="1">
        <v>397590</v>
      </c>
      <c r="J1194" s="7">
        <v>0.71599999999999997</v>
      </c>
      <c r="K1194" s="1" t="s">
        <v>21</v>
      </c>
      <c r="L1194" s="1" t="s">
        <v>21</v>
      </c>
      <c r="M1194" s="1" t="s">
        <v>29</v>
      </c>
      <c r="N1194" s="1" t="s">
        <v>22</v>
      </c>
      <c r="O1194" s="1" t="str">
        <f t="shared" ca="1" si="9"/>
        <v>Please solve the LeetCode problem '1598. Crawler Log Folder'.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95" spans="1:15" x14ac:dyDescent="0.25">
      <c r="A1195" s="1">
        <v>1415</v>
      </c>
      <c r="B1195" s="2" t="str">
        <f>HYPERLINK("https://leetcode.com/problems/the-k-th-lexicographical-string-of-all-happy-strings-of-length-n/", "The k-th Lexicographical String of All Happy Strings of Length n")</f>
        <v>The k-th Lexicographical String of All Happy Strings of Length n</v>
      </c>
      <c r="C1195" s="1">
        <v>1528</v>
      </c>
      <c r="D1195" s="1">
        <v>45</v>
      </c>
      <c r="E1195" s="3">
        <f t="shared" si="8"/>
        <v>0.97139224411951686</v>
      </c>
      <c r="F1195" s="1" t="s">
        <v>238</v>
      </c>
      <c r="G1195" s="1" t="s">
        <v>24</v>
      </c>
      <c r="H1195" s="1">
        <v>181819</v>
      </c>
      <c r="I1195" s="1">
        <v>213278</v>
      </c>
      <c r="J1195" s="7">
        <v>0.85199999999999998</v>
      </c>
      <c r="K1195" s="1" t="s">
        <v>21</v>
      </c>
      <c r="L1195" s="1" t="s">
        <v>21</v>
      </c>
      <c r="M1195" s="1" t="s">
        <v>29</v>
      </c>
      <c r="N1195" s="1" t="s">
        <v>22</v>
      </c>
      <c r="O1195" s="1" t="str">
        <f t="shared" ca="1" si="9"/>
        <v>Please solve the LeetCode problem '1415. The k-th Lexicographical String of All Happy Strings of Length 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96" spans="1:15" x14ac:dyDescent="0.25">
      <c r="A1196" s="1">
        <v>1765</v>
      </c>
      <c r="B1196" s="2" t="str">
        <f>HYPERLINK("https://leetcode.com/problems/map-of-highest-peak/", "Map of Highest Peak")</f>
        <v>Map of Highest Peak</v>
      </c>
      <c r="C1196" s="1">
        <v>1528</v>
      </c>
      <c r="D1196" s="1">
        <v>112</v>
      </c>
      <c r="E1196" s="3">
        <f t="shared" si="8"/>
        <v>0.93170731707317078</v>
      </c>
      <c r="F1196" s="1" t="s">
        <v>86</v>
      </c>
      <c r="G1196" s="1" t="s">
        <v>24</v>
      </c>
      <c r="H1196" s="1">
        <v>155531</v>
      </c>
      <c r="I1196" s="1">
        <v>205926</v>
      </c>
      <c r="J1196" s="7">
        <v>0.755</v>
      </c>
      <c r="K1196" s="1" t="s">
        <v>21</v>
      </c>
      <c r="L1196" s="1" t="s">
        <v>21</v>
      </c>
      <c r="M1196" s="1" t="s">
        <v>29</v>
      </c>
      <c r="N1196" s="1" t="s">
        <v>22</v>
      </c>
      <c r="O1196" s="1" t="str">
        <f t="shared" ca="1" si="9"/>
        <v>Please solve the LeetCode problem '1765. Map of Highest Peak'.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97" spans="1:15" x14ac:dyDescent="0.25">
      <c r="A1197" s="1">
        <v>467</v>
      </c>
      <c r="B1197" s="2" t="str">
        <f>HYPERLINK("https://leetcode.com/problems/unique-substrings-in-wraparound-string/", "Unique Substrings in Wraparound String")</f>
        <v>Unique Substrings in Wraparound String</v>
      </c>
      <c r="C1197" s="1">
        <v>1525</v>
      </c>
      <c r="D1197" s="1">
        <v>191</v>
      </c>
      <c r="E1197" s="3">
        <f t="shared" si="8"/>
        <v>0.88869463869463872</v>
      </c>
      <c r="F1197" s="1" t="s">
        <v>82</v>
      </c>
      <c r="G1197" s="1" t="s">
        <v>24</v>
      </c>
      <c r="H1197" s="1">
        <v>55020</v>
      </c>
      <c r="I1197" s="1">
        <v>129465</v>
      </c>
      <c r="J1197" s="7">
        <v>0.42499999999999999</v>
      </c>
      <c r="K1197" s="1" t="s">
        <v>21</v>
      </c>
      <c r="L1197" s="1" t="s">
        <v>29</v>
      </c>
      <c r="M1197" s="1" t="s">
        <v>29</v>
      </c>
      <c r="N1197" s="1" t="s">
        <v>22</v>
      </c>
      <c r="O1197" s="1" t="str">
        <f t="shared" ca="1" si="9"/>
        <v>Please solve the LeetCode problem '467. Unique Substrings in Wraparound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98" spans="1:15" x14ac:dyDescent="0.25">
      <c r="A1198" s="1">
        <v>465</v>
      </c>
      <c r="B1198" s="2" t="str">
        <f>HYPERLINK("https://leetcode.com/problems/optimal-account-balancing/", "Optimal Account Balancing")</f>
        <v>Optimal Account Balancing</v>
      </c>
      <c r="C1198" s="1">
        <v>1524</v>
      </c>
      <c r="D1198" s="1">
        <v>163</v>
      </c>
      <c r="E1198" s="3">
        <f t="shared" si="8"/>
        <v>0.90337877889745111</v>
      </c>
      <c r="F1198" s="1" t="s">
        <v>1354</v>
      </c>
      <c r="G1198" s="1" t="s">
        <v>28</v>
      </c>
      <c r="H1198" s="1">
        <v>111956</v>
      </c>
      <c r="I1198" s="1">
        <v>222923</v>
      </c>
      <c r="J1198" s="7">
        <v>0.502</v>
      </c>
      <c r="K1198" s="1" t="s">
        <v>29</v>
      </c>
      <c r="L1198" s="1" t="s">
        <v>21</v>
      </c>
      <c r="M1198" s="1" t="s">
        <v>29</v>
      </c>
      <c r="N1198" s="1" t="s">
        <v>22</v>
      </c>
      <c r="O1198" s="1" t="str">
        <f t="shared" ca="1" si="9"/>
        <v>Please solve the LeetCode problem '465. Optimal Account Balancing'.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199" spans="1:15" x14ac:dyDescent="0.25">
      <c r="A1199" s="1">
        <v>2370</v>
      </c>
      <c r="B1199" s="2" t="str">
        <f>HYPERLINK("https://leetcode.com/problems/longest-ideal-subsequence/", "Longest Ideal Subsequence")</f>
        <v>Longest Ideal Subsequence</v>
      </c>
      <c r="C1199" s="1">
        <v>1524</v>
      </c>
      <c r="D1199" s="1">
        <v>82</v>
      </c>
      <c r="E1199" s="3">
        <f t="shared" si="8"/>
        <v>0.94894146948941471</v>
      </c>
      <c r="F1199" s="1" t="s">
        <v>466</v>
      </c>
      <c r="G1199" s="1" t="s">
        <v>24</v>
      </c>
      <c r="H1199" s="1">
        <v>123266</v>
      </c>
      <c r="I1199" s="1">
        <v>264156</v>
      </c>
      <c r="J1199" s="7">
        <v>0.46700000000000003</v>
      </c>
      <c r="K1199" s="1" t="s">
        <v>21</v>
      </c>
      <c r="L1199" s="1" t="s">
        <v>21</v>
      </c>
      <c r="M1199" s="1" t="s">
        <v>29</v>
      </c>
      <c r="N1199" s="1" t="s">
        <v>22</v>
      </c>
      <c r="O1199" s="1" t="str">
        <f t="shared" ca="1" si="9"/>
        <v>Please solve the LeetCode problem '2370. Longest Ideal Subsequence'.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00" spans="1:15" x14ac:dyDescent="0.25">
      <c r="A1200" s="1">
        <v>1124</v>
      </c>
      <c r="B1200" s="2" t="str">
        <f>HYPERLINK("https://leetcode.com/problems/longest-well-performing-interval/", "Longest Well-Performing Interval")</f>
        <v>Longest Well-Performing Interval</v>
      </c>
      <c r="C1200" s="1">
        <v>1522</v>
      </c>
      <c r="D1200" s="1">
        <v>122</v>
      </c>
      <c r="E1200" s="3">
        <f t="shared" si="8"/>
        <v>0.92579075425790758</v>
      </c>
      <c r="F1200" s="1" t="s">
        <v>582</v>
      </c>
      <c r="G1200" s="1" t="s">
        <v>24</v>
      </c>
      <c r="H1200" s="1">
        <v>43967</v>
      </c>
      <c r="I1200" s="1">
        <v>119476</v>
      </c>
      <c r="J1200" s="7">
        <v>0.36799999999999999</v>
      </c>
      <c r="K1200" s="1" t="s">
        <v>21</v>
      </c>
      <c r="L1200" s="1" t="s">
        <v>29</v>
      </c>
      <c r="M1200" s="1" t="s">
        <v>29</v>
      </c>
      <c r="N1200" s="1" t="s">
        <v>22</v>
      </c>
      <c r="O1200" s="1" t="str">
        <f t="shared" ca="1" si="9"/>
        <v>Please solve the LeetCode problem '1124. Longest Well-Performing Interval'.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01" spans="1:15" x14ac:dyDescent="0.25">
      <c r="A1201" s="1">
        <v>1460</v>
      </c>
      <c r="B1201" s="2" t="str">
        <f>HYPERLINK("https://leetcode.com/problems/make-two-arrays-equal-by-reversing-subarrays/", "Make Two Arrays Equal by Reversing Subarrays")</f>
        <v>Make Two Arrays Equal by Reversing Subarrays</v>
      </c>
      <c r="C1201" s="1">
        <v>1521</v>
      </c>
      <c r="D1201" s="1">
        <v>163</v>
      </c>
      <c r="E1201" s="3">
        <f t="shared" si="8"/>
        <v>0.90320665083135387</v>
      </c>
      <c r="F1201" s="1" t="s">
        <v>92</v>
      </c>
      <c r="G1201" s="1" t="s">
        <v>20</v>
      </c>
      <c r="H1201" s="1">
        <v>329015</v>
      </c>
      <c r="I1201" s="1">
        <v>433942</v>
      </c>
      <c r="J1201" s="7">
        <v>0.75800000000000001</v>
      </c>
      <c r="K1201" s="1" t="s">
        <v>21</v>
      </c>
      <c r="L1201" s="1" t="s">
        <v>21</v>
      </c>
      <c r="M1201" s="1" t="s">
        <v>29</v>
      </c>
      <c r="N1201" s="1" t="s">
        <v>22</v>
      </c>
      <c r="O1201" s="1" t="str">
        <f t="shared" ca="1" si="9"/>
        <v>Please solve the LeetCode problem '1460. Make Two Arrays Equal by Reversing Subarrays'.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02" spans="1:15" x14ac:dyDescent="0.25">
      <c r="A1202" s="1">
        <v>1854</v>
      </c>
      <c r="B1202" s="2" t="str">
        <f>HYPERLINK("https://leetcode.com/problems/maximum-population-year/", "Maximum Population Year")</f>
        <v>Maximum Population Year</v>
      </c>
      <c r="C1202" s="1">
        <v>1521</v>
      </c>
      <c r="D1202" s="1">
        <v>283</v>
      </c>
      <c r="E1202" s="3">
        <f t="shared" si="8"/>
        <v>0.84312638580931265</v>
      </c>
      <c r="F1202" s="1" t="s">
        <v>578</v>
      </c>
      <c r="G1202" s="1" t="s">
        <v>20</v>
      </c>
      <c r="H1202" s="1">
        <v>109107</v>
      </c>
      <c r="I1202" s="1">
        <v>172172</v>
      </c>
      <c r="J1202" s="7">
        <v>0.63400000000000001</v>
      </c>
      <c r="K1202" s="1" t="s">
        <v>21</v>
      </c>
      <c r="L1202" s="1" t="s">
        <v>29</v>
      </c>
      <c r="M1202" s="1" t="s">
        <v>29</v>
      </c>
      <c r="N1202" s="1" t="s">
        <v>22</v>
      </c>
      <c r="O1202" s="1" t="str">
        <f t="shared" ca="1" si="9"/>
        <v>Please solve the LeetCode problem '1854. Maximum Population Year'.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03" spans="1:15" x14ac:dyDescent="0.25">
      <c r="A1203" s="1">
        <v>2094</v>
      </c>
      <c r="B1203" s="2" t="str">
        <f>HYPERLINK("https://leetcode.com/problems/finding-3-digit-even-numbers/", "Finding 3-Digit Even Numbers")</f>
        <v>Finding 3-Digit Even Numbers</v>
      </c>
      <c r="C1203" s="1">
        <v>1516</v>
      </c>
      <c r="D1203" s="1">
        <v>340</v>
      </c>
      <c r="E1203" s="3">
        <f t="shared" si="8"/>
        <v>0.81681034482758619</v>
      </c>
      <c r="F1203" s="1" t="s">
        <v>576</v>
      </c>
      <c r="G1203" s="1" t="s">
        <v>20</v>
      </c>
      <c r="H1203" s="1">
        <v>175674</v>
      </c>
      <c r="I1203" s="1">
        <v>222879</v>
      </c>
      <c r="J1203" s="7">
        <v>0.78800000000000003</v>
      </c>
      <c r="K1203" s="1" t="s">
        <v>21</v>
      </c>
      <c r="L1203" s="1" t="s">
        <v>21</v>
      </c>
      <c r="M1203" s="1" t="s">
        <v>29</v>
      </c>
      <c r="N1203" s="1" t="s">
        <v>22</v>
      </c>
      <c r="O1203" s="1" t="str">
        <f t="shared" ca="1" si="9"/>
        <v>Please solve the LeetCode problem '2094. Finding 3-Digit Even Numbers'.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04" spans="1:15" x14ac:dyDescent="0.25">
      <c r="A1204" s="1">
        <v>1545</v>
      </c>
      <c r="B1204" s="2" t="str">
        <f>HYPERLINK("https://leetcode.com/problems/find-kth-bit-in-nth-binary-string/", "Find Kth Bit in Nth Binary String")</f>
        <v>Find Kth Bit in Nth Binary String</v>
      </c>
      <c r="C1204" s="1">
        <v>1515</v>
      </c>
      <c r="D1204" s="1">
        <v>96</v>
      </c>
      <c r="E1204" s="3">
        <f t="shared" si="8"/>
        <v>0.94040968342644315</v>
      </c>
      <c r="F1204" s="1" t="s">
        <v>583</v>
      </c>
      <c r="G1204" s="1" t="s">
        <v>24</v>
      </c>
      <c r="H1204" s="1">
        <v>168885</v>
      </c>
      <c r="I1204" s="1">
        <v>240604</v>
      </c>
      <c r="J1204" s="7">
        <v>0.70199999999999996</v>
      </c>
      <c r="K1204" s="1" t="s">
        <v>21</v>
      </c>
      <c r="L1204" s="1" t="s">
        <v>21</v>
      </c>
      <c r="M1204" s="1" t="s">
        <v>29</v>
      </c>
      <c r="N1204" s="1" t="s">
        <v>22</v>
      </c>
      <c r="O1204" s="1" t="str">
        <f t="shared" ca="1" si="9"/>
        <v>Please solve the LeetCode problem '1545. Find Kth Bit in Nth Binary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05" spans="1:15" x14ac:dyDescent="0.25">
      <c r="A1205" s="1">
        <v>943</v>
      </c>
      <c r="B1205" s="2" t="str">
        <f>HYPERLINK("https://leetcode.com/problems/find-the-shortest-superstring/", "Find the Shortest Superstring")</f>
        <v>Find the Shortest Superstring</v>
      </c>
      <c r="C1205" s="1">
        <v>1513</v>
      </c>
      <c r="D1205" s="1">
        <v>152</v>
      </c>
      <c r="E1205" s="3">
        <f t="shared" si="8"/>
        <v>0.90870870870870868</v>
      </c>
      <c r="F1205" s="1" t="s">
        <v>1363</v>
      </c>
      <c r="G1205" s="1" t="s">
        <v>28</v>
      </c>
      <c r="H1205" s="1">
        <v>34685</v>
      </c>
      <c r="I1205" s="1">
        <v>77031</v>
      </c>
      <c r="J1205" s="7">
        <v>0.45</v>
      </c>
      <c r="K1205" s="1" t="s">
        <v>21</v>
      </c>
      <c r="L1205" s="1" t="s">
        <v>21</v>
      </c>
      <c r="M1205" s="1" t="s">
        <v>29</v>
      </c>
      <c r="N1205" s="1" t="s">
        <v>22</v>
      </c>
      <c r="O1205" s="1" t="str">
        <f t="shared" ca="1" si="9"/>
        <v>Please solve the LeetCode problem '943. Find the Shortest Superstring'.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06" spans="1:15" x14ac:dyDescent="0.25">
      <c r="A1206" s="1">
        <v>2516</v>
      </c>
      <c r="B1206" s="2" t="str">
        <f>HYPERLINK("https://leetcode.com/problems/take-k-of-each-character-from-left-and-right/", "Take K of Each Character From Left and Right")</f>
        <v>Take K of Each Character From Left and Right</v>
      </c>
      <c r="C1206" s="1">
        <v>1513</v>
      </c>
      <c r="D1206" s="1">
        <v>169</v>
      </c>
      <c r="E1206" s="3">
        <f t="shared" si="8"/>
        <v>0.89952437574316291</v>
      </c>
      <c r="F1206" s="1" t="s">
        <v>23</v>
      </c>
      <c r="G1206" s="1" t="s">
        <v>24</v>
      </c>
      <c r="H1206" s="1">
        <v>113126</v>
      </c>
      <c r="I1206" s="1">
        <v>219877</v>
      </c>
      <c r="J1206" s="7">
        <v>0.51400000000000001</v>
      </c>
      <c r="K1206" s="1" t="s">
        <v>21</v>
      </c>
      <c r="L1206" s="1" t="s">
        <v>21</v>
      </c>
      <c r="M1206" s="1" t="s">
        <v>29</v>
      </c>
      <c r="N1206" s="1" t="s">
        <v>22</v>
      </c>
      <c r="O1206" s="1" t="str">
        <f t="shared" ca="1" si="9"/>
        <v>Please solve the LeetCode problem '2516. Take K of Each Character From Left and Right'.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07" spans="1:15" x14ac:dyDescent="0.25">
      <c r="A1207" s="1">
        <v>577</v>
      </c>
      <c r="B1207" s="2" t="str">
        <f>HYPERLINK("https://leetcode.com/problems/employee-bonus/", "Employee Bonus")</f>
        <v>Employee Bonus</v>
      </c>
      <c r="C1207" s="1">
        <v>1512</v>
      </c>
      <c r="D1207" s="1">
        <v>294</v>
      </c>
      <c r="E1207" s="3">
        <f t="shared" si="8"/>
        <v>0.83720930232558144</v>
      </c>
      <c r="F1207" s="1" t="s">
        <v>297</v>
      </c>
      <c r="G1207" s="1" t="s">
        <v>20</v>
      </c>
      <c r="H1207" s="1">
        <v>979639</v>
      </c>
      <c r="I1207" s="1">
        <v>1271591</v>
      </c>
      <c r="J1207" s="7">
        <v>0.77</v>
      </c>
      <c r="K1207" s="1" t="s">
        <v>21</v>
      </c>
      <c r="L1207" s="1" t="s">
        <v>21</v>
      </c>
      <c r="M1207" s="1" t="s">
        <v>29</v>
      </c>
      <c r="N1207" s="1" t="s">
        <v>297</v>
      </c>
      <c r="O1207" s="1" t="str">
        <f t="shared" ca="1" si="9"/>
        <v>Please solve the LeetCode problem '577. Employee Bonus'.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08" spans="1:15" x14ac:dyDescent="0.25">
      <c r="A1208" s="1">
        <v>1934</v>
      </c>
      <c r="B1208" s="2" t="str">
        <f>HYPERLINK("https://leetcode.com/problems/confirmation-rate/", "Confirmation Rate")</f>
        <v>Confirmation Rate</v>
      </c>
      <c r="C1208" s="1">
        <v>1512</v>
      </c>
      <c r="D1208" s="1">
        <v>130</v>
      </c>
      <c r="E1208" s="3">
        <f t="shared" si="8"/>
        <v>0.92082825822168091</v>
      </c>
      <c r="F1208" s="1" t="s">
        <v>297</v>
      </c>
      <c r="G1208" s="1" t="s">
        <v>24</v>
      </c>
      <c r="H1208" s="1">
        <v>556227</v>
      </c>
      <c r="I1208" s="1">
        <v>902973</v>
      </c>
      <c r="J1208" s="7">
        <v>0.61599999999999999</v>
      </c>
      <c r="K1208" s="1" t="s">
        <v>21</v>
      </c>
      <c r="L1208" s="1" t="s">
        <v>29</v>
      </c>
      <c r="M1208" s="1" t="s">
        <v>29</v>
      </c>
      <c r="N1208" s="1" t="s">
        <v>297</v>
      </c>
      <c r="O1208" s="1" t="str">
        <f t="shared" ca="1" si="9"/>
        <v>Please solve the LeetCode problem '1934. Confirmation Rate'.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09" spans="1:15" x14ac:dyDescent="0.25">
      <c r="A1209" s="1">
        <v>1387</v>
      </c>
      <c r="B1209" s="2" t="str">
        <f>HYPERLINK("https://leetcode.com/problems/sort-integers-by-the-power-value/", "Sort Integers by The Power Value")</f>
        <v>Sort Integers by The Power Value</v>
      </c>
      <c r="C1209" s="1">
        <v>1511</v>
      </c>
      <c r="D1209" s="1">
        <v>121</v>
      </c>
      <c r="E1209" s="3">
        <f t="shared" si="8"/>
        <v>0.92585784313725494</v>
      </c>
      <c r="F1209" s="1" t="s">
        <v>585</v>
      </c>
      <c r="G1209" s="1" t="s">
        <v>24</v>
      </c>
      <c r="H1209" s="1">
        <v>118184</v>
      </c>
      <c r="I1209" s="1">
        <v>165547</v>
      </c>
      <c r="J1209" s="7">
        <v>0.71399999999999997</v>
      </c>
      <c r="K1209" s="1" t="s">
        <v>21</v>
      </c>
      <c r="L1209" s="1" t="s">
        <v>29</v>
      </c>
      <c r="M1209" s="1" t="s">
        <v>29</v>
      </c>
      <c r="N1209" s="1" t="s">
        <v>22</v>
      </c>
      <c r="O1209" s="1" t="str">
        <f t="shared" ca="1" si="9"/>
        <v>Please solve the LeetCode problem '1387. Sort Integers by The Power Value'.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10" spans="1:15" x14ac:dyDescent="0.25">
      <c r="A1210" s="1">
        <v>1582</v>
      </c>
      <c r="B1210" s="2" t="str">
        <f>HYPERLINK("https://leetcode.com/problems/special-positions-in-a-binary-matrix/", "Special Positions in a Binary Matrix")</f>
        <v>Special Positions in a Binary Matrix</v>
      </c>
      <c r="C1210" s="1">
        <v>1511</v>
      </c>
      <c r="D1210" s="1">
        <v>76</v>
      </c>
      <c r="E1210" s="3">
        <f t="shared" si="8"/>
        <v>0.95211090107120355</v>
      </c>
      <c r="F1210" s="1" t="s">
        <v>266</v>
      </c>
      <c r="G1210" s="1" t="s">
        <v>20</v>
      </c>
      <c r="H1210" s="1">
        <v>163809</v>
      </c>
      <c r="I1210" s="1">
        <v>238117</v>
      </c>
      <c r="J1210" s="7">
        <v>0.68799999999999994</v>
      </c>
      <c r="K1210" s="1" t="s">
        <v>21</v>
      </c>
      <c r="L1210" s="1" t="s">
        <v>21</v>
      </c>
      <c r="M1210" s="1" t="s">
        <v>29</v>
      </c>
      <c r="N1210" s="1" t="s">
        <v>22</v>
      </c>
      <c r="O1210" s="1" t="str">
        <f t="shared" ca="1" si="9"/>
        <v>Please solve the LeetCode problem '1582. Special Positions in a Binary Matrix'.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11" spans="1:15" x14ac:dyDescent="0.25">
      <c r="A1211" s="1">
        <v>1593</v>
      </c>
      <c r="B1211" s="2" t="str">
        <f>HYPERLINK("https://leetcode.com/problems/split-a-string-into-the-max-number-of-unique-substrings/", "Split a String Into the Max Number of Unique Substrings")</f>
        <v>Split a String Into the Max Number of Unique Substrings</v>
      </c>
      <c r="C1211" s="1">
        <v>1508</v>
      </c>
      <c r="D1211" s="1">
        <v>73</v>
      </c>
      <c r="E1211" s="3">
        <f t="shared" si="8"/>
        <v>0.95382669196710945</v>
      </c>
      <c r="F1211" s="1" t="s">
        <v>58</v>
      </c>
      <c r="G1211" s="1" t="s">
        <v>24</v>
      </c>
      <c r="H1211" s="1">
        <v>147809</v>
      </c>
      <c r="I1211" s="1">
        <v>215580</v>
      </c>
      <c r="J1211" s="7">
        <v>0.68600000000000005</v>
      </c>
      <c r="K1211" s="1" t="s">
        <v>21</v>
      </c>
      <c r="L1211" s="1" t="s">
        <v>21</v>
      </c>
      <c r="M1211" s="1" t="s">
        <v>29</v>
      </c>
      <c r="N1211" s="1" t="s">
        <v>22</v>
      </c>
      <c r="O1211" s="1" t="str">
        <f t="shared" ca="1" si="9"/>
        <v>Please solve the LeetCode problem '1593. Split a String Into the Max Number of Unique Substrings'.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12" spans="1:15" x14ac:dyDescent="0.25">
      <c r="A1212" s="1">
        <v>624</v>
      </c>
      <c r="B1212" s="2" t="str">
        <f>HYPERLINK("https://leetcode.com/problems/maximum-distance-in-arrays/", "Maximum Distance in Arrays")</f>
        <v>Maximum Distance in Arrays</v>
      </c>
      <c r="C1212" s="1">
        <v>1503</v>
      </c>
      <c r="D1212" s="1">
        <v>119</v>
      </c>
      <c r="E1212" s="3">
        <f t="shared" si="8"/>
        <v>0.9266337854500617</v>
      </c>
      <c r="F1212" s="1" t="s">
        <v>96</v>
      </c>
      <c r="G1212" s="1" t="s">
        <v>24</v>
      </c>
      <c r="H1212" s="1">
        <v>200714</v>
      </c>
      <c r="I1212" s="1">
        <v>439874</v>
      </c>
      <c r="J1212" s="7">
        <v>0.45600000000000002</v>
      </c>
      <c r="K1212" s="1" t="s">
        <v>21</v>
      </c>
      <c r="L1212" s="1" t="s">
        <v>21</v>
      </c>
      <c r="M1212" s="1" t="s">
        <v>29</v>
      </c>
      <c r="N1212" s="1" t="s">
        <v>22</v>
      </c>
      <c r="O1212" s="1" t="str">
        <f t="shared" ca="1" si="9"/>
        <v>Please solve the LeetCode problem '624. Maximum Distance in Arrays'.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13" spans="1:15" x14ac:dyDescent="0.25">
      <c r="A1213" s="1">
        <v>2016</v>
      </c>
      <c r="B1213" s="2" t="str">
        <f>HYPERLINK("https://leetcode.com/problems/maximum-difference-between-increasing-elements/", "Maximum Difference Between Increasing Elements")</f>
        <v>Maximum Difference Between Increasing Elements</v>
      </c>
      <c r="C1213" s="1">
        <v>1501</v>
      </c>
      <c r="D1213" s="1">
        <v>44</v>
      </c>
      <c r="E1213" s="3">
        <f t="shared" si="8"/>
        <v>0.97152103559870551</v>
      </c>
      <c r="F1213" s="1" t="s">
        <v>113</v>
      </c>
      <c r="G1213" s="1" t="s">
        <v>20</v>
      </c>
      <c r="H1213" s="1">
        <v>279628</v>
      </c>
      <c r="I1213" s="1">
        <v>421060</v>
      </c>
      <c r="J1213" s="7">
        <v>0.66400000000000003</v>
      </c>
      <c r="K1213" s="1" t="s">
        <v>21</v>
      </c>
      <c r="L1213" s="1" t="s">
        <v>21</v>
      </c>
      <c r="M1213" s="1" t="s">
        <v>29</v>
      </c>
      <c r="N1213" s="1" t="s">
        <v>22</v>
      </c>
      <c r="O1213" s="1" t="str">
        <f t="shared" ca="1" si="9"/>
        <v>Please solve the LeetCode problem '2016. Maximum Difference Between Increasing Elements'.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14" spans="1:15" x14ac:dyDescent="0.25">
      <c r="A1214" s="1">
        <v>1191</v>
      </c>
      <c r="B1214" s="2" t="str">
        <f>HYPERLINK("https://leetcode.com/problems/k-concatenation-maximum-sum/", "K-Concatenation Maximum Sum")</f>
        <v>K-Concatenation Maximum Sum</v>
      </c>
      <c r="C1214" s="1">
        <v>1499</v>
      </c>
      <c r="D1214" s="1">
        <v>131</v>
      </c>
      <c r="E1214" s="3">
        <f t="shared" si="8"/>
        <v>0.91963190184049082</v>
      </c>
      <c r="F1214" s="1" t="s">
        <v>30</v>
      </c>
      <c r="G1214" s="1" t="s">
        <v>24</v>
      </c>
      <c r="H1214" s="1">
        <v>43063</v>
      </c>
      <c r="I1214" s="1">
        <v>172090</v>
      </c>
      <c r="J1214" s="7">
        <v>0.25</v>
      </c>
      <c r="K1214" s="1" t="s">
        <v>21</v>
      </c>
      <c r="L1214" s="1" t="s">
        <v>29</v>
      </c>
      <c r="M1214" s="1" t="s">
        <v>29</v>
      </c>
      <c r="N1214" s="1" t="s">
        <v>22</v>
      </c>
      <c r="O1214" s="1" t="str">
        <f t="shared" ca="1" si="9"/>
        <v>Please solve the LeetCode problem '1191. K-Concatenation Maximum Sum'.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15" spans="1:15" x14ac:dyDescent="0.25">
      <c r="A1215" s="1">
        <v>2160</v>
      </c>
      <c r="B1215" s="2" t="str">
        <f>HYPERLINK("https://leetcode.com/problems/minimum-sum-of-four-digit-number-after-splitting-digits/", "Minimum Sum of Four Digit Number After Splitting Digits")</f>
        <v>Minimum Sum of Four Digit Number After Splitting Digits</v>
      </c>
      <c r="C1215" s="1">
        <v>1499</v>
      </c>
      <c r="D1215" s="1">
        <v>148</v>
      </c>
      <c r="E1215" s="3">
        <f t="shared" si="8"/>
        <v>0.91013964784456591</v>
      </c>
      <c r="F1215" s="1" t="s">
        <v>587</v>
      </c>
      <c r="G1215" s="1" t="s">
        <v>20</v>
      </c>
      <c r="H1215" s="1">
        <v>164709</v>
      </c>
      <c r="I1215" s="1">
        <v>191094</v>
      </c>
      <c r="J1215" s="7">
        <v>0.86199999999999999</v>
      </c>
      <c r="K1215" s="1" t="s">
        <v>21</v>
      </c>
      <c r="L1215" s="1" t="s">
        <v>29</v>
      </c>
      <c r="M1215" s="1" t="s">
        <v>29</v>
      </c>
      <c r="N1215" s="1" t="s">
        <v>22</v>
      </c>
      <c r="O1215" s="1" t="str">
        <f t="shared" ca="1" si="9"/>
        <v>Please solve the LeetCode problem '2160. Minimum Sum of Four Digit Number After Splitting Digits'.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16" spans="1:15" x14ac:dyDescent="0.25">
      <c r="A1216" s="1">
        <v>1712</v>
      </c>
      <c r="B1216" s="2" t="str">
        <f>HYPERLINK("https://leetcode.com/problems/ways-to-split-array-into-three-subarrays/", "Ways to Split Array Into Three Subarrays")</f>
        <v>Ways to Split Array Into Three Subarrays</v>
      </c>
      <c r="C1216" s="1">
        <v>1497</v>
      </c>
      <c r="D1216" s="1">
        <v>109</v>
      </c>
      <c r="E1216" s="3">
        <f t="shared" si="8"/>
        <v>0.93212951432129509</v>
      </c>
      <c r="F1216" s="1" t="s">
        <v>586</v>
      </c>
      <c r="G1216" s="1" t="s">
        <v>24</v>
      </c>
      <c r="H1216" s="1">
        <v>40351</v>
      </c>
      <c r="I1216" s="1">
        <v>118622</v>
      </c>
      <c r="J1216" s="7">
        <v>0.34</v>
      </c>
      <c r="K1216" s="1" t="s">
        <v>21</v>
      </c>
      <c r="L1216" s="1" t="s">
        <v>29</v>
      </c>
      <c r="M1216" s="1" t="s">
        <v>29</v>
      </c>
      <c r="N1216" s="1" t="s">
        <v>22</v>
      </c>
      <c r="O1216" s="1" t="str">
        <f t="shared" ca="1" si="9"/>
        <v>Please solve the LeetCode problem '1712. Ways to Split Array Into Three Subarrays'.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17" spans="1:15" x14ac:dyDescent="0.25">
      <c r="A1217" s="1">
        <v>1551</v>
      </c>
      <c r="B1217" s="2" t="str">
        <f>HYPERLINK("https://leetcode.com/problems/minimum-operations-to-make-array-equal/", "Minimum Operations to Make Array Equal")</f>
        <v>Minimum Operations to Make Array Equal</v>
      </c>
      <c r="C1217" s="1">
        <v>1496</v>
      </c>
      <c r="D1217" s="1">
        <v>187</v>
      </c>
      <c r="E1217" s="3">
        <f t="shared" si="8"/>
        <v>0.88888888888888884</v>
      </c>
      <c r="F1217" s="1" t="s">
        <v>84</v>
      </c>
      <c r="G1217" s="1" t="s">
        <v>24</v>
      </c>
      <c r="H1217" s="1">
        <v>115096</v>
      </c>
      <c r="I1217" s="1">
        <v>139254</v>
      </c>
      <c r="J1217" s="7">
        <v>0.82699999999999996</v>
      </c>
      <c r="K1217" s="1" t="s">
        <v>21</v>
      </c>
      <c r="L1217" s="1" t="s">
        <v>21</v>
      </c>
      <c r="M1217" s="1" t="s">
        <v>29</v>
      </c>
      <c r="N1217" s="1" t="s">
        <v>22</v>
      </c>
      <c r="O1217" s="1" t="str">
        <f t="shared" ca="1" si="9"/>
        <v>Please solve the LeetCode problem '1551. Minimum Operations to Make Array Equal'.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18" spans="1:15" x14ac:dyDescent="0.25">
      <c r="A1218" s="1">
        <v>1486</v>
      </c>
      <c r="B1218" s="2" t="str">
        <f>HYPERLINK("https://leetcode.com/problems/xor-operation-in-an-array/", "XOR Operation in an Array")</f>
        <v>XOR Operation in an Array</v>
      </c>
      <c r="C1218" s="1">
        <v>1494</v>
      </c>
      <c r="D1218" s="1">
        <v>339</v>
      </c>
      <c r="E1218" s="3">
        <f t="shared" si="8"/>
        <v>0.81505728314238957</v>
      </c>
      <c r="F1218" s="1" t="s">
        <v>227</v>
      </c>
      <c r="G1218" s="1" t="s">
        <v>20</v>
      </c>
      <c r="H1218" s="1">
        <v>255907</v>
      </c>
      <c r="I1218" s="1">
        <v>293103</v>
      </c>
      <c r="J1218" s="7">
        <v>0.873</v>
      </c>
      <c r="K1218" s="1" t="s">
        <v>21</v>
      </c>
      <c r="L1218" s="1" t="s">
        <v>29</v>
      </c>
      <c r="M1218" s="1" t="s">
        <v>29</v>
      </c>
      <c r="N1218" s="1" t="s">
        <v>22</v>
      </c>
      <c r="O1218" s="1" t="str">
        <f t="shared" ca="1" si="9"/>
        <v>Please solve the LeetCode problem '1486. XOR Operation in an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19" spans="1:15" x14ac:dyDescent="0.25">
      <c r="A1219" s="1">
        <v>2392</v>
      </c>
      <c r="B1219" s="2" t="str">
        <f>HYPERLINK("https://leetcode.com/problems/build-a-matrix-with-conditions/", "Build a Matrix With Conditions")</f>
        <v>Build a Matrix With Conditions</v>
      </c>
      <c r="C1219" s="1">
        <v>1494</v>
      </c>
      <c r="D1219" s="1">
        <v>56</v>
      </c>
      <c r="E1219" s="3">
        <f t="shared" si="8"/>
        <v>0.96387096774193548</v>
      </c>
      <c r="F1219" s="1" t="s">
        <v>588</v>
      </c>
      <c r="G1219" s="1" t="s">
        <v>28</v>
      </c>
      <c r="H1219" s="1">
        <v>103944</v>
      </c>
      <c r="I1219" s="1">
        <v>131046</v>
      </c>
      <c r="J1219" s="7">
        <v>0.79300000000000004</v>
      </c>
      <c r="K1219" s="1" t="s">
        <v>21</v>
      </c>
      <c r="L1219" s="1" t="s">
        <v>21</v>
      </c>
      <c r="M1219" s="1" t="s">
        <v>29</v>
      </c>
      <c r="N1219" s="1" t="s">
        <v>22</v>
      </c>
      <c r="O1219" s="1" t="str">
        <f t="shared" ca="1" si="9"/>
        <v>Please solve the LeetCode problem '2392. Build a Matrix With Conditions'.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20" spans="1:15" x14ac:dyDescent="0.25">
      <c r="A1220" s="1">
        <v>1758</v>
      </c>
      <c r="B1220" s="2" t="str">
        <f>HYPERLINK("https://leetcode.com/problems/minimum-changes-to-make-alternating-binary-string/", "Minimum Changes To Make Alternating Binary String")</f>
        <v>Minimum Changes To Make Alternating Binary String</v>
      </c>
      <c r="C1220" s="1">
        <v>1493</v>
      </c>
      <c r="D1220" s="1">
        <v>43</v>
      </c>
      <c r="E1220" s="3">
        <f t="shared" si="8"/>
        <v>0.97200520833333337</v>
      </c>
      <c r="F1220" s="1" t="s">
        <v>146</v>
      </c>
      <c r="G1220" s="1" t="s">
        <v>20</v>
      </c>
      <c r="H1220" s="1">
        <v>164252</v>
      </c>
      <c r="I1220" s="1">
        <v>257665</v>
      </c>
      <c r="J1220" s="7">
        <v>0.63700000000000001</v>
      </c>
      <c r="K1220" s="1" t="s">
        <v>21</v>
      </c>
      <c r="L1220" s="1" t="s">
        <v>21</v>
      </c>
      <c r="M1220" s="1" t="s">
        <v>29</v>
      </c>
      <c r="N1220" s="1" t="s">
        <v>22</v>
      </c>
      <c r="O1220" s="1" t="str">
        <f t="shared" ca="1" si="9"/>
        <v>Please solve the LeetCode problem '1758. Minimum Changes To Make Alternating Binary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21" spans="1:15" x14ac:dyDescent="0.25">
      <c r="A1221" s="1">
        <v>2433</v>
      </c>
      <c r="B1221" s="2" t="str">
        <f>HYPERLINK("https://leetcode.com/problems/find-the-original-array-of-prefix-xor/", "Find The Original Array of Prefix Xor")</f>
        <v>Find The Original Array of Prefix Xor</v>
      </c>
      <c r="C1221" s="1">
        <v>1491</v>
      </c>
      <c r="D1221" s="1">
        <v>91</v>
      </c>
      <c r="E1221" s="3">
        <f t="shared" si="8"/>
        <v>0.94247787610619471</v>
      </c>
      <c r="F1221" s="1" t="s">
        <v>65</v>
      </c>
      <c r="G1221" s="1" t="s">
        <v>24</v>
      </c>
      <c r="H1221" s="1">
        <v>184954</v>
      </c>
      <c r="I1221" s="1">
        <v>209553</v>
      </c>
      <c r="J1221" s="7">
        <v>0.88300000000000001</v>
      </c>
      <c r="K1221" s="1" t="s">
        <v>21</v>
      </c>
      <c r="L1221" s="1" t="s">
        <v>21</v>
      </c>
      <c r="M1221" s="1" t="s">
        <v>29</v>
      </c>
      <c r="N1221" s="1" t="s">
        <v>22</v>
      </c>
      <c r="O1221" s="1" t="str">
        <f t="shared" ca="1" si="9"/>
        <v>Please solve the LeetCode problem '2433. Find The Original Array of Prefix Xor'.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22" spans="1:15" x14ac:dyDescent="0.25">
      <c r="A1222" s="1">
        <v>1408</v>
      </c>
      <c r="B1222" s="2" t="str">
        <f>HYPERLINK("https://leetcode.com/problems/string-matching-in-an-array/", "String Matching in an Array")</f>
        <v>String Matching in an Array</v>
      </c>
      <c r="C1222" s="1">
        <v>1488</v>
      </c>
      <c r="D1222" s="1">
        <v>130</v>
      </c>
      <c r="E1222" s="3">
        <f t="shared" si="8"/>
        <v>0.91965389369592088</v>
      </c>
      <c r="F1222" s="1" t="s">
        <v>592</v>
      </c>
      <c r="G1222" s="1" t="s">
        <v>20</v>
      </c>
      <c r="H1222" s="1">
        <v>286842</v>
      </c>
      <c r="I1222" s="1">
        <v>411383</v>
      </c>
      <c r="J1222" s="7">
        <v>0.69699999999999995</v>
      </c>
      <c r="K1222" s="1" t="s">
        <v>21</v>
      </c>
      <c r="L1222" s="1" t="s">
        <v>21</v>
      </c>
      <c r="M1222" s="1" t="s">
        <v>29</v>
      </c>
      <c r="N1222" s="1" t="s">
        <v>22</v>
      </c>
      <c r="O1222" s="1" t="str">
        <f t="shared" ca="1" si="9"/>
        <v>Please solve the LeetCode problem '1408. String Matching in an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23" spans="1:15" x14ac:dyDescent="0.25">
      <c r="A1223" s="1">
        <v>2000</v>
      </c>
      <c r="B1223" s="2" t="str">
        <f>HYPERLINK("https://leetcode.com/problems/reverse-prefix-of-word/", "Reverse Prefix of Word")</f>
        <v>Reverse Prefix of Word</v>
      </c>
      <c r="C1223" s="1">
        <v>1487</v>
      </c>
      <c r="D1223" s="1">
        <v>44</v>
      </c>
      <c r="E1223" s="3">
        <f t="shared" si="8"/>
        <v>0.97126061397779229</v>
      </c>
      <c r="F1223" s="1" t="s">
        <v>590</v>
      </c>
      <c r="G1223" s="1" t="s">
        <v>20</v>
      </c>
      <c r="H1223" s="1">
        <v>367079</v>
      </c>
      <c r="I1223" s="1">
        <v>424518</v>
      </c>
      <c r="J1223" s="7">
        <v>0.86499999999999999</v>
      </c>
      <c r="K1223" s="1" t="s">
        <v>21</v>
      </c>
      <c r="L1223" s="1" t="s">
        <v>21</v>
      </c>
      <c r="M1223" s="1" t="s">
        <v>29</v>
      </c>
      <c r="N1223" s="1" t="s">
        <v>22</v>
      </c>
      <c r="O1223" s="1" t="str">
        <f t="shared" ca="1" si="9"/>
        <v>Please solve the LeetCode problem '2000. Reverse Prefix of Word'.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24" spans="1:15" x14ac:dyDescent="0.25">
      <c r="A1224" s="1">
        <v>2742</v>
      </c>
      <c r="B1224" s="2" t="str">
        <f>HYPERLINK("https://leetcode.com/problems/painting-the-walls/", "Painting the Walls")</f>
        <v>Painting the Walls</v>
      </c>
      <c r="C1224" s="1">
        <v>1485</v>
      </c>
      <c r="D1224" s="1">
        <v>95</v>
      </c>
      <c r="E1224" s="3">
        <f t="shared" si="8"/>
        <v>0.939873417721519</v>
      </c>
      <c r="F1224" s="1" t="s">
        <v>30</v>
      </c>
      <c r="G1224" s="1" t="s">
        <v>28</v>
      </c>
      <c r="H1224" s="1">
        <v>77575</v>
      </c>
      <c r="I1224" s="1">
        <v>158865</v>
      </c>
      <c r="J1224" s="7">
        <v>0.48799999999999999</v>
      </c>
      <c r="K1224" s="1" t="s">
        <v>21</v>
      </c>
      <c r="L1224" s="1" t="s">
        <v>21</v>
      </c>
      <c r="M1224" s="1" t="s">
        <v>29</v>
      </c>
      <c r="N1224" s="1" t="s">
        <v>22</v>
      </c>
      <c r="O1224" s="1" t="str">
        <f t="shared" ca="1" si="9"/>
        <v>Please solve the LeetCode problem '2742. Painting the Walls'.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25" spans="1:15" x14ac:dyDescent="0.25">
      <c r="A1225" s="1">
        <v>2327</v>
      </c>
      <c r="B1225" s="2" t="str">
        <f>HYPERLINK("https://leetcode.com/problems/number-of-people-aware-of-a-secret/", "Number of People Aware of a Secret")</f>
        <v>Number of People Aware of a Secret</v>
      </c>
      <c r="C1225" s="1">
        <v>1484</v>
      </c>
      <c r="D1225" s="1">
        <v>163</v>
      </c>
      <c r="E1225" s="3">
        <f t="shared" si="8"/>
        <v>0.90103217972070426</v>
      </c>
      <c r="F1225" s="1" t="s">
        <v>591</v>
      </c>
      <c r="G1225" s="1" t="s">
        <v>24</v>
      </c>
      <c r="H1225" s="1">
        <v>124132</v>
      </c>
      <c r="I1225" s="1">
        <v>203543</v>
      </c>
      <c r="J1225" s="7">
        <v>0.61</v>
      </c>
      <c r="K1225" s="1" t="s">
        <v>21</v>
      </c>
      <c r="L1225" s="1" t="s">
        <v>21</v>
      </c>
      <c r="M1225" s="1" t="s">
        <v>29</v>
      </c>
      <c r="N1225" s="1" t="s">
        <v>22</v>
      </c>
      <c r="O1225" s="1" t="str">
        <f t="shared" ca="1" si="9"/>
        <v>Please solve the LeetCode problem '2327. Number of People Aware of a Secret'.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26" spans="1:15" x14ac:dyDescent="0.25">
      <c r="A1226" s="1">
        <v>1763</v>
      </c>
      <c r="B1226" s="2" t="str">
        <f>HYPERLINK("https://leetcode.com/problems/longest-nice-substring/", "Longest Nice Substring")</f>
        <v>Longest Nice Substring</v>
      </c>
      <c r="C1226" s="1">
        <v>1483</v>
      </c>
      <c r="D1226" s="1">
        <v>966</v>
      </c>
      <c r="E1226" s="3">
        <f t="shared" si="8"/>
        <v>0.60555328705594125</v>
      </c>
      <c r="F1226" s="1" t="s">
        <v>589</v>
      </c>
      <c r="G1226" s="1" t="s">
        <v>20</v>
      </c>
      <c r="H1226" s="1">
        <v>88760</v>
      </c>
      <c r="I1226" s="1">
        <v>140153</v>
      </c>
      <c r="J1226" s="7">
        <v>0.63300000000000001</v>
      </c>
      <c r="K1226" s="1" t="s">
        <v>21</v>
      </c>
      <c r="L1226" s="1" t="s">
        <v>29</v>
      </c>
      <c r="M1226" s="1" t="s">
        <v>29</v>
      </c>
      <c r="N1226" s="1" t="s">
        <v>22</v>
      </c>
      <c r="O1226" s="1" t="str">
        <f t="shared" ca="1" si="9"/>
        <v>Please solve the LeetCode problem '1763. Longest Nice Substring'.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27" spans="1:15" x14ac:dyDescent="0.25">
      <c r="A1227" s="1">
        <v>2762</v>
      </c>
      <c r="B1227" s="2" t="str">
        <f>HYPERLINK("https://leetcode.com/problems/continuous-subarrays/", "Continuous Subarrays")</f>
        <v>Continuous Subarrays</v>
      </c>
      <c r="C1227" s="1">
        <v>1483</v>
      </c>
      <c r="D1227" s="1">
        <v>96</v>
      </c>
      <c r="E1227" s="3">
        <f t="shared" si="8"/>
        <v>0.93920202659911334</v>
      </c>
      <c r="F1227" s="1" t="s">
        <v>287</v>
      </c>
      <c r="G1227" s="1" t="s">
        <v>24</v>
      </c>
      <c r="H1227" s="1">
        <v>116747</v>
      </c>
      <c r="I1227" s="1">
        <v>201533</v>
      </c>
      <c r="J1227" s="7">
        <v>0.57899999999999996</v>
      </c>
      <c r="K1227" s="1" t="s">
        <v>21</v>
      </c>
      <c r="L1227" s="1" t="s">
        <v>21</v>
      </c>
      <c r="M1227" s="1" t="s">
        <v>29</v>
      </c>
      <c r="N1227" s="1" t="s">
        <v>22</v>
      </c>
      <c r="O1227" s="1" t="str">
        <f t="shared" ca="1" si="9"/>
        <v>Please solve the LeetCode problem '2762. Continuous Subarrays'.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28" spans="1:15" x14ac:dyDescent="0.25">
      <c r="A1228" s="1">
        <v>1601</v>
      </c>
      <c r="B1228" s="2" t="str">
        <f>HYPERLINK("https://leetcode.com/problems/maximum-number-of-achievable-transfer-requests/", "Maximum Number of Achievable Transfer Requests")</f>
        <v>Maximum Number of Achievable Transfer Requests</v>
      </c>
      <c r="C1228" s="1">
        <v>1482</v>
      </c>
      <c r="D1228" s="1">
        <v>74</v>
      </c>
      <c r="E1228" s="3">
        <f t="shared" si="8"/>
        <v>0.95244215938303345</v>
      </c>
      <c r="F1228" s="1" t="s">
        <v>594</v>
      </c>
      <c r="G1228" s="1" t="s">
        <v>28</v>
      </c>
      <c r="H1228" s="1">
        <v>63039</v>
      </c>
      <c r="I1228" s="1">
        <v>97657</v>
      </c>
      <c r="J1228" s="7">
        <v>0.64600000000000002</v>
      </c>
      <c r="K1228" s="1" t="s">
        <v>21</v>
      </c>
      <c r="L1228" s="1" t="s">
        <v>21</v>
      </c>
      <c r="M1228" s="1" t="s">
        <v>29</v>
      </c>
      <c r="N1228" s="1" t="s">
        <v>22</v>
      </c>
      <c r="O1228" s="1" t="str">
        <f t="shared" ca="1" si="9"/>
        <v>Please solve the LeetCode problem '1601. Maximum Number of Achievable Transfer Requests'.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29" spans="1:15" x14ac:dyDescent="0.25">
      <c r="A1229" s="1">
        <v>727</v>
      </c>
      <c r="B1229" s="2" t="str">
        <f>HYPERLINK("https://leetcode.com/problems/minimum-window-subsequence/", "Minimum Window Subsequence")</f>
        <v>Minimum Window Subsequence</v>
      </c>
      <c r="C1229" s="1">
        <v>1480</v>
      </c>
      <c r="D1229" s="1">
        <v>95</v>
      </c>
      <c r="E1229" s="3">
        <f t="shared" si="8"/>
        <v>0.93968253968253967</v>
      </c>
      <c r="F1229" s="1" t="s">
        <v>595</v>
      </c>
      <c r="G1229" s="1" t="s">
        <v>28</v>
      </c>
      <c r="H1229" s="1">
        <v>98113</v>
      </c>
      <c r="I1229" s="1">
        <v>224397</v>
      </c>
      <c r="J1229" s="7">
        <v>0.437</v>
      </c>
      <c r="K1229" s="1" t="s">
        <v>29</v>
      </c>
      <c r="L1229" s="1" t="s">
        <v>21</v>
      </c>
      <c r="M1229" s="1" t="s">
        <v>29</v>
      </c>
      <c r="N1229" s="1" t="s">
        <v>22</v>
      </c>
      <c r="O1229" s="1" t="str">
        <f t="shared" ca="1" si="9"/>
        <v>Please solve the LeetCode problem '727. Minimum Window Subsequence'.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30" spans="1:15" x14ac:dyDescent="0.25">
      <c r="A1230" s="1">
        <v>65</v>
      </c>
      <c r="B1230" s="2" t="str">
        <f>HYPERLINK("https://leetcode.com/problems/valid-number/", "Valid Number")</f>
        <v>Valid Number</v>
      </c>
      <c r="C1230" s="1">
        <v>1475</v>
      </c>
      <c r="D1230" s="1">
        <v>2200</v>
      </c>
      <c r="E1230" s="3">
        <f t="shared" si="8"/>
        <v>0.40136054421768708</v>
      </c>
      <c r="F1230" s="1" t="s">
        <v>146</v>
      </c>
      <c r="G1230" s="1" t="s">
        <v>28</v>
      </c>
      <c r="H1230" s="1">
        <v>498108</v>
      </c>
      <c r="I1230" s="1">
        <v>2219234</v>
      </c>
      <c r="J1230" s="7">
        <v>0.224</v>
      </c>
      <c r="K1230" s="1" t="s">
        <v>21</v>
      </c>
      <c r="L1230" s="1" t="s">
        <v>21</v>
      </c>
      <c r="M1230" s="1" t="s">
        <v>29</v>
      </c>
      <c r="N1230" s="1" t="s">
        <v>22</v>
      </c>
      <c r="O1230" s="1" t="str">
        <f t="shared" ca="1" si="9"/>
        <v>Please solve the LeetCode problem '65. Valid Number'.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31" spans="1:15" x14ac:dyDescent="0.25">
      <c r="A1231" s="1">
        <v>620</v>
      </c>
      <c r="B1231" s="2" t="str">
        <f>HYPERLINK("https://leetcode.com/problems/not-boring-movies/", "Not Boring Movies")</f>
        <v>Not Boring Movies</v>
      </c>
      <c r="C1231" s="1">
        <v>1474</v>
      </c>
      <c r="D1231" s="1">
        <v>558</v>
      </c>
      <c r="E1231" s="3">
        <f t="shared" si="8"/>
        <v>0.72539370078740162</v>
      </c>
      <c r="F1231" s="1" t="s">
        <v>297</v>
      </c>
      <c r="G1231" s="1" t="s">
        <v>20</v>
      </c>
      <c r="H1231" s="1">
        <v>1015797</v>
      </c>
      <c r="I1231" s="1">
        <v>1350635</v>
      </c>
      <c r="J1231" s="7">
        <v>0.752</v>
      </c>
      <c r="K1231" s="1" t="s">
        <v>21</v>
      </c>
      <c r="L1231" s="1" t="s">
        <v>21</v>
      </c>
      <c r="M1231" s="1" t="s">
        <v>29</v>
      </c>
      <c r="N1231" s="1" t="s">
        <v>297</v>
      </c>
      <c r="O1231" s="1" t="str">
        <f t="shared" ca="1" si="9"/>
        <v>Please solve the LeetCode problem '620. Not Boring Movies'.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32" spans="1:15" x14ac:dyDescent="0.25">
      <c r="A1232" s="1">
        <v>851</v>
      </c>
      <c r="B1232" s="2" t="str">
        <f>HYPERLINK("https://leetcode.com/problems/loud-and-rich/", "Loud and Rich")</f>
        <v>Loud and Rich</v>
      </c>
      <c r="C1232" s="1">
        <v>1470</v>
      </c>
      <c r="D1232" s="1">
        <v>876</v>
      </c>
      <c r="E1232" s="3">
        <f t="shared" si="8"/>
        <v>0.62659846547314579</v>
      </c>
      <c r="F1232" s="1" t="s">
        <v>593</v>
      </c>
      <c r="G1232" s="1" t="s">
        <v>24</v>
      </c>
      <c r="H1232" s="1">
        <v>73869</v>
      </c>
      <c r="I1232" s="1">
        <v>117279</v>
      </c>
      <c r="J1232" s="7">
        <v>0.63</v>
      </c>
      <c r="K1232" s="1" t="s">
        <v>21</v>
      </c>
      <c r="L1232" s="1" t="s">
        <v>21</v>
      </c>
      <c r="M1232" s="1" t="s">
        <v>29</v>
      </c>
      <c r="N1232" s="1" t="s">
        <v>22</v>
      </c>
      <c r="O1232" s="1" t="str">
        <f t="shared" ca="1" si="9"/>
        <v>Please solve the LeetCode problem '851. Loud and Rich'.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33" spans="1:15" x14ac:dyDescent="0.25">
      <c r="A1233" s="1">
        <v>1845</v>
      </c>
      <c r="B1233" s="2" t="str">
        <f>HYPERLINK("https://leetcode.com/problems/seat-reservation-manager/", "Seat Reservation Manager")</f>
        <v>Seat Reservation Manager</v>
      </c>
      <c r="C1233" s="1">
        <v>1469</v>
      </c>
      <c r="D1233" s="1">
        <v>91</v>
      </c>
      <c r="E1233" s="3">
        <f t="shared" si="8"/>
        <v>0.94166666666666665</v>
      </c>
      <c r="F1233" s="1" t="s">
        <v>596</v>
      </c>
      <c r="G1233" s="1" t="s">
        <v>24</v>
      </c>
      <c r="H1233" s="1">
        <v>146170</v>
      </c>
      <c r="I1233" s="1">
        <v>218335</v>
      </c>
      <c r="J1233" s="7">
        <v>0.66900000000000004</v>
      </c>
      <c r="K1233" s="1" t="s">
        <v>21</v>
      </c>
      <c r="L1233" s="1" t="s">
        <v>21</v>
      </c>
      <c r="M1233" s="1" t="s">
        <v>29</v>
      </c>
      <c r="N1233" s="1" t="s">
        <v>22</v>
      </c>
      <c r="O1233" s="1" t="str">
        <f t="shared" ca="1" si="9"/>
        <v>Please solve the LeetCode problem '1845. Seat Reservation Manager'.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34" spans="1:15" x14ac:dyDescent="0.25">
      <c r="A1234" s="1">
        <v>676</v>
      </c>
      <c r="B1234" s="2" t="str">
        <f>HYPERLINK("https://leetcode.com/problems/implement-magic-dictionary/", "Implement Magic Dictionary")</f>
        <v>Implement Magic Dictionary</v>
      </c>
      <c r="C1234" s="1">
        <v>1462</v>
      </c>
      <c r="D1234" s="1">
        <v>214</v>
      </c>
      <c r="E1234" s="3">
        <f t="shared" si="8"/>
        <v>0.87231503579952263</v>
      </c>
      <c r="F1234" s="1" t="s">
        <v>597</v>
      </c>
      <c r="G1234" s="1" t="s">
        <v>24</v>
      </c>
      <c r="H1234" s="1">
        <v>103752</v>
      </c>
      <c r="I1234" s="1">
        <v>180246</v>
      </c>
      <c r="J1234" s="7">
        <v>0.57599999999999996</v>
      </c>
      <c r="K1234" s="1" t="s">
        <v>21</v>
      </c>
      <c r="L1234" s="1" t="s">
        <v>21</v>
      </c>
      <c r="M1234" s="1" t="s">
        <v>29</v>
      </c>
      <c r="N1234" s="1" t="s">
        <v>22</v>
      </c>
      <c r="O1234" s="1" t="str">
        <f t="shared" ca="1" si="9"/>
        <v>Please solve the LeetCode problem '676. Implement Magic Dictionary'.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35" spans="1:15" x14ac:dyDescent="0.25">
      <c r="A1235" s="1">
        <v>902</v>
      </c>
      <c r="B1235" s="2" t="str">
        <f>HYPERLINK("https://leetcode.com/problems/numbers-at-most-n-given-digit-set/", "Numbers At Most N Given Digit Set")</f>
        <v>Numbers At Most N Given Digit Set</v>
      </c>
      <c r="C1235" s="1">
        <v>1462</v>
      </c>
      <c r="D1235" s="1">
        <v>98</v>
      </c>
      <c r="E1235" s="3">
        <f t="shared" si="8"/>
        <v>0.93717948717948718</v>
      </c>
      <c r="F1235" s="1" t="s">
        <v>598</v>
      </c>
      <c r="G1235" s="1" t="s">
        <v>28</v>
      </c>
      <c r="H1235" s="1">
        <v>53079</v>
      </c>
      <c r="I1235" s="1">
        <v>119483</v>
      </c>
      <c r="J1235" s="7">
        <v>0.44400000000000001</v>
      </c>
      <c r="K1235" s="1" t="s">
        <v>21</v>
      </c>
      <c r="L1235" s="1" t="s">
        <v>21</v>
      </c>
      <c r="M1235" s="1" t="s">
        <v>29</v>
      </c>
      <c r="N1235" s="1" t="s">
        <v>22</v>
      </c>
      <c r="O1235" s="1" t="str">
        <f t="shared" ca="1" si="9"/>
        <v>Please solve the LeetCode problem '902. Numbers At Most N Given Digit Set'.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36" spans="1:15" x14ac:dyDescent="0.25">
      <c r="A1236" s="1">
        <v>1247</v>
      </c>
      <c r="B1236" s="2" t="str">
        <f>HYPERLINK("https://leetcode.com/problems/minimum-swaps-to-make-strings-equal/", "Minimum Swaps to Make Strings Equal")</f>
        <v>Minimum Swaps to Make Strings Equal</v>
      </c>
      <c r="C1236" s="1">
        <v>1457</v>
      </c>
      <c r="D1236" s="1">
        <v>252</v>
      </c>
      <c r="E1236" s="3">
        <f t="shared" si="8"/>
        <v>0.85254534815681682</v>
      </c>
      <c r="F1236" s="1" t="s">
        <v>418</v>
      </c>
      <c r="G1236" s="1" t="s">
        <v>24</v>
      </c>
      <c r="H1236" s="1">
        <v>50113</v>
      </c>
      <c r="I1236" s="1">
        <v>76895</v>
      </c>
      <c r="J1236" s="7">
        <v>0.65200000000000002</v>
      </c>
      <c r="K1236" s="1" t="s">
        <v>21</v>
      </c>
      <c r="L1236" s="1" t="s">
        <v>29</v>
      </c>
      <c r="M1236" s="1" t="s">
        <v>29</v>
      </c>
      <c r="N1236" s="1" t="s">
        <v>22</v>
      </c>
      <c r="O1236" s="1" t="str">
        <f t="shared" ca="1" si="9"/>
        <v>Please solve the LeetCode problem '1247. Minimum Swaps to Make Strings Equal'.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37" spans="1:15" x14ac:dyDescent="0.25">
      <c r="A1237" s="1">
        <v>1420</v>
      </c>
      <c r="B1237" s="2" t="str">
        <f>HYPERLINK("https://leetcode.com/problems/build-array-where-you-can-find-the-maximum-exactly-k-comparisons/", "Build Array Where You Can Find The Maximum Exactly K Comparisons")</f>
        <v>Build Array Where You Can Find The Maximum Exactly K Comparisons</v>
      </c>
      <c r="C1237" s="1">
        <v>1452</v>
      </c>
      <c r="D1237" s="1">
        <v>93</v>
      </c>
      <c r="E1237" s="3">
        <f t="shared" si="8"/>
        <v>0.9398058252427185</v>
      </c>
      <c r="F1237" s="1" t="s">
        <v>599</v>
      </c>
      <c r="G1237" s="1" t="s">
        <v>28</v>
      </c>
      <c r="H1237" s="1">
        <v>71623</v>
      </c>
      <c r="I1237" s="1">
        <v>108502</v>
      </c>
      <c r="J1237" s="7">
        <v>0.66</v>
      </c>
      <c r="K1237" s="1" t="s">
        <v>21</v>
      </c>
      <c r="L1237" s="1" t="s">
        <v>21</v>
      </c>
      <c r="M1237" s="1" t="s">
        <v>29</v>
      </c>
      <c r="N1237" s="1" t="s">
        <v>22</v>
      </c>
      <c r="O1237" s="1" t="str">
        <f t="shared" ca="1" si="9"/>
        <v>Please solve the LeetCode problem '1420. Build Array Where You Can Find The Maximum Exactly K Comparisons'.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38" spans="1:15" x14ac:dyDescent="0.25">
      <c r="A1238" s="1">
        <v>2337</v>
      </c>
      <c r="B1238" s="2" t="str">
        <f>HYPERLINK("https://leetcode.com/problems/move-pieces-to-obtain-a-string/", "Move Pieces to Obtain a String")</f>
        <v>Move Pieces to Obtain a String</v>
      </c>
      <c r="C1238" s="1">
        <v>1452</v>
      </c>
      <c r="D1238" s="1">
        <v>83</v>
      </c>
      <c r="E1238" s="3">
        <f t="shared" si="8"/>
        <v>0.94592833876221494</v>
      </c>
      <c r="F1238" s="1" t="s">
        <v>117</v>
      </c>
      <c r="G1238" s="1" t="s">
        <v>24</v>
      </c>
      <c r="H1238" s="1">
        <v>146683</v>
      </c>
      <c r="I1238" s="1">
        <v>258555</v>
      </c>
      <c r="J1238" s="7">
        <v>0.56699999999999995</v>
      </c>
      <c r="K1238" s="1" t="s">
        <v>21</v>
      </c>
      <c r="L1238" s="1" t="s">
        <v>21</v>
      </c>
      <c r="M1238" s="1" t="s">
        <v>29</v>
      </c>
      <c r="N1238" s="1" t="s">
        <v>22</v>
      </c>
      <c r="O1238" s="1" t="str">
        <f t="shared" ca="1" si="9"/>
        <v>Please solve the LeetCode problem '2337. Move Pieces to Obtain a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39" spans="1:15" x14ac:dyDescent="0.25">
      <c r="A1239" s="1">
        <v>2406</v>
      </c>
      <c r="B1239" s="2" t="str">
        <f>HYPERLINK("https://leetcode.com/problems/divide-intervals-into-minimum-number-of-groups/", "Divide Intervals Into Minimum Number of Groups")</f>
        <v>Divide Intervals Into Minimum Number of Groups</v>
      </c>
      <c r="C1239" s="1">
        <v>1452</v>
      </c>
      <c r="D1239" s="1">
        <v>42</v>
      </c>
      <c r="E1239" s="3">
        <f t="shared" si="8"/>
        <v>0.9718875502008032</v>
      </c>
      <c r="F1239" s="1" t="s">
        <v>191</v>
      </c>
      <c r="G1239" s="1" t="s">
        <v>24</v>
      </c>
      <c r="H1239" s="1">
        <v>141230</v>
      </c>
      <c r="I1239" s="1">
        <v>222186</v>
      </c>
      <c r="J1239" s="7">
        <v>0.63600000000000001</v>
      </c>
      <c r="K1239" s="1" t="s">
        <v>21</v>
      </c>
      <c r="L1239" s="1" t="s">
        <v>21</v>
      </c>
      <c r="M1239" s="1" t="s">
        <v>29</v>
      </c>
      <c r="N1239" s="1" t="s">
        <v>22</v>
      </c>
      <c r="O1239" s="1" t="str">
        <f t="shared" ca="1" si="9"/>
        <v>Please solve the LeetCode problem '2406. Divide Intervals Into Minimum Number of Groups'.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40" spans="1:15" x14ac:dyDescent="0.25">
      <c r="A1240" s="1">
        <v>808</v>
      </c>
      <c r="B1240" s="2" t="str">
        <f>HYPERLINK("https://leetcode.com/problems/soup-servings/", "Soup Servings")</f>
        <v>Soup Servings</v>
      </c>
      <c r="C1240" s="1">
        <v>1451</v>
      </c>
      <c r="D1240" s="1">
        <v>3933</v>
      </c>
      <c r="E1240" s="3">
        <f t="shared" si="8"/>
        <v>0.26950222882615155</v>
      </c>
      <c r="F1240" s="1" t="s">
        <v>600</v>
      </c>
      <c r="G1240" s="1" t="s">
        <v>24</v>
      </c>
      <c r="H1240" s="1">
        <v>149135</v>
      </c>
      <c r="I1240" s="1">
        <v>249526</v>
      </c>
      <c r="J1240" s="7">
        <v>0.59799999999999998</v>
      </c>
      <c r="K1240" s="1" t="s">
        <v>21</v>
      </c>
      <c r="L1240" s="1" t="s">
        <v>21</v>
      </c>
      <c r="M1240" s="1" t="s">
        <v>29</v>
      </c>
      <c r="N1240" s="1" t="s">
        <v>22</v>
      </c>
      <c r="O1240" s="1" t="str">
        <f t="shared" ca="1" si="9"/>
        <v>Please solve the LeetCode problem '808. Soup Servings'.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41" spans="1:15" x14ac:dyDescent="0.25">
      <c r="A1241" s="1">
        <v>1680</v>
      </c>
      <c r="B1241" s="2" t="str">
        <f>HYPERLINK("https://leetcode.com/problems/concatenation-of-consecutive-binary-numbers/", "Concatenation of Consecutive Binary Numbers")</f>
        <v>Concatenation of Consecutive Binary Numbers</v>
      </c>
      <c r="C1241" s="1">
        <v>1450</v>
      </c>
      <c r="D1241" s="1">
        <v>437</v>
      </c>
      <c r="E1241" s="3">
        <f t="shared" si="8"/>
        <v>0.76841547429782719</v>
      </c>
      <c r="F1241" s="1" t="s">
        <v>601</v>
      </c>
      <c r="G1241" s="1" t="s">
        <v>24</v>
      </c>
      <c r="H1241" s="1">
        <v>95411</v>
      </c>
      <c r="I1241" s="1">
        <v>167731</v>
      </c>
      <c r="J1241" s="7">
        <v>0.56899999999999995</v>
      </c>
      <c r="K1241" s="1" t="s">
        <v>21</v>
      </c>
      <c r="L1241" s="1" t="s">
        <v>21</v>
      </c>
      <c r="M1241" s="1" t="s">
        <v>29</v>
      </c>
      <c r="N1241" s="1" t="s">
        <v>22</v>
      </c>
      <c r="O1241" s="1" t="str">
        <f t="shared" ca="1" si="9"/>
        <v>Please solve the LeetCode problem '1680. Concatenation of Consecutive Binary Numbers'.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42" spans="1:15" x14ac:dyDescent="0.25">
      <c r="A1242" s="1">
        <v>829</v>
      </c>
      <c r="B1242" s="2" t="str">
        <f>HYPERLINK("https://leetcode.com/problems/consecutive-numbers-sum/", "Consecutive Numbers Sum")</f>
        <v>Consecutive Numbers Sum</v>
      </c>
      <c r="C1242" s="1">
        <v>1443</v>
      </c>
      <c r="D1242" s="1">
        <v>1394</v>
      </c>
      <c r="E1242" s="3">
        <f t="shared" si="8"/>
        <v>0.50863588297497353</v>
      </c>
      <c r="F1242" s="1" t="s">
        <v>602</v>
      </c>
      <c r="G1242" s="1" t="s">
        <v>28</v>
      </c>
      <c r="H1242" s="1">
        <v>99622</v>
      </c>
      <c r="I1242" s="1">
        <v>234431</v>
      </c>
      <c r="J1242" s="7">
        <v>0.42499999999999999</v>
      </c>
      <c r="K1242" s="1" t="s">
        <v>21</v>
      </c>
      <c r="L1242" s="1" t="s">
        <v>21</v>
      </c>
      <c r="M1242" s="1" t="s">
        <v>29</v>
      </c>
      <c r="N1242" s="1" t="s">
        <v>22</v>
      </c>
      <c r="O1242" s="1" t="str">
        <f t="shared" ca="1" si="9"/>
        <v>Please solve the LeetCode problem '829. Consecutive Numbers Sum'.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43" spans="1:15" x14ac:dyDescent="0.25">
      <c r="A1243" s="1">
        <v>161</v>
      </c>
      <c r="B1243" s="2" t="str">
        <f>HYPERLINK("https://leetcode.com/problems/one-edit-distance/", "One Edit Distance")</f>
        <v>One Edit Distance</v>
      </c>
      <c r="C1243" s="1">
        <v>1442</v>
      </c>
      <c r="D1243" s="1">
        <v>194</v>
      </c>
      <c r="E1243" s="3">
        <f t="shared" si="8"/>
        <v>0.88141809290953543</v>
      </c>
      <c r="F1243" s="1" t="s">
        <v>117</v>
      </c>
      <c r="G1243" s="1" t="s">
        <v>24</v>
      </c>
      <c r="H1243" s="1">
        <v>234046</v>
      </c>
      <c r="I1243" s="1">
        <v>677666</v>
      </c>
      <c r="J1243" s="7">
        <v>0.34499999999999997</v>
      </c>
      <c r="K1243" s="1" t="s">
        <v>29</v>
      </c>
      <c r="L1243" s="1" t="s">
        <v>21</v>
      </c>
      <c r="M1243" s="1" t="s">
        <v>29</v>
      </c>
      <c r="N1243" s="1" t="s">
        <v>22</v>
      </c>
      <c r="O1243" s="1" t="str">
        <f t="shared" ca="1" si="9"/>
        <v>Please solve the LeetCode problem '161. One Edit Distance'.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44" spans="1:15" x14ac:dyDescent="0.25">
      <c r="A1244" s="1">
        <v>1683</v>
      </c>
      <c r="B1244" s="2" t="str">
        <f>HYPERLINK("https://leetcode.com/problems/invalid-tweets/", "Invalid Tweets")</f>
        <v>Invalid Tweets</v>
      </c>
      <c r="C1244" s="1">
        <v>1437</v>
      </c>
      <c r="D1244" s="1">
        <v>380</v>
      </c>
      <c r="E1244" s="3">
        <f t="shared" si="8"/>
        <v>0.79086406164006606</v>
      </c>
      <c r="F1244" s="1" t="s">
        <v>297</v>
      </c>
      <c r="G1244" s="1" t="s">
        <v>20</v>
      </c>
      <c r="H1244" s="1">
        <v>1327532</v>
      </c>
      <c r="I1244" s="1">
        <v>1557488</v>
      </c>
      <c r="J1244" s="7">
        <v>0.85199999999999998</v>
      </c>
      <c r="K1244" s="1" t="s">
        <v>21</v>
      </c>
      <c r="L1244" s="1" t="s">
        <v>21</v>
      </c>
      <c r="M1244" s="1" t="s">
        <v>29</v>
      </c>
      <c r="N1244" s="1" t="s">
        <v>297</v>
      </c>
      <c r="O1244" s="1" t="str">
        <f t="shared" ca="1" si="9"/>
        <v>Please solve the LeetCode problem '1683. Invalid Tweets'.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45" spans="1:15" x14ac:dyDescent="0.25">
      <c r="A1245" s="1">
        <v>2870</v>
      </c>
      <c r="B1245" s="2" t="str">
        <f>HYPERLINK("https://leetcode.com/problems/minimum-number-of-operations-to-make-array-empty/", "Minimum Number of Operations to Make Array Empty")</f>
        <v>Minimum Number of Operations to Make Array Empty</v>
      </c>
      <c r="C1245" s="1">
        <v>1437</v>
      </c>
      <c r="D1245" s="1">
        <v>69</v>
      </c>
      <c r="E1245" s="3">
        <f t="shared" si="8"/>
        <v>0.95418326693227096</v>
      </c>
      <c r="F1245" s="1" t="s">
        <v>389</v>
      </c>
      <c r="G1245" s="1" t="s">
        <v>24</v>
      </c>
      <c r="H1245" s="1">
        <v>196812</v>
      </c>
      <c r="I1245" s="1">
        <v>317305</v>
      </c>
      <c r="J1245" s="7">
        <v>0.62</v>
      </c>
      <c r="K1245" s="1" t="s">
        <v>21</v>
      </c>
      <c r="L1245" s="1" t="s">
        <v>21</v>
      </c>
      <c r="M1245" s="1" t="s">
        <v>29</v>
      </c>
      <c r="N1245" s="1" t="s">
        <v>22</v>
      </c>
      <c r="O1245" s="1" t="str">
        <f t="shared" ca="1" si="9"/>
        <v>Please solve the LeetCode problem '2870. Minimum Number of Operations to Make Array Empty'.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46" spans="1:15" x14ac:dyDescent="0.25">
      <c r="A1246" s="1">
        <v>1942</v>
      </c>
      <c r="B1246" s="2" t="str">
        <f>HYPERLINK("https://leetcode.com/problems/the-number-of-the-smallest-unoccupied-chair/", "The Number of the Smallest Unoccupied Chair")</f>
        <v>The Number of the Smallest Unoccupied Chair</v>
      </c>
      <c r="C1246" s="1">
        <v>1436</v>
      </c>
      <c r="D1246" s="1">
        <v>77</v>
      </c>
      <c r="E1246" s="3">
        <f t="shared" si="8"/>
        <v>0.94910773298083273</v>
      </c>
      <c r="F1246" s="1" t="s">
        <v>603</v>
      </c>
      <c r="G1246" s="1" t="s">
        <v>24</v>
      </c>
      <c r="H1246" s="1">
        <v>126898</v>
      </c>
      <c r="I1246" s="1">
        <v>210217</v>
      </c>
      <c r="J1246" s="7">
        <v>0.60399999999999998</v>
      </c>
      <c r="K1246" s="1" t="s">
        <v>21</v>
      </c>
      <c r="L1246" s="1" t="s">
        <v>21</v>
      </c>
      <c r="M1246" s="1" t="s">
        <v>29</v>
      </c>
      <c r="N1246" s="1" t="s">
        <v>22</v>
      </c>
      <c r="O1246" s="1" t="str">
        <f t="shared" ca="1" si="9"/>
        <v>Please solve the LeetCode problem '1942. The Number of the Smallest Unoccupied Chair'.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47" spans="1:15" x14ac:dyDescent="0.25">
      <c r="A1247" s="1">
        <v>1992</v>
      </c>
      <c r="B1247" s="2" t="str">
        <f>HYPERLINK("https://leetcode.com/problems/find-all-groups-of-farmland/", "Find All Groups of Farmland")</f>
        <v>Find All Groups of Farmland</v>
      </c>
      <c r="C1247" s="1">
        <v>1435</v>
      </c>
      <c r="D1247" s="1">
        <v>91</v>
      </c>
      <c r="E1247" s="3">
        <f t="shared" si="8"/>
        <v>0.94036697247706424</v>
      </c>
      <c r="F1247" s="1" t="s">
        <v>143</v>
      </c>
      <c r="G1247" s="1" t="s">
        <v>24</v>
      </c>
      <c r="H1247" s="1">
        <v>140612</v>
      </c>
      <c r="I1247" s="1">
        <v>186266</v>
      </c>
      <c r="J1247" s="7">
        <v>0.755</v>
      </c>
      <c r="K1247" s="1" t="s">
        <v>21</v>
      </c>
      <c r="L1247" s="1" t="s">
        <v>21</v>
      </c>
      <c r="M1247" s="1" t="s">
        <v>29</v>
      </c>
      <c r="N1247" s="1" t="s">
        <v>22</v>
      </c>
      <c r="O1247" s="1" t="str">
        <f t="shared" ca="1" si="9"/>
        <v>Please solve the LeetCode problem '1992. Find All Groups of Farmland'.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48" spans="1:15" x14ac:dyDescent="0.25">
      <c r="A1248" s="1">
        <v>693</v>
      </c>
      <c r="B1248" s="2" t="str">
        <f>HYPERLINK("https://leetcode.com/problems/binary-number-with-alternating-bits/", "Binary Number with Alternating Bits")</f>
        <v>Binary Number with Alternating Bits</v>
      </c>
      <c r="C1248" s="1">
        <v>1433</v>
      </c>
      <c r="D1248" s="1">
        <v>114</v>
      </c>
      <c r="E1248" s="3">
        <f t="shared" si="8"/>
        <v>0.92630898513251458</v>
      </c>
      <c r="F1248" s="1" t="s">
        <v>298</v>
      </c>
      <c r="G1248" s="1" t="s">
        <v>20</v>
      </c>
      <c r="H1248" s="1">
        <v>170893</v>
      </c>
      <c r="I1248" s="1">
        <v>267131</v>
      </c>
      <c r="J1248" s="7">
        <v>0.64</v>
      </c>
      <c r="K1248" s="1" t="s">
        <v>21</v>
      </c>
      <c r="L1248" s="1" t="s">
        <v>21</v>
      </c>
      <c r="M1248" s="1" t="s">
        <v>29</v>
      </c>
      <c r="N1248" s="1" t="s">
        <v>22</v>
      </c>
      <c r="O1248" s="1" t="str">
        <f t="shared" ca="1" si="9"/>
        <v>Please solve the LeetCode problem '693. Binary Number with Alternating Bits'.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49" spans="1:15" x14ac:dyDescent="0.25">
      <c r="A1249" s="1">
        <v>550</v>
      </c>
      <c r="B1249" s="2" t="str">
        <f>HYPERLINK("https://leetcode.com/problems/game-play-analysis-iv/", "Game Play Analysis IV")</f>
        <v>Game Play Analysis IV</v>
      </c>
      <c r="C1249" s="1">
        <v>1432</v>
      </c>
      <c r="D1249" s="1">
        <v>245</v>
      </c>
      <c r="E1249" s="3">
        <f t="shared" si="8"/>
        <v>0.85390578413834228</v>
      </c>
      <c r="F1249" s="1" t="s">
        <v>297</v>
      </c>
      <c r="G1249" s="1" t="s">
        <v>24</v>
      </c>
      <c r="H1249" s="1">
        <v>419711</v>
      </c>
      <c r="I1249" s="1">
        <v>1034604</v>
      </c>
      <c r="J1249" s="7">
        <v>0.40600000000000003</v>
      </c>
      <c r="K1249" s="1" t="s">
        <v>21</v>
      </c>
      <c r="L1249" s="1" t="s">
        <v>21</v>
      </c>
      <c r="M1249" s="1" t="s">
        <v>29</v>
      </c>
      <c r="N1249" s="1" t="s">
        <v>297</v>
      </c>
      <c r="O1249" s="1" t="str">
        <f t="shared" ca="1" si="9"/>
        <v>Please solve the LeetCode problem '550. Game Play Analysis IV'.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50" spans="1:15" x14ac:dyDescent="0.25">
      <c r="A1250" s="1">
        <v>405</v>
      </c>
      <c r="B1250" s="2" t="str">
        <f>HYPERLINK("https://leetcode.com/problems/convert-a-number-to-hexadecimal/", "Convert a Number to Hexadecimal")</f>
        <v>Convert a Number to Hexadecimal</v>
      </c>
      <c r="C1250" s="1">
        <v>1425</v>
      </c>
      <c r="D1250" s="1">
        <v>228</v>
      </c>
      <c r="E1250" s="3">
        <f t="shared" si="8"/>
        <v>0.86206896551724133</v>
      </c>
      <c r="F1250" s="1" t="s">
        <v>605</v>
      </c>
      <c r="G1250" s="1" t="s">
        <v>20</v>
      </c>
      <c r="H1250" s="1">
        <v>205749</v>
      </c>
      <c r="I1250" s="1">
        <v>389115</v>
      </c>
      <c r="J1250" s="7">
        <v>0.52900000000000003</v>
      </c>
      <c r="K1250" s="1" t="s">
        <v>21</v>
      </c>
      <c r="L1250" s="1" t="s">
        <v>29</v>
      </c>
      <c r="M1250" s="1" t="s">
        <v>29</v>
      </c>
      <c r="N1250" s="1" t="s">
        <v>22</v>
      </c>
      <c r="O1250" s="1" t="str">
        <f t="shared" ca="1" si="9"/>
        <v>Please solve the LeetCode problem '405. Convert a Number to Hexadecimal'.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51" spans="1:15" x14ac:dyDescent="0.25">
      <c r="A1251" s="1">
        <v>1261</v>
      </c>
      <c r="B1251" s="2" t="str">
        <f>HYPERLINK("https://leetcode.com/problems/find-elements-in-a-contaminated-binary-tree/", "Find Elements in a Contaminated Binary Tree")</f>
        <v>Find Elements in a Contaminated Binary Tree</v>
      </c>
      <c r="C1251" s="1">
        <v>1425</v>
      </c>
      <c r="D1251" s="1">
        <v>127</v>
      </c>
      <c r="E1251" s="3">
        <f t="shared" si="8"/>
        <v>0.91817010309278346</v>
      </c>
      <c r="F1251" s="1" t="s">
        <v>609</v>
      </c>
      <c r="G1251" s="1" t="s">
        <v>24</v>
      </c>
      <c r="H1251" s="1">
        <v>201707</v>
      </c>
      <c r="I1251" s="1">
        <v>239856</v>
      </c>
      <c r="J1251" s="7">
        <v>0.84099999999999997</v>
      </c>
      <c r="K1251" s="1" t="s">
        <v>21</v>
      </c>
      <c r="L1251" s="1" t="s">
        <v>21</v>
      </c>
      <c r="M1251" s="1" t="s">
        <v>29</v>
      </c>
      <c r="N1251" s="1" t="s">
        <v>22</v>
      </c>
      <c r="O1251" s="1" t="str">
        <f t="shared" ca="1" si="9"/>
        <v>Please solve the LeetCode problem '1261. Find Elements in a Contaminated Binary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52" spans="1:15" x14ac:dyDescent="0.25">
      <c r="A1252" s="1">
        <v>2037</v>
      </c>
      <c r="B1252" s="2" t="str">
        <f>HYPERLINK("https://leetcode.com/problems/minimum-number-of-moves-to-seat-everyone/", "Minimum Number of Moves to Seat Everyone")</f>
        <v>Minimum Number of Moves to Seat Everyone</v>
      </c>
      <c r="C1252" s="1">
        <v>1424</v>
      </c>
      <c r="D1252" s="1">
        <v>345</v>
      </c>
      <c r="E1252" s="3">
        <f t="shared" si="8"/>
        <v>0.80497456189937822</v>
      </c>
      <c r="F1252" s="1" t="s">
        <v>443</v>
      </c>
      <c r="G1252" s="1" t="s">
        <v>20</v>
      </c>
      <c r="H1252" s="1">
        <v>277970</v>
      </c>
      <c r="I1252" s="1">
        <v>318745</v>
      </c>
      <c r="J1252" s="7">
        <v>0.872</v>
      </c>
      <c r="K1252" s="1" t="s">
        <v>21</v>
      </c>
      <c r="L1252" s="1" t="s">
        <v>21</v>
      </c>
      <c r="M1252" s="1" t="s">
        <v>29</v>
      </c>
      <c r="N1252" s="1" t="s">
        <v>22</v>
      </c>
      <c r="O1252" s="1" t="str">
        <f t="shared" ca="1" si="9"/>
        <v>Please solve the LeetCode problem '2037. Minimum Number of Moves to Seat Everyone'.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53" spans="1:15" x14ac:dyDescent="0.25">
      <c r="A1253" s="1">
        <v>1404</v>
      </c>
      <c r="B1253" s="2" t="str">
        <f>HYPERLINK("https://leetcode.com/problems/number-of-steps-to-reduce-a-number-in-binary-representation-to-one/", "Number of Steps to Reduce a Number in Binary Representation to One")</f>
        <v>Number of Steps to Reduce a Number in Binary Representation to One</v>
      </c>
      <c r="C1253" s="1">
        <v>1422</v>
      </c>
      <c r="D1253" s="1">
        <v>89</v>
      </c>
      <c r="E1253" s="3">
        <f t="shared" si="8"/>
        <v>0.94109861019192587</v>
      </c>
      <c r="F1253" s="1" t="s">
        <v>610</v>
      </c>
      <c r="G1253" s="1" t="s">
        <v>24</v>
      </c>
      <c r="H1253" s="1">
        <v>157317</v>
      </c>
      <c r="I1253" s="1">
        <v>256471</v>
      </c>
      <c r="J1253" s="7">
        <v>0.61299999999999999</v>
      </c>
      <c r="K1253" s="1" t="s">
        <v>21</v>
      </c>
      <c r="L1253" s="1" t="s">
        <v>21</v>
      </c>
      <c r="M1253" s="1" t="s">
        <v>29</v>
      </c>
      <c r="N1253" s="1" t="s">
        <v>22</v>
      </c>
      <c r="O1253" s="1" t="str">
        <f t="shared" ca="1" si="9"/>
        <v>Please solve the LeetCode problem '1404. Number of Steps to Reduce a Number in Binary Representation to One'.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54" spans="1:15" x14ac:dyDescent="0.25">
      <c r="A1254" s="1">
        <v>384</v>
      </c>
      <c r="B1254" s="2" t="str">
        <f>HYPERLINK("https://leetcode.com/problems/shuffle-an-array/", "Shuffle an Array")</f>
        <v>Shuffle an Array</v>
      </c>
      <c r="C1254" s="1">
        <v>1421</v>
      </c>
      <c r="D1254" s="1">
        <v>945</v>
      </c>
      <c r="E1254" s="3">
        <f t="shared" si="8"/>
        <v>0.60059171597633132</v>
      </c>
      <c r="F1254" s="1" t="s">
        <v>607</v>
      </c>
      <c r="G1254" s="1" t="s">
        <v>24</v>
      </c>
      <c r="H1254" s="1">
        <v>386942</v>
      </c>
      <c r="I1254" s="1">
        <v>650281</v>
      </c>
      <c r="J1254" s="7">
        <v>0.59499999999999997</v>
      </c>
      <c r="K1254" s="1" t="s">
        <v>21</v>
      </c>
      <c r="L1254" s="1" t="s">
        <v>21</v>
      </c>
      <c r="M1254" s="1" t="s">
        <v>29</v>
      </c>
      <c r="N1254" s="1" t="s">
        <v>22</v>
      </c>
      <c r="O1254" s="1" t="str">
        <f t="shared" ca="1" si="9"/>
        <v>Please solve the LeetCode problem '384. Shuffle an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55" spans="1:15" x14ac:dyDescent="0.25">
      <c r="A1255" s="1">
        <v>397</v>
      </c>
      <c r="B1255" s="2" t="str">
        <f>HYPERLINK("https://leetcode.com/problems/integer-replacement/", "Integer Replacement")</f>
        <v>Integer Replacement</v>
      </c>
      <c r="C1255" s="1">
        <v>1421</v>
      </c>
      <c r="D1255" s="1">
        <v>484</v>
      </c>
      <c r="E1255" s="3">
        <f t="shared" si="8"/>
        <v>0.74593175853018368</v>
      </c>
      <c r="F1255" s="1" t="s">
        <v>606</v>
      </c>
      <c r="G1255" s="1" t="s">
        <v>24</v>
      </c>
      <c r="H1255" s="1">
        <v>156296</v>
      </c>
      <c r="I1255" s="1">
        <v>421483</v>
      </c>
      <c r="J1255" s="7">
        <v>0.371</v>
      </c>
      <c r="K1255" s="1" t="s">
        <v>21</v>
      </c>
      <c r="L1255" s="1" t="s">
        <v>29</v>
      </c>
      <c r="M1255" s="1" t="s">
        <v>29</v>
      </c>
      <c r="N1255" s="1" t="s">
        <v>22</v>
      </c>
      <c r="O1255" s="1" t="str">
        <f t="shared" ca="1" si="9"/>
        <v>Please solve the LeetCode problem '397. Integer Replacement'.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56" spans="1:15" x14ac:dyDescent="0.25">
      <c r="A1256" s="1">
        <v>1068</v>
      </c>
      <c r="B1256" s="2" t="str">
        <f>HYPERLINK("https://leetcode.com/problems/product-sales-analysis-i/", "Product Sales Analysis I")</f>
        <v>Product Sales Analysis I</v>
      </c>
      <c r="C1256" s="1">
        <v>1417</v>
      </c>
      <c r="D1256" s="1">
        <v>248</v>
      </c>
      <c r="E1256" s="3">
        <f t="shared" si="8"/>
        <v>0.85105105105105106</v>
      </c>
      <c r="F1256" s="1" t="s">
        <v>297</v>
      </c>
      <c r="G1256" s="1" t="s">
        <v>20</v>
      </c>
      <c r="H1256" s="1">
        <v>1235428</v>
      </c>
      <c r="I1256" s="1">
        <v>1445293</v>
      </c>
      <c r="J1256" s="7">
        <v>0.85499999999999998</v>
      </c>
      <c r="K1256" s="1" t="s">
        <v>21</v>
      </c>
      <c r="L1256" s="1" t="s">
        <v>21</v>
      </c>
      <c r="M1256" s="1" t="s">
        <v>29</v>
      </c>
      <c r="N1256" s="1" t="s">
        <v>297</v>
      </c>
      <c r="O1256" s="1" t="str">
        <f t="shared" ca="1" si="9"/>
        <v>Please solve the LeetCode problem '1068. Product Sales Analysis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57" spans="1:15" x14ac:dyDescent="0.25">
      <c r="A1257" s="1">
        <v>1911</v>
      </c>
      <c r="B1257" s="2" t="str">
        <f>HYPERLINK("https://leetcode.com/problems/maximum-alternating-subsequence-sum/", "Maximum Alternating Subsequence Sum")</f>
        <v>Maximum Alternating Subsequence Sum</v>
      </c>
      <c r="C1257" s="1">
        <v>1412</v>
      </c>
      <c r="D1257" s="1">
        <v>33</v>
      </c>
      <c r="E1257" s="3">
        <f t="shared" si="8"/>
        <v>0.97716262975778545</v>
      </c>
      <c r="F1257" s="1" t="s">
        <v>30</v>
      </c>
      <c r="G1257" s="1" t="s">
        <v>24</v>
      </c>
      <c r="H1257" s="1">
        <v>60624</v>
      </c>
      <c r="I1257" s="1">
        <v>102866</v>
      </c>
      <c r="J1257" s="7">
        <v>0.58899999999999997</v>
      </c>
      <c r="K1257" s="1" t="s">
        <v>21</v>
      </c>
      <c r="L1257" s="1" t="s">
        <v>29</v>
      </c>
      <c r="M1257" s="1" t="s">
        <v>29</v>
      </c>
      <c r="N1257" s="1" t="s">
        <v>22</v>
      </c>
      <c r="O1257" s="1" t="str">
        <f t="shared" ca="1" si="9"/>
        <v>Please solve the LeetCode problem '1911. Maximum Alternating Subsequence Sum'.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58" spans="1:15" x14ac:dyDescent="0.25">
      <c r="A1258" s="1">
        <v>2785</v>
      </c>
      <c r="B1258" s="2" t="str">
        <f>HYPERLINK("https://leetcode.com/problems/sort-vowels-in-a-string/", "Sort Vowels in a String")</f>
        <v>Sort Vowels in a String</v>
      </c>
      <c r="C1258" s="1">
        <v>1411</v>
      </c>
      <c r="D1258" s="1">
        <v>73</v>
      </c>
      <c r="E1258" s="3">
        <f t="shared" si="8"/>
        <v>0.95080862533692723</v>
      </c>
      <c r="F1258" s="1" t="s">
        <v>444</v>
      </c>
      <c r="G1258" s="1" t="s">
        <v>24</v>
      </c>
      <c r="H1258" s="1">
        <v>303247</v>
      </c>
      <c r="I1258" s="1">
        <v>363482</v>
      </c>
      <c r="J1258" s="7">
        <v>0.83399999999999996</v>
      </c>
      <c r="K1258" s="1" t="s">
        <v>21</v>
      </c>
      <c r="L1258" s="1" t="s">
        <v>21</v>
      </c>
      <c r="M1258" s="1" t="s">
        <v>29</v>
      </c>
      <c r="N1258" s="1" t="s">
        <v>22</v>
      </c>
      <c r="O1258" s="1" t="str">
        <f t="shared" ca="1" si="9"/>
        <v>Please solve the LeetCode problem '2785. Sort Vowels in a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59" spans="1:15" x14ac:dyDescent="0.25">
      <c r="A1259" s="1">
        <v>262</v>
      </c>
      <c r="B1259" s="2" t="str">
        <f>HYPERLINK("https://leetcode.com/problems/trips-and-users/", "Trips and Users")</f>
        <v>Trips and Users</v>
      </c>
      <c r="C1259" s="1">
        <v>1407</v>
      </c>
      <c r="D1259" s="1">
        <v>707</v>
      </c>
      <c r="E1259" s="3">
        <f t="shared" si="8"/>
        <v>0.66556291390728473</v>
      </c>
      <c r="F1259" s="1" t="s">
        <v>297</v>
      </c>
      <c r="G1259" s="1" t="s">
        <v>28</v>
      </c>
      <c r="H1259" s="1">
        <v>275673</v>
      </c>
      <c r="I1259" s="1">
        <v>734214</v>
      </c>
      <c r="J1259" s="7">
        <v>0.375</v>
      </c>
      <c r="K1259" s="1" t="s">
        <v>21</v>
      </c>
      <c r="L1259" s="1" t="s">
        <v>21</v>
      </c>
      <c r="M1259" s="1" t="s">
        <v>29</v>
      </c>
      <c r="N1259" s="1" t="s">
        <v>297</v>
      </c>
      <c r="O1259" s="1" t="str">
        <f t="shared" ca="1" si="9"/>
        <v>Please solve the LeetCode problem '262. Trips and Users'.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60" spans="1:15" x14ac:dyDescent="0.25">
      <c r="A1260" s="1">
        <v>855</v>
      </c>
      <c r="B1260" s="2" t="str">
        <f>HYPERLINK("https://leetcode.com/problems/exam-room/", "Exam Room")</f>
        <v>Exam Room</v>
      </c>
      <c r="C1260" s="1">
        <v>1407</v>
      </c>
      <c r="D1260" s="1">
        <v>520</v>
      </c>
      <c r="E1260" s="3">
        <f t="shared" si="8"/>
        <v>0.73015049299429169</v>
      </c>
      <c r="F1260" s="1" t="s">
        <v>611</v>
      </c>
      <c r="G1260" s="1" t="s">
        <v>24</v>
      </c>
      <c r="H1260" s="1">
        <v>72547</v>
      </c>
      <c r="I1260" s="1">
        <v>168160</v>
      </c>
      <c r="J1260" s="7">
        <v>0.43099999999999999</v>
      </c>
      <c r="K1260" s="1" t="s">
        <v>21</v>
      </c>
      <c r="L1260" s="1" t="s">
        <v>21</v>
      </c>
      <c r="M1260" s="1" t="s">
        <v>29</v>
      </c>
      <c r="N1260" s="1" t="s">
        <v>22</v>
      </c>
      <c r="O1260" s="1" t="str">
        <f t="shared" ca="1" si="9"/>
        <v>Please solve the LeetCode problem '855. Exam Room'.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61" spans="1:15" x14ac:dyDescent="0.25">
      <c r="A1261" s="1">
        <v>1499</v>
      </c>
      <c r="B1261" s="2" t="str">
        <f>HYPERLINK("https://leetcode.com/problems/max-value-of-equation/", "Max Value of Equation")</f>
        <v>Max Value of Equation</v>
      </c>
      <c r="C1261" s="1">
        <v>1407</v>
      </c>
      <c r="D1261" s="1">
        <v>62</v>
      </c>
      <c r="E1261" s="3">
        <f t="shared" si="8"/>
        <v>0.95779441797140907</v>
      </c>
      <c r="F1261" s="1" t="s">
        <v>59</v>
      </c>
      <c r="G1261" s="1" t="s">
        <v>28</v>
      </c>
      <c r="H1261" s="1">
        <v>54354</v>
      </c>
      <c r="I1261" s="1">
        <v>121003</v>
      </c>
      <c r="J1261" s="7">
        <v>0.44900000000000001</v>
      </c>
      <c r="K1261" s="1" t="s">
        <v>21</v>
      </c>
      <c r="L1261" s="1" t="s">
        <v>29</v>
      </c>
      <c r="M1261" s="1" t="s">
        <v>29</v>
      </c>
      <c r="N1261" s="1" t="s">
        <v>22</v>
      </c>
      <c r="O1261" s="1" t="str">
        <f t="shared" ca="1" si="9"/>
        <v>Please solve the LeetCode problem '1499. Max Value of Equation'.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62" spans="1:15" x14ac:dyDescent="0.25">
      <c r="A1262" s="1">
        <v>545</v>
      </c>
      <c r="B1262" s="2" t="str">
        <f>HYPERLINK("https://leetcode.com/problems/boundary-of-binary-tree/", "Boundary of Binary Tree")</f>
        <v>Boundary of Binary Tree</v>
      </c>
      <c r="C1262" s="1">
        <v>1406</v>
      </c>
      <c r="D1262" s="1">
        <v>2330</v>
      </c>
      <c r="E1262" s="3">
        <f t="shared" si="8"/>
        <v>0.37633832976445397</v>
      </c>
      <c r="F1262" s="1" t="s">
        <v>67</v>
      </c>
      <c r="G1262" s="1" t="s">
        <v>24</v>
      </c>
      <c r="H1262" s="1">
        <v>170540</v>
      </c>
      <c r="I1262" s="1">
        <v>357073</v>
      </c>
      <c r="J1262" s="7">
        <v>0.47799999999999998</v>
      </c>
      <c r="K1262" s="1" t="s">
        <v>29</v>
      </c>
      <c r="L1262" s="1" t="s">
        <v>21</v>
      </c>
      <c r="M1262" s="1" t="s">
        <v>29</v>
      </c>
      <c r="N1262" s="1" t="s">
        <v>22</v>
      </c>
      <c r="O1262" s="1" t="str">
        <f t="shared" ca="1" si="9"/>
        <v>Please solve the LeetCode problem '545. Boundary of Binary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63" spans="1:15" x14ac:dyDescent="0.25">
      <c r="A1263" s="1">
        <v>2485</v>
      </c>
      <c r="B1263" s="2" t="str">
        <f>HYPERLINK("https://leetcode.com/problems/find-the-pivot-integer/", "Find the Pivot Integer")</f>
        <v>Find the Pivot Integer</v>
      </c>
      <c r="C1263" s="1">
        <v>1404</v>
      </c>
      <c r="D1263" s="1">
        <v>60</v>
      </c>
      <c r="E1263" s="3">
        <f t="shared" si="8"/>
        <v>0.95901639344262291</v>
      </c>
      <c r="F1263" s="1" t="s">
        <v>608</v>
      </c>
      <c r="G1263" s="1" t="s">
        <v>20</v>
      </c>
      <c r="H1263" s="1">
        <v>288057</v>
      </c>
      <c r="I1263" s="1">
        <v>343589</v>
      </c>
      <c r="J1263" s="7">
        <v>0.83799999999999997</v>
      </c>
      <c r="K1263" s="1" t="s">
        <v>21</v>
      </c>
      <c r="L1263" s="1" t="s">
        <v>21</v>
      </c>
      <c r="M1263" s="1" t="s">
        <v>29</v>
      </c>
      <c r="N1263" s="1" t="s">
        <v>22</v>
      </c>
      <c r="O1263" s="1" t="str">
        <f t="shared" ca="1" si="9"/>
        <v>Please solve the LeetCode problem '2485. Find the Pivot Integer'.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64" spans="1:15" x14ac:dyDescent="0.25">
      <c r="A1264" s="1">
        <v>2342</v>
      </c>
      <c r="B1264" s="2" t="str">
        <f>HYPERLINK("https://leetcode.com/problems/max-sum-of-a-pair-with-equal-sum-of-digits/", "Max Sum of a Pair With Equal Sum of Digits")</f>
        <v>Max Sum of a Pair With Equal Sum of Digits</v>
      </c>
      <c r="C1264" s="1">
        <v>1403</v>
      </c>
      <c r="D1264" s="1">
        <v>46</v>
      </c>
      <c r="E1264" s="3">
        <f t="shared" si="8"/>
        <v>0.96825396825396826</v>
      </c>
      <c r="F1264" s="1" t="s">
        <v>542</v>
      </c>
      <c r="G1264" s="1" t="s">
        <v>24</v>
      </c>
      <c r="H1264" s="1">
        <v>246601</v>
      </c>
      <c r="I1264" s="1">
        <v>373913</v>
      </c>
      <c r="J1264" s="7">
        <v>0.66</v>
      </c>
      <c r="K1264" s="1" t="s">
        <v>21</v>
      </c>
      <c r="L1264" s="1" t="s">
        <v>21</v>
      </c>
      <c r="M1264" s="1" t="s">
        <v>29</v>
      </c>
      <c r="N1264" s="1" t="s">
        <v>22</v>
      </c>
      <c r="O1264" s="1" t="str">
        <f t="shared" ca="1" si="9"/>
        <v>Please solve the LeetCode problem '2342. Max Sum of a Pair With Equal Sum of Digits'.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65" spans="1:15" x14ac:dyDescent="0.25">
      <c r="A1265" s="1">
        <v>2008</v>
      </c>
      <c r="B1265" s="2" t="str">
        <f>HYPERLINK("https://leetcode.com/problems/maximum-earnings-from-taxi/", "Maximum Earnings From Taxi")</f>
        <v>Maximum Earnings From Taxi</v>
      </c>
      <c r="C1265" s="1">
        <v>1402</v>
      </c>
      <c r="D1265" s="1">
        <v>26</v>
      </c>
      <c r="E1265" s="3">
        <f t="shared" si="8"/>
        <v>0.98179271708683469</v>
      </c>
      <c r="F1265" s="1" t="s">
        <v>612</v>
      </c>
      <c r="G1265" s="1" t="s">
        <v>24</v>
      </c>
      <c r="H1265" s="1">
        <v>47103</v>
      </c>
      <c r="I1265" s="1">
        <v>102219</v>
      </c>
      <c r="J1265" s="7">
        <v>0.46100000000000002</v>
      </c>
      <c r="K1265" s="1" t="s">
        <v>21</v>
      </c>
      <c r="L1265" s="1" t="s">
        <v>29</v>
      </c>
      <c r="M1265" s="1" t="s">
        <v>29</v>
      </c>
      <c r="N1265" s="1" t="s">
        <v>22</v>
      </c>
      <c r="O1265" s="1" t="str">
        <f t="shared" ca="1" si="9"/>
        <v>Please solve the LeetCode problem '2008. Maximum Earnings From Taxi'.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66" spans="1:15" x14ac:dyDescent="0.25">
      <c r="A1266" s="1">
        <v>1624</v>
      </c>
      <c r="B1266" s="2" t="str">
        <f>HYPERLINK("https://leetcode.com/problems/largest-substring-between-two-equal-characters/", "Largest Substring Between Two Equal Characters")</f>
        <v>Largest Substring Between Two Equal Characters</v>
      </c>
      <c r="C1266" s="1">
        <v>1401</v>
      </c>
      <c r="D1266" s="1">
        <v>68</v>
      </c>
      <c r="E1266" s="3">
        <f t="shared" si="8"/>
        <v>0.95371000680735196</v>
      </c>
      <c r="F1266" s="1" t="s">
        <v>131</v>
      </c>
      <c r="G1266" s="1" t="s">
        <v>20</v>
      </c>
      <c r="H1266" s="1">
        <v>177922</v>
      </c>
      <c r="I1266" s="1">
        <v>260580</v>
      </c>
      <c r="J1266" s="7">
        <v>0.68300000000000005</v>
      </c>
      <c r="K1266" s="1" t="s">
        <v>21</v>
      </c>
      <c r="L1266" s="1" t="s">
        <v>21</v>
      </c>
      <c r="M1266" s="1" t="s">
        <v>29</v>
      </c>
      <c r="N1266" s="1" t="s">
        <v>22</v>
      </c>
      <c r="O1266" s="1" t="str">
        <f t="shared" ca="1" si="9"/>
        <v>Please solve the LeetCode problem '1624. Largest Substring Between Two Equal Characters'.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67" spans="1:15" x14ac:dyDescent="0.25">
      <c r="A1267" s="1">
        <v>2044</v>
      </c>
      <c r="B1267" s="2" t="str">
        <f>HYPERLINK("https://leetcode.com/problems/count-number-of-maximum-bitwise-or-subsets/", "Count Number of Maximum Bitwise-OR Subsets")</f>
        <v>Count Number of Maximum Bitwise-OR Subsets</v>
      </c>
      <c r="C1267" s="1">
        <v>1401</v>
      </c>
      <c r="D1267" s="1">
        <v>97</v>
      </c>
      <c r="E1267" s="3">
        <f t="shared" si="8"/>
        <v>0.93524699599465955</v>
      </c>
      <c r="F1267" s="1" t="s">
        <v>594</v>
      </c>
      <c r="G1267" s="1" t="s">
        <v>24</v>
      </c>
      <c r="H1267" s="1">
        <v>246067</v>
      </c>
      <c r="I1267" s="1">
        <v>274774</v>
      </c>
      <c r="J1267" s="7">
        <v>0.89600000000000002</v>
      </c>
      <c r="K1267" s="1" t="s">
        <v>21</v>
      </c>
      <c r="L1267" s="1" t="s">
        <v>21</v>
      </c>
      <c r="M1267" s="1" t="s">
        <v>29</v>
      </c>
      <c r="N1267" s="1" t="s">
        <v>22</v>
      </c>
      <c r="O1267" s="1" t="str">
        <f t="shared" ca="1" si="9"/>
        <v>Please solve the LeetCode problem '2044. Count Number of Maximum Bitwise-OR Subsets'.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68" spans="1:15" x14ac:dyDescent="0.25">
      <c r="A1268" s="1">
        <v>738</v>
      </c>
      <c r="B1268" s="2" t="str">
        <f>HYPERLINK("https://leetcode.com/problems/monotone-increasing-digits/", "Monotone Increasing Digits")</f>
        <v>Monotone Increasing Digits</v>
      </c>
      <c r="C1268" s="1">
        <v>1400</v>
      </c>
      <c r="D1268" s="1">
        <v>115</v>
      </c>
      <c r="E1268" s="3">
        <f t="shared" si="8"/>
        <v>0.92409240924092406</v>
      </c>
      <c r="F1268" s="1" t="s">
        <v>296</v>
      </c>
      <c r="G1268" s="1" t="s">
        <v>24</v>
      </c>
      <c r="H1268" s="1">
        <v>66944</v>
      </c>
      <c r="I1268" s="1">
        <v>135836</v>
      </c>
      <c r="J1268" s="7">
        <v>0.49299999999999999</v>
      </c>
      <c r="K1268" s="1" t="s">
        <v>21</v>
      </c>
      <c r="L1268" s="1" t="s">
        <v>21</v>
      </c>
      <c r="M1268" s="1" t="s">
        <v>29</v>
      </c>
      <c r="N1268" s="1" t="s">
        <v>22</v>
      </c>
      <c r="O1268" s="1" t="str">
        <f t="shared" ca="1" si="9"/>
        <v>Please solve the LeetCode problem '738. Monotone Increasing Digits'.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69" spans="1:15" x14ac:dyDescent="0.25">
      <c r="A1269" s="1">
        <v>835</v>
      </c>
      <c r="B1269" s="2" t="str">
        <f>HYPERLINK("https://leetcode.com/problems/image-overlap/", "Image Overlap")</f>
        <v>Image Overlap</v>
      </c>
      <c r="C1269" s="1">
        <v>1400</v>
      </c>
      <c r="D1269" s="1">
        <v>504</v>
      </c>
      <c r="E1269" s="3">
        <f t="shared" si="8"/>
        <v>0.73529411764705888</v>
      </c>
      <c r="F1269" s="1" t="s">
        <v>266</v>
      </c>
      <c r="G1269" s="1" t="s">
        <v>24</v>
      </c>
      <c r="H1269" s="1">
        <v>104180</v>
      </c>
      <c r="I1269" s="1">
        <v>162949</v>
      </c>
      <c r="J1269" s="7">
        <v>0.63900000000000001</v>
      </c>
      <c r="K1269" s="1" t="s">
        <v>21</v>
      </c>
      <c r="L1269" s="1" t="s">
        <v>21</v>
      </c>
      <c r="M1269" s="1" t="s">
        <v>29</v>
      </c>
      <c r="N1269" s="1" t="s">
        <v>22</v>
      </c>
      <c r="O1269" s="1" t="str">
        <f t="shared" ca="1" si="9"/>
        <v>Please solve the LeetCode problem '835. Image Overlap'.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70" spans="1:15" x14ac:dyDescent="0.25">
      <c r="A1270" s="1">
        <v>1550</v>
      </c>
      <c r="B1270" s="2" t="str">
        <f>HYPERLINK("https://leetcode.com/problems/three-consecutive-odds/", "Three Consecutive Odds")</f>
        <v>Three Consecutive Odds</v>
      </c>
      <c r="C1270" s="1">
        <v>1399</v>
      </c>
      <c r="D1270" s="1">
        <v>106</v>
      </c>
      <c r="E1270" s="3">
        <f t="shared" si="8"/>
        <v>0.92956810631229236</v>
      </c>
      <c r="F1270" s="1" t="s">
        <v>113</v>
      </c>
      <c r="G1270" s="1" t="s">
        <v>20</v>
      </c>
      <c r="H1270" s="1">
        <v>434504</v>
      </c>
      <c r="I1270" s="1">
        <v>626142</v>
      </c>
      <c r="J1270" s="7">
        <v>0.69399999999999995</v>
      </c>
      <c r="K1270" s="1" t="s">
        <v>21</v>
      </c>
      <c r="L1270" s="1" t="s">
        <v>21</v>
      </c>
      <c r="M1270" s="1" t="s">
        <v>29</v>
      </c>
      <c r="N1270" s="1" t="s">
        <v>22</v>
      </c>
      <c r="O1270" s="1" t="str">
        <f t="shared" ca="1" si="9"/>
        <v>Please solve the LeetCode problem '1550. Three Consecutive Odds'.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71" spans="1:15" x14ac:dyDescent="0.25">
      <c r="A1271" s="1">
        <v>2289</v>
      </c>
      <c r="B1271" s="2" t="str">
        <f>HYPERLINK("https://leetcode.com/problems/steps-to-make-array-non-decreasing/", "Steps to Make Array Non-decreasing")</f>
        <v>Steps to Make Array Non-decreasing</v>
      </c>
      <c r="C1271" s="1">
        <v>1399</v>
      </c>
      <c r="D1271" s="1">
        <v>147</v>
      </c>
      <c r="E1271" s="3">
        <f t="shared" si="8"/>
        <v>0.90491591203104782</v>
      </c>
      <c r="F1271" s="1" t="s">
        <v>348</v>
      </c>
      <c r="G1271" s="1" t="s">
        <v>24</v>
      </c>
      <c r="H1271" s="1">
        <v>29618</v>
      </c>
      <c r="I1271" s="1">
        <v>123029</v>
      </c>
      <c r="J1271" s="7">
        <v>0.24099999999999999</v>
      </c>
      <c r="K1271" s="1" t="s">
        <v>21</v>
      </c>
      <c r="L1271" s="1" t="s">
        <v>29</v>
      </c>
      <c r="M1271" s="1" t="s">
        <v>29</v>
      </c>
      <c r="N1271" s="1" t="s">
        <v>22</v>
      </c>
      <c r="O1271" s="1" t="str">
        <f t="shared" ca="1" si="9"/>
        <v>Please solve the LeetCode problem '2289. Steps to Make Array Non-decreasing'.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72" spans="1:15" x14ac:dyDescent="0.25">
      <c r="A1272" s="1">
        <v>1145</v>
      </c>
      <c r="B1272" s="2" t="str">
        <f>HYPERLINK("https://leetcode.com/problems/binary-tree-coloring-game/", "Binary Tree Coloring Game")</f>
        <v>Binary Tree Coloring Game</v>
      </c>
      <c r="C1272" s="1">
        <v>1398</v>
      </c>
      <c r="D1272" s="1">
        <v>225</v>
      </c>
      <c r="E1272" s="3">
        <f t="shared" si="8"/>
        <v>0.8613678373382625</v>
      </c>
      <c r="F1272" s="1" t="s">
        <v>67</v>
      </c>
      <c r="G1272" s="1" t="s">
        <v>24</v>
      </c>
      <c r="H1272" s="1">
        <v>54145</v>
      </c>
      <c r="I1272" s="1">
        <v>102541</v>
      </c>
      <c r="J1272" s="7">
        <v>0.52800000000000002</v>
      </c>
      <c r="K1272" s="1" t="s">
        <v>21</v>
      </c>
      <c r="L1272" s="1" t="s">
        <v>29</v>
      </c>
      <c r="M1272" s="1" t="s">
        <v>29</v>
      </c>
      <c r="N1272" s="1" t="s">
        <v>22</v>
      </c>
      <c r="O1272" s="1" t="str">
        <f t="shared" ca="1" si="9"/>
        <v>Please solve the LeetCode problem '1145. Binary Tree Coloring Game'.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73" spans="1:15" x14ac:dyDescent="0.25">
      <c r="A1273" s="1">
        <v>505</v>
      </c>
      <c r="B1273" s="2" t="str">
        <f>HYPERLINK("https://leetcode.com/problems/the-maze-ii/", "The Maze II")</f>
        <v>The Maze II</v>
      </c>
      <c r="C1273" s="1">
        <v>1390</v>
      </c>
      <c r="D1273" s="1">
        <v>63</v>
      </c>
      <c r="E1273" s="3">
        <f t="shared" si="8"/>
        <v>0.95664143152099101</v>
      </c>
      <c r="F1273" s="1" t="s">
        <v>615</v>
      </c>
      <c r="G1273" s="1" t="s">
        <v>24</v>
      </c>
      <c r="H1273" s="1">
        <v>125986</v>
      </c>
      <c r="I1273" s="1">
        <v>229912</v>
      </c>
      <c r="J1273" s="7">
        <v>0.54800000000000004</v>
      </c>
      <c r="K1273" s="1" t="s">
        <v>29</v>
      </c>
      <c r="L1273" s="1" t="s">
        <v>21</v>
      </c>
      <c r="M1273" s="1" t="s">
        <v>29</v>
      </c>
      <c r="N1273" s="1" t="s">
        <v>22</v>
      </c>
      <c r="O1273" s="1" t="str">
        <f t="shared" ca="1" si="9"/>
        <v>Please solve the LeetCode problem '505. The Maze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74" spans="1:15" x14ac:dyDescent="0.25">
      <c r="A1274" s="1">
        <v>2467</v>
      </c>
      <c r="B1274" s="2" t="str">
        <f>HYPERLINK("https://leetcode.com/problems/most-profitable-path-in-a-tree/", "Most Profitable Path in a Tree")</f>
        <v>Most Profitable Path in a Tree</v>
      </c>
      <c r="C1274" s="1">
        <v>1390</v>
      </c>
      <c r="D1274" s="1">
        <v>244</v>
      </c>
      <c r="E1274" s="3">
        <f t="shared" si="8"/>
        <v>0.85067319461444313</v>
      </c>
      <c r="F1274" s="1" t="s">
        <v>616</v>
      </c>
      <c r="G1274" s="1" t="s">
        <v>24</v>
      </c>
      <c r="H1274" s="1">
        <v>107908</v>
      </c>
      <c r="I1274" s="1">
        <v>160185</v>
      </c>
      <c r="J1274" s="7">
        <v>0.67400000000000004</v>
      </c>
      <c r="K1274" s="1" t="s">
        <v>21</v>
      </c>
      <c r="L1274" s="1" t="s">
        <v>21</v>
      </c>
      <c r="M1274" s="1" t="s">
        <v>29</v>
      </c>
      <c r="N1274" s="1" t="s">
        <v>22</v>
      </c>
      <c r="O1274" s="1" t="str">
        <f t="shared" ca="1" si="9"/>
        <v>Please solve the LeetCode problem '2467. Most Profitable Path in a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75" spans="1:15" x14ac:dyDescent="0.25">
      <c r="A1275" s="1">
        <v>1664</v>
      </c>
      <c r="B1275" s="2" t="str">
        <f>HYPERLINK("https://leetcode.com/problems/ways-to-make-a-fair-array/", "Ways to Make a Fair Array")</f>
        <v>Ways to Make a Fair Array</v>
      </c>
      <c r="C1275" s="1">
        <v>1389</v>
      </c>
      <c r="D1275" s="1">
        <v>46</v>
      </c>
      <c r="E1275" s="3">
        <f t="shared" si="8"/>
        <v>0.96794425087108016</v>
      </c>
      <c r="F1275" s="1" t="s">
        <v>37</v>
      </c>
      <c r="G1275" s="1" t="s">
        <v>24</v>
      </c>
      <c r="H1275" s="1">
        <v>52866</v>
      </c>
      <c r="I1275" s="1">
        <v>80166</v>
      </c>
      <c r="J1275" s="7">
        <v>0.65900000000000003</v>
      </c>
      <c r="K1275" s="1" t="s">
        <v>21</v>
      </c>
      <c r="L1275" s="1" t="s">
        <v>29</v>
      </c>
      <c r="M1275" s="1" t="s">
        <v>29</v>
      </c>
      <c r="N1275" s="1" t="s">
        <v>22</v>
      </c>
      <c r="O1275" s="1" t="str">
        <f t="shared" ca="1" si="9"/>
        <v>Please solve the LeetCode problem '1664. Ways to Make a Fair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76" spans="1:15" x14ac:dyDescent="0.25">
      <c r="A1276" s="1">
        <v>1707</v>
      </c>
      <c r="B1276" s="2" t="str">
        <f>HYPERLINK("https://leetcode.com/problems/maximum-xor-with-an-element-from-array/", "Maximum XOR With an Element From Array")</f>
        <v>Maximum XOR With an Element From Array</v>
      </c>
      <c r="C1276" s="1">
        <v>1389</v>
      </c>
      <c r="D1276" s="1">
        <v>40</v>
      </c>
      <c r="E1276" s="3">
        <f t="shared" si="8"/>
        <v>0.97200839748075574</v>
      </c>
      <c r="F1276" s="1" t="s">
        <v>614</v>
      </c>
      <c r="G1276" s="1" t="s">
        <v>28</v>
      </c>
      <c r="H1276" s="1">
        <v>43299</v>
      </c>
      <c r="I1276" s="1">
        <v>75724</v>
      </c>
      <c r="J1276" s="7">
        <v>0.57199999999999995</v>
      </c>
      <c r="K1276" s="1" t="s">
        <v>21</v>
      </c>
      <c r="L1276" s="1" t="s">
        <v>29</v>
      </c>
      <c r="M1276" s="1" t="s">
        <v>29</v>
      </c>
      <c r="N1276" s="1" t="s">
        <v>22</v>
      </c>
      <c r="O1276" s="1" t="str">
        <f t="shared" ca="1" si="9"/>
        <v>Please solve the LeetCode problem '1707. Maximum XOR With an Element From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77" spans="1:15" x14ac:dyDescent="0.25">
      <c r="A1277" s="1">
        <v>398</v>
      </c>
      <c r="B1277" s="2" t="str">
        <f>HYPERLINK("https://leetcode.com/problems/random-pick-index/", "Random Pick Index")</f>
        <v>Random Pick Index</v>
      </c>
      <c r="C1277" s="1">
        <v>1388</v>
      </c>
      <c r="D1277" s="1">
        <v>1307</v>
      </c>
      <c r="E1277" s="3">
        <f t="shared" si="8"/>
        <v>0.51502782931354363</v>
      </c>
      <c r="F1277" s="1" t="s">
        <v>617</v>
      </c>
      <c r="G1277" s="1" t="s">
        <v>24</v>
      </c>
      <c r="H1277" s="1">
        <v>300641</v>
      </c>
      <c r="I1277" s="1">
        <v>462992</v>
      </c>
      <c r="J1277" s="7">
        <v>0.64900000000000002</v>
      </c>
      <c r="K1277" s="1" t="s">
        <v>21</v>
      </c>
      <c r="L1277" s="1" t="s">
        <v>21</v>
      </c>
      <c r="M1277" s="1" t="s">
        <v>29</v>
      </c>
      <c r="N1277" s="1" t="s">
        <v>22</v>
      </c>
      <c r="O1277" s="1" t="str">
        <f t="shared" ca="1" si="9"/>
        <v>Please solve the LeetCode problem '398. Random Pick Index'.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78" spans="1:15" x14ac:dyDescent="0.25">
      <c r="A1278" s="1">
        <v>1286</v>
      </c>
      <c r="B1278" s="2" t="str">
        <f>HYPERLINK("https://leetcode.com/problems/iterator-for-combination/", "Iterator for Combination")</f>
        <v>Iterator for Combination</v>
      </c>
      <c r="C1278" s="1">
        <v>1387</v>
      </c>
      <c r="D1278" s="1">
        <v>108</v>
      </c>
      <c r="E1278" s="3">
        <f t="shared" si="8"/>
        <v>0.9277591973244147</v>
      </c>
      <c r="F1278" s="1" t="s">
        <v>618</v>
      </c>
      <c r="G1278" s="1" t="s">
        <v>24</v>
      </c>
      <c r="H1278" s="1">
        <v>81328</v>
      </c>
      <c r="I1278" s="1">
        <v>111974</v>
      </c>
      <c r="J1278" s="7">
        <v>0.72599999999999998</v>
      </c>
      <c r="K1278" s="1" t="s">
        <v>21</v>
      </c>
      <c r="L1278" s="1" t="s">
        <v>21</v>
      </c>
      <c r="M1278" s="1" t="s">
        <v>29</v>
      </c>
      <c r="N1278" s="1" t="s">
        <v>22</v>
      </c>
      <c r="O1278" s="1" t="str">
        <f t="shared" ca="1" si="9"/>
        <v>Please solve the LeetCode problem '1286. Iterator for Combination'.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79" spans="1:15" x14ac:dyDescent="0.25">
      <c r="A1279" s="1">
        <v>2264</v>
      </c>
      <c r="B1279" s="2" t="str">
        <f>HYPERLINK("https://leetcode.com/problems/largest-3-same-digit-number-in-string/", "Largest 3-Same-Digit Number in String")</f>
        <v>Largest 3-Same-Digit Number in String</v>
      </c>
      <c r="C1279" s="1">
        <v>1384</v>
      </c>
      <c r="D1279" s="1">
        <v>55</v>
      </c>
      <c r="E1279" s="3">
        <f t="shared" ref="E1279:E1533" si="10">IF(INDEX(C:C, ROW())+INDEX(D:D, ROW())=0, 0, INDEX(C:C, ROW())/(INDEX(C:C, ROW())+INDEX(D:D, ROW())))</f>
        <v>0.96177901320361359</v>
      </c>
      <c r="F1279" s="1" t="s">
        <v>146</v>
      </c>
      <c r="G1279" s="1" t="s">
        <v>20</v>
      </c>
      <c r="H1279" s="1">
        <v>322144</v>
      </c>
      <c r="I1279" s="1">
        <v>443140</v>
      </c>
      <c r="J1279" s="7">
        <v>0.72699999999999998</v>
      </c>
      <c r="K1279" s="1" t="s">
        <v>21</v>
      </c>
      <c r="L1279" s="1" t="s">
        <v>21</v>
      </c>
      <c r="M1279" s="1" t="s">
        <v>29</v>
      </c>
      <c r="N1279" s="1" t="s">
        <v>22</v>
      </c>
      <c r="O1279" s="1" t="str">
        <f t="shared" ref="O1279:O1533" ca="1" si="11"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>Please solve the LeetCode problem '2264. Largest 3-Same-Digit Number in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80" spans="1:15" x14ac:dyDescent="0.25">
      <c r="A1280" s="1">
        <v>607</v>
      </c>
      <c r="B1280" s="2" t="str">
        <f>HYPERLINK("https://leetcode.com/problems/sales-person/", "Sales Person")</f>
        <v>Sales Person</v>
      </c>
      <c r="C1280" s="1">
        <v>1383</v>
      </c>
      <c r="D1280" s="1">
        <v>117</v>
      </c>
      <c r="E1280" s="3">
        <f t="shared" si="10"/>
        <v>0.92200000000000004</v>
      </c>
      <c r="F1280" s="1" t="s">
        <v>297</v>
      </c>
      <c r="G1280" s="1" t="s">
        <v>20</v>
      </c>
      <c r="H1280" s="1">
        <v>351763</v>
      </c>
      <c r="I1280" s="1">
        <v>533828</v>
      </c>
      <c r="J1280" s="7">
        <v>0.65900000000000003</v>
      </c>
      <c r="K1280" s="1" t="s">
        <v>21</v>
      </c>
      <c r="L1280" s="1" t="s">
        <v>21</v>
      </c>
      <c r="M1280" s="1" t="s">
        <v>29</v>
      </c>
      <c r="N1280" s="1" t="s">
        <v>297</v>
      </c>
      <c r="O1280" s="1" t="str">
        <f t="shared" ca="1" si="11"/>
        <v>Please solve the LeetCode problem '607. Sales Person'.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81" spans="1:15" x14ac:dyDescent="0.25">
      <c r="A1281" s="1">
        <v>388</v>
      </c>
      <c r="B1281" s="2" t="str">
        <f>HYPERLINK("https://leetcode.com/problems/longest-absolute-file-path/", "Longest Absolute File Path")</f>
        <v>Longest Absolute File Path</v>
      </c>
      <c r="C1281" s="1">
        <v>1382</v>
      </c>
      <c r="D1281" s="1">
        <v>2596</v>
      </c>
      <c r="E1281" s="3">
        <f t="shared" si="10"/>
        <v>0.34741075917546504</v>
      </c>
      <c r="F1281" s="1" t="s">
        <v>619</v>
      </c>
      <c r="G1281" s="1" t="s">
        <v>24</v>
      </c>
      <c r="H1281" s="1">
        <v>179459</v>
      </c>
      <c r="I1281" s="1">
        <v>365553</v>
      </c>
      <c r="J1281" s="7">
        <v>0.49099999999999999</v>
      </c>
      <c r="K1281" s="1" t="s">
        <v>21</v>
      </c>
      <c r="L1281" s="1" t="s">
        <v>29</v>
      </c>
      <c r="M1281" s="1" t="s">
        <v>29</v>
      </c>
      <c r="N1281" s="1" t="s">
        <v>22</v>
      </c>
      <c r="O1281" s="1" t="str">
        <f t="shared" ca="1" si="11"/>
        <v>Please solve the LeetCode problem '388. Longest Absolute File Path'.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82" spans="1:15" x14ac:dyDescent="0.25">
      <c r="A1282" s="1">
        <v>2058</v>
      </c>
      <c r="B1282" s="2" t="str">
        <f>HYPERLINK("https://leetcode.com/problems/find-the-minimum-and-maximum-number-of-nodes-between-critical-points/", "Find the Minimum and Maximum Number of Nodes Between Critical Points")</f>
        <v>Find the Minimum and Maximum Number of Nodes Between Critical Points</v>
      </c>
      <c r="C1282" s="1">
        <v>1381</v>
      </c>
      <c r="D1282" s="1">
        <v>72</v>
      </c>
      <c r="E1282" s="3">
        <f t="shared" si="10"/>
        <v>0.95044735030970406</v>
      </c>
      <c r="F1282" s="1" t="s">
        <v>104</v>
      </c>
      <c r="G1282" s="1" t="s">
        <v>24</v>
      </c>
      <c r="H1282" s="1">
        <v>200240</v>
      </c>
      <c r="I1282" s="1">
        <v>288303</v>
      </c>
      <c r="J1282" s="7">
        <v>0.69499999999999995</v>
      </c>
      <c r="K1282" s="1" t="s">
        <v>21</v>
      </c>
      <c r="L1282" s="1" t="s">
        <v>21</v>
      </c>
      <c r="M1282" s="1" t="s">
        <v>29</v>
      </c>
      <c r="N1282" s="1" t="s">
        <v>22</v>
      </c>
      <c r="O1282" s="1" t="str">
        <f t="shared" ca="1" si="11"/>
        <v>Please solve the LeetCode problem '2058. Find the Minimum and Maximum Number of Nodes Between Critical Points'.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83" spans="1:15" x14ac:dyDescent="0.25">
      <c r="A1283" s="1">
        <v>2367</v>
      </c>
      <c r="B1283" s="2" t="str">
        <f>HYPERLINK("https://leetcode.com/problems/number-of-arithmetic-triplets/", "Number of Arithmetic Triplets")</f>
        <v>Number of Arithmetic Triplets</v>
      </c>
      <c r="C1283" s="1">
        <v>1381</v>
      </c>
      <c r="D1283" s="1">
        <v>97</v>
      </c>
      <c r="E1283" s="3">
        <f t="shared" si="10"/>
        <v>0.93437077131258461</v>
      </c>
      <c r="F1283" s="1" t="s">
        <v>620</v>
      </c>
      <c r="G1283" s="1" t="s">
        <v>20</v>
      </c>
      <c r="H1283" s="1">
        <v>176675</v>
      </c>
      <c r="I1283" s="1">
        <v>207005</v>
      </c>
      <c r="J1283" s="7">
        <v>0.85299999999999998</v>
      </c>
      <c r="K1283" s="1" t="s">
        <v>21</v>
      </c>
      <c r="L1283" s="1" t="s">
        <v>29</v>
      </c>
      <c r="M1283" s="1" t="s">
        <v>29</v>
      </c>
      <c r="N1283" s="1" t="s">
        <v>22</v>
      </c>
      <c r="O1283" s="1" t="str">
        <f t="shared" ca="1" si="11"/>
        <v>Please solve the LeetCode problem '2367. Number of Arithmetic Triplets'.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84" spans="1:15" x14ac:dyDescent="0.25">
      <c r="A1284" s="1">
        <v>1344</v>
      </c>
      <c r="B1284" s="2" t="str">
        <f>HYPERLINK("https://leetcode.com/problems/angle-between-hands-of-a-clock/", "Angle Between Hands of a Clock")</f>
        <v>Angle Between Hands of a Clock</v>
      </c>
      <c r="C1284" s="1">
        <v>1371</v>
      </c>
      <c r="D1284" s="1">
        <v>248</v>
      </c>
      <c r="E1284" s="3">
        <f t="shared" si="10"/>
        <v>0.84681902408894383</v>
      </c>
      <c r="F1284" s="1" t="s">
        <v>84</v>
      </c>
      <c r="G1284" s="1" t="s">
        <v>24</v>
      </c>
      <c r="H1284" s="1">
        <v>141247</v>
      </c>
      <c r="I1284" s="1">
        <v>219511</v>
      </c>
      <c r="J1284" s="7">
        <v>0.64300000000000002</v>
      </c>
      <c r="K1284" s="1" t="s">
        <v>21</v>
      </c>
      <c r="L1284" s="1" t="s">
        <v>21</v>
      </c>
      <c r="M1284" s="1" t="s">
        <v>29</v>
      </c>
      <c r="N1284" s="1" t="s">
        <v>22</v>
      </c>
      <c r="O1284" s="1" t="str">
        <f t="shared" ca="1" si="11"/>
        <v>Please solve the LeetCode problem '1344. Angle Between Hands of a Clock'.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85" spans="1:15" x14ac:dyDescent="0.25">
      <c r="A1285" s="1">
        <v>608</v>
      </c>
      <c r="B1285" s="2" t="str">
        <f>HYPERLINK("https://leetcode.com/problems/tree-node/", "Tree Node")</f>
        <v>Tree Node</v>
      </c>
      <c r="C1285" s="1">
        <v>1369</v>
      </c>
      <c r="D1285" s="1">
        <v>128</v>
      </c>
      <c r="E1285" s="3">
        <f t="shared" si="10"/>
        <v>0.91449565798263188</v>
      </c>
      <c r="F1285" s="1" t="s">
        <v>297</v>
      </c>
      <c r="G1285" s="1" t="s">
        <v>24</v>
      </c>
      <c r="H1285" s="1">
        <v>231479</v>
      </c>
      <c r="I1285" s="1">
        <v>308725</v>
      </c>
      <c r="J1285" s="7">
        <v>0.75</v>
      </c>
      <c r="K1285" s="1" t="s">
        <v>21</v>
      </c>
      <c r="L1285" s="1" t="s">
        <v>21</v>
      </c>
      <c r="M1285" s="1" t="s">
        <v>29</v>
      </c>
      <c r="N1285" s="1" t="s">
        <v>297</v>
      </c>
      <c r="O1285" s="1" t="str">
        <f t="shared" ca="1" si="11"/>
        <v>Please solve the LeetCode problem '608. Tree Node'.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86" spans="1:15" x14ac:dyDescent="0.25">
      <c r="A1286" s="1">
        <v>1726</v>
      </c>
      <c r="B1286" s="2" t="str">
        <f>HYPERLINK("https://leetcode.com/problems/tuple-with-same-product/", "Tuple with Same Product")</f>
        <v>Tuple with Same Product</v>
      </c>
      <c r="C1286" s="1">
        <v>1368</v>
      </c>
      <c r="D1286" s="1">
        <v>59</v>
      </c>
      <c r="E1286" s="3">
        <f t="shared" si="10"/>
        <v>0.95865451997196915</v>
      </c>
      <c r="F1286" s="1" t="s">
        <v>294</v>
      </c>
      <c r="G1286" s="1" t="s">
        <v>24</v>
      </c>
      <c r="H1286" s="1">
        <v>197781</v>
      </c>
      <c r="I1286" s="1">
        <v>282071</v>
      </c>
      <c r="J1286" s="7">
        <v>0.70099999999999996</v>
      </c>
      <c r="K1286" s="1" t="s">
        <v>21</v>
      </c>
      <c r="L1286" s="1" t="s">
        <v>21</v>
      </c>
      <c r="M1286" s="1" t="s">
        <v>29</v>
      </c>
      <c r="N1286" s="1" t="s">
        <v>22</v>
      </c>
      <c r="O1286" s="1" t="str">
        <f t="shared" ca="1" si="11"/>
        <v>Please solve the LeetCode problem '1726. Tuple with Same Product'.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87" spans="1:15" x14ac:dyDescent="0.25">
      <c r="A1287" s="1">
        <v>747</v>
      </c>
      <c r="B1287" s="2" t="str">
        <f>HYPERLINK("https://leetcode.com/problems/largest-number-at-least-twice-of-others/", "Largest Number At Least Twice of Others")</f>
        <v>Largest Number At Least Twice of Others</v>
      </c>
      <c r="C1287" s="1">
        <v>1357</v>
      </c>
      <c r="D1287" s="1">
        <v>951</v>
      </c>
      <c r="E1287" s="3">
        <f t="shared" si="10"/>
        <v>0.58795493934142118</v>
      </c>
      <c r="F1287" s="1" t="s">
        <v>42</v>
      </c>
      <c r="G1287" s="1" t="s">
        <v>20</v>
      </c>
      <c r="H1287" s="1">
        <v>326361</v>
      </c>
      <c r="I1287" s="1">
        <v>628959</v>
      </c>
      <c r="J1287" s="7">
        <v>0.51900000000000002</v>
      </c>
      <c r="K1287" s="1" t="s">
        <v>21</v>
      </c>
      <c r="L1287" s="1" t="s">
        <v>21</v>
      </c>
      <c r="M1287" s="1" t="s">
        <v>29</v>
      </c>
      <c r="N1287" s="1" t="s">
        <v>22</v>
      </c>
      <c r="O1287" s="1" t="str">
        <f t="shared" ca="1" si="11"/>
        <v>Please solve the LeetCode problem '747. Largest Number At Least Twice of Others'.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88" spans="1:15" x14ac:dyDescent="0.25">
      <c r="A1288" s="1">
        <v>1985</v>
      </c>
      <c r="B1288" s="2" t="str">
        <f>HYPERLINK("https://leetcode.com/problems/find-the-kth-largest-integer-in-the-array/", "Find the Kth Largest Integer in the Array")</f>
        <v>Find the Kth Largest Integer in the Array</v>
      </c>
      <c r="C1288" s="1">
        <v>1356</v>
      </c>
      <c r="D1288" s="1">
        <v>160</v>
      </c>
      <c r="E1288" s="3">
        <f t="shared" si="10"/>
        <v>0.89445910290237463</v>
      </c>
      <c r="F1288" s="1" t="s">
        <v>621</v>
      </c>
      <c r="G1288" s="1" t="s">
        <v>24</v>
      </c>
      <c r="H1288" s="1">
        <v>97826</v>
      </c>
      <c r="I1288" s="1">
        <v>205966</v>
      </c>
      <c r="J1288" s="7">
        <v>0.47499999999999998</v>
      </c>
      <c r="K1288" s="1" t="s">
        <v>21</v>
      </c>
      <c r="L1288" s="1" t="s">
        <v>29</v>
      </c>
      <c r="M1288" s="1" t="s">
        <v>29</v>
      </c>
      <c r="N1288" s="1" t="s">
        <v>22</v>
      </c>
      <c r="O1288" s="1" t="str">
        <f t="shared" ca="1" si="11"/>
        <v>Please solve the LeetCode problem '1985. Find the Kth Largest Integer in the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89" spans="1:15" x14ac:dyDescent="0.25">
      <c r="A1289" s="1">
        <v>1102</v>
      </c>
      <c r="B1289" s="2" t="str">
        <f>HYPERLINK("https://leetcode.com/problems/path-with-maximum-minimum-value/", "Path With Maximum Minimum Value")</f>
        <v>Path With Maximum Minimum Value</v>
      </c>
      <c r="C1289" s="1">
        <v>1353</v>
      </c>
      <c r="D1289" s="1">
        <v>126</v>
      </c>
      <c r="E1289" s="3">
        <f t="shared" si="10"/>
        <v>0.9148073022312373</v>
      </c>
      <c r="F1289" s="1" t="s">
        <v>208</v>
      </c>
      <c r="G1289" s="1" t="s">
        <v>24</v>
      </c>
      <c r="H1289" s="1">
        <v>71346</v>
      </c>
      <c r="I1289" s="1">
        <v>130885</v>
      </c>
      <c r="J1289" s="7">
        <v>0.54500000000000004</v>
      </c>
      <c r="K1289" s="1" t="s">
        <v>29</v>
      </c>
      <c r="L1289" s="1" t="s">
        <v>21</v>
      </c>
      <c r="M1289" s="1" t="s">
        <v>29</v>
      </c>
      <c r="N1289" s="1" t="s">
        <v>22</v>
      </c>
      <c r="O1289" s="1" t="str">
        <f t="shared" ca="1" si="11"/>
        <v>Please solve the LeetCode problem '1102. Path With Maximum Minimum Value'.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90" spans="1:15" x14ac:dyDescent="0.25">
      <c r="A1290" s="1">
        <v>2285</v>
      </c>
      <c r="B1290" s="2" t="str">
        <f>HYPERLINK("https://leetcode.com/problems/maximum-total-importance-of-roads/", "Maximum Total Importance of Roads")</f>
        <v>Maximum Total Importance of Roads</v>
      </c>
      <c r="C1290" s="1">
        <v>1349</v>
      </c>
      <c r="D1290" s="1">
        <v>84</v>
      </c>
      <c r="E1290" s="3">
        <f t="shared" si="10"/>
        <v>0.94138171667829729</v>
      </c>
      <c r="F1290" s="1" t="s">
        <v>622</v>
      </c>
      <c r="G1290" s="1" t="s">
        <v>24</v>
      </c>
      <c r="H1290" s="1">
        <v>159456</v>
      </c>
      <c r="I1290" s="1">
        <v>230657</v>
      </c>
      <c r="J1290" s="7">
        <v>0.69099999999999995</v>
      </c>
      <c r="K1290" s="1" t="s">
        <v>21</v>
      </c>
      <c r="L1290" s="1" t="s">
        <v>21</v>
      </c>
      <c r="M1290" s="1" t="s">
        <v>29</v>
      </c>
      <c r="N1290" s="1" t="s">
        <v>22</v>
      </c>
      <c r="O1290" s="1" t="str">
        <f t="shared" ca="1" si="11"/>
        <v>Please solve the LeetCode problem '2285. Maximum Total Importance of Roads'.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91" spans="1:15" x14ac:dyDescent="0.25">
      <c r="A1291" s="1">
        <v>1167</v>
      </c>
      <c r="B1291" s="2" t="str">
        <f>HYPERLINK("https://leetcode.com/problems/minimum-cost-to-connect-sticks/", "Minimum Cost to Connect Sticks")</f>
        <v>Minimum Cost to Connect Sticks</v>
      </c>
      <c r="C1291" s="1">
        <v>1348</v>
      </c>
      <c r="D1291" s="1">
        <v>158</v>
      </c>
      <c r="E1291" s="3">
        <f t="shared" si="10"/>
        <v>0.89508632138114208</v>
      </c>
      <c r="F1291" s="1" t="s">
        <v>221</v>
      </c>
      <c r="G1291" s="1" t="s">
        <v>24</v>
      </c>
      <c r="H1291" s="1">
        <v>146622</v>
      </c>
      <c r="I1291" s="1">
        <v>204564</v>
      </c>
      <c r="J1291" s="7">
        <v>0.71699999999999997</v>
      </c>
      <c r="K1291" s="1" t="s">
        <v>29</v>
      </c>
      <c r="L1291" s="1" t="s">
        <v>21</v>
      </c>
      <c r="M1291" s="1" t="s">
        <v>21</v>
      </c>
      <c r="N1291" s="1" t="s">
        <v>22</v>
      </c>
      <c r="O1291" s="1" t="str">
        <f t="shared" ca="1" si="11"/>
        <v>Please solve the LeetCode problem '1167. Minimum Cost to Connect Sticks'.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92" spans="1:15" x14ac:dyDescent="0.25">
      <c r="A1292" s="1">
        <v>1054</v>
      </c>
      <c r="B1292" s="2" t="str">
        <f>HYPERLINK("https://leetcode.com/problems/distant-barcodes/", "Distant Barcodes")</f>
        <v>Distant Barcodes</v>
      </c>
      <c r="C1292" s="1">
        <v>1345</v>
      </c>
      <c r="D1292" s="1">
        <v>52</v>
      </c>
      <c r="E1292" s="3">
        <f t="shared" si="10"/>
        <v>0.96277738010021474</v>
      </c>
      <c r="F1292" s="1" t="s">
        <v>114</v>
      </c>
      <c r="G1292" s="1" t="s">
        <v>24</v>
      </c>
      <c r="H1292" s="1">
        <v>55314</v>
      </c>
      <c r="I1292" s="1">
        <v>114084</v>
      </c>
      <c r="J1292" s="7">
        <v>0.48499999999999999</v>
      </c>
      <c r="K1292" s="1" t="s">
        <v>21</v>
      </c>
      <c r="L1292" s="1" t="s">
        <v>29</v>
      </c>
      <c r="M1292" s="1" t="s">
        <v>29</v>
      </c>
      <c r="N1292" s="1" t="s">
        <v>22</v>
      </c>
      <c r="O1292" s="1" t="str">
        <f t="shared" ca="1" si="11"/>
        <v>Please solve the LeetCode problem '1054. Distant Barcodes'.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93" spans="1:15" x14ac:dyDescent="0.25">
      <c r="A1293" s="1">
        <v>2055</v>
      </c>
      <c r="B1293" s="2" t="str">
        <f>HYPERLINK("https://leetcode.com/problems/plates-between-candles/", "Plates Between Candles")</f>
        <v>Plates Between Candles</v>
      </c>
      <c r="C1293" s="1">
        <v>1344</v>
      </c>
      <c r="D1293" s="1">
        <v>72</v>
      </c>
      <c r="E1293" s="3">
        <f t="shared" si="10"/>
        <v>0.94915254237288138</v>
      </c>
      <c r="F1293" s="1" t="s">
        <v>623</v>
      </c>
      <c r="G1293" s="1" t="s">
        <v>24</v>
      </c>
      <c r="H1293" s="1">
        <v>75617</v>
      </c>
      <c r="I1293" s="1">
        <v>160243</v>
      </c>
      <c r="J1293" s="7">
        <v>0.47199999999999998</v>
      </c>
      <c r="K1293" s="1" t="s">
        <v>21</v>
      </c>
      <c r="L1293" s="1" t="s">
        <v>29</v>
      </c>
      <c r="M1293" s="1" t="s">
        <v>29</v>
      </c>
      <c r="N1293" s="1" t="s">
        <v>22</v>
      </c>
      <c r="O1293" s="1" t="str">
        <f t="shared" ca="1" si="11"/>
        <v>Please solve the LeetCode problem '2055. Plates Between Candles'.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94" spans="1:15" x14ac:dyDescent="0.25">
      <c r="A1294" s="1">
        <v>265</v>
      </c>
      <c r="B1294" s="2" t="str">
        <f>HYPERLINK("https://leetcode.com/problems/paint-house-ii/", "Paint House II")</f>
        <v>Paint House II</v>
      </c>
      <c r="C1294" s="1">
        <v>1343</v>
      </c>
      <c r="D1294" s="1">
        <v>39</v>
      </c>
      <c r="E1294" s="3">
        <f t="shared" si="10"/>
        <v>0.97178002894356008</v>
      </c>
      <c r="F1294" s="1" t="s">
        <v>30</v>
      </c>
      <c r="G1294" s="1" t="s">
        <v>28</v>
      </c>
      <c r="H1294" s="1">
        <v>142289</v>
      </c>
      <c r="I1294" s="1">
        <v>250312</v>
      </c>
      <c r="J1294" s="7">
        <v>0.56799999999999995</v>
      </c>
      <c r="K1294" s="1" t="s">
        <v>29</v>
      </c>
      <c r="L1294" s="1" t="s">
        <v>21</v>
      </c>
      <c r="M1294" s="1" t="s">
        <v>29</v>
      </c>
      <c r="N1294" s="1" t="s">
        <v>22</v>
      </c>
      <c r="O1294" s="1" t="str">
        <f t="shared" ca="1" si="11"/>
        <v>Please solve the LeetCode problem '265. Paint House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95" spans="1:15" x14ac:dyDescent="0.25">
      <c r="A1295" s="1">
        <v>1072</v>
      </c>
      <c r="B1295" s="2" t="str">
        <f>HYPERLINK("https://leetcode.com/problems/flip-columns-for-maximum-number-of-equal-rows/", "Flip Columns For Maximum Number of Equal Rows")</f>
        <v>Flip Columns For Maximum Number of Equal Rows</v>
      </c>
      <c r="C1295" s="1">
        <v>1343</v>
      </c>
      <c r="D1295" s="1">
        <v>129</v>
      </c>
      <c r="E1295" s="3">
        <f t="shared" si="10"/>
        <v>0.91236413043478259</v>
      </c>
      <c r="F1295" s="1" t="s">
        <v>78</v>
      </c>
      <c r="G1295" s="1" t="s">
        <v>24</v>
      </c>
      <c r="H1295" s="1">
        <v>117785</v>
      </c>
      <c r="I1295" s="1">
        <v>149928</v>
      </c>
      <c r="J1295" s="7">
        <v>0.78600000000000003</v>
      </c>
      <c r="K1295" s="1" t="s">
        <v>21</v>
      </c>
      <c r="L1295" s="1" t="s">
        <v>21</v>
      </c>
      <c r="M1295" s="1" t="s">
        <v>29</v>
      </c>
      <c r="N1295" s="1" t="s">
        <v>22</v>
      </c>
      <c r="O1295" s="1" t="str">
        <f t="shared" ca="1" si="11"/>
        <v>Please solve the LeetCode problem '1072. Flip Columns For Maximum Number of Equal Rows'.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96" spans="1:15" x14ac:dyDescent="0.25">
      <c r="A1296" s="1">
        <v>272</v>
      </c>
      <c r="B1296" s="2" t="str">
        <f>HYPERLINK("https://leetcode.com/problems/closest-binary-search-tree-value-ii/", "Closest Binary Search Tree Value II")</f>
        <v>Closest Binary Search Tree Value II</v>
      </c>
      <c r="C1296" s="1">
        <v>1340</v>
      </c>
      <c r="D1296" s="1">
        <v>51</v>
      </c>
      <c r="E1296" s="3">
        <f t="shared" si="10"/>
        <v>0.96333572969086989</v>
      </c>
      <c r="F1296" s="1" t="s">
        <v>624</v>
      </c>
      <c r="G1296" s="1" t="s">
        <v>28</v>
      </c>
      <c r="H1296" s="1">
        <v>137590</v>
      </c>
      <c r="I1296" s="1">
        <v>225609</v>
      </c>
      <c r="J1296" s="7">
        <v>0.61</v>
      </c>
      <c r="K1296" s="1" t="s">
        <v>29</v>
      </c>
      <c r="L1296" s="1" t="s">
        <v>21</v>
      </c>
      <c r="M1296" s="1" t="s">
        <v>29</v>
      </c>
      <c r="N1296" s="1" t="s">
        <v>22</v>
      </c>
      <c r="O1296" s="1" t="str">
        <f t="shared" ca="1" si="11"/>
        <v>Please solve the LeetCode problem '272. Closest Binary Search Tree Value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97" spans="1:15" x14ac:dyDescent="0.25">
      <c r="A1297" s="1">
        <v>1193</v>
      </c>
      <c r="B1297" s="2" t="str">
        <f>HYPERLINK("https://leetcode.com/problems/monthly-transactions-i/", "Monthly Transactions I")</f>
        <v>Monthly Transactions I</v>
      </c>
      <c r="C1297" s="1">
        <v>1340</v>
      </c>
      <c r="D1297" s="1">
        <v>127</v>
      </c>
      <c r="E1297" s="3">
        <f t="shared" si="10"/>
        <v>0.91342876618950242</v>
      </c>
      <c r="F1297" s="1" t="s">
        <v>297</v>
      </c>
      <c r="G1297" s="1" t="s">
        <v>24</v>
      </c>
      <c r="H1297" s="1">
        <v>485647</v>
      </c>
      <c r="I1297" s="1">
        <v>825349</v>
      </c>
      <c r="J1297" s="7">
        <v>0.58799999999999997</v>
      </c>
      <c r="K1297" s="1" t="s">
        <v>21</v>
      </c>
      <c r="L1297" s="1" t="s">
        <v>29</v>
      </c>
      <c r="M1297" s="1" t="s">
        <v>29</v>
      </c>
      <c r="N1297" s="1" t="s">
        <v>297</v>
      </c>
      <c r="O1297" s="1" t="str">
        <f t="shared" ca="1" si="11"/>
        <v>Please solve the LeetCode problem '1193. Monthly Transactions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98" spans="1:15" x14ac:dyDescent="0.25">
      <c r="A1298" s="1">
        <v>1313</v>
      </c>
      <c r="B1298" s="2" t="str">
        <f>HYPERLINK("https://leetcode.com/problems/decompress-run-length-encoded-list/", "Decompress Run-Length Encoded List")</f>
        <v>Decompress Run-Length Encoded List</v>
      </c>
      <c r="C1298" s="1">
        <v>1340</v>
      </c>
      <c r="D1298" s="1">
        <v>1323</v>
      </c>
      <c r="E1298" s="3">
        <f t="shared" si="10"/>
        <v>0.50319188884716481</v>
      </c>
      <c r="F1298" s="1" t="s">
        <v>113</v>
      </c>
      <c r="G1298" s="1" t="s">
        <v>20</v>
      </c>
      <c r="H1298" s="1">
        <v>301900</v>
      </c>
      <c r="I1298" s="1">
        <v>350431</v>
      </c>
      <c r="J1298" s="7">
        <v>0.86199999999999999</v>
      </c>
      <c r="K1298" s="1" t="s">
        <v>21</v>
      </c>
      <c r="L1298" s="1" t="s">
        <v>29</v>
      </c>
      <c r="M1298" s="1" t="s">
        <v>29</v>
      </c>
      <c r="N1298" s="1" t="s">
        <v>22</v>
      </c>
      <c r="O1298" s="1" t="str">
        <f t="shared" ca="1" si="11"/>
        <v>Please solve the LeetCode problem '1313. Decompress Run-Length Encoded List'.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299" spans="1:15" x14ac:dyDescent="0.25">
      <c r="A1299" s="1">
        <v>495</v>
      </c>
      <c r="B1299" s="2" t="str">
        <f>HYPERLINK("https://leetcode.com/problems/teemo-attacking/", "Teemo Attacking")</f>
        <v>Teemo Attacking</v>
      </c>
      <c r="C1299" s="1">
        <v>1337</v>
      </c>
      <c r="D1299" s="1">
        <v>154</v>
      </c>
      <c r="E1299" s="3">
        <f t="shared" si="10"/>
        <v>0.89671361502347413</v>
      </c>
      <c r="F1299" s="1" t="s">
        <v>306</v>
      </c>
      <c r="G1299" s="1" t="s">
        <v>20</v>
      </c>
      <c r="H1299" s="1">
        <v>210986</v>
      </c>
      <c r="I1299" s="1">
        <v>367475</v>
      </c>
      <c r="J1299" s="7">
        <v>0.57399999999999995</v>
      </c>
      <c r="K1299" s="1" t="s">
        <v>21</v>
      </c>
      <c r="L1299" s="1" t="s">
        <v>21</v>
      </c>
      <c r="M1299" s="1" t="s">
        <v>29</v>
      </c>
      <c r="N1299" s="1" t="s">
        <v>22</v>
      </c>
      <c r="O1299" s="1" t="str">
        <f t="shared" ca="1" si="11"/>
        <v>Please solve the LeetCode problem '495. Teemo Attacking'.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00" spans="1:15" x14ac:dyDescent="0.25">
      <c r="A1300" s="1">
        <v>805</v>
      </c>
      <c r="B1300" s="2" t="str">
        <f>HYPERLINK("https://leetcode.com/problems/split-array-with-same-average/", "Split Array With Same Average")</f>
        <v>Split Array With Same Average</v>
      </c>
      <c r="C1300" s="1">
        <v>1337</v>
      </c>
      <c r="D1300" s="1">
        <v>141</v>
      </c>
      <c r="E1300" s="3">
        <f t="shared" si="10"/>
        <v>0.9046008119079838</v>
      </c>
      <c r="F1300" s="1" t="s">
        <v>1364</v>
      </c>
      <c r="G1300" s="1" t="s">
        <v>28</v>
      </c>
      <c r="H1300" s="1">
        <v>45796</v>
      </c>
      <c r="I1300" s="1">
        <v>171645</v>
      </c>
      <c r="J1300" s="7">
        <v>0.26700000000000002</v>
      </c>
      <c r="K1300" s="1" t="s">
        <v>21</v>
      </c>
      <c r="L1300" s="1" t="s">
        <v>21</v>
      </c>
      <c r="M1300" s="1" t="s">
        <v>29</v>
      </c>
      <c r="N1300" s="1" t="s">
        <v>22</v>
      </c>
      <c r="O1300" s="1" t="str">
        <f t="shared" ca="1" si="11"/>
        <v>Please solve the LeetCode problem '805. Split Array With Same Average'.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01" spans="1:15" x14ac:dyDescent="0.25">
      <c r="A1301" s="1">
        <v>708</v>
      </c>
      <c r="B1301" s="2" t="str">
        <f>HYPERLINK("https://leetcode.com/problems/insert-into-a-sorted-circular-linked-list/", "Insert into a Sorted Circular Linked List")</f>
        <v>Insert into a Sorted Circular Linked List</v>
      </c>
      <c r="C1301" s="1">
        <v>1336</v>
      </c>
      <c r="D1301" s="1">
        <v>801</v>
      </c>
      <c r="E1301" s="3">
        <f t="shared" si="10"/>
        <v>0.62517547964436126</v>
      </c>
      <c r="F1301" s="1" t="s">
        <v>104</v>
      </c>
      <c r="G1301" s="1" t="s">
        <v>24</v>
      </c>
      <c r="H1301" s="1">
        <v>243006</v>
      </c>
      <c r="I1301" s="1">
        <v>631195</v>
      </c>
      <c r="J1301" s="7">
        <v>0.38500000000000001</v>
      </c>
      <c r="K1301" s="1" t="s">
        <v>29</v>
      </c>
      <c r="L1301" s="1" t="s">
        <v>21</v>
      </c>
      <c r="M1301" s="1" t="s">
        <v>29</v>
      </c>
      <c r="N1301" s="1" t="s">
        <v>22</v>
      </c>
      <c r="O1301" s="1" t="str">
        <f t="shared" ca="1" si="11"/>
        <v>Please solve the LeetCode problem '708. Insert into a Sorted Circular Linked List'.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02" spans="1:15" x14ac:dyDescent="0.25">
      <c r="A1302" s="1">
        <v>2147</v>
      </c>
      <c r="B1302" s="2" t="str">
        <f>HYPERLINK("https://leetcode.com/problems/number-of-ways-to-divide-a-long-corridor/", "Number of Ways to Divide a Long Corridor")</f>
        <v>Number of Ways to Divide a Long Corridor</v>
      </c>
      <c r="C1302" s="1">
        <v>1336</v>
      </c>
      <c r="D1302" s="1">
        <v>126</v>
      </c>
      <c r="E1302" s="3">
        <f t="shared" si="10"/>
        <v>0.91381668946648431</v>
      </c>
      <c r="F1302" s="1" t="s">
        <v>627</v>
      </c>
      <c r="G1302" s="1" t="s">
        <v>28</v>
      </c>
      <c r="H1302" s="1">
        <v>139677</v>
      </c>
      <c r="I1302" s="1">
        <v>255793</v>
      </c>
      <c r="J1302" s="7">
        <v>0.54600000000000004</v>
      </c>
      <c r="K1302" s="1" t="s">
        <v>21</v>
      </c>
      <c r="L1302" s="1" t="s">
        <v>21</v>
      </c>
      <c r="M1302" s="1" t="s">
        <v>29</v>
      </c>
      <c r="N1302" s="1" t="s">
        <v>22</v>
      </c>
      <c r="O1302" s="1" t="str">
        <f t="shared" ca="1" si="11"/>
        <v>Please solve the LeetCode problem '2147. Number of Ways to Divide a Long Corridor'.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03" spans="1:15" x14ac:dyDescent="0.25">
      <c r="A1303" s="1">
        <v>1164</v>
      </c>
      <c r="B1303" s="2" t="str">
        <f>HYPERLINK("https://leetcode.com/problems/product-price-at-a-given-date/", "Product Price at a Given Date")</f>
        <v>Product Price at a Given Date</v>
      </c>
      <c r="C1303" s="1">
        <v>1335</v>
      </c>
      <c r="D1303" s="1">
        <v>318</v>
      </c>
      <c r="E1303" s="3">
        <f t="shared" si="10"/>
        <v>0.80762250453720508</v>
      </c>
      <c r="F1303" s="1" t="s">
        <v>297</v>
      </c>
      <c r="G1303" s="1" t="s">
        <v>24</v>
      </c>
      <c r="H1303" s="1">
        <v>313508</v>
      </c>
      <c r="I1303" s="1">
        <v>543579</v>
      </c>
      <c r="J1303" s="7">
        <v>0.57699999999999996</v>
      </c>
      <c r="K1303" s="1" t="s">
        <v>21</v>
      </c>
      <c r="L1303" s="1" t="s">
        <v>21</v>
      </c>
      <c r="M1303" s="1" t="s">
        <v>29</v>
      </c>
      <c r="N1303" s="1" t="s">
        <v>297</v>
      </c>
      <c r="O1303" s="1" t="str">
        <f t="shared" ca="1" si="11"/>
        <v>Please solve the LeetCode problem '1164. Product Price at a Given Date'.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04" spans="1:15" x14ac:dyDescent="0.25">
      <c r="A1304" s="1">
        <v>1055</v>
      </c>
      <c r="B1304" s="2" t="str">
        <f>HYPERLINK("https://leetcode.com/problems/shortest-way-to-form-string/", "Shortest Way to Form String")</f>
        <v>Shortest Way to Form String</v>
      </c>
      <c r="C1304" s="1">
        <v>1332</v>
      </c>
      <c r="D1304" s="1">
        <v>76</v>
      </c>
      <c r="E1304" s="3">
        <f t="shared" si="10"/>
        <v>0.94602272727272729</v>
      </c>
      <c r="F1304" s="1" t="s">
        <v>626</v>
      </c>
      <c r="G1304" s="1" t="s">
        <v>24</v>
      </c>
      <c r="H1304" s="1">
        <v>108868</v>
      </c>
      <c r="I1304" s="1">
        <v>177001</v>
      </c>
      <c r="J1304" s="7">
        <v>0.61499999999999999</v>
      </c>
      <c r="K1304" s="1" t="s">
        <v>29</v>
      </c>
      <c r="L1304" s="1" t="s">
        <v>21</v>
      </c>
      <c r="M1304" s="1" t="s">
        <v>29</v>
      </c>
      <c r="N1304" s="1" t="s">
        <v>22</v>
      </c>
      <c r="O1304" s="1" t="str">
        <f t="shared" ca="1" si="11"/>
        <v>Please solve the LeetCode problem '1055. Shortest Way to Form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05" spans="1:15" x14ac:dyDescent="0.25">
      <c r="A1305" s="1">
        <v>2594</v>
      </c>
      <c r="B1305" s="2" t="str">
        <f>HYPERLINK("https://leetcode.com/problems/minimum-time-to-repair-cars/", "Minimum Time to Repair Cars")</f>
        <v>Minimum Time to Repair Cars</v>
      </c>
      <c r="C1305" s="1">
        <v>1331</v>
      </c>
      <c r="D1305" s="1">
        <v>92</v>
      </c>
      <c r="E1305" s="3">
        <f t="shared" si="10"/>
        <v>0.93534785664089948</v>
      </c>
      <c r="F1305" s="1" t="s">
        <v>35</v>
      </c>
      <c r="G1305" s="1" t="s">
        <v>24</v>
      </c>
      <c r="H1305" s="1">
        <v>152475</v>
      </c>
      <c r="I1305" s="1">
        <v>255484</v>
      </c>
      <c r="J1305" s="7">
        <v>0.59699999999999998</v>
      </c>
      <c r="K1305" s="1" t="s">
        <v>21</v>
      </c>
      <c r="L1305" s="1" t="s">
        <v>21</v>
      </c>
      <c r="M1305" s="1" t="s">
        <v>29</v>
      </c>
      <c r="N1305" s="1" t="s">
        <v>22</v>
      </c>
      <c r="O1305" s="1" t="str">
        <f t="shared" ca="1" si="11"/>
        <v>Please solve the LeetCode problem '2594. Minimum Time to Repair Cars'.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06" spans="1:15" x14ac:dyDescent="0.25">
      <c r="A1306" s="1">
        <v>2435</v>
      </c>
      <c r="B1306" s="2" t="str">
        <f>HYPERLINK("https://leetcode.com/problems/paths-in-matrix-whose-sum-is-divisible-by-k/", "Paths in Matrix Whose Sum Is Divisible by K")</f>
        <v>Paths in Matrix Whose Sum Is Divisible by K</v>
      </c>
      <c r="C1306" s="1">
        <v>1330</v>
      </c>
      <c r="D1306" s="1">
        <v>46</v>
      </c>
      <c r="E1306" s="3">
        <f t="shared" si="10"/>
        <v>0.96656976744186052</v>
      </c>
      <c r="F1306" s="1" t="s">
        <v>94</v>
      </c>
      <c r="G1306" s="1" t="s">
        <v>28</v>
      </c>
      <c r="H1306" s="1">
        <v>101630</v>
      </c>
      <c r="I1306" s="1">
        <v>172928</v>
      </c>
      <c r="J1306" s="7">
        <v>0.58799999999999997</v>
      </c>
      <c r="K1306" s="1" t="s">
        <v>21</v>
      </c>
      <c r="L1306" s="1" t="s">
        <v>21</v>
      </c>
      <c r="M1306" s="1" t="s">
        <v>29</v>
      </c>
      <c r="N1306" s="1" t="s">
        <v>22</v>
      </c>
      <c r="O1306" s="1" t="str">
        <f t="shared" ca="1" si="11"/>
        <v>Please solve the LeetCode problem '2435. Paths in Matrix Whose Sum Is Divisible by K'.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07" spans="1:15" x14ac:dyDescent="0.25">
      <c r="A1307" s="1">
        <v>691</v>
      </c>
      <c r="B1307" s="2" t="str">
        <f>HYPERLINK("https://leetcode.com/problems/stickers-to-spell-word/", "Stickers to Spell Word")</f>
        <v>Stickers to Spell Word</v>
      </c>
      <c r="C1307" s="1">
        <v>1329</v>
      </c>
      <c r="D1307" s="1">
        <v>129</v>
      </c>
      <c r="E1307" s="3">
        <f t="shared" si="10"/>
        <v>0.91152263374485598</v>
      </c>
      <c r="F1307" s="1" t="s">
        <v>1365</v>
      </c>
      <c r="G1307" s="1" t="s">
        <v>28</v>
      </c>
      <c r="H1307" s="1">
        <v>94392</v>
      </c>
      <c r="I1307" s="1">
        <v>186685</v>
      </c>
      <c r="J1307" s="7">
        <v>0.50600000000000001</v>
      </c>
      <c r="K1307" s="1" t="s">
        <v>21</v>
      </c>
      <c r="L1307" s="1" t="s">
        <v>21</v>
      </c>
      <c r="M1307" s="1" t="s">
        <v>29</v>
      </c>
      <c r="N1307" s="1" t="s">
        <v>22</v>
      </c>
      <c r="O1307" s="1" t="str">
        <f t="shared" ca="1" si="11"/>
        <v>Please solve the LeetCode problem '691. Stickers to Spell Word'.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08" spans="1:15" x14ac:dyDescent="0.25">
      <c r="A1308" s="1">
        <v>878</v>
      </c>
      <c r="B1308" s="2" t="str">
        <f>HYPERLINK("https://leetcode.com/problems/nth-magical-number/", "Nth Magical Number")</f>
        <v>Nth Magical Number</v>
      </c>
      <c r="C1308" s="1">
        <v>1328</v>
      </c>
      <c r="D1308" s="1">
        <v>169</v>
      </c>
      <c r="E1308" s="3">
        <f t="shared" si="10"/>
        <v>0.88710754843019368</v>
      </c>
      <c r="F1308" s="1" t="s">
        <v>139</v>
      </c>
      <c r="G1308" s="1" t="s">
        <v>28</v>
      </c>
      <c r="H1308" s="1">
        <v>48488</v>
      </c>
      <c r="I1308" s="1">
        <v>133677</v>
      </c>
      <c r="J1308" s="7">
        <v>0.36299999999999999</v>
      </c>
      <c r="K1308" s="1" t="s">
        <v>21</v>
      </c>
      <c r="L1308" s="1" t="s">
        <v>21</v>
      </c>
      <c r="M1308" s="1" t="s">
        <v>29</v>
      </c>
      <c r="N1308" s="1" t="s">
        <v>22</v>
      </c>
      <c r="O1308" s="1" t="str">
        <f t="shared" ca="1" si="11"/>
        <v>Please solve the LeetCode problem '878. Nth Magical Number'.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09" spans="1:15" x14ac:dyDescent="0.25">
      <c r="A1309" s="1">
        <v>1252</v>
      </c>
      <c r="B1309" s="2" t="str">
        <f>HYPERLINK("https://leetcode.com/problems/cells-with-odd-values-in-a-matrix/", "Cells with Odd Values in a Matrix")</f>
        <v>Cells with Odd Values in a Matrix</v>
      </c>
      <c r="C1309" s="1">
        <v>1327</v>
      </c>
      <c r="D1309" s="1">
        <v>1556</v>
      </c>
      <c r="E1309" s="3">
        <f t="shared" si="10"/>
        <v>0.46028442594519597</v>
      </c>
      <c r="F1309" s="1" t="s">
        <v>629</v>
      </c>
      <c r="G1309" s="1" t="s">
        <v>20</v>
      </c>
      <c r="H1309" s="1">
        <v>139855</v>
      </c>
      <c r="I1309" s="1">
        <v>175707</v>
      </c>
      <c r="J1309" s="7">
        <v>0.79600000000000004</v>
      </c>
      <c r="K1309" s="1" t="s">
        <v>21</v>
      </c>
      <c r="L1309" s="1" t="s">
        <v>29</v>
      </c>
      <c r="M1309" s="1" t="s">
        <v>29</v>
      </c>
      <c r="N1309" s="1" t="s">
        <v>22</v>
      </c>
      <c r="O1309" s="1" t="str">
        <f t="shared" ca="1" si="11"/>
        <v>Please solve the LeetCode problem '1252. Cells with Odd Values in a Matrix'.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10" spans="1:15" x14ac:dyDescent="0.25">
      <c r="A1310" s="1">
        <v>777</v>
      </c>
      <c r="B1310" s="2" t="str">
        <f>HYPERLINK("https://leetcode.com/problems/swap-adjacent-in-lr-string/", "Swap Adjacent in LR String")</f>
        <v>Swap Adjacent in LR String</v>
      </c>
      <c r="C1310" s="1">
        <v>1325</v>
      </c>
      <c r="D1310" s="1">
        <v>952</v>
      </c>
      <c r="E1310" s="3">
        <f t="shared" si="10"/>
        <v>0.5819060166886254</v>
      </c>
      <c r="F1310" s="1" t="s">
        <v>117</v>
      </c>
      <c r="G1310" s="1" t="s">
        <v>24</v>
      </c>
      <c r="H1310" s="1">
        <v>93700</v>
      </c>
      <c r="I1310" s="1">
        <v>247740</v>
      </c>
      <c r="J1310" s="7">
        <v>0.378</v>
      </c>
      <c r="K1310" s="1" t="s">
        <v>21</v>
      </c>
      <c r="L1310" s="1" t="s">
        <v>21</v>
      </c>
      <c r="M1310" s="1" t="s">
        <v>29</v>
      </c>
      <c r="N1310" s="1" t="s">
        <v>22</v>
      </c>
      <c r="O1310" s="1" t="str">
        <f t="shared" ca="1" si="11"/>
        <v>Please solve the LeetCode problem '777. Swap Adjacent in LR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11" spans="1:15" x14ac:dyDescent="0.25">
      <c r="A1311" s="1">
        <v>1455</v>
      </c>
      <c r="B1311" s="2" t="str">
        <f>HYPERLINK("https://leetcode.com/problems/check-if-a-word-occurs-as-a-prefix-of-any-word-in-a-sentence/", "Check If a Word Occurs As a Prefix of Any Word in a Sentence")</f>
        <v>Check If a Word Occurs As a Prefix of Any Word in a Sentence</v>
      </c>
      <c r="C1311" s="1">
        <v>1322</v>
      </c>
      <c r="D1311" s="1">
        <v>59</v>
      </c>
      <c r="E1311" s="3">
        <f t="shared" si="10"/>
        <v>0.95727733526430125</v>
      </c>
      <c r="F1311" s="1" t="s">
        <v>184</v>
      </c>
      <c r="G1311" s="1" t="s">
        <v>20</v>
      </c>
      <c r="H1311" s="1">
        <v>234216</v>
      </c>
      <c r="I1311" s="1">
        <v>340617</v>
      </c>
      <c r="J1311" s="7">
        <v>0.68799999999999994</v>
      </c>
      <c r="K1311" s="1" t="s">
        <v>21</v>
      </c>
      <c r="L1311" s="1" t="s">
        <v>21</v>
      </c>
      <c r="M1311" s="1" t="s">
        <v>29</v>
      </c>
      <c r="N1311" s="1" t="s">
        <v>22</v>
      </c>
      <c r="O1311" s="1" t="str">
        <f t="shared" ca="1" si="11"/>
        <v>Please solve the LeetCode problem '1455. Check If a Word Occurs As a Prefix of Any Word in a Sentence'.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12" spans="1:15" x14ac:dyDescent="0.25">
      <c r="A1312" s="1">
        <v>1762</v>
      </c>
      <c r="B1312" s="2" t="str">
        <f>HYPERLINK("https://leetcode.com/problems/buildings-with-an-ocean-view/", "Buildings With an Ocean View")</f>
        <v>Buildings With an Ocean View</v>
      </c>
      <c r="C1312" s="1">
        <v>1318</v>
      </c>
      <c r="D1312" s="1">
        <v>151</v>
      </c>
      <c r="E1312" s="3">
        <f t="shared" si="10"/>
        <v>0.89720898570456098</v>
      </c>
      <c r="F1312" s="1" t="s">
        <v>61</v>
      </c>
      <c r="G1312" s="1" t="s">
        <v>24</v>
      </c>
      <c r="H1312" s="1">
        <v>337404</v>
      </c>
      <c r="I1312" s="1">
        <v>417157</v>
      </c>
      <c r="J1312" s="7">
        <v>0.80900000000000005</v>
      </c>
      <c r="K1312" s="1" t="s">
        <v>29</v>
      </c>
      <c r="L1312" s="1" t="s">
        <v>21</v>
      </c>
      <c r="M1312" s="1" t="s">
        <v>29</v>
      </c>
      <c r="N1312" s="1" t="s">
        <v>22</v>
      </c>
      <c r="O1312" s="1" t="str">
        <f t="shared" ca="1" si="11"/>
        <v>Please solve the LeetCode problem '1762. Buildings With an Ocean View'.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13" spans="1:15" x14ac:dyDescent="0.25">
      <c r="A1313" s="1">
        <v>564</v>
      </c>
      <c r="B1313" s="2" t="str">
        <f>HYPERLINK("https://leetcode.com/problems/find-the-closest-palindrome/", "Find the Closest Palindrome")</f>
        <v>Find the Closest Palindrome</v>
      </c>
      <c r="C1313" s="1">
        <v>1316</v>
      </c>
      <c r="D1313" s="1">
        <v>1738</v>
      </c>
      <c r="E1313" s="3">
        <f t="shared" si="10"/>
        <v>0.4309102815979044</v>
      </c>
      <c r="F1313" s="1" t="s">
        <v>228</v>
      </c>
      <c r="G1313" s="1" t="s">
        <v>28</v>
      </c>
      <c r="H1313" s="1">
        <v>134944</v>
      </c>
      <c r="I1313" s="1">
        <v>424314</v>
      </c>
      <c r="J1313" s="7">
        <v>0.318</v>
      </c>
      <c r="K1313" s="1" t="s">
        <v>21</v>
      </c>
      <c r="L1313" s="1" t="s">
        <v>21</v>
      </c>
      <c r="M1313" s="1" t="s">
        <v>29</v>
      </c>
      <c r="N1313" s="1" t="s">
        <v>22</v>
      </c>
      <c r="O1313" s="1" t="str">
        <f t="shared" ca="1" si="11"/>
        <v>Please solve the LeetCode problem '564. Find the Closest Palindrome'.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14" spans="1:15" x14ac:dyDescent="0.25">
      <c r="A1314" s="1">
        <v>2373</v>
      </c>
      <c r="B1314" s="2" t="str">
        <f>HYPERLINK("https://leetcode.com/problems/largest-local-values-in-a-matrix/", "Largest Local Values in a Matrix")</f>
        <v>Largest Local Values in a Matrix</v>
      </c>
      <c r="C1314" s="1">
        <v>1315</v>
      </c>
      <c r="D1314" s="1">
        <v>182</v>
      </c>
      <c r="E1314" s="3">
        <f t="shared" si="10"/>
        <v>0.8784235136940548</v>
      </c>
      <c r="F1314" s="1" t="s">
        <v>266</v>
      </c>
      <c r="G1314" s="1" t="s">
        <v>20</v>
      </c>
      <c r="H1314" s="1">
        <v>195119</v>
      </c>
      <c r="I1314" s="1">
        <v>222344</v>
      </c>
      <c r="J1314" s="7">
        <v>0.878</v>
      </c>
      <c r="K1314" s="1" t="s">
        <v>21</v>
      </c>
      <c r="L1314" s="1" t="s">
        <v>21</v>
      </c>
      <c r="M1314" s="1" t="s">
        <v>29</v>
      </c>
      <c r="N1314" s="1" t="s">
        <v>22</v>
      </c>
      <c r="O1314" s="1" t="str">
        <f t="shared" ca="1" si="11"/>
        <v>Please solve the LeetCode problem '2373. Largest Local Values in a Matrix'.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15" spans="1:15" x14ac:dyDescent="0.25">
      <c r="A1315" s="1">
        <v>1909</v>
      </c>
      <c r="B1315" s="2" t="str">
        <f>HYPERLINK("https://leetcode.com/problems/remove-one-element-to-make-the-array-strictly-increasing/", "Remove One Element to Make the Array Strictly Increasing")</f>
        <v>Remove One Element to Make the Array Strictly Increasing</v>
      </c>
      <c r="C1315" s="1">
        <v>1314</v>
      </c>
      <c r="D1315" s="1">
        <v>348</v>
      </c>
      <c r="E1315" s="3">
        <f t="shared" si="10"/>
        <v>0.79061371841155237</v>
      </c>
      <c r="F1315" s="1" t="s">
        <v>113</v>
      </c>
      <c r="G1315" s="1" t="s">
        <v>20</v>
      </c>
      <c r="H1315" s="1">
        <v>83712</v>
      </c>
      <c r="I1315" s="1">
        <v>284723</v>
      </c>
      <c r="J1315" s="7">
        <v>0.29399999999999998</v>
      </c>
      <c r="K1315" s="1" t="s">
        <v>21</v>
      </c>
      <c r="L1315" s="1" t="s">
        <v>29</v>
      </c>
      <c r="M1315" s="1" t="s">
        <v>29</v>
      </c>
      <c r="N1315" s="1" t="s">
        <v>22</v>
      </c>
      <c r="O1315" s="1" t="str">
        <f t="shared" ca="1" si="11"/>
        <v>Please solve the LeetCode problem '1909. Remove One Element to Make the Array Strictly Increasing'.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16" spans="1:15" x14ac:dyDescent="0.25">
      <c r="A1316" s="1">
        <v>2419</v>
      </c>
      <c r="B1316" s="2" t="str">
        <f>HYPERLINK("https://leetcode.com/problems/longest-subarray-with-maximum-bitwise-and/", "Longest Subarray With Maximum Bitwise AND")</f>
        <v>Longest Subarray With Maximum Bitwise AND</v>
      </c>
      <c r="C1316" s="1">
        <v>1314</v>
      </c>
      <c r="D1316" s="1">
        <v>110</v>
      </c>
      <c r="E1316" s="3">
        <f t="shared" si="10"/>
        <v>0.922752808988764</v>
      </c>
      <c r="F1316" s="1" t="s">
        <v>634</v>
      </c>
      <c r="G1316" s="1" t="s">
        <v>24</v>
      </c>
      <c r="H1316" s="1">
        <v>252413</v>
      </c>
      <c r="I1316" s="1">
        <v>385982</v>
      </c>
      <c r="J1316" s="7">
        <v>0.65400000000000003</v>
      </c>
      <c r="K1316" s="1" t="s">
        <v>21</v>
      </c>
      <c r="L1316" s="1" t="s">
        <v>21</v>
      </c>
      <c r="M1316" s="1" t="s">
        <v>29</v>
      </c>
      <c r="N1316" s="1" t="s">
        <v>22</v>
      </c>
      <c r="O1316" s="1" t="str">
        <f t="shared" ca="1" si="11"/>
        <v>Please solve the LeetCode problem '2419. Longest Subarray With Maximum Bitwise AND'.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17" spans="1:15" x14ac:dyDescent="0.25">
      <c r="A1317" s="1">
        <v>1559</v>
      </c>
      <c r="B1317" s="2" t="str">
        <f>HYPERLINK("https://leetcode.com/problems/detect-cycles-in-2d-grid/", "Detect Cycles in 2D Grid")</f>
        <v>Detect Cycles in 2D Grid</v>
      </c>
      <c r="C1317" s="1">
        <v>1312</v>
      </c>
      <c r="D1317" s="1">
        <v>30</v>
      </c>
      <c r="E1317" s="3">
        <f t="shared" si="10"/>
        <v>0.97764530551415796</v>
      </c>
      <c r="F1317" s="1" t="s">
        <v>40</v>
      </c>
      <c r="G1317" s="1" t="s">
        <v>24</v>
      </c>
      <c r="H1317" s="1">
        <v>63628</v>
      </c>
      <c r="I1317" s="1">
        <v>122314</v>
      </c>
      <c r="J1317" s="7">
        <v>0.52</v>
      </c>
      <c r="K1317" s="1" t="s">
        <v>21</v>
      </c>
      <c r="L1317" s="1" t="s">
        <v>29</v>
      </c>
      <c r="M1317" s="1" t="s">
        <v>29</v>
      </c>
      <c r="N1317" s="1" t="s">
        <v>22</v>
      </c>
      <c r="O1317" s="1" t="str">
        <f t="shared" ca="1" si="11"/>
        <v>Please solve the LeetCode problem '1559. Detect Cycles in 2D Grid'.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18" spans="1:15" x14ac:dyDescent="0.25">
      <c r="A1318" s="1">
        <v>1750</v>
      </c>
      <c r="B1318" s="2" t="str">
        <f>HYPERLINK("https://leetcode.com/problems/minimum-length-of-string-after-deleting-similar-ends/", "Minimum Length of String After Deleting Similar Ends")</f>
        <v>Minimum Length of String After Deleting Similar Ends</v>
      </c>
      <c r="C1318" s="1">
        <v>1310</v>
      </c>
      <c r="D1318" s="1">
        <v>109</v>
      </c>
      <c r="E1318" s="3">
        <f t="shared" si="10"/>
        <v>0.92318534178999301</v>
      </c>
      <c r="F1318" s="1" t="s">
        <v>117</v>
      </c>
      <c r="G1318" s="1" t="s">
        <v>24</v>
      </c>
      <c r="H1318" s="1">
        <v>184583</v>
      </c>
      <c r="I1318" s="1">
        <v>329559</v>
      </c>
      <c r="J1318" s="7">
        <v>0.56000000000000005</v>
      </c>
      <c r="K1318" s="1" t="s">
        <v>21</v>
      </c>
      <c r="L1318" s="1" t="s">
        <v>21</v>
      </c>
      <c r="M1318" s="1" t="s">
        <v>29</v>
      </c>
      <c r="N1318" s="1" t="s">
        <v>22</v>
      </c>
      <c r="O1318" s="1" t="str">
        <f t="shared" ca="1" si="11"/>
        <v>Please solve the LeetCode problem '1750. Minimum Length of String After Deleting Similar Ends'.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19" spans="1:15" x14ac:dyDescent="0.25">
      <c r="A1319" s="1">
        <v>1570</v>
      </c>
      <c r="B1319" s="2" t="str">
        <f>HYPERLINK("https://leetcode.com/problems/dot-product-of-two-sparse-vectors/", "Dot Product of Two Sparse Vectors")</f>
        <v>Dot Product of Two Sparse Vectors</v>
      </c>
      <c r="C1319" s="1">
        <v>1309</v>
      </c>
      <c r="D1319" s="1">
        <v>170</v>
      </c>
      <c r="E1319" s="3">
        <f t="shared" si="10"/>
        <v>0.88505747126436785</v>
      </c>
      <c r="F1319" s="1" t="s">
        <v>636</v>
      </c>
      <c r="G1319" s="1" t="s">
        <v>24</v>
      </c>
      <c r="H1319" s="1">
        <v>400610</v>
      </c>
      <c r="I1319" s="1">
        <v>445488</v>
      </c>
      <c r="J1319" s="7">
        <v>0.89900000000000002</v>
      </c>
      <c r="K1319" s="1" t="s">
        <v>29</v>
      </c>
      <c r="L1319" s="1" t="s">
        <v>21</v>
      </c>
      <c r="M1319" s="1" t="s">
        <v>29</v>
      </c>
      <c r="N1319" s="1" t="s">
        <v>22</v>
      </c>
      <c r="O1319" s="1" t="str">
        <f t="shared" ca="1" si="11"/>
        <v>Please solve the LeetCode problem '1570. Dot Product of Two Sparse Vectors'.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20" spans="1:15" x14ac:dyDescent="0.25">
      <c r="A1320" s="1">
        <v>1827</v>
      </c>
      <c r="B1320" s="2" t="str">
        <f>HYPERLINK("https://leetcode.com/problems/minimum-operations-to-make-the-array-increasing/", "Minimum Operations to Make the Array Increasing")</f>
        <v>Minimum Operations to Make the Array Increasing</v>
      </c>
      <c r="C1320" s="1">
        <v>1309</v>
      </c>
      <c r="D1320" s="1">
        <v>68</v>
      </c>
      <c r="E1320" s="3">
        <f t="shared" si="10"/>
        <v>0.95061728395061729</v>
      </c>
      <c r="F1320" s="1" t="s">
        <v>96</v>
      </c>
      <c r="G1320" s="1" t="s">
        <v>20</v>
      </c>
      <c r="H1320" s="1">
        <v>130163</v>
      </c>
      <c r="I1320" s="1">
        <v>159266</v>
      </c>
      <c r="J1320" s="7">
        <v>0.81699999999999995</v>
      </c>
      <c r="K1320" s="1" t="s">
        <v>21</v>
      </c>
      <c r="L1320" s="1" t="s">
        <v>29</v>
      </c>
      <c r="M1320" s="1" t="s">
        <v>29</v>
      </c>
      <c r="N1320" s="1" t="s">
        <v>22</v>
      </c>
      <c r="O1320" s="1" t="str">
        <f t="shared" ca="1" si="11"/>
        <v>Please solve the LeetCode problem '1827. Minimum Operations to Make the Array Increasing'.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21" spans="1:15" x14ac:dyDescent="0.25">
      <c r="A1321" s="1">
        <v>2045</v>
      </c>
      <c r="B1321" s="2" t="str">
        <f>HYPERLINK("https://leetcode.com/problems/second-minimum-time-to-reach-destination/", "Second Minimum Time to Reach Destination")</f>
        <v>Second Minimum Time to Reach Destination</v>
      </c>
      <c r="C1321" s="1">
        <v>1308</v>
      </c>
      <c r="D1321" s="1">
        <v>69</v>
      </c>
      <c r="E1321" s="3">
        <f t="shared" si="10"/>
        <v>0.94989106753812635</v>
      </c>
      <c r="F1321" s="1" t="s">
        <v>631</v>
      </c>
      <c r="G1321" s="1" t="s">
        <v>28</v>
      </c>
      <c r="H1321" s="1">
        <v>90318</v>
      </c>
      <c r="I1321" s="1">
        <v>144860</v>
      </c>
      <c r="J1321" s="7">
        <v>0.623</v>
      </c>
      <c r="K1321" s="1" t="s">
        <v>21</v>
      </c>
      <c r="L1321" s="1" t="s">
        <v>21</v>
      </c>
      <c r="M1321" s="1" t="s">
        <v>29</v>
      </c>
      <c r="N1321" s="1" t="s">
        <v>22</v>
      </c>
      <c r="O1321" s="1" t="str">
        <f t="shared" ca="1" si="11"/>
        <v>Please solve the LeetCode problem '2045. Second Minimum Time to Reach Destination'.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22" spans="1:15" x14ac:dyDescent="0.25">
      <c r="A1322" s="1">
        <v>2053</v>
      </c>
      <c r="B1322" s="2" t="str">
        <f>HYPERLINK("https://leetcode.com/problems/kth-distinct-string-in-an-array/", "Kth Distinct String in an Array")</f>
        <v>Kth Distinct String in an Array</v>
      </c>
      <c r="C1322" s="1">
        <v>1308</v>
      </c>
      <c r="D1322" s="1">
        <v>52</v>
      </c>
      <c r="E1322" s="3">
        <f t="shared" si="10"/>
        <v>0.96176470588235297</v>
      </c>
      <c r="F1322" s="1" t="s">
        <v>467</v>
      </c>
      <c r="G1322" s="1" t="s">
        <v>20</v>
      </c>
      <c r="H1322" s="1">
        <v>267670</v>
      </c>
      <c r="I1322" s="1">
        <v>325917</v>
      </c>
      <c r="J1322" s="7">
        <v>0.82099999999999995</v>
      </c>
      <c r="K1322" s="1" t="s">
        <v>21</v>
      </c>
      <c r="L1322" s="1" t="s">
        <v>21</v>
      </c>
      <c r="M1322" s="1" t="s">
        <v>29</v>
      </c>
      <c r="N1322" s="1" t="s">
        <v>22</v>
      </c>
      <c r="O1322" s="1" t="str">
        <f t="shared" ca="1" si="11"/>
        <v>Please solve the LeetCode problem '2053. Kth Distinct String in an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23" spans="1:15" x14ac:dyDescent="0.25">
      <c r="A1323" s="1">
        <v>2379</v>
      </c>
      <c r="B1323" s="2" t="str">
        <f>HYPERLINK("https://leetcode.com/problems/minimum-recolors-to-get-k-consecutive-black-blocks/", "Minimum Recolors to Get K Consecutive Black Blocks")</f>
        <v>Minimum Recolors to Get K Consecutive Black Blocks</v>
      </c>
      <c r="C1323" s="1">
        <v>1308</v>
      </c>
      <c r="D1323" s="1">
        <v>38</v>
      </c>
      <c r="E1323" s="3">
        <f t="shared" si="10"/>
        <v>0.97176820208023773</v>
      </c>
      <c r="F1323" s="1" t="s">
        <v>314</v>
      </c>
      <c r="G1323" s="1" t="s">
        <v>20</v>
      </c>
      <c r="H1323" s="1">
        <v>225058</v>
      </c>
      <c r="I1323" s="1">
        <v>328327</v>
      </c>
      <c r="J1323" s="7">
        <v>0.68500000000000005</v>
      </c>
      <c r="K1323" s="1" t="s">
        <v>21</v>
      </c>
      <c r="L1323" s="1" t="s">
        <v>21</v>
      </c>
      <c r="M1323" s="1" t="s">
        <v>29</v>
      </c>
      <c r="N1323" s="1" t="s">
        <v>22</v>
      </c>
      <c r="O1323" s="1" t="str">
        <f t="shared" ca="1" si="11"/>
        <v>Please solve the LeetCode problem '2379. Minimum Recolors to Get K Consecutive Black Blocks'.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24" spans="1:15" x14ac:dyDescent="0.25">
      <c r="A1324" s="1">
        <v>2326</v>
      </c>
      <c r="B1324" s="2" t="str">
        <f>HYPERLINK("https://leetcode.com/problems/spiral-matrix-iv/", "Spiral Matrix IV")</f>
        <v>Spiral Matrix IV</v>
      </c>
      <c r="C1324" s="1">
        <v>1307</v>
      </c>
      <c r="D1324" s="1">
        <v>56</v>
      </c>
      <c r="E1324" s="3">
        <f t="shared" si="10"/>
        <v>0.95891415994130591</v>
      </c>
      <c r="F1324" s="1" t="s">
        <v>633</v>
      </c>
      <c r="G1324" s="1" t="s">
        <v>24</v>
      </c>
      <c r="H1324" s="1">
        <v>179430</v>
      </c>
      <c r="I1324" s="1">
        <v>218046</v>
      </c>
      <c r="J1324" s="7">
        <v>0.82299999999999995</v>
      </c>
      <c r="K1324" s="1" t="s">
        <v>21</v>
      </c>
      <c r="L1324" s="1" t="s">
        <v>21</v>
      </c>
      <c r="M1324" s="1" t="s">
        <v>29</v>
      </c>
      <c r="N1324" s="1" t="s">
        <v>22</v>
      </c>
      <c r="O1324" s="1" t="str">
        <f t="shared" ca="1" si="11"/>
        <v>Please solve the LeetCode problem '2326. Spiral Matrix IV'.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25" spans="1:15" x14ac:dyDescent="0.25">
      <c r="A1325" s="1">
        <v>2357</v>
      </c>
      <c r="B1325" s="2" t="str">
        <f>HYPERLINK("https://leetcode.com/problems/make-array-zero-by-subtracting-equal-amounts/", "Make Array Zero by Subtracting Equal Amounts")</f>
        <v>Make Array Zero by Subtracting Equal Amounts</v>
      </c>
      <c r="C1325" s="1">
        <v>1307</v>
      </c>
      <c r="D1325" s="1">
        <v>61</v>
      </c>
      <c r="E1325" s="3">
        <f t="shared" si="10"/>
        <v>0.95540935672514615</v>
      </c>
      <c r="F1325" s="1" t="s">
        <v>635</v>
      </c>
      <c r="G1325" s="1" t="s">
        <v>20</v>
      </c>
      <c r="H1325" s="1">
        <v>173235</v>
      </c>
      <c r="I1325" s="1">
        <v>234968</v>
      </c>
      <c r="J1325" s="7">
        <v>0.73699999999999999</v>
      </c>
      <c r="K1325" s="1" t="s">
        <v>21</v>
      </c>
      <c r="L1325" s="1" t="s">
        <v>29</v>
      </c>
      <c r="M1325" s="1" t="s">
        <v>29</v>
      </c>
      <c r="N1325" s="1" t="s">
        <v>22</v>
      </c>
      <c r="O1325" s="1" t="str">
        <f t="shared" ca="1" si="11"/>
        <v>Please solve the LeetCode problem '2357. Make Array Zero by Subtracting Equal Amounts'.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26" spans="1:15" x14ac:dyDescent="0.25">
      <c r="A1326" s="1">
        <v>1201</v>
      </c>
      <c r="B1326" s="2" t="str">
        <f>HYPERLINK("https://leetcode.com/problems/ugly-number-iii/", "Ugly Number III")</f>
        <v>Ugly Number III</v>
      </c>
      <c r="C1326" s="1">
        <v>1305</v>
      </c>
      <c r="D1326" s="1">
        <v>518</v>
      </c>
      <c r="E1326" s="3">
        <f t="shared" si="10"/>
        <v>0.71585298957761934</v>
      </c>
      <c r="F1326" s="1" t="s">
        <v>632</v>
      </c>
      <c r="G1326" s="1" t="s">
        <v>24</v>
      </c>
      <c r="H1326" s="1">
        <v>42063</v>
      </c>
      <c r="I1326" s="1">
        <v>135369</v>
      </c>
      <c r="J1326" s="7">
        <v>0.311</v>
      </c>
      <c r="K1326" s="1" t="s">
        <v>21</v>
      </c>
      <c r="L1326" s="1" t="s">
        <v>29</v>
      </c>
      <c r="M1326" s="1" t="s">
        <v>29</v>
      </c>
      <c r="N1326" s="1" t="s">
        <v>22</v>
      </c>
      <c r="O1326" s="1" t="str">
        <f t="shared" ca="1" si="11"/>
        <v>Please solve the LeetCode problem '1201. Ugly Number III'.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27" spans="1:15" x14ac:dyDescent="0.25">
      <c r="A1327" s="1">
        <v>2597</v>
      </c>
      <c r="B1327" s="2" t="str">
        <f>HYPERLINK("https://leetcode.com/problems/the-number-of-beautiful-subsets/", "The Number of Beautiful Subsets")</f>
        <v>The Number of Beautiful Subsets</v>
      </c>
      <c r="C1327" s="1">
        <v>1299</v>
      </c>
      <c r="D1327" s="1">
        <v>176</v>
      </c>
      <c r="E1327" s="3">
        <f t="shared" si="10"/>
        <v>0.88067796610169491</v>
      </c>
      <c r="F1327" s="1" t="s">
        <v>638</v>
      </c>
      <c r="G1327" s="1" t="s">
        <v>24</v>
      </c>
      <c r="H1327" s="1">
        <v>129495</v>
      </c>
      <c r="I1327" s="1">
        <v>254546</v>
      </c>
      <c r="J1327" s="7">
        <v>0.50900000000000001</v>
      </c>
      <c r="K1327" s="1" t="s">
        <v>21</v>
      </c>
      <c r="L1327" s="1" t="s">
        <v>21</v>
      </c>
      <c r="M1327" s="1" t="s">
        <v>29</v>
      </c>
      <c r="N1327" s="1" t="s">
        <v>22</v>
      </c>
      <c r="O1327" s="1" t="str">
        <f t="shared" ca="1" si="11"/>
        <v>Please solve the LeetCode problem '2597. The Number of Beautiful Subsets'.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28" spans="1:15" x14ac:dyDescent="0.25">
      <c r="A1328" s="1">
        <v>1568</v>
      </c>
      <c r="B1328" s="2" t="str">
        <f>HYPERLINK("https://leetcode.com/problems/minimum-number-of-days-to-disconnect-island/", "Minimum Number of Days to Disconnect Island")</f>
        <v>Minimum Number of Days to Disconnect Island</v>
      </c>
      <c r="C1328" s="1">
        <v>1297</v>
      </c>
      <c r="D1328" s="1">
        <v>224</v>
      </c>
      <c r="E1328" s="3">
        <f t="shared" si="10"/>
        <v>0.85272846811308345</v>
      </c>
      <c r="F1328" s="1" t="s">
        <v>639</v>
      </c>
      <c r="G1328" s="1" t="s">
        <v>28</v>
      </c>
      <c r="H1328" s="1">
        <v>97821</v>
      </c>
      <c r="I1328" s="1">
        <v>166293</v>
      </c>
      <c r="J1328" s="7">
        <v>0.58799999999999997</v>
      </c>
      <c r="K1328" s="1" t="s">
        <v>21</v>
      </c>
      <c r="L1328" s="1" t="s">
        <v>21</v>
      </c>
      <c r="M1328" s="1" t="s">
        <v>29</v>
      </c>
      <c r="N1328" s="1" t="s">
        <v>22</v>
      </c>
      <c r="O1328" s="1" t="str">
        <f t="shared" ca="1" si="11"/>
        <v>Please solve the LeetCode problem '1568. Minimum Number of Days to Disconnect Island'.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29" spans="1:15" x14ac:dyDescent="0.25">
      <c r="A1329" s="1">
        <v>1178</v>
      </c>
      <c r="B1329" s="2" t="str">
        <f>HYPERLINK("https://leetcode.com/problems/number-of-valid-words-for-each-puzzle/", "Number of Valid Words for Each Puzzle")</f>
        <v>Number of Valid Words for Each Puzzle</v>
      </c>
      <c r="C1329" s="1">
        <v>1296</v>
      </c>
      <c r="D1329" s="1">
        <v>89</v>
      </c>
      <c r="E1329" s="3">
        <f t="shared" si="10"/>
        <v>0.93574007220216604</v>
      </c>
      <c r="F1329" s="1" t="s">
        <v>637</v>
      </c>
      <c r="G1329" s="1" t="s">
        <v>28</v>
      </c>
      <c r="H1329" s="1">
        <v>34425</v>
      </c>
      <c r="I1329" s="1">
        <v>72275</v>
      </c>
      <c r="J1329" s="7">
        <v>0.47599999999999998</v>
      </c>
      <c r="K1329" s="1" t="s">
        <v>21</v>
      </c>
      <c r="L1329" s="1" t="s">
        <v>21</v>
      </c>
      <c r="M1329" s="1" t="s">
        <v>29</v>
      </c>
      <c r="N1329" s="1" t="s">
        <v>22</v>
      </c>
      <c r="O1329" s="1" t="str">
        <f t="shared" ca="1" si="11"/>
        <v>Please solve the LeetCode problem '1178. Number of Valid Words for Each Puzzle'.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30" spans="1:15" x14ac:dyDescent="0.25">
      <c r="A1330" s="1">
        <v>1888</v>
      </c>
      <c r="B1330" s="2" t="str">
        <f>HYPERLINK("https://leetcode.com/problems/minimum-number-of-flips-to-make-the-binary-string-alternating/", "Minimum Number of Flips to Make the Binary String Alternating")</f>
        <v>Minimum Number of Flips to Make the Binary String Alternating</v>
      </c>
      <c r="C1330" s="1">
        <v>1291</v>
      </c>
      <c r="D1330" s="1">
        <v>84</v>
      </c>
      <c r="E1330" s="3">
        <f t="shared" si="10"/>
        <v>0.93890909090909092</v>
      </c>
      <c r="F1330" s="1" t="s">
        <v>595</v>
      </c>
      <c r="G1330" s="1" t="s">
        <v>24</v>
      </c>
      <c r="H1330" s="1">
        <v>35981</v>
      </c>
      <c r="I1330" s="1">
        <v>87843</v>
      </c>
      <c r="J1330" s="7">
        <v>0.41</v>
      </c>
      <c r="K1330" s="1" t="s">
        <v>21</v>
      </c>
      <c r="L1330" s="1" t="s">
        <v>29</v>
      </c>
      <c r="M1330" s="1" t="s">
        <v>29</v>
      </c>
      <c r="N1330" s="1" t="s">
        <v>22</v>
      </c>
      <c r="O1330" s="1" t="str">
        <f t="shared" ca="1" si="11"/>
        <v>Please solve the LeetCode problem '1888. Minimum Number of Flips to Make the Binary String Alternating'.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31" spans="1:15" x14ac:dyDescent="0.25">
      <c r="A1331" s="1">
        <v>243</v>
      </c>
      <c r="B1331" s="2" t="str">
        <f>HYPERLINK("https://leetcode.com/problems/shortest-word-distance/", "Shortest Word Distance")</f>
        <v>Shortest Word Distance</v>
      </c>
      <c r="C1331" s="1">
        <v>1290</v>
      </c>
      <c r="D1331" s="1">
        <v>127</v>
      </c>
      <c r="E1331" s="3">
        <f t="shared" si="10"/>
        <v>0.91037402964008474</v>
      </c>
      <c r="F1331" s="1" t="s">
        <v>369</v>
      </c>
      <c r="G1331" s="1" t="s">
        <v>20</v>
      </c>
      <c r="H1331" s="1">
        <v>241275</v>
      </c>
      <c r="I1331" s="1">
        <v>364619</v>
      </c>
      <c r="J1331" s="7">
        <v>0.66200000000000003</v>
      </c>
      <c r="K1331" s="1" t="s">
        <v>29</v>
      </c>
      <c r="L1331" s="1" t="s">
        <v>21</v>
      </c>
      <c r="M1331" s="1" t="s">
        <v>29</v>
      </c>
      <c r="N1331" s="1" t="s">
        <v>22</v>
      </c>
      <c r="O1331" s="1" t="str">
        <f t="shared" ca="1" si="11"/>
        <v>Please solve the LeetCode problem '243. Shortest Word Distance'.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32" spans="1:15" x14ac:dyDescent="0.25">
      <c r="A1332" s="1">
        <v>1439</v>
      </c>
      <c r="B1332" s="2" t="str">
        <f>HYPERLINK("https://leetcode.com/problems/find-the-kth-smallest-sum-of-a-matrix-with-sorted-rows/", "Find the Kth Smallest Sum of a Matrix With Sorted Rows")</f>
        <v>Find the Kth Smallest Sum of a Matrix With Sorted Rows</v>
      </c>
      <c r="C1332" s="1">
        <v>1290</v>
      </c>
      <c r="D1332" s="1">
        <v>21</v>
      </c>
      <c r="E1332" s="3">
        <f t="shared" si="10"/>
        <v>0.98398169336384445</v>
      </c>
      <c r="F1332" s="1" t="s">
        <v>641</v>
      </c>
      <c r="G1332" s="1" t="s">
        <v>28</v>
      </c>
      <c r="H1332" s="1">
        <v>42468</v>
      </c>
      <c r="I1332" s="1">
        <v>68227</v>
      </c>
      <c r="J1332" s="7">
        <v>0.622</v>
      </c>
      <c r="K1332" s="1" t="s">
        <v>21</v>
      </c>
      <c r="L1332" s="1" t="s">
        <v>29</v>
      </c>
      <c r="M1332" s="1" t="s">
        <v>29</v>
      </c>
      <c r="N1332" s="1" t="s">
        <v>22</v>
      </c>
      <c r="O1332" s="1" t="str">
        <f t="shared" ca="1" si="11"/>
        <v>Please solve the LeetCode problem '1439. Find the Kth Smallest Sum of a Matrix With Sorted Rows'.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33" spans="1:15" x14ac:dyDescent="0.25">
      <c r="A1333" s="1">
        <v>2022</v>
      </c>
      <c r="B1333" s="2" t="str">
        <f>HYPERLINK("https://leetcode.com/problems/convert-1d-array-into-2d-array/", "Convert 1D Array Into 2D Array")</f>
        <v>Convert 1D Array Into 2D Array</v>
      </c>
      <c r="C1333" s="1">
        <v>1290</v>
      </c>
      <c r="D1333" s="1">
        <v>103</v>
      </c>
      <c r="E1333" s="3">
        <f t="shared" si="10"/>
        <v>0.92605886575735819</v>
      </c>
      <c r="F1333" s="1" t="s">
        <v>77</v>
      </c>
      <c r="G1333" s="1" t="s">
        <v>20</v>
      </c>
      <c r="H1333" s="1">
        <v>285319</v>
      </c>
      <c r="I1333" s="1">
        <v>396085</v>
      </c>
      <c r="J1333" s="7">
        <v>0.72</v>
      </c>
      <c r="K1333" s="1" t="s">
        <v>21</v>
      </c>
      <c r="L1333" s="1" t="s">
        <v>21</v>
      </c>
      <c r="M1333" s="1" t="s">
        <v>29</v>
      </c>
      <c r="N1333" s="1" t="s">
        <v>22</v>
      </c>
      <c r="O1333" s="1" t="str">
        <f t="shared" ca="1" si="11"/>
        <v>Please solve the LeetCode problem '2022. Convert 1D Array Into 2D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34" spans="1:15" x14ac:dyDescent="0.25">
      <c r="A1334" s="1">
        <v>2257</v>
      </c>
      <c r="B1334" s="2" t="str">
        <f>HYPERLINK("https://leetcode.com/problems/count-unguarded-cells-in-the-grid/", "Count Unguarded Cells in the Grid")</f>
        <v>Count Unguarded Cells in the Grid</v>
      </c>
      <c r="C1334" s="1">
        <v>1289</v>
      </c>
      <c r="D1334" s="1">
        <v>91</v>
      </c>
      <c r="E1334" s="3">
        <f t="shared" si="10"/>
        <v>0.93405797101449273</v>
      </c>
      <c r="F1334" s="1" t="s">
        <v>77</v>
      </c>
      <c r="G1334" s="1" t="s">
        <v>24</v>
      </c>
      <c r="H1334" s="1">
        <v>204091</v>
      </c>
      <c r="I1334" s="1">
        <v>295728</v>
      </c>
      <c r="J1334" s="7">
        <v>0.69</v>
      </c>
      <c r="K1334" s="1" t="s">
        <v>21</v>
      </c>
      <c r="L1334" s="1" t="s">
        <v>21</v>
      </c>
      <c r="M1334" s="1" t="s">
        <v>29</v>
      </c>
      <c r="N1334" s="1" t="s">
        <v>22</v>
      </c>
      <c r="O1334" s="1" t="str">
        <f t="shared" ca="1" si="11"/>
        <v>Please solve the LeetCode problem '2257. Count Unguarded Cells in the Grid'.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35" spans="1:15" x14ac:dyDescent="0.25">
      <c r="A1335" s="1">
        <v>596</v>
      </c>
      <c r="B1335" s="2" t="str">
        <f>HYPERLINK("https://leetcode.com/problems/classes-with-at-least-5-students/", "Classes With at Least 5 Students")</f>
        <v>Classes With at Least 5 Students</v>
      </c>
      <c r="C1335" s="1">
        <v>1287</v>
      </c>
      <c r="D1335" s="1">
        <v>1084</v>
      </c>
      <c r="E1335" s="3">
        <f t="shared" si="10"/>
        <v>0.54280894137494728</v>
      </c>
      <c r="F1335" s="1" t="s">
        <v>297</v>
      </c>
      <c r="G1335" s="1" t="s">
        <v>20</v>
      </c>
      <c r="H1335" s="1">
        <v>797801</v>
      </c>
      <c r="I1335" s="1">
        <v>1269039</v>
      </c>
      <c r="J1335" s="7">
        <v>0.629</v>
      </c>
      <c r="K1335" s="1" t="s">
        <v>21</v>
      </c>
      <c r="L1335" s="1" t="s">
        <v>21</v>
      </c>
      <c r="M1335" s="1" t="s">
        <v>29</v>
      </c>
      <c r="N1335" s="1" t="s">
        <v>297</v>
      </c>
      <c r="O1335" s="1" t="str">
        <f t="shared" ca="1" si="11"/>
        <v>Please solve the LeetCode problem '596. Classes With at Least 5 Students'.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36" spans="1:15" x14ac:dyDescent="0.25">
      <c r="A1336" s="1">
        <v>675</v>
      </c>
      <c r="B1336" s="2" t="str">
        <f>HYPERLINK("https://leetcode.com/problems/cut-off-trees-for-golf-event/", "Cut Off Trees for Golf Event")</f>
        <v>Cut Off Trees for Golf Event</v>
      </c>
      <c r="C1336" s="1">
        <v>1287</v>
      </c>
      <c r="D1336" s="1">
        <v>689</v>
      </c>
      <c r="E1336" s="3">
        <f t="shared" si="10"/>
        <v>0.65131578947368418</v>
      </c>
      <c r="F1336" s="1" t="s">
        <v>261</v>
      </c>
      <c r="G1336" s="1" t="s">
        <v>28</v>
      </c>
      <c r="H1336" s="1">
        <v>82819</v>
      </c>
      <c r="I1336" s="1">
        <v>229932</v>
      </c>
      <c r="J1336" s="7">
        <v>0.36</v>
      </c>
      <c r="K1336" s="1" t="s">
        <v>21</v>
      </c>
      <c r="L1336" s="1" t="s">
        <v>29</v>
      </c>
      <c r="M1336" s="1" t="s">
        <v>29</v>
      </c>
      <c r="N1336" s="1" t="s">
        <v>22</v>
      </c>
      <c r="O1336" s="1" t="str">
        <f t="shared" ca="1" si="11"/>
        <v>Please solve the LeetCode problem '675. Cut Off Trees for Golf Event'.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37" spans="1:15" x14ac:dyDescent="0.25">
      <c r="A1337" s="1">
        <v>1800</v>
      </c>
      <c r="B1337" s="2" t="str">
        <f>HYPERLINK("https://leetcode.com/problems/maximum-ascending-subarray-sum/", "Maximum Ascending Subarray Sum")</f>
        <v>Maximum Ascending Subarray Sum</v>
      </c>
      <c r="C1337" s="1">
        <v>1283</v>
      </c>
      <c r="D1337" s="1">
        <v>42</v>
      </c>
      <c r="E1337" s="3">
        <f t="shared" si="10"/>
        <v>0.96830188679245288</v>
      </c>
      <c r="F1337" s="1" t="s">
        <v>113</v>
      </c>
      <c r="G1337" s="1" t="s">
        <v>20</v>
      </c>
      <c r="H1337" s="1">
        <v>244083</v>
      </c>
      <c r="I1337" s="1">
        <v>368169</v>
      </c>
      <c r="J1337" s="7">
        <v>0.66300000000000003</v>
      </c>
      <c r="K1337" s="1" t="s">
        <v>21</v>
      </c>
      <c r="L1337" s="1" t="s">
        <v>21</v>
      </c>
      <c r="M1337" s="1" t="s">
        <v>29</v>
      </c>
      <c r="N1337" s="1" t="s">
        <v>22</v>
      </c>
      <c r="O1337" s="1" t="str">
        <f t="shared" ca="1" si="11"/>
        <v>Please solve the LeetCode problem '1800. Maximum Ascending Subarray Sum'.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38" spans="1:15" x14ac:dyDescent="0.25">
      <c r="A1338" s="1">
        <v>1234</v>
      </c>
      <c r="B1338" s="2" t="str">
        <f>HYPERLINK("https://leetcode.com/problems/replace-the-substring-for-balanced-string/", "Replace the Substring for Balanced String")</f>
        <v>Replace the Substring for Balanced String</v>
      </c>
      <c r="C1338" s="1">
        <v>1277</v>
      </c>
      <c r="D1338" s="1">
        <v>224</v>
      </c>
      <c r="E1338" s="3">
        <f t="shared" si="10"/>
        <v>0.8507661558960693</v>
      </c>
      <c r="F1338" s="1" t="s">
        <v>314</v>
      </c>
      <c r="G1338" s="1" t="s">
        <v>24</v>
      </c>
      <c r="H1338" s="1">
        <v>45857</v>
      </c>
      <c r="I1338" s="1">
        <v>113369</v>
      </c>
      <c r="J1338" s="7">
        <v>0.40400000000000003</v>
      </c>
      <c r="K1338" s="1" t="s">
        <v>21</v>
      </c>
      <c r="L1338" s="1" t="s">
        <v>29</v>
      </c>
      <c r="M1338" s="1" t="s">
        <v>29</v>
      </c>
      <c r="N1338" s="1" t="s">
        <v>22</v>
      </c>
      <c r="O1338" s="1" t="str">
        <f t="shared" ca="1" si="11"/>
        <v>Please solve the LeetCode problem '1234. Replace the Substring for Balanced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39" spans="1:15" x14ac:dyDescent="0.25">
      <c r="A1339" s="1">
        <v>1979</v>
      </c>
      <c r="B1339" s="2" t="str">
        <f>HYPERLINK("https://leetcode.com/problems/find-greatest-common-divisor-of-array/", "Find Greatest Common Divisor of Array")</f>
        <v>Find Greatest Common Divisor of Array</v>
      </c>
      <c r="C1339" s="1">
        <v>1277</v>
      </c>
      <c r="D1339" s="1">
        <v>53</v>
      </c>
      <c r="E1339" s="3">
        <f t="shared" si="10"/>
        <v>0.96015037593984964</v>
      </c>
      <c r="F1339" s="1" t="s">
        <v>640</v>
      </c>
      <c r="G1339" s="1" t="s">
        <v>20</v>
      </c>
      <c r="H1339" s="1">
        <v>228242</v>
      </c>
      <c r="I1339" s="1">
        <v>286974</v>
      </c>
      <c r="J1339" s="7">
        <v>0.79500000000000004</v>
      </c>
      <c r="K1339" s="1" t="s">
        <v>21</v>
      </c>
      <c r="L1339" s="1" t="s">
        <v>29</v>
      </c>
      <c r="M1339" s="1" t="s">
        <v>29</v>
      </c>
      <c r="N1339" s="1" t="s">
        <v>22</v>
      </c>
      <c r="O1339" s="1" t="str">
        <f t="shared" ca="1" si="11"/>
        <v>Please solve the LeetCode problem '1979. Find Greatest Common Divisor of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40" spans="1:15" x14ac:dyDescent="0.25">
      <c r="A1340" s="1">
        <v>1824</v>
      </c>
      <c r="B1340" s="2" t="str">
        <f>HYPERLINK("https://leetcode.com/problems/minimum-sideway-jumps/", "Minimum Sideway Jumps")</f>
        <v>Minimum Sideway Jumps</v>
      </c>
      <c r="C1340" s="1">
        <v>1275</v>
      </c>
      <c r="D1340" s="1">
        <v>51</v>
      </c>
      <c r="E1340" s="3">
        <f t="shared" si="10"/>
        <v>0.96153846153846156</v>
      </c>
      <c r="F1340" s="1" t="s">
        <v>50</v>
      </c>
      <c r="G1340" s="1" t="s">
        <v>24</v>
      </c>
      <c r="H1340" s="1">
        <v>57194</v>
      </c>
      <c r="I1340" s="1">
        <v>111216</v>
      </c>
      <c r="J1340" s="7">
        <v>0.51400000000000001</v>
      </c>
      <c r="K1340" s="1" t="s">
        <v>21</v>
      </c>
      <c r="L1340" s="1" t="s">
        <v>29</v>
      </c>
      <c r="M1340" s="1" t="s">
        <v>29</v>
      </c>
      <c r="N1340" s="1" t="s">
        <v>22</v>
      </c>
      <c r="O1340" s="1" t="str">
        <f t="shared" ca="1" si="11"/>
        <v>Please solve the LeetCode problem '1824. Minimum Sideway Jumps'.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41" spans="1:15" x14ac:dyDescent="0.25">
      <c r="A1341" s="1">
        <v>1151</v>
      </c>
      <c r="B1341" s="2" t="str">
        <f>HYPERLINK("https://leetcode.com/problems/minimum-swaps-to-group-all-1s-together/", "Minimum Swaps to Group All 1's Together")</f>
        <v>Minimum Swaps to Group All 1's Together</v>
      </c>
      <c r="C1341" s="1">
        <v>1273</v>
      </c>
      <c r="D1341" s="1">
        <v>18</v>
      </c>
      <c r="E1341" s="3">
        <f t="shared" si="10"/>
        <v>0.98605731990704881</v>
      </c>
      <c r="F1341" s="1" t="s">
        <v>295</v>
      </c>
      <c r="G1341" s="1" t="s">
        <v>24</v>
      </c>
      <c r="H1341" s="1">
        <v>87909</v>
      </c>
      <c r="I1341" s="1">
        <v>143699</v>
      </c>
      <c r="J1341" s="7">
        <v>0.61199999999999999</v>
      </c>
      <c r="K1341" s="1" t="s">
        <v>29</v>
      </c>
      <c r="L1341" s="1" t="s">
        <v>21</v>
      </c>
      <c r="M1341" s="1" t="s">
        <v>21</v>
      </c>
      <c r="N1341" s="1" t="s">
        <v>22</v>
      </c>
      <c r="O1341" s="1" t="str">
        <f t="shared" ca="1" si="11"/>
        <v>Please solve the LeetCode problem '1151. Minimum Swaps to Group All 1's Together'.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42" spans="1:15" x14ac:dyDescent="0.25">
      <c r="A1342" s="1">
        <v>2034</v>
      </c>
      <c r="B1342" s="2" t="str">
        <f>HYPERLINK("https://leetcode.com/problems/stock-price-fluctuation/", "Stock Price Fluctuation ")</f>
        <v xml:space="preserve">Stock Price Fluctuation </v>
      </c>
      <c r="C1342" s="1">
        <v>1273</v>
      </c>
      <c r="D1342" s="1">
        <v>70</v>
      </c>
      <c r="E1342" s="3">
        <f t="shared" si="10"/>
        <v>0.94787788533134776</v>
      </c>
      <c r="F1342" s="1" t="s">
        <v>643</v>
      </c>
      <c r="G1342" s="1" t="s">
        <v>24</v>
      </c>
      <c r="H1342" s="1">
        <v>95316</v>
      </c>
      <c r="I1342" s="1">
        <v>195540</v>
      </c>
      <c r="J1342" s="7">
        <v>0.48699999999999999</v>
      </c>
      <c r="K1342" s="1" t="s">
        <v>21</v>
      </c>
      <c r="L1342" s="1" t="s">
        <v>21</v>
      </c>
      <c r="M1342" s="1" t="s">
        <v>29</v>
      </c>
      <c r="N1342" s="1" t="s">
        <v>22</v>
      </c>
      <c r="O1342" s="1" t="str">
        <f t="shared" ca="1" si="11"/>
        <v>Please solve the LeetCode problem '2034. Stock Price Fluctuation 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43" spans="1:15" x14ac:dyDescent="0.25">
      <c r="A1343" s="1">
        <v>1887</v>
      </c>
      <c r="B1343" s="2" t="str">
        <f>HYPERLINK("https://leetcode.com/problems/reduction-operations-to-make-the-array-elements-equal/", "Reduction Operations to Make the Array Elements Equal")</f>
        <v>Reduction Operations to Make the Array Elements Equal</v>
      </c>
      <c r="C1343" s="1">
        <v>1269</v>
      </c>
      <c r="D1343" s="1">
        <v>50</v>
      </c>
      <c r="E1343" s="3">
        <f t="shared" si="10"/>
        <v>0.96209249431387411</v>
      </c>
      <c r="F1343" s="1" t="s">
        <v>42</v>
      </c>
      <c r="G1343" s="1" t="s">
        <v>24</v>
      </c>
      <c r="H1343" s="1">
        <v>105027</v>
      </c>
      <c r="I1343" s="1">
        <v>144861</v>
      </c>
      <c r="J1343" s="7">
        <v>0.72499999999999998</v>
      </c>
      <c r="K1343" s="1" t="s">
        <v>21</v>
      </c>
      <c r="L1343" s="1" t="s">
        <v>21</v>
      </c>
      <c r="M1343" s="1" t="s">
        <v>29</v>
      </c>
      <c r="N1343" s="1" t="s">
        <v>22</v>
      </c>
      <c r="O1343" s="1" t="str">
        <f t="shared" ca="1" si="11"/>
        <v>Please solve the LeetCode problem '1887. Reduction Operations to Make the Array Elements Equal'.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44" spans="1:15" x14ac:dyDescent="0.25">
      <c r="A1344" s="1">
        <v>1701</v>
      </c>
      <c r="B1344" s="2" t="str">
        <f>HYPERLINK("https://leetcode.com/problems/average-waiting-time/", "Average Waiting Time")</f>
        <v>Average Waiting Time</v>
      </c>
      <c r="C1344" s="1">
        <v>1267</v>
      </c>
      <c r="D1344" s="1">
        <v>101</v>
      </c>
      <c r="E1344" s="3">
        <f t="shared" si="10"/>
        <v>0.92616959064327486</v>
      </c>
      <c r="F1344" s="1" t="s">
        <v>306</v>
      </c>
      <c r="G1344" s="1" t="s">
        <v>24</v>
      </c>
      <c r="H1344" s="1">
        <v>217326</v>
      </c>
      <c r="I1344" s="1">
        <v>297378</v>
      </c>
      <c r="J1344" s="7">
        <v>0.73099999999999998</v>
      </c>
      <c r="K1344" s="1" t="s">
        <v>21</v>
      </c>
      <c r="L1344" s="1" t="s">
        <v>21</v>
      </c>
      <c r="M1344" s="1" t="s">
        <v>29</v>
      </c>
      <c r="N1344" s="1" t="s">
        <v>22</v>
      </c>
      <c r="O1344" s="1" t="str">
        <f t="shared" ca="1" si="11"/>
        <v>Please solve the LeetCode problem '1701. Average Waiting Time'.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45" spans="1:15" x14ac:dyDescent="0.25">
      <c r="A1345" s="1">
        <v>2779</v>
      </c>
      <c r="B1345" s="2" t="str">
        <f>HYPERLINK("https://leetcode.com/problems/maximum-beauty-of-an-array-after-applying-operation/", "Maximum Beauty of an Array After Applying Operation")</f>
        <v>Maximum Beauty of an Array After Applying Operation</v>
      </c>
      <c r="C1345" s="1">
        <v>1267</v>
      </c>
      <c r="D1345" s="1">
        <v>48</v>
      </c>
      <c r="E1345" s="3">
        <f t="shared" si="10"/>
        <v>0.96349809885931559</v>
      </c>
      <c r="F1345" s="1" t="s">
        <v>644</v>
      </c>
      <c r="G1345" s="1" t="s">
        <v>24</v>
      </c>
      <c r="H1345" s="1">
        <v>130816</v>
      </c>
      <c r="I1345" s="1">
        <v>224334</v>
      </c>
      <c r="J1345" s="7">
        <v>0.58299999999999996</v>
      </c>
      <c r="K1345" s="1" t="s">
        <v>21</v>
      </c>
      <c r="L1345" s="1" t="s">
        <v>21</v>
      </c>
      <c r="M1345" s="1" t="s">
        <v>29</v>
      </c>
      <c r="N1345" s="1" t="s">
        <v>22</v>
      </c>
      <c r="O1345" s="1" t="str">
        <f t="shared" ca="1" si="11"/>
        <v>Please solve the LeetCode problem '2779. Maximum Beauty of an Array After Applying Operation'.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46" spans="1:15" x14ac:dyDescent="0.25">
      <c r="A1346" s="1">
        <v>2816</v>
      </c>
      <c r="B1346" s="2" t="str">
        <f>HYPERLINK("https://leetcode.com/problems/double-a-number-represented-as-a-linked-list/", "Double a Number Represented as a Linked List")</f>
        <v>Double a Number Represented as a Linked List</v>
      </c>
      <c r="C1346" s="1">
        <v>1266</v>
      </c>
      <c r="D1346" s="1">
        <v>32</v>
      </c>
      <c r="E1346" s="3">
        <f t="shared" si="10"/>
        <v>0.97534668721109397</v>
      </c>
      <c r="F1346" s="1" t="s">
        <v>222</v>
      </c>
      <c r="G1346" s="1" t="s">
        <v>24</v>
      </c>
      <c r="H1346" s="1">
        <v>196873</v>
      </c>
      <c r="I1346" s="1">
        <v>321486</v>
      </c>
      <c r="J1346" s="7">
        <v>0.61199999999999999</v>
      </c>
      <c r="K1346" s="1" t="s">
        <v>21</v>
      </c>
      <c r="L1346" s="1" t="s">
        <v>21</v>
      </c>
      <c r="M1346" s="1" t="s">
        <v>29</v>
      </c>
      <c r="N1346" s="1" t="s">
        <v>22</v>
      </c>
      <c r="O1346" s="1" t="str">
        <f t="shared" ca="1" si="11"/>
        <v>Please solve the LeetCode problem '2816. Double a Number Represented as a Linked List'.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47" spans="1:15" x14ac:dyDescent="0.25">
      <c r="A1347" s="1">
        <v>220</v>
      </c>
      <c r="B1347" s="2" t="str">
        <f>HYPERLINK("https://leetcode.com/problems/contains-duplicate-iii/", "Contains Duplicate III")</f>
        <v>Contains Duplicate III</v>
      </c>
      <c r="C1347" s="1">
        <v>1264</v>
      </c>
      <c r="D1347" s="1">
        <v>142</v>
      </c>
      <c r="E1347" s="3">
        <f t="shared" si="10"/>
        <v>0.89900426742532002</v>
      </c>
      <c r="F1347" s="1" t="s">
        <v>642</v>
      </c>
      <c r="G1347" s="1" t="s">
        <v>28</v>
      </c>
      <c r="H1347" s="1">
        <v>306229</v>
      </c>
      <c r="I1347" s="1">
        <v>1257260</v>
      </c>
      <c r="J1347" s="7">
        <v>0.24399999999999999</v>
      </c>
      <c r="K1347" s="1" t="s">
        <v>21</v>
      </c>
      <c r="L1347" s="1" t="s">
        <v>21</v>
      </c>
      <c r="M1347" s="1" t="s">
        <v>29</v>
      </c>
      <c r="N1347" s="1" t="s">
        <v>22</v>
      </c>
      <c r="O1347" s="1" t="str">
        <f t="shared" ca="1" si="11"/>
        <v>Please solve the LeetCode problem '220. Contains Duplicate III'.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48" spans="1:15" x14ac:dyDescent="0.25">
      <c r="A1348" s="1">
        <v>306</v>
      </c>
      <c r="B1348" s="2" t="str">
        <f>HYPERLINK("https://leetcode.com/problems/additive-number/", "Additive Number")</f>
        <v>Additive Number</v>
      </c>
      <c r="C1348" s="1">
        <v>1262</v>
      </c>
      <c r="D1348" s="1">
        <v>825</v>
      </c>
      <c r="E1348" s="3">
        <f t="shared" si="10"/>
        <v>0.60469573550551026</v>
      </c>
      <c r="F1348" s="1" t="s">
        <v>238</v>
      </c>
      <c r="G1348" s="1" t="s">
        <v>24</v>
      </c>
      <c r="H1348" s="1">
        <v>114939</v>
      </c>
      <c r="I1348" s="1">
        <v>344490</v>
      </c>
      <c r="J1348" s="7">
        <v>0.33400000000000002</v>
      </c>
      <c r="K1348" s="1" t="s">
        <v>21</v>
      </c>
      <c r="L1348" s="1" t="s">
        <v>29</v>
      </c>
      <c r="M1348" s="1" t="s">
        <v>29</v>
      </c>
      <c r="N1348" s="1" t="s">
        <v>22</v>
      </c>
      <c r="O1348" s="1" t="str">
        <f t="shared" ca="1" si="11"/>
        <v>Please solve the LeetCode problem '306. Additive Number'.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49" spans="1:15" x14ac:dyDescent="0.25">
      <c r="A1349" s="1">
        <v>1855</v>
      </c>
      <c r="B1349" s="2" t="str">
        <f>HYPERLINK("https://leetcode.com/problems/maximum-distance-between-a-pair-of-values/", "Maximum Distance Between a Pair of Values")</f>
        <v>Maximum Distance Between a Pair of Values</v>
      </c>
      <c r="C1349" s="1">
        <v>1262</v>
      </c>
      <c r="D1349" s="1">
        <v>32</v>
      </c>
      <c r="E1349" s="3">
        <f t="shared" si="10"/>
        <v>0.97527047913446674</v>
      </c>
      <c r="F1349" s="1" t="s">
        <v>97</v>
      </c>
      <c r="G1349" s="1" t="s">
        <v>24</v>
      </c>
      <c r="H1349" s="1">
        <v>61003</v>
      </c>
      <c r="I1349" s="1">
        <v>112542</v>
      </c>
      <c r="J1349" s="7">
        <v>0.54200000000000004</v>
      </c>
      <c r="K1349" s="1" t="s">
        <v>21</v>
      </c>
      <c r="L1349" s="1" t="s">
        <v>21</v>
      </c>
      <c r="M1349" s="1" t="s">
        <v>29</v>
      </c>
      <c r="N1349" s="1" t="s">
        <v>22</v>
      </c>
      <c r="O1349" s="1" t="str">
        <f t="shared" ca="1" si="11"/>
        <v>Please solve the LeetCode problem '1855. Maximum Distance Between a Pair of Values'.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50" spans="1:15" x14ac:dyDescent="0.25">
      <c r="A1350" s="1">
        <v>2070</v>
      </c>
      <c r="B1350" s="2" t="str">
        <f>HYPERLINK("https://leetcode.com/problems/most-beautiful-item-for-each-query/", "Most Beautiful Item for Each Query")</f>
        <v>Most Beautiful Item for Each Query</v>
      </c>
      <c r="C1350" s="1">
        <v>1262</v>
      </c>
      <c r="D1350" s="1">
        <v>45</v>
      </c>
      <c r="E1350" s="3">
        <f t="shared" si="10"/>
        <v>0.96557000765110945</v>
      </c>
      <c r="F1350" s="1" t="s">
        <v>367</v>
      </c>
      <c r="G1350" s="1" t="s">
        <v>24</v>
      </c>
      <c r="H1350" s="1">
        <v>128445</v>
      </c>
      <c r="I1350" s="1">
        <v>206870</v>
      </c>
      <c r="J1350" s="7">
        <v>0.621</v>
      </c>
      <c r="K1350" s="1" t="s">
        <v>21</v>
      </c>
      <c r="L1350" s="1" t="s">
        <v>21</v>
      </c>
      <c r="M1350" s="1" t="s">
        <v>29</v>
      </c>
      <c r="N1350" s="1" t="s">
        <v>22</v>
      </c>
      <c r="O1350" s="1" t="str">
        <f t="shared" ca="1" si="11"/>
        <v>Please solve the LeetCode problem '2070. Most Beautiful Item for Each Query'.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51" spans="1:15" x14ac:dyDescent="0.25">
      <c r="A1351" s="1">
        <v>2281</v>
      </c>
      <c r="B1351" s="2" t="str">
        <f>HYPERLINK("https://leetcode.com/problems/sum-of-total-strength-of-wizards/", "Sum of Total Strength of Wizards")</f>
        <v>Sum of Total Strength of Wizards</v>
      </c>
      <c r="C1351" s="1">
        <v>1262</v>
      </c>
      <c r="D1351" s="1">
        <v>110</v>
      </c>
      <c r="E1351" s="3">
        <f t="shared" si="10"/>
        <v>0.91982507288629733</v>
      </c>
      <c r="F1351" s="1" t="s">
        <v>573</v>
      </c>
      <c r="G1351" s="1" t="s">
        <v>28</v>
      </c>
      <c r="H1351" s="1">
        <v>24890</v>
      </c>
      <c r="I1351" s="1">
        <v>85985</v>
      </c>
      <c r="J1351" s="7">
        <v>0.28899999999999998</v>
      </c>
      <c r="K1351" s="1" t="s">
        <v>21</v>
      </c>
      <c r="L1351" s="1" t="s">
        <v>21</v>
      </c>
      <c r="M1351" s="1" t="s">
        <v>29</v>
      </c>
      <c r="N1351" s="1" t="s">
        <v>22</v>
      </c>
      <c r="O1351" s="1" t="str">
        <f t="shared" ca="1" si="11"/>
        <v>Please solve the LeetCode problem '2281. Sum of Total Strength of Wizards'.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52" spans="1:15" x14ac:dyDescent="0.25">
      <c r="A1352" s="1">
        <v>507</v>
      </c>
      <c r="B1352" s="2" t="str">
        <f>HYPERLINK("https://leetcode.com/problems/perfect-number/", "Perfect Number")</f>
        <v>Perfect Number</v>
      </c>
      <c r="C1352" s="1">
        <v>1260</v>
      </c>
      <c r="D1352" s="1">
        <v>1281</v>
      </c>
      <c r="E1352" s="3">
        <f t="shared" si="10"/>
        <v>0.49586776859504134</v>
      </c>
      <c r="F1352" s="1" t="s">
        <v>84</v>
      </c>
      <c r="G1352" s="1" t="s">
        <v>20</v>
      </c>
      <c r="H1352" s="1">
        <v>340983</v>
      </c>
      <c r="I1352" s="1">
        <v>719295</v>
      </c>
      <c r="J1352" s="7">
        <v>0.47399999999999998</v>
      </c>
      <c r="K1352" s="1" t="s">
        <v>21</v>
      </c>
      <c r="L1352" s="1" t="s">
        <v>21</v>
      </c>
      <c r="M1352" s="1" t="s">
        <v>29</v>
      </c>
      <c r="N1352" s="1" t="s">
        <v>22</v>
      </c>
      <c r="O1352" s="1" t="str">
        <f t="shared" ca="1" si="11"/>
        <v>Please solve the LeetCode problem '507. Perfect Number'.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53" spans="1:15" x14ac:dyDescent="0.25">
      <c r="A1353" s="1">
        <v>255</v>
      </c>
      <c r="B1353" s="2" t="str">
        <f>HYPERLINK("https://leetcode.com/problems/verify-preorder-sequence-in-binary-search-tree/", "Verify Preorder Sequence in Binary Search Tree")</f>
        <v>Verify Preorder Sequence in Binary Search Tree</v>
      </c>
      <c r="C1353" s="1">
        <v>1259</v>
      </c>
      <c r="D1353" s="1">
        <v>90</v>
      </c>
      <c r="E1353" s="3">
        <f t="shared" si="10"/>
        <v>0.93328391401037802</v>
      </c>
      <c r="F1353" s="1" t="s">
        <v>646</v>
      </c>
      <c r="G1353" s="1" t="s">
        <v>24</v>
      </c>
      <c r="H1353" s="1">
        <v>93043</v>
      </c>
      <c r="I1353" s="1">
        <v>180246</v>
      </c>
      <c r="J1353" s="7">
        <v>0.51600000000000001</v>
      </c>
      <c r="K1353" s="1" t="s">
        <v>29</v>
      </c>
      <c r="L1353" s="1" t="s">
        <v>21</v>
      </c>
      <c r="M1353" s="1" t="s">
        <v>29</v>
      </c>
      <c r="N1353" s="1" t="s">
        <v>22</v>
      </c>
      <c r="O1353" s="1" t="str">
        <f t="shared" ca="1" si="11"/>
        <v>Please solve the LeetCode problem '255. Verify Preorder Sequence in Binary Search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54" spans="1:15" x14ac:dyDescent="0.25">
      <c r="A1354" s="1">
        <v>1829</v>
      </c>
      <c r="B1354" s="2" t="str">
        <f>HYPERLINK("https://leetcode.com/problems/maximum-xor-for-each-query/", "Maximum XOR for Each Query")</f>
        <v>Maximum XOR for Each Query</v>
      </c>
      <c r="C1354" s="1">
        <v>1258</v>
      </c>
      <c r="D1354" s="1">
        <v>194</v>
      </c>
      <c r="E1354" s="3">
        <f t="shared" si="10"/>
        <v>0.86639118457300279</v>
      </c>
      <c r="F1354" s="1" t="s">
        <v>489</v>
      </c>
      <c r="G1354" s="1" t="s">
        <v>24</v>
      </c>
      <c r="H1354" s="1">
        <v>143345</v>
      </c>
      <c r="I1354" s="1">
        <v>169144</v>
      </c>
      <c r="J1354" s="7">
        <v>0.84699999999999998</v>
      </c>
      <c r="K1354" s="1" t="s">
        <v>21</v>
      </c>
      <c r="L1354" s="1" t="s">
        <v>21</v>
      </c>
      <c r="M1354" s="1" t="s">
        <v>29</v>
      </c>
      <c r="N1354" s="1" t="s">
        <v>22</v>
      </c>
      <c r="O1354" s="1" t="str">
        <f t="shared" ca="1" si="11"/>
        <v>Please solve the LeetCode problem '1829. Maximum XOR for Each Query'.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55" spans="1:15" x14ac:dyDescent="0.25">
      <c r="A1355" s="1">
        <v>1691</v>
      </c>
      <c r="B1355" s="2" t="str">
        <f>HYPERLINK("https://leetcode.com/problems/maximum-height-by-stacking-cuboids/", "Maximum Height by Stacking Cuboids ")</f>
        <v xml:space="preserve">Maximum Height by Stacking Cuboids </v>
      </c>
      <c r="C1355" s="1">
        <v>1256</v>
      </c>
      <c r="D1355" s="1">
        <v>35</v>
      </c>
      <c r="E1355" s="3">
        <f t="shared" si="10"/>
        <v>0.9728892331525949</v>
      </c>
      <c r="F1355" s="1" t="s">
        <v>270</v>
      </c>
      <c r="G1355" s="1" t="s">
        <v>28</v>
      </c>
      <c r="H1355" s="1">
        <v>43680</v>
      </c>
      <c r="I1355" s="1">
        <v>71043</v>
      </c>
      <c r="J1355" s="7">
        <v>0.61499999999999999</v>
      </c>
      <c r="K1355" s="1" t="s">
        <v>21</v>
      </c>
      <c r="L1355" s="1" t="s">
        <v>29</v>
      </c>
      <c r="M1355" s="1" t="s">
        <v>29</v>
      </c>
      <c r="N1355" s="1" t="s">
        <v>22</v>
      </c>
      <c r="O1355" s="1" t="str">
        <f t="shared" ca="1" si="11"/>
        <v>Please solve the LeetCode problem '1691. Maximum Height by Stacking Cuboids 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56" spans="1:15" x14ac:dyDescent="0.25">
      <c r="A1356" s="1">
        <v>2182</v>
      </c>
      <c r="B1356" s="2" t="str">
        <f>HYPERLINK("https://leetcode.com/problems/construct-string-with-repeat-limit/", "Construct String With Repeat Limit")</f>
        <v>Construct String With Repeat Limit</v>
      </c>
      <c r="C1356" s="1">
        <v>1255</v>
      </c>
      <c r="D1356" s="1">
        <v>100</v>
      </c>
      <c r="E1356" s="3">
        <f t="shared" si="10"/>
        <v>0.92619926199261993</v>
      </c>
      <c r="F1356" s="1" t="s">
        <v>645</v>
      </c>
      <c r="G1356" s="1" t="s">
        <v>24</v>
      </c>
      <c r="H1356" s="1">
        <v>127657</v>
      </c>
      <c r="I1356" s="1">
        <v>180052</v>
      </c>
      <c r="J1356" s="7">
        <v>0.70899999999999996</v>
      </c>
      <c r="K1356" s="1" t="s">
        <v>21</v>
      </c>
      <c r="L1356" s="1" t="s">
        <v>21</v>
      </c>
      <c r="M1356" s="1" t="s">
        <v>29</v>
      </c>
      <c r="N1356" s="1" t="s">
        <v>22</v>
      </c>
      <c r="O1356" s="1" t="str">
        <f t="shared" ca="1" si="11"/>
        <v>Please solve the LeetCode problem '2182. Construct String With Repeat Limit'.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57" spans="1:15" x14ac:dyDescent="0.25">
      <c r="A1357" s="1">
        <v>2685</v>
      </c>
      <c r="B1357" s="2" t="str">
        <f>HYPERLINK("https://leetcode.com/problems/count-the-number-of-complete-components/", "Count the Number of Complete Components")</f>
        <v>Count the Number of Complete Components</v>
      </c>
      <c r="C1357" s="1">
        <v>1255</v>
      </c>
      <c r="D1357" s="1">
        <v>32</v>
      </c>
      <c r="E1357" s="3">
        <f t="shared" si="10"/>
        <v>0.97513597513597516</v>
      </c>
      <c r="F1357" s="1" t="s">
        <v>122</v>
      </c>
      <c r="G1357" s="1" t="s">
        <v>24</v>
      </c>
      <c r="H1357" s="1">
        <v>154069</v>
      </c>
      <c r="I1357" s="1">
        <v>198256</v>
      </c>
      <c r="J1357" s="7">
        <v>0.77700000000000002</v>
      </c>
      <c r="K1357" s="1" t="s">
        <v>21</v>
      </c>
      <c r="L1357" s="1" t="s">
        <v>21</v>
      </c>
      <c r="M1357" s="1" t="s">
        <v>29</v>
      </c>
      <c r="N1357" s="1" t="s">
        <v>22</v>
      </c>
      <c r="O1357" s="1" t="str">
        <f t="shared" ca="1" si="11"/>
        <v>Please solve the LeetCode problem '2685. Count the Number of Complete Components'.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58" spans="1:15" x14ac:dyDescent="0.25">
      <c r="A1358" s="1">
        <v>1428</v>
      </c>
      <c r="B1358" s="2" t="str">
        <f>HYPERLINK("https://leetcode.com/problems/leftmost-column-with-at-least-a-one/", "Leftmost Column with at Least a One")</f>
        <v>Leftmost Column with at Least a One</v>
      </c>
      <c r="C1358" s="1">
        <v>1253</v>
      </c>
      <c r="D1358" s="1">
        <v>152</v>
      </c>
      <c r="E1358" s="3">
        <f t="shared" si="10"/>
        <v>0.89181494661921712</v>
      </c>
      <c r="F1358" s="1" t="s">
        <v>647</v>
      </c>
      <c r="G1358" s="1" t="s">
        <v>24</v>
      </c>
      <c r="H1358" s="1">
        <v>195208</v>
      </c>
      <c r="I1358" s="1">
        <v>355011</v>
      </c>
      <c r="J1358" s="7">
        <v>0.55000000000000004</v>
      </c>
      <c r="K1358" s="1" t="s">
        <v>29</v>
      </c>
      <c r="L1358" s="1" t="s">
        <v>21</v>
      </c>
      <c r="M1358" s="1" t="s">
        <v>29</v>
      </c>
      <c r="N1358" s="1" t="s">
        <v>22</v>
      </c>
      <c r="O1358" s="1" t="str">
        <f t="shared" ca="1" si="11"/>
        <v>Please solve the LeetCode problem '1428. Leftmost Column with at Least a One'.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59" spans="1:15" x14ac:dyDescent="0.25">
      <c r="A1359" s="1">
        <v>1541</v>
      </c>
      <c r="B1359" s="2" t="str">
        <f>HYPERLINK("https://leetcode.com/problems/minimum-insertions-to-balance-a-parentheses-string/", "Minimum Insertions to Balance a Parentheses String")</f>
        <v>Minimum Insertions to Balance a Parentheses String</v>
      </c>
      <c r="C1359" s="1">
        <v>1246</v>
      </c>
      <c r="D1359" s="1">
        <v>293</v>
      </c>
      <c r="E1359" s="3">
        <f t="shared" si="10"/>
        <v>0.80961663417803764</v>
      </c>
      <c r="F1359" s="1" t="s">
        <v>263</v>
      </c>
      <c r="G1359" s="1" t="s">
        <v>24</v>
      </c>
      <c r="H1359" s="1">
        <v>80999</v>
      </c>
      <c r="I1359" s="1">
        <v>151497</v>
      </c>
      <c r="J1359" s="7">
        <v>0.53500000000000003</v>
      </c>
      <c r="K1359" s="1" t="s">
        <v>21</v>
      </c>
      <c r="L1359" s="1" t="s">
        <v>29</v>
      </c>
      <c r="M1359" s="1" t="s">
        <v>29</v>
      </c>
      <c r="N1359" s="1" t="s">
        <v>22</v>
      </c>
      <c r="O1359" s="1" t="str">
        <f t="shared" ca="1" si="11"/>
        <v>Please solve the LeetCode problem '1541. Minimum Insertions to Balance a Parentheses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60" spans="1:15" x14ac:dyDescent="0.25">
      <c r="A1360" s="1">
        <v>250</v>
      </c>
      <c r="B1360" s="2" t="str">
        <f>HYPERLINK("https://leetcode.com/problems/count-univalue-subtrees/", "Count Univalue Subtrees")</f>
        <v>Count Univalue Subtrees</v>
      </c>
      <c r="C1360" s="1">
        <v>1244</v>
      </c>
      <c r="D1360" s="1">
        <v>454</v>
      </c>
      <c r="E1360" s="3">
        <f t="shared" si="10"/>
        <v>0.73262661955241459</v>
      </c>
      <c r="F1360" s="1" t="s">
        <v>67</v>
      </c>
      <c r="G1360" s="1" t="s">
        <v>24</v>
      </c>
      <c r="H1360" s="1">
        <v>169025</v>
      </c>
      <c r="I1360" s="1">
        <v>294400</v>
      </c>
      <c r="J1360" s="7">
        <v>0.57399999999999995</v>
      </c>
      <c r="K1360" s="1" t="s">
        <v>29</v>
      </c>
      <c r="L1360" s="1" t="s">
        <v>21</v>
      </c>
      <c r="M1360" s="1" t="s">
        <v>29</v>
      </c>
      <c r="N1360" s="1" t="s">
        <v>22</v>
      </c>
      <c r="O1360" s="1" t="str">
        <f t="shared" ca="1" si="11"/>
        <v>Please solve the LeetCode problem '250. Count Univalue Subtrees'.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61" spans="1:15" x14ac:dyDescent="0.25">
      <c r="A1361" s="1">
        <v>280</v>
      </c>
      <c r="B1361" s="2" t="str">
        <f>HYPERLINK("https://leetcode.com/problems/wiggle-sort/", "Wiggle Sort")</f>
        <v>Wiggle Sort</v>
      </c>
      <c r="C1361" s="1">
        <v>1244</v>
      </c>
      <c r="D1361" s="1">
        <v>103</v>
      </c>
      <c r="E1361" s="3">
        <f t="shared" si="10"/>
        <v>0.92353377876763176</v>
      </c>
      <c r="F1361" s="1" t="s">
        <v>169</v>
      </c>
      <c r="G1361" s="1" t="s">
        <v>24</v>
      </c>
      <c r="H1361" s="1">
        <v>156989</v>
      </c>
      <c r="I1361" s="1">
        <v>229580</v>
      </c>
      <c r="J1361" s="7">
        <v>0.68400000000000005</v>
      </c>
      <c r="K1361" s="1" t="s">
        <v>29</v>
      </c>
      <c r="L1361" s="1" t="s">
        <v>21</v>
      </c>
      <c r="M1361" s="1" t="s">
        <v>21</v>
      </c>
      <c r="N1361" s="1" t="s">
        <v>22</v>
      </c>
      <c r="O1361" s="1" t="str">
        <f t="shared" ca="1" si="11"/>
        <v>Please solve the LeetCode problem '280. Wiggle Sort'.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62" spans="1:15" x14ac:dyDescent="0.25">
      <c r="A1362" s="1">
        <v>717</v>
      </c>
      <c r="B1362" s="2" t="str">
        <f>HYPERLINK("https://leetcode.com/problems/1-bit-and-2-bit-characters/", "1-bit and 2-bit Characters")</f>
        <v>1-bit and 2-bit Characters</v>
      </c>
      <c r="C1362" s="1">
        <v>1241</v>
      </c>
      <c r="D1362" s="1">
        <v>2361</v>
      </c>
      <c r="E1362" s="3">
        <f t="shared" si="10"/>
        <v>0.34453081621321491</v>
      </c>
      <c r="F1362" s="1" t="s">
        <v>113</v>
      </c>
      <c r="G1362" s="1" t="s">
        <v>20</v>
      </c>
      <c r="H1362" s="1">
        <v>263895</v>
      </c>
      <c r="I1362" s="1">
        <v>532862</v>
      </c>
      <c r="J1362" s="7">
        <v>0.495</v>
      </c>
      <c r="K1362" s="1" t="s">
        <v>21</v>
      </c>
      <c r="L1362" s="1" t="s">
        <v>21</v>
      </c>
      <c r="M1362" s="1" t="s">
        <v>29</v>
      </c>
      <c r="N1362" s="1" t="s">
        <v>22</v>
      </c>
      <c r="O1362" s="1" t="str">
        <f t="shared" ca="1" si="11"/>
        <v>Please solve the LeetCode problem '717. 1-bit and 2-bit Characters'.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63" spans="1:15" x14ac:dyDescent="0.25">
      <c r="A1363" s="1">
        <v>2471</v>
      </c>
      <c r="B1363" s="2" t="str">
        <f>HYPERLINK("https://leetcode.com/problems/minimum-number-of-operations-to-sort-a-binary-tree-by-level/", "Minimum Number of Operations to Sort a Binary Tree by Level")</f>
        <v>Minimum Number of Operations to Sort a Binary Tree by Level</v>
      </c>
      <c r="C1363" s="1">
        <v>1238</v>
      </c>
      <c r="D1363" s="1">
        <v>44</v>
      </c>
      <c r="E1363" s="3">
        <f t="shared" si="10"/>
        <v>0.96567862714508579</v>
      </c>
      <c r="F1363" s="1" t="s">
        <v>79</v>
      </c>
      <c r="G1363" s="1" t="s">
        <v>24</v>
      </c>
      <c r="H1363" s="1">
        <v>112722</v>
      </c>
      <c r="I1363" s="1">
        <v>151838</v>
      </c>
      <c r="J1363" s="7">
        <v>0.74199999999999999</v>
      </c>
      <c r="K1363" s="1" t="s">
        <v>21</v>
      </c>
      <c r="L1363" s="1" t="s">
        <v>21</v>
      </c>
      <c r="M1363" s="1" t="s">
        <v>29</v>
      </c>
      <c r="N1363" s="1" t="s">
        <v>22</v>
      </c>
      <c r="O1363" s="1" t="str">
        <f t="shared" ca="1" si="11"/>
        <v>Please solve the LeetCode problem '2471. Minimum Number of Operations to Sort a Binary Tree by Level'.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64" spans="1:15" x14ac:dyDescent="0.25">
      <c r="A1364" s="1">
        <v>833</v>
      </c>
      <c r="B1364" s="2" t="str">
        <f>HYPERLINK("https://leetcode.com/problems/find-and-replace-in-string/", "Find And Replace in String")</f>
        <v>Find And Replace in String</v>
      </c>
      <c r="C1364" s="1">
        <v>1237</v>
      </c>
      <c r="D1364" s="1">
        <v>1046</v>
      </c>
      <c r="E1364" s="3">
        <f t="shared" si="10"/>
        <v>0.54183092422251422</v>
      </c>
      <c r="F1364" s="1" t="s">
        <v>49</v>
      </c>
      <c r="G1364" s="1" t="s">
        <v>24</v>
      </c>
      <c r="H1364" s="1">
        <v>166500</v>
      </c>
      <c r="I1364" s="1">
        <v>326654</v>
      </c>
      <c r="J1364" s="7">
        <v>0.51</v>
      </c>
      <c r="K1364" s="1" t="s">
        <v>21</v>
      </c>
      <c r="L1364" s="1" t="s">
        <v>29</v>
      </c>
      <c r="M1364" s="1" t="s">
        <v>29</v>
      </c>
      <c r="N1364" s="1" t="s">
        <v>22</v>
      </c>
      <c r="O1364" s="1" t="str">
        <f t="shared" ca="1" si="11"/>
        <v>Please solve the LeetCode problem '833. Find And Replace in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65" spans="1:15" x14ac:dyDescent="0.25">
      <c r="A1365" s="1">
        <v>2482</v>
      </c>
      <c r="B1365" s="2" t="str">
        <f>HYPERLINK("https://leetcode.com/problems/difference-between-ones-and-zeros-in-row-and-column/", "Difference Between Ones and Zeros in Row and Column")</f>
        <v>Difference Between Ones and Zeros in Row and Column</v>
      </c>
      <c r="C1365" s="1">
        <v>1236</v>
      </c>
      <c r="D1365" s="1">
        <v>86</v>
      </c>
      <c r="E1365" s="3">
        <f t="shared" si="10"/>
        <v>0.93494704992435707</v>
      </c>
      <c r="F1365" s="1" t="s">
        <v>77</v>
      </c>
      <c r="G1365" s="1" t="s">
        <v>24</v>
      </c>
      <c r="H1365" s="1">
        <v>141536</v>
      </c>
      <c r="I1365" s="1">
        <v>167697</v>
      </c>
      <c r="J1365" s="7">
        <v>0.84399999999999997</v>
      </c>
      <c r="K1365" s="1" t="s">
        <v>21</v>
      </c>
      <c r="L1365" s="1" t="s">
        <v>21</v>
      </c>
      <c r="M1365" s="1" t="s">
        <v>29</v>
      </c>
      <c r="N1365" s="1" t="s">
        <v>22</v>
      </c>
      <c r="O1365" s="1" t="str">
        <f t="shared" ca="1" si="11"/>
        <v>Please solve the LeetCode problem '2482. Difference Between Ones and Zeros in Row and Column'.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66" spans="1:15" x14ac:dyDescent="0.25">
      <c r="A1366" s="1">
        <v>661</v>
      </c>
      <c r="B1366" s="2" t="str">
        <f>HYPERLINK("https://leetcode.com/problems/image-smoother/", "Image Smoother")</f>
        <v>Image Smoother</v>
      </c>
      <c r="C1366" s="1">
        <v>1232</v>
      </c>
      <c r="D1366" s="1">
        <v>2992</v>
      </c>
      <c r="E1366" s="3">
        <f t="shared" si="10"/>
        <v>0.29166666666666669</v>
      </c>
      <c r="F1366" s="1" t="s">
        <v>266</v>
      </c>
      <c r="G1366" s="1" t="s">
        <v>20</v>
      </c>
      <c r="H1366" s="1">
        <v>196331</v>
      </c>
      <c r="I1366" s="1">
        <v>284649</v>
      </c>
      <c r="J1366" s="7">
        <v>0.69</v>
      </c>
      <c r="K1366" s="1" t="s">
        <v>21</v>
      </c>
      <c r="L1366" s="1" t="s">
        <v>21</v>
      </c>
      <c r="M1366" s="1" t="s">
        <v>29</v>
      </c>
      <c r="N1366" s="1" t="s">
        <v>22</v>
      </c>
      <c r="O1366" s="1" t="str">
        <f t="shared" ca="1" si="11"/>
        <v>Please solve the LeetCode problem '661. Image Smoother'.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67" spans="1:15" x14ac:dyDescent="0.25">
      <c r="A1367" s="1">
        <v>2540</v>
      </c>
      <c r="B1367" s="2" t="str">
        <f>HYPERLINK("https://leetcode.com/problems/minimum-common-value/", "Minimum Common Value")</f>
        <v>Minimum Common Value</v>
      </c>
      <c r="C1367" s="1">
        <v>1231</v>
      </c>
      <c r="D1367" s="1">
        <v>42</v>
      </c>
      <c r="E1367" s="3">
        <f t="shared" si="10"/>
        <v>0.96700706991358998</v>
      </c>
      <c r="F1367" s="1" t="s">
        <v>648</v>
      </c>
      <c r="G1367" s="1" t="s">
        <v>20</v>
      </c>
      <c r="H1367" s="1">
        <v>302758</v>
      </c>
      <c r="I1367" s="1">
        <v>521856</v>
      </c>
      <c r="J1367" s="7">
        <v>0.57999999999999996</v>
      </c>
      <c r="K1367" s="1" t="s">
        <v>21</v>
      </c>
      <c r="L1367" s="1" t="s">
        <v>21</v>
      </c>
      <c r="M1367" s="1" t="s">
        <v>29</v>
      </c>
      <c r="N1367" s="1" t="s">
        <v>22</v>
      </c>
      <c r="O1367" s="1" t="str">
        <f t="shared" ca="1" si="11"/>
        <v>Please solve the LeetCode problem '2540. Minimum Common Value'.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68" spans="1:15" x14ac:dyDescent="0.25">
      <c r="A1368" s="1">
        <v>1297</v>
      </c>
      <c r="B1368" s="2" t="str">
        <f>HYPERLINK("https://leetcode.com/problems/maximum-number-of-occurrences-of-a-substring/", "Maximum Number of Occurrences of a Substring")</f>
        <v>Maximum Number of Occurrences of a Substring</v>
      </c>
      <c r="C1368" s="1">
        <v>1225</v>
      </c>
      <c r="D1368" s="1">
        <v>424</v>
      </c>
      <c r="E1368" s="3">
        <f t="shared" si="10"/>
        <v>0.74287446937537904</v>
      </c>
      <c r="F1368" s="1" t="s">
        <v>23</v>
      </c>
      <c r="G1368" s="1" t="s">
        <v>24</v>
      </c>
      <c r="H1368" s="1">
        <v>80769</v>
      </c>
      <c r="I1368" s="1">
        <v>149065</v>
      </c>
      <c r="J1368" s="7">
        <v>0.54200000000000004</v>
      </c>
      <c r="K1368" s="1" t="s">
        <v>21</v>
      </c>
      <c r="L1368" s="1" t="s">
        <v>29</v>
      </c>
      <c r="M1368" s="1" t="s">
        <v>29</v>
      </c>
      <c r="N1368" s="1" t="s">
        <v>22</v>
      </c>
      <c r="O1368" s="1" t="str">
        <f t="shared" ca="1" si="11"/>
        <v>Please solve the LeetCode problem '1297. Maximum Number of Occurrences of a Substring'.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69" spans="1:15" x14ac:dyDescent="0.25">
      <c r="A1369" s="1">
        <v>2574</v>
      </c>
      <c r="B1369" s="2" t="str">
        <f>HYPERLINK("https://leetcode.com/problems/left-and-right-sum-differences/", "Left and Right Sum Differences")</f>
        <v>Left and Right Sum Differences</v>
      </c>
      <c r="C1369" s="1">
        <v>1224</v>
      </c>
      <c r="D1369" s="1">
        <v>112</v>
      </c>
      <c r="E1369" s="3">
        <f t="shared" si="10"/>
        <v>0.91616766467065869</v>
      </c>
      <c r="F1369" s="1" t="s">
        <v>37</v>
      </c>
      <c r="G1369" s="1" t="s">
        <v>20</v>
      </c>
      <c r="H1369" s="1">
        <v>208581</v>
      </c>
      <c r="I1369" s="1">
        <v>237530</v>
      </c>
      <c r="J1369" s="7">
        <v>0.878</v>
      </c>
      <c r="K1369" s="1" t="s">
        <v>21</v>
      </c>
      <c r="L1369" s="1" t="s">
        <v>29</v>
      </c>
      <c r="M1369" s="1" t="s">
        <v>29</v>
      </c>
      <c r="N1369" s="1" t="s">
        <v>22</v>
      </c>
      <c r="O1369" s="1" t="str">
        <f t="shared" ca="1" si="11"/>
        <v>Please solve the LeetCode problem '2574. Left and Right Sum Differences'.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70" spans="1:15" x14ac:dyDescent="0.25">
      <c r="A1370" s="1">
        <v>1513</v>
      </c>
      <c r="B1370" s="2" t="str">
        <f>HYPERLINK("https://leetcode.com/problems/number-of-substrings-with-only-1s/", "Number of Substrings With Only 1s")</f>
        <v>Number of Substrings With Only 1s</v>
      </c>
      <c r="C1370" s="1">
        <v>1221</v>
      </c>
      <c r="D1370" s="1">
        <v>42</v>
      </c>
      <c r="E1370" s="3">
        <f t="shared" si="10"/>
        <v>0.9667458432304038</v>
      </c>
      <c r="F1370" s="1" t="s">
        <v>228</v>
      </c>
      <c r="G1370" s="1" t="s">
        <v>24</v>
      </c>
      <c r="H1370" s="1">
        <v>156065</v>
      </c>
      <c r="I1370" s="1">
        <v>271710</v>
      </c>
      <c r="J1370" s="7">
        <v>0.57399999999999995</v>
      </c>
      <c r="K1370" s="1" t="s">
        <v>21</v>
      </c>
      <c r="L1370" s="1" t="s">
        <v>21</v>
      </c>
      <c r="M1370" s="1" t="s">
        <v>29</v>
      </c>
      <c r="N1370" s="1" t="s">
        <v>22</v>
      </c>
      <c r="O1370" s="1" t="str">
        <f t="shared" ca="1" si="11"/>
        <v>Please solve the LeetCode problem '1513. Number of Substrings With Only 1s'.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71" spans="1:15" x14ac:dyDescent="0.25">
      <c r="A1371" s="1">
        <v>400</v>
      </c>
      <c r="B1371" s="2" t="str">
        <f>HYPERLINK("https://leetcode.com/problems/nth-digit/", "Nth Digit")</f>
        <v>Nth Digit</v>
      </c>
      <c r="C1371" s="1">
        <v>1218</v>
      </c>
      <c r="D1371" s="1">
        <v>2125</v>
      </c>
      <c r="E1371" s="3">
        <f t="shared" si="10"/>
        <v>0.36434340412802874</v>
      </c>
      <c r="F1371" s="1" t="s">
        <v>139</v>
      </c>
      <c r="G1371" s="1" t="s">
        <v>24</v>
      </c>
      <c r="H1371" s="1">
        <v>123828</v>
      </c>
      <c r="I1371" s="1">
        <v>336809</v>
      </c>
      <c r="J1371" s="7">
        <v>0.36799999999999999</v>
      </c>
      <c r="K1371" s="1" t="s">
        <v>21</v>
      </c>
      <c r="L1371" s="1" t="s">
        <v>29</v>
      </c>
      <c r="M1371" s="1" t="s">
        <v>29</v>
      </c>
      <c r="N1371" s="1" t="s">
        <v>22</v>
      </c>
      <c r="O1371" s="1" t="str">
        <f t="shared" ca="1" si="11"/>
        <v>Please solve the LeetCode problem '400. Nth Digit'.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72" spans="1:15" x14ac:dyDescent="0.25">
      <c r="A1372" s="1">
        <v>1816</v>
      </c>
      <c r="B1372" s="2" t="str">
        <f>HYPERLINK("https://leetcode.com/problems/truncate-sentence/", "Truncate Sentence")</f>
        <v>Truncate Sentence</v>
      </c>
      <c r="C1372" s="1">
        <v>1216</v>
      </c>
      <c r="D1372" s="1">
        <v>34</v>
      </c>
      <c r="E1372" s="3">
        <f t="shared" si="10"/>
        <v>0.9728</v>
      </c>
      <c r="F1372" s="1" t="s">
        <v>369</v>
      </c>
      <c r="G1372" s="1" t="s">
        <v>20</v>
      </c>
      <c r="H1372" s="1">
        <v>223720</v>
      </c>
      <c r="I1372" s="1">
        <v>258675</v>
      </c>
      <c r="J1372" s="7">
        <v>0.86499999999999999</v>
      </c>
      <c r="K1372" s="1" t="s">
        <v>21</v>
      </c>
      <c r="L1372" s="1" t="s">
        <v>29</v>
      </c>
      <c r="M1372" s="1" t="s">
        <v>29</v>
      </c>
      <c r="N1372" s="1" t="s">
        <v>22</v>
      </c>
      <c r="O1372" s="1" t="str">
        <f t="shared" ca="1" si="11"/>
        <v>Please solve the LeetCode problem '1816. Truncate Sentence'.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73" spans="1:15" x14ac:dyDescent="0.25">
      <c r="A1373" s="1">
        <v>2641</v>
      </c>
      <c r="B1373" s="2" t="str">
        <f>HYPERLINK("https://leetcode.com/problems/cousins-in-binary-tree-ii/", "Cousins in Binary Tree II")</f>
        <v>Cousins in Binary Tree II</v>
      </c>
      <c r="C1373" s="1">
        <v>1214</v>
      </c>
      <c r="D1373" s="1">
        <v>54</v>
      </c>
      <c r="E1373" s="3">
        <f t="shared" si="10"/>
        <v>0.95741324921135651</v>
      </c>
      <c r="F1373" s="1" t="s">
        <v>107</v>
      </c>
      <c r="G1373" s="1" t="s">
        <v>24</v>
      </c>
      <c r="H1373" s="1">
        <v>126878</v>
      </c>
      <c r="I1373" s="1">
        <v>167537</v>
      </c>
      <c r="J1373" s="7">
        <v>0.75700000000000001</v>
      </c>
      <c r="K1373" s="1" t="s">
        <v>21</v>
      </c>
      <c r="L1373" s="1" t="s">
        <v>21</v>
      </c>
      <c r="M1373" s="1" t="s">
        <v>29</v>
      </c>
      <c r="N1373" s="1" t="s">
        <v>22</v>
      </c>
      <c r="O1373" s="1" t="str">
        <f t="shared" ca="1" si="11"/>
        <v>Please solve the LeetCode problem '2641. Cousins in Binary Tree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74" spans="1:15" x14ac:dyDescent="0.25">
      <c r="A1374" s="1">
        <v>1136</v>
      </c>
      <c r="B1374" s="2" t="str">
        <f>HYPERLINK("https://leetcode.com/problems/parallel-courses/", "Parallel Courses")</f>
        <v>Parallel Courses</v>
      </c>
      <c r="C1374" s="1">
        <v>1213</v>
      </c>
      <c r="D1374" s="1">
        <v>27</v>
      </c>
      <c r="E1374" s="3">
        <f t="shared" si="10"/>
        <v>0.97822580645161294</v>
      </c>
      <c r="F1374" s="1" t="s">
        <v>649</v>
      </c>
      <c r="G1374" s="1" t="s">
        <v>24</v>
      </c>
      <c r="H1374" s="1">
        <v>105671</v>
      </c>
      <c r="I1374" s="1">
        <v>170476</v>
      </c>
      <c r="J1374" s="7">
        <v>0.62</v>
      </c>
      <c r="K1374" s="1" t="s">
        <v>29</v>
      </c>
      <c r="L1374" s="1" t="s">
        <v>21</v>
      </c>
      <c r="M1374" s="1" t="s">
        <v>29</v>
      </c>
      <c r="N1374" s="1" t="s">
        <v>22</v>
      </c>
      <c r="O1374" s="1" t="str">
        <f t="shared" ca="1" si="11"/>
        <v>Please solve the LeetCode problem '1136. Parallel Courses'.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75" spans="1:15" x14ac:dyDescent="0.25">
      <c r="A1375" s="1">
        <v>296</v>
      </c>
      <c r="B1375" s="2" t="str">
        <f>HYPERLINK("https://leetcode.com/problems/best-meeting-point/", "Best Meeting Point")</f>
        <v>Best Meeting Point</v>
      </c>
      <c r="C1375" s="1">
        <v>1212</v>
      </c>
      <c r="D1375" s="1">
        <v>108</v>
      </c>
      <c r="E1375" s="3">
        <f t="shared" si="10"/>
        <v>0.91818181818181821</v>
      </c>
      <c r="F1375" s="1" t="s">
        <v>650</v>
      </c>
      <c r="G1375" s="1" t="s">
        <v>28</v>
      </c>
      <c r="H1375" s="1">
        <v>95938</v>
      </c>
      <c r="I1375" s="1">
        <v>156423</v>
      </c>
      <c r="J1375" s="7">
        <v>0.61299999999999999</v>
      </c>
      <c r="K1375" s="1" t="s">
        <v>29</v>
      </c>
      <c r="L1375" s="1" t="s">
        <v>21</v>
      </c>
      <c r="M1375" s="1" t="s">
        <v>29</v>
      </c>
      <c r="N1375" s="1" t="s">
        <v>22</v>
      </c>
      <c r="O1375" s="1" t="str">
        <f t="shared" ca="1" si="11"/>
        <v>Please solve the LeetCode problem '296. Best Meeting Point'.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76" spans="1:15" x14ac:dyDescent="0.25">
      <c r="A1376" s="1">
        <v>2262</v>
      </c>
      <c r="B1376" s="2" t="str">
        <f>HYPERLINK("https://leetcode.com/problems/total-appeal-of-a-string/", "Total Appeal of A String")</f>
        <v>Total Appeal of A String</v>
      </c>
      <c r="C1376" s="1">
        <v>1211</v>
      </c>
      <c r="D1376" s="1">
        <v>35</v>
      </c>
      <c r="E1376" s="3">
        <f t="shared" si="10"/>
        <v>0.9719101123595506</v>
      </c>
      <c r="F1376" s="1" t="s">
        <v>466</v>
      </c>
      <c r="G1376" s="1" t="s">
        <v>28</v>
      </c>
      <c r="H1376" s="1">
        <v>45659</v>
      </c>
      <c r="I1376" s="1">
        <v>81232</v>
      </c>
      <c r="J1376" s="7">
        <v>0.56200000000000006</v>
      </c>
      <c r="K1376" s="1" t="s">
        <v>21</v>
      </c>
      <c r="L1376" s="1" t="s">
        <v>29</v>
      </c>
      <c r="M1376" s="1" t="s">
        <v>29</v>
      </c>
      <c r="N1376" s="1" t="s">
        <v>22</v>
      </c>
      <c r="O1376" s="1" t="str">
        <f t="shared" ca="1" si="11"/>
        <v>Please solve the LeetCode problem '2262. Total Appeal of A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77" spans="1:15" x14ac:dyDescent="0.25">
      <c r="A1377" s="1">
        <v>1894</v>
      </c>
      <c r="B1377" s="2" t="str">
        <f>HYPERLINK("https://leetcode.com/problems/find-the-student-that-will-replace-the-chalk/", "Find the Student that Will Replace the Chalk")</f>
        <v>Find the Student that Will Replace the Chalk</v>
      </c>
      <c r="C1377" s="1">
        <v>1209</v>
      </c>
      <c r="D1377" s="1">
        <v>134</v>
      </c>
      <c r="E1377" s="3">
        <f t="shared" si="10"/>
        <v>0.90022338049143713</v>
      </c>
      <c r="F1377" s="1" t="s">
        <v>651</v>
      </c>
      <c r="G1377" s="1" t="s">
        <v>24</v>
      </c>
      <c r="H1377" s="1">
        <v>201940</v>
      </c>
      <c r="I1377" s="1">
        <v>379806</v>
      </c>
      <c r="J1377" s="7">
        <v>0.53200000000000003</v>
      </c>
      <c r="K1377" s="1" t="s">
        <v>21</v>
      </c>
      <c r="L1377" s="1" t="s">
        <v>21</v>
      </c>
      <c r="M1377" s="1" t="s">
        <v>29</v>
      </c>
      <c r="N1377" s="1" t="s">
        <v>22</v>
      </c>
      <c r="O1377" s="1" t="str">
        <f t="shared" ca="1" si="11"/>
        <v>Please solve the LeetCode problem '1894. Find the Student that Will Replace the Chalk'.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78" spans="1:15" x14ac:dyDescent="0.25">
      <c r="A1378" s="1">
        <v>1168</v>
      </c>
      <c r="B1378" s="2" t="str">
        <f>HYPERLINK("https://leetcode.com/problems/optimize-water-distribution-in-a-village/", "Optimize Water Distribution in a Village")</f>
        <v>Optimize Water Distribution in a Village</v>
      </c>
      <c r="C1378" s="1">
        <v>1204</v>
      </c>
      <c r="D1378" s="1">
        <v>40</v>
      </c>
      <c r="E1378" s="3">
        <f t="shared" si="10"/>
        <v>0.96784565916398713</v>
      </c>
      <c r="F1378" s="1" t="s">
        <v>652</v>
      </c>
      <c r="G1378" s="1" t="s">
        <v>28</v>
      </c>
      <c r="H1378" s="1">
        <v>58387</v>
      </c>
      <c r="I1378" s="1">
        <v>89278</v>
      </c>
      <c r="J1378" s="7">
        <v>0.65400000000000003</v>
      </c>
      <c r="K1378" s="1" t="s">
        <v>29</v>
      </c>
      <c r="L1378" s="1" t="s">
        <v>21</v>
      </c>
      <c r="M1378" s="1" t="s">
        <v>29</v>
      </c>
      <c r="N1378" s="1" t="s">
        <v>22</v>
      </c>
      <c r="O1378" s="1" t="str">
        <f t="shared" ca="1" si="11"/>
        <v>Please solve the LeetCode problem '1168. Optimize Water Distribution in a Village'.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79" spans="1:15" x14ac:dyDescent="0.25">
      <c r="A1379" s="1">
        <v>1174</v>
      </c>
      <c r="B1379" s="2" t="str">
        <f>HYPERLINK("https://leetcode.com/problems/immediate-food-delivery-ii/", "Immediate Food Delivery II")</f>
        <v>Immediate Food Delivery II</v>
      </c>
      <c r="C1379" s="1">
        <v>1202</v>
      </c>
      <c r="D1379" s="1">
        <v>168</v>
      </c>
      <c r="E1379" s="3">
        <f t="shared" si="10"/>
        <v>0.8773722627737226</v>
      </c>
      <c r="F1379" s="1" t="s">
        <v>297</v>
      </c>
      <c r="G1379" s="1" t="s">
        <v>24</v>
      </c>
      <c r="H1379" s="1">
        <v>416397</v>
      </c>
      <c r="I1379" s="1">
        <v>750045</v>
      </c>
      <c r="J1379" s="7">
        <v>0.55500000000000005</v>
      </c>
      <c r="K1379" s="1" t="s">
        <v>21</v>
      </c>
      <c r="L1379" s="1" t="s">
        <v>29</v>
      </c>
      <c r="M1379" s="1" t="s">
        <v>29</v>
      </c>
      <c r="N1379" s="1" t="s">
        <v>297</v>
      </c>
      <c r="O1379" s="1" t="str">
        <f t="shared" ca="1" si="11"/>
        <v>Please solve the LeetCode problem '1174. Immediate Food Delivery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80" spans="1:15" x14ac:dyDescent="0.25">
      <c r="A1380" s="1">
        <v>1278</v>
      </c>
      <c r="B1380" s="2" t="str">
        <f>HYPERLINK("https://leetcode.com/problems/palindrome-partitioning-iii/", "Palindrome Partitioning III")</f>
        <v>Palindrome Partitioning III</v>
      </c>
      <c r="C1380" s="1">
        <v>1202</v>
      </c>
      <c r="D1380" s="1">
        <v>19</v>
      </c>
      <c r="E1380" s="3">
        <f t="shared" si="10"/>
        <v>0.98443898443898448</v>
      </c>
      <c r="F1380" s="1" t="s">
        <v>82</v>
      </c>
      <c r="G1380" s="1" t="s">
        <v>28</v>
      </c>
      <c r="H1380" s="1">
        <v>36419</v>
      </c>
      <c r="I1380" s="1">
        <v>58692</v>
      </c>
      <c r="J1380" s="7">
        <v>0.621</v>
      </c>
      <c r="K1380" s="1" t="s">
        <v>21</v>
      </c>
      <c r="L1380" s="1" t="s">
        <v>29</v>
      </c>
      <c r="M1380" s="1" t="s">
        <v>29</v>
      </c>
      <c r="N1380" s="1" t="s">
        <v>22</v>
      </c>
      <c r="O1380" s="1" t="str">
        <f t="shared" ca="1" si="11"/>
        <v>Please solve the LeetCode problem '1278. Palindrome Partitioning III'.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81" spans="1:15" x14ac:dyDescent="0.25">
      <c r="A1381" s="1">
        <v>549</v>
      </c>
      <c r="B1381" s="2" t="str">
        <f>HYPERLINK("https://leetcode.com/problems/binary-tree-longest-consecutive-sequence-ii/", "Binary Tree Longest Consecutive Sequence II")</f>
        <v>Binary Tree Longest Consecutive Sequence II</v>
      </c>
      <c r="C1381" s="1">
        <v>1199</v>
      </c>
      <c r="D1381" s="1">
        <v>103</v>
      </c>
      <c r="E1381" s="3">
        <f t="shared" si="10"/>
        <v>0.92089093701996927</v>
      </c>
      <c r="F1381" s="1" t="s">
        <v>67</v>
      </c>
      <c r="G1381" s="1" t="s">
        <v>24</v>
      </c>
      <c r="H1381" s="1">
        <v>61211</v>
      </c>
      <c r="I1381" s="1">
        <v>122394</v>
      </c>
      <c r="J1381" s="7">
        <v>0.5</v>
      </c>
      <c r="K1381" s="1" t="s">
        <v>29</v>
      </c>
      <c r="L1381" s="1" t="s">
        <v>21</v>
      </c>
      <c r="M1381" s="1" t="s">
        <v>29</v>
      </c>
      <c r="N1381" s="1" t="s">
        <v>22</v>
      </c>
      <c r="O1381" s="1" t="str">
        <f t="shared" ca="1" si="11"/>
        <v>Please solve the LeetCode problem '549. Binary Tree Longest Consecutive Sequence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82" spans="1:15" x14ac:dyDescent="0.25">
      <c r="A1382" s="1">
        <v>803</v>
      </c>
      <c r="B1382" s="2" t="str">
        <f>HYPERLINK("https://leetcode.com/problems/bricks-falling-when-hit/", "Bricks Falling When Hit")</f>
        <v>Bricks Falling When Hit</v>
      </c>
      <c r="C1382" s="1">
        <v>1199</v>
      </c>
      <c r="D1382" s="1">
        <v>191</v>
      </c>
      <c r="E1382" s="3">
        <f t="shared" si="10"/>
        <v>0.86258992805755397</v>
      </c>
      <c r="F1382" s="1" t="s">
        <v>655</v>
      </c>
      <c r="G1382" s="1" t="s">
        <v>28</v>
      </c>
      <c r="H1382" s="1">
        <v>37132</v>
      </c>
      <c r="I1382" s="1">
        <v>100895</v>
      </c>
      <c r="J1382" s="7">
        <v>0.36799999999999999</v>
      </c>
      <c r="K1382" s="1" t="s">
        <v>21</v>
      </c>
      <c r="L1382" s="1" t="s">
        <v>21</v>
      </c>
      <c r="M1382" s="1" t="s">
        <v>29</v>
      </c>
      <c r="N1382" s="1" t="s">
        <v>22</v>
      </c>
      <c r="O1382" s="1" t="str">
        <f t="shared" ca="1" si="11"/>
        <v>Please solve the LeetCode problem '803. Bricks Falling When Hit'.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83" spans="1:15" x14ac:dyDescent="0.25">
      <c r="A1383" s="1">
        <v>1300</v>
      </c>
      <c r="B1383" s="2" t="str">
        <f>HYPERLINK("https://leetcode.com/problems/sum-of-mutated-array-closest-to-target/", "Sum of Mutated Array Closest to Target")</f>
        <v>Sum of Mutated Array Closest to Target</v>
      </c>
      <c r="C1383" s="1">
        <v>1199</v>
      </c>
      <c r="D1383" s="1">
        <v>153</v>
      </c>
      <c r="E1383" s="3">
        <f t="shared" si="10"/>
        <v>0.88683431952662717</v>
      </c>
      <c r="F1383" s="1" t="s">
        <v>367</v>
      </c>
      <c r="G1383" s="1" t="s">
        <v>24</v>
      </c>
      <c r="H1383" s="1">
        <v>48016</v>
      </c>
      <c r="I1383" s="1">
        <v>104344</v>
      </c>
      <c r="J1383" s="7">
        <v>0.46</v>
      </c>
      <c r="K1383" s="1" t="s">
        <v>21</v>
      </c>
      <c r="L1383" s="1" t="s">
        <v>29</v>
      </c>
      <c r="M1383" s="1" t="s">
        <v>29</v>
      </c>
      <c r="N1383" s="1" t="s">
        <v>22</v>
      </c>
      <c r="O1383" s="1" t="str">
        <f t="shared" ca="1" si="11"/>
        <v>Please solve the LeetCode problem '1300. Sum of Mutated Array Closest to Target'.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84" spans="1:15" x14ac:dyDescent="0.25">
      <c r="A1384" s="1">
        <v>1611</v>
      </c>
      <c r="B1384" s="2" t="str">
        <f>HYPERLINK("https://leetcode.com/problems/minimum-one-bit-operations-to-make-integers-zero/", "Minimum One Bit Operations to Make Integers Zero")</f>
        <v>Minimum One Bit Operations to Make Integers Zero</v>
      </c>
      <c r="C1384" s="1">
        <v>1199</v>
      </c>
      <c r="D1384" s="1">
        <v>1193</v>
      </c>
      <c r="E1384" s="3">
        <f t="shared" si="10"/>
        <v>0.50125418060200666</v>
      </c>
      <c r="F1384" s="1" t="s">
        <v>653</v>
      </c>
      <c r="G1384" s="1" t="s">
        <v>28</v>
      </c>
      <c r="H1384" s="1">
        <v>119274</v>
      </c>
      <c r="I1384" s="1">
        <v>152069</v>
      </c>
      <c r="J1384" s="7">
        <v>0.78400000000000003</v>
      </c>
      <c r="K1384" s="1" t="s">
        <v>21</v>
      </c>
      <c r="L1384" s="1" t="s">
        <v>21</v>
      </c>
      <c r="M1384" s="1" t="s">
        <v>29</v>
      </c>
      <c r="N1384" s="1" t="s">
        <v>22</v>
      </c>
      <c r="O1384" s="1" t="str">
        <f t="shared" ca="1" si="11"/>
        <v>Please solve the LeetCode problem '1611. Minimum One Bit Operations to Make Integers Zero'.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85" spans="1:15" x14ac:dyDescent="0.25">
      <c r="A1385" s="1">
        <v>1534</v>
      </c>
      <c r="B1385" s="2" t="str">
        <f>HYPERLINK("https://leetcode.com/problems/count-good-triplets/", "Count Good Triplets")</f>
        <v>Count Good Triplets</v>
      </c>
      <c r="C1385" s="1">
        <v>1198</v>
      </c>
      <c r="D1385" s="1">
        <v>1249</v>
      </c>
      <c r="E1385" s="3">
        <f t="shared" si="10"/>
        <v>0.48957907642010623</v>
      </c>
      <c r="F1385" s="1" t="s">
        <v>654</v>
      </c>
      <c r="G1385" s="1" t="s">
        <v>20</v>
      </c>
      <c r="H1385" s="1">
        <v>281972</v>
      </c>
      <c r="I1385" s="1">
        <v>329748</v>
      </c>
      <c r="J1385" s="7">
        <v>0.85499999999999998</v>
      </c>
      <c r="K1385" s="1" t="s">
        <v>21</v>
      </c>
      <c r="L1385" s="1" t="s">
        <v>21</v>
      </c>
      <c r="M1385" s="1" t="s">
        <v>29</v>
      </c>
      <c r="N1385" s="1" t="s">
        <v>22</v>
      </c>
      <c r="O1385" s="1" t="str">
        <f t="shared" ca="1" si="11"/>
        <v>Please solve the LeetCode problem '1534. Count Good Triplets'.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86" spans="1:15" x14ac:dyDescent="0.25">
      <c r="A1386" s="1">
        <v>1638</v>
      </c>
      <c r="B1386" s="2" t="str">
        <f>HYPERLINK("https://leetcode.com/problems/count-substrings-that-differ-by-one-character/", "Count Substrings That Differ by One Character")</f>
        <v>Count Substrings That Differ by One Character</v>
      </c>
      <c r="C1386" s="1">
        <v>1198</v>
      </c>
      <c r="D1386" s="1">
        <v>357</v>
      </c>
      <c r="E1386" s="3">
        <f t="shared" si="10"/>
        <v>0.77041800643086822</v>
      </c>
      <c r="F1386" s="1" t="s">
        <v>514</v>
      </c>
      <c r="G1386" s="1" t="s">
        <v>24</v>
      </c>
      <c r="H1386" s="1">
        <v>37161</v>
      </c>
      <c r="I1386" s="1">
        <v>51435</v>
      </c>
      <c r="J1386" s="7">
        <v>0.72199999999999998</v>
      </c>
      <c r="K1386" s="1" t="s">
        <v>21</v>
      </c>
      <c r="L1386" s="1" t="s">
        <v>29</v>
      </c>
      <c r="M1386" s="1" t="s">
        <v>29</v>
      </c>
      <c r="N1386" s="1" t="s">
        <v>22</v>
      </c>
      <c r="O1386" s="1" t="str">
        <f t="shared" ca="1" si="11"/>
        <v>Please solve the LeetCode problem '1638. Count Substrings That Differ by One Character'.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87" spans="1:15" x14ac:dyDescent="0.25">
      <c r="A1387" s="1">
        <v>1945</v>
      </c>
      <c r="B1387" s="2" t="str">
        <f>HYPERLINK("https://leetcode.com/problems/sum-of-digits-of-string-after-convert/", "Sum of Digits of String After Convert")</f>
        <v>Sum of Digits of String After Convert</v>
      </c>
      <c r="C1387" s="1">
        <v>1194</v>
      </c>
      <c r="D1387" s="1">
        <v>104</v>
      </c>
      <c r="E1387" s="3">
        <f t="shared" si="10"/>
        <v>0.91987673343605547</v>
      </c>
      <c r="F1387" s="1" t="s">
        <v>414</v>
      </c>
      <c r="G1387" s="1" t="s">
        <v>20</v>
      </c>
      <c r="H1387" s="1">
        <v>234590</v>
      </c>
      <c r="I1387" s="1">
        <v>313652</v>
      </c>
      <c r="J1387" s="7">
        <v>0.748</v>
      </c>
      <c r="K1387" s="1" t="s">
        <v>21</v>
      </c>
      <c r="L1387" s="1" t="s">
        <v>21</v>
      </c>
      <c r="M1387" s="1" t="s">
        <v>29</v>
      </c>
      <c r="N1387" s="1" t="s">
        <v>22</v>
      </c>
      <c r="O1387" s="1" t="str">
        <f t="shared" ca="1" si="11"/>
        <v>Please solve the LeetCode problem '1945. Sum of Digits of String After Convert'.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88" spans="1:15" x14ac:dyDescent="0.25">
      <c r="A1388" s="1">
        <v>817</v>
      </c>
      <c r="B1388" s="2" t="str">
        <f>HYPERLINK("https://leetcode.com/problems/linked-list-components/", "Linked List Components")</f>
        <v>Linked List Components</v>
      </c>
      <c r="C1388" s="1">
        <v>1192</v>
      </c>
      <c r="D1388" s="1">
        <v>2289</v>
      </c>
      <c r="E1388" s="3">
        <f t="shared" si="10"/>
        <v>0.34243033611031315</v>
      </c>
      <c r="F1388" s="1" t="s">
        <v>656</v>
      </c>
      <c r="G1388" s="1" t="s">
        <v>24</v>
      </c>
      <c r="H1388" s="1">
        <v>120607</v>
      </c>
      <c r="I1388" s="1">
        <v>209016</v>
      </c>
      <c r="J1388" s="7">
        <v>0.57699999999999996</v>
      </c>
      <c r="K1388" s="1" t="s">
        <v>21</v>
      </c>
      <c r="L1388" s="1" t="s">
        <v>21</v>
      </c>
      <c r="M1388" s="1" t="s">
        <v>29</v>
      </c>
      <c r="N1388" s="1" t="s">
        <v>22</v>
      </c>
      <c r="O1388" s="1" t="str">
        <f t="shared" ca="1" si="11"/>
        <v>Please solve the LeetCode problem '817. Linked List Components'.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89" spans="1:15" x14ac:dyDescent="0.25">
      <c r="A1389" s="1">
        <v>1828</v>
      </c>
      <c r="B1389" s="2" t="str">
        <f>HYPERLINK("https://leetcode.com/problems/queries-on-number-of-points-inside-a-circle/", "Queries on Number of Points Inside a Circle")</f>
        <v>Queries on Number of Points Inside a Circle</v>
      </c>
      <c r="C1389" s="1">
        <v>1190</v>
      </c>
      <c r="D1389" s="1">
        <v>90</v>
      </c>
      <c r="E1389" s="3">
        <f t="shared" si="10"/>
        <v>0.9296875</v>
      </c>
      <c r="F1389" s="1" t="s">
        <v>397</v>
      </c>
      <c r="G1389" s="1" t="s">
        <v>24</v>
      </c>
      <c r="H1389" s="1">
        <v>93095</v>
      </c>
      <c r="I1389" s="1">
        <v>107360</v>
      </c>
      <c r="J1389" s="7">
        <v>0.86699999999999999</v>
      </c>
      <c r="K1389" s="1" t="s">
        <v>21</v>
      </c>
      <c r="L1389" s="1" t="s">
        <v>29</v>
      </c>
      <c r="M1389" s="1" t="s">
        <v>29</v>
      </c>
      <c r="N1389" s="1" t="s">
        <v>22</v>
      </c>
      <c r="O1389" s="1" t="str">
        <f t="shared" ca="1" si="11"/>
        <v>Please solve the LeetCode problem '1828. Queries on Number of Points Inside a Circle'.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90" spans="1:15" x14ac:dyDescent="0.25">
      <c r="A1390" s="1">
        <v>2206</v>
      </c>
      <c r="B1390" s="2" t="str">
        <f>HYPERLINK("https://leetcode.com/problems/divide-array-into-equal-pairs/", "Divide Array Into Equal Pairs")</f>
        <v>Divide Array Into Equal Pairs</v>
      </c>
      <c r="C1390" s="1">
        <v>1190</v>
      </c>
      <c r="D1390" s="1">
        <v>50</v>
      </c>
      <c r="E1390" s="3">
        <f t="shared" si="10"/>
        <v>0.95967741935483875</v>
      </c>
      <c r="F1390" s="1" t="s">
        <v>657</v>
      </c>
      <c r="G1390" s="1" t="s">
        <v>20</v>
      </c>
      <c r="H1390" s="1">
        <v>296744</v>
      </c>
      <c r="I1390" s="1">
        <v>374499</v>
      </c>
      <c r="J1390" s="7">
        <v>0.79200000000000004</v>
      </c>
      <c r="K1390" s="1" t="s">
        <v>21</v>
      </c>
      <c r="L1390" s="1" t="s">
        <v>21</v>
      </c>
      <c r="M1390" s="1" t="s">
        <v>29</v>
      </c>
      <c r="N1390" s="1" t="s">
        <v>22</v>
      </c>
      <c r="O1390" s="1" t="str">
        <f t="shared" ca="1" si="11"/>
        <v>Please solve the LeetCode problem '2206. Divide Array Into Equal Pairs'.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91" spans="1:15" x14ac:dyDescent="0.25">
      <c r="A1391" s="1">
        <v>2751</v>
      </c>
      <c r="B1391" s="2" t="str">
        <f>HYPERLINK("https://leetcode.com/problems/robot-collisions/", "Robot Collisions")</f>
        <v>Robot Collisions</v>
      </c>
      <c r="C1391" s="1">
        <v>1190</v>
      </c>
      <c r="D1391" s="1">
        <v>99</v>
      </c>
      <c r="E1391" s="3">
        <f t="shared" si="10"/>
        <v>0.92319627618308764</v>
      </c>
      <c r="F1391" s="1" t="s">
        <v>659</v>
      </c>
      <c r="G1391" s="1" t="s">
        <v>28</v>
      </c>
      <c r="H1391" s="1">
        <v>117066</v>
      </c>
      <c r="I1391" s="1">
        <v>208903</v>
      </c>
      <c r="J1391" s="7">
        <v>0.56000000000000005</v>
      </c>
      <c r="K1391" s="1" t="s">
        <v>21</v>
      </c>
      <c r="L1391" s="1" t="s">
        <v>21</v>
      </c>
      <c r="M1391" s="1" t="s">
        <v>29</v>
      </c>
      <c r="N1391" s="1" t="s">
        <v>22</v>
      </c>
      <c r="O1391" s="1" t="str">
        <f t="shared" ca="1" si="11"/>
        <v>Please solve the LeetCode problem '2751. Robot Collisions'.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92" spans="1:15" x14ac:dyDescent="0.25">
      <c r="A1392" s="1">
        <v>482</v>
      </c>
      <c r="B1392" s="2" t="str">
        <f>HYPERLINK("https://leetcode.com/problems/license-key-formatting/", "License Key Formatting")</f>
        <v>License Key Formatting</v>
      </c>
      <c r="C1392" s="1">
        <v>1189</v>
      </c>
      <c r="D1392" s="1">
        <v>1458</v>
      </c>
      <c r="E1392" s="3">
        <f t="shared" si="10"/>
        <v>0.44918775972799396</v>
      </c>
      <c r="F1392" s="1" t="s">
        <v>146</v>
      </c>
      <c r="G1392" s="1" t="s">
        <v>20</v>
      </c>
      <c r="H1392" s="1">
        <v>346087</v>
      </c>
      <c r="I1392" s="1">
        <v>761068</v>
      </c>
      <c r="J1392" s="7">
        <v>0.45500000000000002</v>
      </c>
      <c r="K1392" s="1" t="s">
        <v>21</v>
      </c>
      <c r="L1392" s="1" t="s">
        <v>21</v>
      </c>
      <c r="M1392" s="1" t="s">
        <v>29</v>
      </c>
      <c r="N1392" s="1" t="s">
        <v>22</v>
      </c>
      <c r="O1392" s="1" t="str">
        <f t="shared" ca="1" si="11"/>
        <v>Please solve the LeetCode problem '482. License Key Formatting'.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93" spans="1:15" x14ac:dyDescent="0.25">
      <c r="A1393" s="1">
        <v>2270</v>
      </c>
      <c r="B1393" s="2" t="str">
        <f>HYPERLINK("https://leetcode.com/problems/number-of-ways-to-split-array/", "Number of Ways to Split Array")</f>
        <v>Number of Ways to Split Array</v>
      </c>
      <c r="C1393" s="1">
        <v>1188</v>
      </c>
      <c r="D1393" s="1">
        <v>100</v>
      </c>
      <c r="E1393" s="3">
        <f t="shared" si="10"/>
        <v>0.92236024844720499</v>
      </c>
      <c r="F1393" s="1" t="s">
        <v>37</v>
      </c>
      <c r="G1393" s="1" t="s">
        <v>24</v>
      </c>
      <c r="H1393" s="1">
        <v>231324</v>
      </c>
      <c r="I1393" s="1">
        <v>413429</v>
      </c>
      <c r="J1393" s="7">
        <v>0.56000000000000005</v>
      </c>
      <c r="K1393" s="1" t="s">
        <v>21</v>
      </c>
      <c r="L1393" s="1" t="s">
        <v>21</v>
      </c>
      <c r="M1393" s="1" t="s">
        <v>29</v>
      </c>
      <c r="N1393" s="1" t="s">
        <v>22</v>
      </c>
      <c r="O1393" s="1" t="str">
        <f t="shared" ca="1" si="11"/>
        <v>Please solve the LeetCode problem '2270. Number of Ways to Split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94" spans="1:15" x14ac:dyDescent="0.25">
      <c r="A1394" s="1">
        <v>2416</v>
      </c>
      <c r="B1394" s="2" t="str">
        <f>HYPERLINK("https://leetcode.com/problems/sum-of-prefix-scores-of-strings/", "Sum of Prefix Scores of Strings")</f>
        <v>Sum of Prefix Scores of Strings</v>
      </c>
      <c r="C1394" s="1">
        <v>1188</v>
      </c>
      <c r="D1394" s="1">
        <v>111</v>
      </c>
      <c r="E1394" s="3">
        <f t="shared" si="10"/>
        <v>0.91454965357967666</v>
      </c>
      <c r="F1394" s="1" t="s">
        <v>658</v>
      </c>
      <c r="G1394" s="1" t="s">
        <v>28</v>
      </c>
      <c r="H1394" s="1">
        <v>119914</v>
      </c>
      <c r="I1394" s="1">
        <v>197271</v>
      </c>
      <c r="J1394" s="7">
        <v>0.60799999999999998</v>
      </c>
      <c r="K1394" s="1" t="s">
        <v>21</v>
      </c>
      <c r="L1394" s="1" t="s">
        <v>21</v>
      </c>
      <c r="M1394" s="1" t="s">
        <v>29</v>
      </c>
      <c r="N1394" s="1" t="s">
        <v>22</v>
      </c>
      <c r="O1394" s="1" t="str">
        <f t="shared" ca="1" si="11"/>
        <v>Please solve the LeetCode problem '2416. Sum of Prefix Scores of Strings'.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95" spans="1:15" x14ac:dyDescent="0.25">
      <c r="A1395" s="1">
        <v>1786</v>
      </c>
      <c r="B1395" s="2" t="str">
        <f>HYPERLINK("https://leetcode.com/problems/number-of-restricted-paths-from-first-to-last-node/", "Number of Restricted Paths From First to Last Node")</f>
        <v>Number of Restricted Paths From First to Last Node</v>
      </c>
      <c r="C1395" s="1">
        <v>1186</v>
      </c>
      <c r="D1395" s="1">
        <v>231</v>
      </c>
      <c r="E1395" s="3">
        <f t="shared" si="10"/>
        <v>0.8369795342272407</v>
      </c>
      <c r="F1395" s="1" t="s">
        <v>660</v>
      </c>
      <c r="G1395" s="1" t="s">
        <v>24</v>
      </c>
      <c r="H1395" s="1">
        <v>33223</v>
      </c>
      <c r="I1395" s="1">
        <v>81411</v>
      </c>
      <c r="J1395" s="7">
        <v>0.40799999999999997</v>
      </c>
      <c r="K1395" s="1" t="s">
        <v>21</v>
      </c>
      <c r="L1395" s="1" t="s">
        <v>29</v>
      </c>
      <c r="M1395" s="1" t="s">
        <v>29</v>
      </c>
      <c r="N1395" s="1" t="s">
        <v>22</v>
      </c>
      <c r="O1395" s="1" t="str">
        <f t="shared" ca="1" si="11"/>
        <v>Please solve the LeetCode problem '1786. Number of Restricted Paths From First to Last Node'.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96" spans="1:15" x14ac:dyDescent="0.25">
      <c r="A1396" s="1">
        <v>1340</v>
      </c>
      <c r="B1396" s="2" t="str">
        <f>HYPERLINK("https://leetcode.com/problems/jump-game-v/", "Jump Game V")</f>
        <v>Jump Game V</v>
      </c>
      <c r="C1396" s="1">
        <v>1183</v>
      </c>
      <c r="D1396" s="1">
        <v>46</v>
      </c>
      <c r="E1396" s="3">
        <f t="shared" si="10"/>
        <v>0.96257119609438568</v>
      </c>
      <c r="F1396" s="1" t="s">
        <v>270</v>
      </c>
      <c r="G1396" s="1" t="s">
        <v>28</v>
      </c>
      <c r="H1396" s="1">
        <v>41149</v>
      </c>
      <c r="I1396" s="1">
        <v>63647</v>
      </c>
      <c r="J1396" s="7">
        <v>0.64700000000000002</v>
      </c>
      <c r="K1396" s="1" t="s">
        <v>21</v>
      </c>
      <c r="L1396" s="1" t="s">
        <v>29</v>
      </c>
      <c r="M1396" s="1" t="s">
        <v>29</v>
      </c>
      <c r="N1396" s="1" t="s">
        <v>22</v>
      </c>
      <c r="O1396" s="1" t="str">
        <f t="shared" ca="1" si="11"/>
        <v>Please solve the LeetCode problem '1340. Jump Game V'.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97" spans="1:15" x14ac:dyDescent="0.25">
      <c r="A1397" s="1">
        <v>1986</v>
      </c>
      <c r="B1397" s="2" t="str">
        <f>HYPERLINK("https://leetcode.com/problems/minimum-number-of-work-sessions-to-finish-the-tasks/", "Minimum Number of Work Sessions to Finish the Tasks")</f>
        <v>Minimum Number of Work Sessions to Finish the Tasks</v>
      </c>
      <c r="C1397" s="1">
        <v>1182</v>
      </c>
      <c r="D1397" s="1">
        <v>70</v>
      </c>
      <c r="E1397" s="3">
        <f t="shared" si="10"/>
        <v>0.94408945686900958</v>
      </c>
      <c r="F1397" s="1" t="s">
        <v>1354</v>
      </c>
      <c r="G1397" s="1" t="s">
        <v>24</v>
      </c>
      <c r="H1397" s="1">
        <v>33553</v>
      </c>
      <c r="I1397" s="1">
        <v>97454</v>
      </c>
      <c r="J1397" s="7">
        <v>0.34399999999999997</v>
      </c>
      <c r="K1397" s="1" t="s">
        <v>21</v>
      </c>
      <c r="L1397" s="1" t="s">
        <v>29</v>
      </c>
      <c r="M1397" s="1" t="s">
        <v>29</v>
      </c>
      <c r="N1397" s="1" t="s">
        <v>22</v>
      </c>
      <c r="O1397" s="1" t="str">
        <f t="shared" ca="1" si="11"/>
        <v>Please solve the LeetCode problem '1986. Minimum Number of Work Sessions to Finish the Tasks'.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98" spans="1:15" x14ac:dyDescent="0.25">
      <c r="A1398" s="1">
        <v>298</v>
      </c>
      <c r="B1398" s="2" t="str">
        <f>HYPERLINK("https://leetcode.com/problems/binary-tree-longest-consecutive-sequence/", "Binary Tree Longest Consecutive Sequence")</f>
        <v>Binary Tree Longest Consecutive Sequence</v>
      </c>
      <c r="C1398" s="1">
        <v>1181</v>
      </c>
      <c r="D1398" s="1">
        <v>238</v>
      </c>
      <c r="E1398" s="3">
        <f t="shared" si="10"/>
        <v>0.83227625088090207</v>
      </c>
      <c r="F1398" s="1" t="s">
        <v>67</v>
      </c>
      <c r="G1398" s="1" t="s">
        <v>24</v>
      </c>
      <c r="H1398" s="1">
        <v>162925</v>
      </c>
      <c r="I1398" s="1">
        <v>298513</v>
      </c>
      <c r="J1398" s="7">
        <v>0.54600000000000004</v>
      </c>
      <c r="K1398" s="1" t="s">
        <v>29</v>
      </c>
      <c r="L1398" s="1" t="s">
        <v>21</v>
      </c>
      <c r="M1398" s="1" t="s">
        <v>29</v>
      </c>
      <c r="N1398" s="1" t="s">
        <v>22</v>
      </c>
      <c r="O1398" s="1" t="str">
        <f t="shared" ca="1" si="11"/>
        <v>Please solve the LeetCode problem '298. Binary Tree Longest Consecutive Sequence'.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399" spans="1:15" x14ac:dyDescent="0.25">
      <c r="A1399" s="1">
        <v>163</v>
      </c>
      <c r="B1399" s="2" t="str">
        <f>HYPERLINK("https://leetcode.com/problems/missing-ranges/", "Missing Ranges")</f>
        <v>Missing Ranges</v>
      </c>
      <c r="C1399" s="1">
        <v>1179</v>
      </c>
      <c r="D1399" s="1">
        <v>3020</v>
      </c>
      <c r="E1399" s="3">
        <f t="shared" si="10"/>
        <v>0.28078113836627766</v>
      </c>
      <c r="F1399" s="1" t="s">
        <v>113</v>
      </c>
      <c r="G1399" s="1" t="s">
        <v>20</v>
      </c>
      <c r="H1399" s="1">
        <v>305805</v>
      </c>
      <c r="I1399" s="1">
        <v>860942</v>
      </c>
      <c r="J1399" s="7">
        <v>0.35499999999999998</v>
      </c>
      <c r="K1399" s="1" t="s">
        <v>29</v>
      </c>
      <c r="L1399" s="1" t="s">
        <v>21</v>
      </c>
      <c r="M1399" s="1" t="s">
        <v>29</v>
      </c>
      <c r="N1399" s="1" t="s">
        <v>22</v>
      </c>
      <c r="O1399" s="1" t="str">
        <f t="shared" ca="1" si="11"/>
        <v>Please solve the LeetCode problem '163. Missing Ranges'.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00" spans="1:15" x14ac:dyDescent="0.25">
      <c r="A1400" s="1">
        <v>2049</v>
      </c>
      <c r="B1400" s="2" t="str">
        <f>HYPERLINK("https://leetcode.com/problems/count-nodes-with-the-highest-score/", "Count Nodes With the Highest Score")</f>
        <v>Count Nodes With the Highest Score</v>
      </c>
      <c r="C1400" s="1">
        <v>1179</v>
      </c>
      <c r="D1400" s="1">
        <v>100</v>
      </c>
      <c r="E1400" s="3">
        <f t="shared" si="10"/>
        <v>0.92181391712275218</v>
      </c>
      <c r="F1400" s="1" t="s">
        <v>661</v>
      </c>
      <c r="G1400" s="1" t="s">
        <v>24</v>
      </c>
      <c r="H1400" s="1">
        <v>40567</v>
      </c>
      <c r="I1400" s="1">
        <v>77363</v>
      </c>
      <c r="J1400" s="7">
        <v>0.52400000000000002</v>
      </c>
      <c r="K1400" s="1" t="s">
        <v>21</v>
      </c>
      <c r="L1400" s="1" t="s">
        <v>29</v>
      </c>
      <c r="M1400" s="1" t="s">
        <v>29</v>
      </c>
      <c r="N1400" s="1" t="s">
        <v>22</v>
      </c>
      <c r="O1400" s="1" t="str">
        <f t="shared" ca="1" si="11"/>
        <v>Please solve the LeetCode problem '2049. Count Nodes With the Highest Score'.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01" spans="1:15" x14ac:dyDescent="0.25">
      <c r="A1401" s="1">
        <v>772</v>
      </c>
      <c r="B1401" s="2" t="str">
        <f>HYPERLINK("https://leetcode.com/problems/basic-calculator-iii/", "Basic Calculator III")</f>
        <v>Basic Calculator III</v>
      </c>
      <c r="C1401" s="1">
        <v>1178</v>
      </c>
      <c r="D1401" s="1">
        <v>295</v>
      </c>
      <c r="E1401" s="3">
        <f t="shared" si="10"/>
        <v>0.79972844534962662</v>
      </c>
      <c r="F1401" s="1" t="s">
        <v>200</v>
      </c>
      <c r="G1401" s="1" t="s">
        <v>28</v>
      </c>
      <c r="H1401" s="1">
        <v>153429</v>
      </c>
      <c r="I1401" s="1">
        <v>289231</v>
      </c>
      <c r="J1401" s="7">
        <v>0.53</v>
      </c>
      <c r="K1401" s="1" t="s">
        <v>29</v>
      </c>
      <c r="L1401" s="1" t="s">
        <v>21</v>
      </c>
      <c r="M1401" s="1" t="s">
        <v>29</v>
      </c>
      <c r="N1401" s="1" t="s">
        <v>22</v>
      </c>
      <c r="O1401" s="1" t="str">
        <f t="shared" ca="1" si="11"/>
        <v>Please solve the LeetCode problem '772. Basic Calculator III'.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02" spans="1:15" x14ac:dyDescent="0.25">
      <c r="A1402" s="1">
        <v>2040</v>
      </c>
      <c r="B1402" s="2" t="str">
        <f>HYPERLINK("https://leetcode.com/problems/kth-smallest-product-of-two-sorted-arrays/", "Kth Smallest Product of Two Sorted Arrays")</f>
        <v>Kth Smallest Product of Two Sorted Arrays</v>
      </c>
      <c r="C1402" s="1">
        <v>1178</v>
      </c>
      <c r="D1402" s="1">
        <v>75</v>
      </c>
      <c r="E1402" s="3">
        <f t="shared" si="10"/>
        <v>0.94014365522745413</v>
      </c>
      <c r="F1402" s="1" t="s">
        <v>35</v>
      </c>
      <c r="G1402" s="1" t="s">
        <v>28</v>
      </c>
      <c r="H1402" s="1">
        <v>83010</v>
      </c>
      <c r="I1402" s="1">
        <v>169755</v>
      </c>
      <c r="J1402" s="7">
        <v>0.48899999999999999</v>
      </c>
      <c r="K1402" s="1" t="s">
        <v>21</v>
      </c>
      <c r="L1402" s="1" t="s">
        <v>21</v>
      </c>
      <c r="M1402" s="1" t="s">
        <v>29</v>
      </c>
      <c r="N1402" s="1" t="s">
        <v>22</v>
      </c>
      <c r="O1402" s="1" t="str">
        <f t="shared" ca="1" si="11"/>
        <v>Please solve the LeetCode problem '2040. Kth Smallest Product of Two Sorted Arrays'.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03" spans="1:15" x14ac:dyDescent="0.25">
      <c r="A1403" s="1">
        <v>2486</v>
      </c>
      <c r="B1403" s="2" t="str">
        <f>HYPERLINK("https://leetcode.com/problems/append-characters-to-string-to-make-subsequence/", "Append Characters to String to Make Subsequence")</f>
        <v>Append Characters to String to Make Subsequence</v>
      </c>
      <c r="C1403" s="1">
        <v>1178</v>
      </c>
      <c r="D1403" s="1">
        <v>90</v>
      </c>
      <c r="E1403" s="3">
        <f t="shared" si="10"/>
        <v>0.92902208201892744</v>
      </c>
      <c r="F1403" s="1" t="s">
        <v>158</v>
      </c>
      <c r="G1403" s="1" t="s">
        <v>24</v>
      </c>
      <c r="H1403" s="1">
        <v>217523</v>
      </c>
      <c r="I1403" s="1">
        <v>298168</v>
      </c>
      <c r="J1403" s="7">
        <v>0.73</v>
      </c>
      <c r="K1403" s="1" t="s">
        <v>21</v>
      </c>
      <c r="L1403" s="1" t="s">
        <v>21</v>
      </c>
      <c r="M1403" s="1" t="s">
        <v>29</v>
      </c>
      <c r="N1403" s="1" t="s">
        <v>22</v>
      </c>
      <c r="O1403" s="1" t="str">
        <f t="shared" ca="1" si="11"/>
        <v>Please solve the LeetCode problem '2486. Append Characters to String to Make Subsequence'.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04" spans="1:15" x14ac:dyDescent="0.25">
      <c r="A1404" s="1">
        <v>2698</v>
      </c>
      <c r="B1404" s="2" t="str">
        <f>HYPERLINK("https://leetcode.com/problems/find-the-punishment-number-of-an-integer/", "Find the Punishment Number of an Integer")</f>
        <v>Find the Punishment Number of an Integer</v>
      </c>
      <c r="C1404" s="1">
        <v>1178</v>
      </c>
      <c r="D1404" s="1">
        <v>247</v>
      </c>
      <c r="E1404" s="3">
        <f t="shared" si="10"/>
        <v>0.82666666666666666</v>
      </c>
      <c r="F1404" s="1" t="s">
        <v>663</v>
      </c>
      <c r="G1404" s="1" t="s">
        <v>24</v>
      </c>
      <c r="H1404" s="1">
        <v>150168</v>
      </c>
      <c r="I1404" s="1">
        <v>183670</v>
      </c>
      <c r="J1404" s="7">
        <v>0.81799999999999995</v>
      </c>
      <c r="K1404" s="1" t="s">
        <v>21</v>
      </c>
      <c r="L1404" s="1" t="s">
        <v>21</v>
      </c>
      <c r="M1404" s="1" t="s">
        <v>29</v>
      </c>
      <c r="N1404" s="1" t="s">
        <v>22</v>
      </c>
      <c r="O1404" s="1" t="str">
        <f t="shared" ca="1" si="11"/>
        <v>Please solve the LeetCode problem '2698. Find the Punishment Number of an Integer'.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05" spans="1:15" x14ac:dyDescent="0.25">
      <c r="A1405" s="1">
        <v>842</v>
      </c>
      <c r="B1405" s="2" t="str">
        <f>HYPERLINK("https://leetcode.com/problems/split-array-into-fibonacci-sequence/", "Split Array into Fibonacci Sequence")</f>
        <v>Split Array into Fibonacci Sequence</v>
      </c>
      <c r="C1405" s="1">
        <v>1177</v>
      </c>
      <c r="D1405" s="1">
        <v>309</v>
      </c>
      <c r="E1405" s="3">
        <f t="shared" si="10"/>
        <v>0.7920592193808883</v>
      </c>
      <c r="F1405" s="1" t="s">
        <v>238</v>
      </c>
      <c r="G1405" s="1" t="s">
        <v>24</v>
      </c>
      <c r="H1405" s="1">
        <v>46106</v>
      </c>
      <c r="I1405" s="1">
        <v>114908</v>
      </c>
      <c r="J1405" s="7">
        <v>0.40100000000000002</v>
      </c>
      <c r="K1405" s="1" t="s">
        <v>21</v>
      </c>
      <c r="L1405" s="1" t="s">
        <v>21</v>
      </c>
      <c r="M1405" s="1" t="s">
        <v>29</v>
      </c>
      <c r="N1405" s="1" t="s">
        <v>22</v>
      </c>
      <c r="O1405" s="1" t="str">
        <f t="shared" ca="1" si="11"/>
        <v>Please solve the LeetCode problem '842. Split Array into Fibonacci Sequence'.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06" spans="1:15" x14ac:dyDescent="0.25">
      <c r="A1406" s="1">
        <v>254</v>
      </c>
      <c r="B1406" s="2" t="str">
        <f>HYPERLINK("https://leetcode.com/problems/factor-combinations/", "Factor Combinations")</f>
        <v>Factor Combinations</v>
      </c>
      <c r="C1406" s="1">
        <v>1176</v>
      </c>
      <c r="D1406" s="1">
        <v>76</v>
      </c>
      <c r="E1406" s="3">
        <f t="shared" si="10"/>
        <v>0.93929712460063897</v>
      </c>
      <c r="F1406" s="1" t="s">
        <v>159</v>
      </c>
      <c r="G1406" s="1" t="s">
        <v>24</v>
      </c>
      <c r="H1406" s="1">
        <v>140069</v>
      </c>
      <c r="I1406" s="1">
        <v>277544</v>
      </c>
      <c r="J1406" s="7">
        <v>0.505</v>
      </c>
      <c r="K1406" s="1" t="s">
        <v>29</v>
      </c>
      <c r="L1406" s="1" t="s">
        <v>21</v>
      </c>
      <c r="M1406" s="1" t="s">
        <v>29</v>
      </c>
      <c r="N1406" s="1" t="s">
        <v>22</v>
      </c>
      <c r="O1406" s="1" t="str">
        <f t="shared" ca="1" si="11"/>
        <v>Please solve the LeetCode problem '254. Factor Combinations'.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07" spans="1:15" x14ac:dyDescent="0.25">
      <c r="A1407" s="1">
        <v>1441</v>
      </c>
      <c r="B1407" s="2" t="str">
        <f>HYPERLINK("https://leetcode.com/problems/build-an-array-with-stack-operations/", "Build an Array With Stack Operations")</f>
        <v>Build an Array With Stack Operations</v>
      </c>
      <c r="C1407" s="1">
        <v>1176</v>
      </c>
      <c r="D1407" s="1">
        <v>524</v>
      </c>
      <c r="E1407" s="3">
        <f t="shared" si="10"/>
        <v>0.69176470588235295</v>
      </c>
      <c r="F1407" s="1" t="s">
        <v>145</v>
      </c>
      <c r="G1407" s="1" t="s">
        <v>24</v>
      </c>
      <c r="H1407" s="1">
        <v>227352</v>
      </c>
      <c r="I1407" s="1">
        <v>280951</v>
      </c>
      <c r="J1407" s="7">
        <v>0.80900000000000005</v>
      </c>
      <c r="K1407" s="1" t="s">
        <v>21</v>
      </c>
      <c r="L1407" s="1" t="s">
        <v>21</v>
      </c>
      <c r="M1407" s="1" t="s">
        <v>29</v>
      </c>
      <c r="N1407" s="1" t="s">
        <v>22</v>
      </c>
      <c r="O1407" s="1" t="str">
        <f t="shared" ca="1" si="11"/>
        <v>Please solve the LeetCode problem '1441. Build an Array With Stack Operations'.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08" spans="1:15" x14ac:dyDescent="0.25">
      <c r="A1408" s="1">
        <v>1957</v>
      </c>
      <c r="B1408" s="2" t="str">
        <f>HYPERLINK("https://leetcode.com/problems/delete-characters-to-make-fancy-string/", "Delete Characters to Make Fancy String")</f>
        <v>Delete Characters to Make Fancy String</v>
      </c>
      <c r="C1408" s="1">
        <v>1174</v>
      </c>
      <c r="D1408" s="1">
        <v>54</v>
      </c>
      <c r="E1408" s="3">
        <f t="shared" si="10"/>
        <v>0.9560260586319218</v>
      </c>
      <c r="F1408" s="1" t="s">
        <v>146</v>
      </c>
      <c r="G1408" s="1" t="s">
        <v>20</v>
      </c>
      <c r="H1408" s="1">
        <v>338956</v>
      </c>
      <c r="I1408" s="1">
        <v>457327</v>
      </c>
      <c r="J1408" s="7">
        <v>0.74099999999999999</v>
      </c>
      <c r="K1408" s="1" t="s">
        <v>21</v>
      </c>
      <c r="L1408" s="1" t="s">
        <v>21</v>
      </c>
      <c r="M1408" s="1" t="s">
        <v>29</v>
      </c>
      <c r="N1408" s="1" t="s">
        <v>22</v>
      </c>
      <c r="O1408" s="1" t="str">
        <f t="shared" ca="1" si="11"/>
        <v>Please solve the LeetCode problem '1957. Delete Characters to Make Fancy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09" spans="1:15" x14ac:dyDescent="0.25">
      <c r="A1409" s="1">
        <v>1135</v>
      </c>
      <c r="B1409" s="2" t="str">
        <f>HYPERLINK("https://leetcode.com/problems/connecting-cities-with-minimum-cost/", "Connecting Cities With Minimum Cost")</f>
        <v>Connecting Cities With Minimum Cost</v>
      </c>
      <c r="C1409" s="1">
        <v>1173</v>
      </c>
      <c r="D1409" s="1">
        <v>60</v>
      </c>
      <c r="E1409" s="3">
        <f t="shared" si="10"/>
        <v>0.95133819951338194</v>
      </c>
      <c r="F1409" s="1" t="s">
        <v>652</v>
      </c>
      <c r="G1409" s="1" t="s">
        <v>24</v>
      </c>
      <c r="H1409" s="1">
        <v>90009</v>
      </c>
      <c r="I1409" s="1">
        <v>142085</v>
      </c>
      <c r="J1409" s="7">
        <v>0.63300000000000001</v>
      </c>
      <c r="K1409" s="1" t="s">
        <v>29</v>
      </c>
      <c r="L1409" s="1" t="s">
        <v>21</v>
      </c>
      <c r="M1409" s="1" t="s">
        <v>29</v>
      </c>
      <c r="N1409" s="1" t="s">
        <v>22</v>
      </c>
      <c r="O1409" s="1" t="str">
        <f t="shared" ca="1" si="11"/>
        <v>Please solve the LeetCode problem '1135. Connecting Cities With Minimum Cost'.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10" spans="1:15" x14ac:dyDescent="0.25">
      <c r="A1410" s="1">
        <v>2294</v>
      </c>
      <c r="B1410" s="2" t="str">
        <f>HYPERLINK("https://leetcode.com/problems/partition-array-such-that-maximum-difference-is-k/", "Partition Array Such That Maximum Difference Is K")</f>
        <v>Partition Array Such That Maximum Difference Is K</v>
      </c>
      <c r="C1410" s="1">
        <v>1173</v>
      </c>
      <c r="D1410" s="1">
        <v>46</v>
      </c>
      <c r="E1410" s="3">
        <f t="shared" si="10"/>
        <v>0.96226415094339623</v>
      </c>
      <c r="F1410" s="1" t="s">
        <v>169</v>
      </c>
      <c r="G1410" s="1" t="s">
        <v>24</v>
      </c>
      <c r="H1410" s="1">
        <v>167693</v>
      </c>
      <c r="I1410" s="1">
        <v>204874</v>
      </c>
      <c r="J1410" s="7">
        <v>0.81899999999999995</v>
      </c>
      <c r="K1410" s="1" t="s">
        <v>21</v>
      </c>
      <c r="L1410" s="1" t="s">
        <v>21</v>
      </c>
      <c r="M1410" s="1" t="s">
        <v>29</v>
      </c>
      <c r="N1410" s="1" t="s">
        <v>22</v>
      </c>
      <c r="O1410" s="1" t="str">
        <f t="shared" ca="1" si="11"/>
        <v>Please solve the LeetCode problem '2294. Partition Array Such That Maximum Difference Is K'.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11" spans="1:15" x14ac:dyDescent="0.25">
      <c r="A1411" s="1">
        <v>586</v>
      </c>
      <c r="B1411" s="2" t="str">
        <f>HYPERLINK("https://leetcode.com/problems/customer-placing-the-largest-number-of-orders/", "Customer Placing the Largest Number of Orders")</f>
        <v>Customer Placing the Largest Number of Orders</v>
      </c>
      <c r="C1411" s="1">
        <v>1172</v>
      </c>
      <c r="D1411" s="1">
        <v>98</v>
      </c>
      <c r="E1411" s="3">
        <f t="shared" si="10"/>
        <v>0.9228346456692913</v>
      </c>
      <c r="F1411" s="1" t="s">
        <v>297</v>
      </c>
      <c r="G1411" s="1" t="s">
        <v>20</v>
      </c>
      <c r="H1411" s="1">
        <v>451451</v>
      </c>
      <c r="I1411" s="1">
        <v>703230</v>
      </c>
      <c r="J1411" s="7">
        <v>0.64200000000000002</v>
      </c>
      <c r="K1411" s="1" t="s">
        <v>21</v>
      </c>
      <c r="L1411" s="1" t="s">
        <v>21</v>
      </c>
      <c r="M1411" s="1" t="s">
        <v>29</v>
      </c>
      <c r="N1411" s="1" t="s">
        <v>297</v>
      </c>
      <c r="O1411" s="1" t="str">
        <f t="shared" ca="1" si="11"/>
        <v>Please solve the LeetCode problem '586. Customer Placing the Largest Number of Orders'.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12" spans="1:15" x14ac:dyDescent="0.25">
      <c r="A1412" s="1">
        <v>854</v>
      </c>
      <c r="B1412" s="2" t="str">
        <f>HYPERLINK("https://leetcode.com/problems/k-similar-strings/", "K-Similar Strings")</f>
        <v>K-Similar Strings</v>
      </c>
      <c r="C1412" s="1">
        <v>1172</v>
      </c>
      <c r="D1412" s="1">
        <v>63</v>
      </c>
      <c r="E1412" s="3">
        <f t="shared" si="10"/>
        <v>0.94898785425101218</v>
      </c>
      <c r="F1412" s="1" t="s">
        <v>95</v>
      </c>
      <c r="G1412" s="1" t="s">
        <v>28</v>
      </c>
      <c r="H1412" s="1">
        <v>53112</v>
      </c>
      <c r="I1412" s="1">
        <v>131160</v>
      </c>
      <c r="J1412" s="7">
        <v>0.40500000000000003</v>
      </c>
      <c r="K1412" s="1" t="s">
        <v>21</v>
      </c>
      <c r="L1412" s="1" t="s">
        <v>21</v>
      </c>
      <c r="M1412" s="1" t="s">
        <v>29</v>
      </c>
      <c r="N1412" s="1" t="s">
        <v>22</v>
      </c>
      <c r="O1412" s="1" t="str">
        <f t="shared" ca="1" si="11"/>
        <v>Please solve the LeetCode problem '854. K-Similar Strings'.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13" spans="1:15" x14ac:dyDescent="0.25">
      <c r="A1413" s="1">
        <v>2351</v>
      </c>
      <c r="B1413" s="2" t="str">
        <f>HYPERLINK("https://leetcode.com/problems/first-letter-to-appear-twice/", "First Letter to Appear Twice")</f>
        <v>First Letter to Appear Twice</v>
      </c>
      <c r="C1413" s="1">
        <v>1171</v>
      </c>
      <c r="D1413" s="1">
        <v>65</v>
      </c>
      <c r="E1413" s="3">
        <f t="shared" si="10"/>
        <v>0.94741100323624594</v>
      </c>
      <c r="F1413" s="1" t="s">
        <v>662</v>
      </c>
      <c r="G1413" s="1" t="s">
        <v>20</v>
      </c>
      <c r="H1413" s="1">
        <v>186988</v>
      </c>
      <c r="I1413" s="1">
        <v>250083</v>
      </c>
      <c r="J1413" s="7">
        <v>0.748</v>
      </c>
      <c r="K1413" s="1" t="s">
        <v>21</v>
      </c>
      <c r="L1413" s="1" t="s">
        <v>29</v>
      </c>
      <c r="M1413" s="1" t="s">
        <v>29</v>
      </c>
      <c r="N1413" s="1" t="s">
        <v>22</v>
      </c>
      <c r="O1413" s="1" t="str">
        <f t="shared" ca="1" si="11"/>
        <v>Please solve the LeetCode problem '2351. First Letter to Appear Twice'.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14" spans="1:15" x14ac:dyDescent="0.25">
      <c r="A1414" s="1">
        <v>470</v>
      </c>
      <c r="B1414" s="2" t="str">
        <f>HYPERLINK("https://leetcode.com/problems/implement-rand10-using-rand7/", "Implement Rand10() Using Rand7()")</f>
        <v>Implement Rand10() Using Rand7()</v>
      </c>
      <c r="C1414" s="1">
        <v>1170</v>
      </c>
      <c r="D1414" s="1">
        <v>388</v>
      </c>
      <c r="E1414" s="3">
        <f t="shared" si="10"/>
        <v>0.75096277278562262</v>
      </c>
      <c r="F1414" s="1" t="s">
        <v>664</v>
      </c>
      <c r="G1414" s="1" t="s">
        <v>24</v>
      </c>
      <c r="H1414" s="1">
        <v>106108</v>
      </c>
      <c r="I1414" s="1">
        <v>229796</v>
      </c>
      <c r="J1414" s="7">
        <v>0.46200000000000002</v>
      </c>
      <c r="K1414" s="1" t="s">
        <v>21</v>
      </c>
      <c r="L1414" s="1" t="s">
        <v>21</v>
      </c>
      <c r="M1414" s="1" t="s">
        <v>29</v>
      </c>
      <c r="N1414" s="1" t="s">
        <v>22</v>
      </c>
      <c r="O1414" s="1" t="str">
        <f t="shared" ca="1" si="11"/>
        <v>Please solve the LeetCode problem '470. Implement Rand10() Using Rand7()'.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15" spans="1:15" x14ac:dyDescent="0.25">
      <c r="A1415" s="1">
        <v>2958</v>
      </c>
      <c r="B1415" s="2" t="str">
        <f>HYPERLINK("https://leetcode.com/problems/length-of-longest-subarray-with-at-most-k-frequency/", "Length of Longest Subarray With at Most K Frequency")</f>
        <v>Length of Longest Subarray With at Most K Frequency</v>
      </c>
      <c r="C1415" s="1">
        <v>1169</v>
      </c>
      <c r="D1415" s="1">
        <v>36</v>
      </c>
      <c r="E1415" s="3">
        <f t="shared" si="10"/>
        <v>0.97012448132780082</v>
      </c>
      <c r="F1415" s="1" t="s">
        <v>185</v>
      </c>
      <c r="G1415" s="1" t="s">
        <v>24</v>
      </c>
      <c r="H1415" s="1">
        <v>185891</v>
      </c>
      <c r="I1415" s="1">
        <v>330162</v>
      </c>
      <c r="J1415" s="7">
        <v>0.56299999999999994</v>
      </c>
      <c r="K1415" s="1" t="s">
        <v>21</v>
      </c>
      <c r="L1415" s="1" t="s">
        <v>21</v>
      </c>
      <c r="M1415" s="1" t="s">
        <v>29</v>
      </c>
      <c r="N1415" s="1" t="s">
        <v>22</v>
      </c>
      <c r="O1415" s="1" t="str">
        <f t="shared" ca="1" si="11"/>
        <v>Please solve the LeetCode problem '2958. Length of Longest Subarray With at Most K Frequency'.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16" spans="1:15" x14ac:dyDescent="0.25">
      <c r="A1416" s="1">
        <v>1099</v>
      </c>
      <c r="B1416" s="2" t="str">
        <f>HYPERLINK("https://leetcode.com/problems/two-sum-less-than-k/", "Two Sum Less Than K")</f>
        <v>Two Sum Less Than K</v>
      </c>
      <c r="C1416" s="1">
        <v>1168</v>
      </c>
      <c r="D1416" s="1">
        <v>135</v>
      </c>
      <c r="E1416" s="3">
        <f t="shared" si="10"/>
        <v>0.89639293937068298</v>
      </c>
      <c r="F1416" s="1" t="s">
        <v>277</v>
      </c>
      <c r="G1416" s="1" t="s">
        <v>20</v>
      </c>
      <c r="H1416" s="1">
        <v>147625</v>
      </c>
      <c r="I1416" s="1">
        <v>237608</v>
      </c>
      <c r="J1416" s="7">
        <v>0.621</v>
      </c>
      <c r="K1416" s="1" t="s">
        <v>29</v>
      </c>
      <c r="L1416" s="1" t="s">
        <v>21</v>
      </c>
      <c r="M1416" s="1" t="s">
        <v>21</v>
      </c>
      <c r="N1416" s="1" t="s">
        <v>22</v>
      </c>
      <c r="O1416" s="1" t="str">
        <f t="shared" ca="1" si="11"/>
        <v>Please solve the LeetCode problem '1099. Two Sum Less Than K'.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17" spans="1:15" x14ac:dyDescent="0.25">
      <c r="A1417" s="1">
        <v>1873</v>
      </c>
      <c r="B1417" s="2" t="str">
        <f>HYPERLINK("https://leetcode.com/problems/calculate-special-bonus/", "Calculate Special Bonus")</f>
        <v>Calculate Special Bonus</v>
      </c>
      <c r="C1417" s="1">
        <v>1168</v>
      </c>
      <c r="D1417" s="1">
        <v>81</v>
      </c>
      <c r="E1417" s="3">
        <f t="shared" si="10"/>
        <v>0.93514811849479584</v>
      </c>
      <c r="F1417" s="1" t="s">
        <v>297</v>
      </c>
      <c r="G1417" s="1" t="s">
        <v>20</v>
      </c>
      <c r="H1417" s="1">
        <v>328213</v>
      </c>
      <c r="I1417" s="1">
        <v>575624</v>
      </c>
      <c r="J1417" s="7">
        <v>0.56999999999999995</v>
      </c>
      <c r="K1417" s="1" t="s">
        <v>21</v>
      </c>
      <c r="L1417" s="1" t="s">
        <v>21</v>
      </c>
      <c r="M1417" s="1" t="s">
        <v>29</v>
      </c>
      <c r="N1417" s="1" t="s">
        <v>297</v>
      </c>
      <c r="O1417" s="1" t="str">
        <f t="shared" ca="1" si="11"/>
        <v>Please solve the LeetCode problem '1873. Calculate Special Bonus'.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18" spans="1:15" x14ac:dyDescent="0.25">
      <c r="A1418" s="1">
        <v>364</v>
      </c>
      <c r="B1418" s="2" t="str">
        <f>HYPERLINK("https://leetcode.com/problems/nested-list-weight-sum-ii/", "Nested List Weight Sum II")</f>
        <v>Nested List Weight Sum II</v>
      </c>
      <c r="C1418" s="1">
        <v>1166</v>
      </c>
      <c r="D1418" s="1">
        <v>479</v>
      </c>
      <c r="E1418" s="3">
        <f t="shared" si="10"/>
        <v>0.70881458966565347</v>
      </c>
      <c r="F1418" s="1" t="s">
        <v>665</v>
      </c>
      <c r="G1418" s="1" t="s">
        <v>24</v>
      </c>
      <c r="H1418" s="1">
        <v>164031</v>
      </c>
      <c r="I1418" s="1">
        <v>246272</v>
      </c>
      <c r="J1418" s="7">
        <v>0.66600000000000004</v>
      </c>
      <c r="K1418" s="1" t="s">
        <v>29</v>
      </c>
      <c r="L1418" s="1" t="s">
        <v>21</v>
      </c>
      <c r="M1418" s="1" t="s">
        <v>29</v>
      </c>
      <c r="N1418" s="1" t="s">
        <v>22</v>
      </c>
      <c r="O1418" s="1" t="str">
        <f t="shared" ca="1" si="11"/>
        <v>Please solve the LeetCode problem '364. Nested List Weight Sum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19" spans="1:15" x14ac:dyDescent="0.25">
      <c r="A1419" s="1">
        <v>1478</v>
      </c>
      <c r="B1419" s="2" t="str">
        <f>HYPERLINK("https://leetcode.com/problems/allocate-mailboxes/", "Allocate Mailboxes")</f>
        <v>Allocate Mailboxes</v>
      </c>
      <c r="C1419" s="1">
        <v>1166</v>
      </c>
      <c r="D1419" s="1">
        <v>23</v>
      </c>
      <c r="E1419" s="3">
        <f t="shared" si="10"/>
        <v>0.98065601345668629</v>
      </c>
      <c r="F1419" s="1" t="s">
        <v>206</v>
      </c>
      <c r="G1419" s="1" t="s">
        <v>28</v>
      </c>
      <c r="H1419" s="1">
        <v>32923</v>
      </c>
      <c r="I1419" s="1">
        <v>58490</v>
      </c>
      <c r="J1419" s="7">
        <v>0.56299999999999994</v>
      </c>
      <c r="K1419" s="1" t="s">
        <v>21</v>
      </c>
      <c r="L1419" s="1" t="s">
        <v>29</v>
      </c>
      <c r="M1419" s="1" t="s">
        <v>29</v>
      </c>
      <c r="N1419" s="1" t="s">
        <v>22</v>
      </c>
      <c r="O1419" s="1" t="str">
        <f t="shared" ca="1" si="11"/>
        <v>Please solve the LeetCode problem '1478. Allocate Mailboxes'.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20" spans="1:15" x14ac:dyDescent="0.25">
      <c r="A1420" s="1">
        <v>2559</v>
      </c>
      <c r="B1420" s="2" t="str">
        <f>HYPERLINK("https://leetcode.com/problems/count-vowel-strings-in-ranges/", "Count Vowel Strings in Ranges")</f>
        <v>Count Vowel Strings in Ranges</v>
      </c>
      <c r="C1420" s="1">
        <v>1166</v>
      </c>
      <c r="D1420" s="1">
        <v>70</v>
      </c>
      <c r="E1420" s="3">
        <f t="shared" si="10"/>
        <v>0.94336569579288021</v>
      </c>
      <c r="F1420" s="1" t="s">
        <v>372</v>
      </c>
      <c r="G1420" s="1" t="s">
        <v>24</v>
      </c>
      <c r="H1420" s="1">
        <v>199265</v>
      </c>
      <c r="I1420" s="1">
        <v>293800</v>
      </c>
      <c r="J1420" s="7">
        <v>0.67800000000000005</v>
      </c>
      <c r="K1420" s="1" t="s">
        <v>21</v>
      </c>
      <c r="L1420" s="1" t="s">
        <v>21</v>
      </c>
      <c r="M1420" s="1" t="s">
        <v>29</v>
      </c>
      <c r="N1420" s="1" t="s">
        <v>22</v>
      </c>
      <c r="O1420" s="1" t="str">
        <f t="shared" ca="1" si="11"/>
        <v>Please solve the LeetCode problem '2559. Count Vowel Strings in Ranges'.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21" spans="1:15" x14ac:dyDescent="0.25">
      <c r="A1421" s="1">
        <v>2966</v>
      </c>
      <c r="B1421" s="2" t="str">
        <f>HYPERLINK("https://leetcode.com/problems/divide-array-into-arrays-with-max-difference/", "Divide Array Into Arrays With Max Difference")</f>
        <v>Divide Array Into Arrays With Max Difference</v>
      </c>
      <c r="C1421" s="1">
        <v>1165</v>
      </c>
      <c r="D1421" s="1">
        <v>222</v>
      </c>
      <c r="E1421" s="3">
        <f t="shared" si="10"/>
        <v>0.83994232155731796</v>
      </c>
      <c r="F1421" s="1" t="s">
        <v>169</v>
      </c>
      <c r="G1421" s="1" t="s">
        <v>24</v>
      </c>
      <c r="H1421" s="1">
        <v>279999</v>
      </c>
      <c r="I1421" s="1">
        <v>354753</v>
      </c>
      <c r="J1421" s="7">
        <v>0.78900000000000003</v>
      </c>
      <c r="K1421" s="1" t="s">
        <v>21</v>
      </c>
      <c r="L1421" s="1" t="s">
        <v>21</v>
      </c>
      <c r="M1421" s="1" t="s">
        <v>29</v>
      </c>
      <c r="N1421" s="1" t="s">
        <v>22</v>
      </c>
      <c r="O1421" s="1" t="str">
        <f t="shared" ca="1" si="11"/>
        <v>Please solve the LeetCode problem '2966. Divide Array Into Arrays With Max Difference'.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22" spans="1:15" x14ac:dyDescent="0.25">
      <c r="A1422" s="1">
        <v>1897</v>
      </c>
      <c r="B1422" s="2" t="str">
        <f>HYPERLINK("https://leetcode.com/problems/redistribute-characters-to-make-all-strings-equal/", "Redistribute Characters to Make All Strings Equal")</f>
        <v>Redistribute Characters to Make All Strings Equal</v>
      </c>
      <c r="C1422" s="1">
        <v>1160</v>
      </c>
      <c r="D1422" s="1">
        <v>83</v>
      </c>
      <c r="E1422" s="3">
        <f t="shared" si="10"/>
        <v>0.93322606596942881</v>
      </c>
      <c r="F1422" s="1" t="s">
        <v>237</v>
      </c>
      <c r="G1422" s="1" t="s">
        <v>20</v>
      </c>
      <c r="H1422" s="1">
        <v>156676</v>
      </c>
      <c r="I1422" s="1">
        <v>234525</v>
      </c>
      <c r="J1422" s="7">
        <v>0.66800000000000004</v>
      </c>
      <c r="K1422" s="1" t="s">
        <v>21</v>
      </c>
      <c r="L1422" s="1" t="s">
        <v>21</v>
      </c>
      <c r="M1422" s="1" t="s">
        <v>29</v>
      </c>
      <c r="N1422" s="1" t="s">
        <v>22</v>
      </c>
      <c r="O1422" s="1" t="str">
        <f t="shared" ca="1" si="11"/>
        <v>Please solve the LeetCode problem '1897. Redistribute Characters to Make All Strings Equal'.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23" spans="1:15" x14ac:dyDescent="0.25">
      <c r="A1423" s="1">
        <v>1718</v>
      </c>
      <c r="B1423" s="2" t="str">
        <f>HYPERLINK("https://leetcode.com/problems/construct-the-lexicographically-largest-valid-sequence/", "Construct the Lexicographically Largest Valid Sequence")</f>
        <v>Construct the Lexicographically Largest Valid Sequence</v>
      </c>
      <c r="C1423" s="1">
        <v>1153</v>
      </c>
      <c r="D1423" s="1">
        <v>182</v>
      </c>
      <c r="E1423" s="3">
        <f t="shared" si="10"/>
        <v>0.8636704119850187</v>
      </c>
      <c r="F1423" s="1" t="s">
        <v>56</v>
      </c>
      <c r="G1423" s="1" t="s">
        <v>24</v>
      </c>
      <c r="H1423" s="1">
        <v>112128</v>
      </c>
      <c r="I1423" s="1">
        <v>153974</v>
      </c>
      <c r="J1423" s="7">
        <v>0.72799999999999998</v>
      </c>
      <c r="K1423" s="1" t="s">
        <v>21</v>
      </c>
      <c r="L1423" s="1" t="s">
        <v>21</v>
      </c>
      <c r="M1423" s="1" t="s">
        <v>29</v>
      </c>
      <c r="N1423" s="1" t="s">
        <v>22</v>
      </c>
      <c r="O1423" s="1" t="str">
        <f t="shared" ca="1" si="11"/>
        <v>Please solve the LeetCode problem '1718. Construct the Lexicographically Largest Valid Sequence'.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24" spans="1:15" x14ac:dyDescent="0.25">
      <c r="A1424" s="1">
        <v>919</v>
      </c>
      <c r="B1424" s="2" t="str">
        <f>HYPERLINK("https://leetcode.com/problems/complete-binary-tree-inserter/", "Complete Binary Tree Inserter")</f>
        <v>Complete Binary Tree Inserter</v>
      </c>
      <c r="C1424" s="1">
        <v>1151</v>
      </c>
      <c r="D1424" s="1">
        <v>120</v>
      </c>
      <c r="E1424" s="3">
        <f t="shared" si="10"/>
        <v>0.90558615263571995</v>
      </c>
      <c r="F1424" s="1" t="s">
        <v>666</v>
      </c>
      <c r="G1424" s="1" t="s">
        <v>24</v>
      </c>
      <c r="H1424" s="1">
        <v>65228</v>
      </c>
      <c r="I1424" s="1">
        <v>100476</v>
      </c>
      <c r="J1424" s="7">
        <v>0.64900000000000002</v>
      </c>
      <c r="K1424" s="1" t="s">
        <v>21</v>
      </c>
      <c r="L1424" s="1" t="s">
        <v>21</v>
      </c>
      <c r="M1424" s="1" t="s">
        <v>29</v>
      </c>
      <c r="N1424" s="1" t="s">
        <v>22</v>
      </c>
      <c r="O1424" s="1" t="str">
        <f t="shared" ca="1" si="11"/>
        <v>Please solve the LeetCode problem '919. Complete Binary Tree Inserter'.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25" spans="1:15" x14ac:dyDescent="0.25">
      <c r="A1425" s="1">
        <v>858</v>
      </c>
      <c r="B1425" s="2" t="str">
        <f>HYPERLINK("https://leetcode.com/problems/mirror-reflection/", "Mirror Reflection")</f>
        <v>Mirror Reflection</v>
      </c>
      <c r="C1425" s="1">
        <v>1148</v>
      </c>
      <c r="D1425" s="1">
        <v>2560</v>
      </c>
      <c r="E1425" s="3">
        <f t="shared" si="10"/>
        <v>0.30960086299892126</v>
      </c>
      <c r="F1425" s="1" t="s">
        <v>670</v>
      </c>
      <c r="G1425" s="1" t="s">
        <v>24</v>
      </c>
      <c r="H1425" s="1">
        <v>86320</v>
      </c>
      <c r="I1425" s="1">
        <v>139482</v>
      </c>
      <c r="J1425" s="7">
        <v>0.61899999999999999</v>
      </c>
      <c r="K1425" s="1" t="s">
        <v>21</v>
      </c>
      <c r="L1425" s="1" t="s">
        <v>21</v>
      </c>
      <c r="M1425" s="1" t="s">
        <v>29</v>
      </c>
      <c r="N1425" s="1" t="s">
        <v>22</v>
      </c>
      <c r="O1425" s="1" t="str">
        <f t="shared" ca="1" si="11"/>
        <v>Please solve the LeetCode problem '858. Mirror Reflection'.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26" spans="1:15" x14ac:dyDescent="0.25">
      <c r="A1426" s="1">
        <v>2434</v>
      </c>
      <c r="B1426" s="2" t="str">
        <f>HYPERLINK("https://leetcode.com/problems/using-a-robot-to-print-the-lexicographically-smallest-string/", "Using a Robot to Print the Lexicographically Smallest String")</f>
        <v>Using a Robot to Print the Lexicographically Smallest String</v>
      </c>
      <c r="C1426" s="1">
        <v>1148</v>
      </c>
      <c r="D1426" s="1">
        <v>305</v>
      </c>
      <c r="E1426" s="3">
        <f t="shared" si="10"/>
        <v>0.79008947006194086</v>
      </c>
      <c r="F1426" s="1" t="s">
        <v>669</v>
      </c>
      <c r="G1426" s="1" t="s">
        <v>24</v>
      </c>
      <c r="H1426" s="1">
        <v>106945</v>
      </c>
      <c r="I1426" s="1">
        <v>171158</v>
      </c>
      <c r="J1426" s="7">
        <v>0.625</v>
      </c>
      <c r="K1426" s="1" t="s">
        <v>21</v>
      </c>
      <c r="L1426" s="1" t="s">
        <v>21</v>
      </c>
      <c r="M1426" s="1" t="s">
        <v>29</v>
      </c>
      <c r="N1426" s="1" t="s">
        <v>22</v>
      </c>
      <c r="O1426" s="1" t="str">
        <f t="shared" ca="1" si="11"/>
        <v>Please solve the LeetCode problem '2434. Using a Robot to Print the Lexicographically Smallest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27" spans="1:15" x14ac:dyDescent="0.25">
      <c r="A1427" s="1">
        <v>2657</v>
      </c>
      <c r="B1427" s="2" t="str">
        <f>HYPERLINK("https://leetcode.com/problems/find-the-prefix-common-array-of-two-arrays/", "Find the Prefix Common Array of Two Arrays")</f>
        <v>Find the Prefix Common Array of Two Arrays</v>
      </c>
      <c r="C1427" s="1">
        <v>1146</v>
      </c>
      <c r="D1427" s="1">
        <v>73</v>
      </c>
      <c r="E1427" s="3">
        <f t="shared" si="10"/>
        <v>0.94011484823625924</v>
      </c>
      <c r="F1427" s="1" t="s">
        <v>667</v>
      </c>
      <c r="G1427" s="1" t="s">
        <v>24</v>
      </c>
      <c r="H1427" s="1">
        <v>232903</v>
      </c>
      <c r="I1427" s="1">
        <v>267754</v>
      </c>
      <c r="J1427" s="7">
        <v>0.87</v>
      </c>
      <c r="K1427" s="1" t="s">
        <v>21</v>
      </c>
      <c r="L1427" s="1" t="s">
        <v>21</v>
      </c>
      <c r="M1427" s="1" t="s">
        <v>29</v>
      </c>
      <c r="N1427" s="1" t="s">
        <v>22</v>
      </c>
      <c r="O1427" s="1" t="str">
        <f t="shared" ca="1" si="11"/>
        <v>Please solve the LeetCode problem '2657. Find the Prefix Common Array of Two Arrays'.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28" spans="1:15" x14ac:dyDescent="0.25">
      <c r="A1428" s="1">
        <v>1633</v>
      </c>
      <c r="B1428" s="2" t="str">
        <f>HYPERLINK("https://leetcode.com/problems/percentage-of-users-attended-a-contest/", "Percentage of Users Attended a Contest")</f>
        <v>Percentage of Users Attended a Contest</v>
      </c>
      <c r="C1428" s="1">
        <v>1145</v>
      </c>
      <c r="D1428" s="1">
        <v>105</v>
      </c>
      <c r="E1428" s="3">
        <f t="shared" si="10"/>
        <v>0.91600000000000004</v>
      </c>
      <c r="F1428" s="1" t="s">
        <v>297</v>
      </c>
      <c r="G1428" s="1" t="s">
        <v>20</v>
      </c>
      <c r="H1428" s="1">
        <v>497594</v>
      </c>
      <c r="I1428" s="1">
        <v>831530</v>
      </c>
      <c r="J1428" s="7">
        <v>0.59799999999999998</v>
      </c>
      <c r="K1428" s="1" t="s">
        <v>21</v>
      </c>
      <c r="L1428" s="1" t="s">
        <v>21</v>
      </c>
      <c r="M1428" s="1" t="s">
        <v>29</v>
      </c>
      <c r="N1428" s="1" t="s">
        <v>297</v>
      </c>
      <c r="O1428" s="1" t="str">
        <f t="shared" ca="1" si="11"/>
        <v>Please solve the LeetCode problem '1633. Percentage of Users Attended a Contest'.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29" spans="1:15" x14ac:dyDescent="0.25">
      <c r="A1429" s="1">
        <v>2210</v>
      </c>
      <c r="B1429" s="2" t="str">
        <f>HYPERLINK("https://leetcode.com/problems/count-hills-and-valleys-in-an-array/", "Count Hills and Valleys in an Array")</f>
        <v>Count Hills and Valleys in an Array</v>
      </c>
      <c r="C1429" s="1">
        <v>1145</v>
      </c>
      <c r="D1429" s="1">
        <v>142</v>
      </c>
      <c r="E1429" s="3">
        <f t="shared" si="10"/>
        <v>0.88966588966588966</v>
      </c>
      <c r="F1429" s="1" t="s">
        <v>113</v>
      </c>
      <c r="G1429" s="1" t="s">
        <v>20</v>
      </c>
      <c r="H1429" s="1">
        <v>179404</v>
      </c>
      <c r="I1429" s="1">
        <v>259325</v>
      </c>
      <c r="J1429" s="7">
        <v>0.69199999999999995</v>
      </c>
      <c r="K1429" s="1" t="s">
        <v>21</v>
      </c>
      <c r="L1429" s="1" t="s">
        <v>21</v>
      </c>
      <c r="M1429" s="1" t="s">
        <v>29</v>
      </c>
      <c r="N1429" s="1" t="s">
        <v>22</v>
      </c>
      <c r="O1429" s="1" t="str">
        <f t="shared" ca="1" si="11"/>
        <v>Please solve the LeetCode problem '2210. Count Hills and Valleys in an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30" spans="1:15" x14ac:dyDescent="0.25">
      <c r="A1430" s="1">
        <v>932</v>
      </c>
      <c r="B1430" s="2" t="str">
        <f>HYPERLINK("https://leetcode.com/problems/beautiful-array/", "Beautiful Array")</f>
        <v>Beautiful Array</v>
      </c>
      <c r="C1430" s="1">
        <v>1144</v>
      </c>
      <c r="D1430" s="1">
        <v>1580</v>
      </c>
      <c r="E1430" s="3">
        <f t="shared" si="10"/>
        <v>0.41997063142437591</v>
      </c>
      <c r="F1430" s="1" t="s">
        <v>668</v>
      </c>
      <c r="G1430" s="1" t="s">
        <v>24</v>
      </c>
      <c r="H1430" s="1">
        <v>56402</v>
      </c>
      <c r="I1430" s="1">
        <v>82699</v>
      </c>
      <c r="J1430" s="7">
        <v>0.68200000000000005</v>
      </c>
      <c r="K1430" s="1" t="s">
        <v>21</v>
      </c>
      <c r="L1430" s="1" t="s">
        <v>21</v>
      </c>
      <c r="M1430" s="1" t="s">
        <v>29</v>
      </c>
      <c r="N1430" s="1" t="s">
        <v>22</v>
      </c>
      <c r="O1430" s="1" t="str">
        <f t="shared" ca="1" si="11"/>
        <v>Please solve the LeetCode problem '932. Beautiful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31" spans="1:15" x14ac:dyDescent="0.25">
      <c r="A1431" s="1">
        <v>1648</v>
      </c>
      <c r="B1431" s="2" t="str">
        <f>HYPERLINK("https://leetcode.com/problems/sell-diminishing-valued-colored-balls/", "Sell Diminishing-Valued Colored Balls")</f>
        <v>Sell Diminishing-Valued Colored Balls</v>
      </c>
      <c r="C1431" s="1">
        <v>1144</v>
      </c>
      <c r="D1431" s="1">
        <v>399</v>
      </c>
      <c r="E1431" s="3">
        <f t="shared" si="10"/>
        <v>0.74141283214517173</v>
      </c>
      <c r="F1431" s="1" t="s">
        <v>671</v>
      </c>
      <c r="G1431" s="1" t="s">
        <v>24</v>
      </c>
      <c r="H1431" s="1">
        <v>42820</v>
      </c>
      <c r="I1431" s="1">
        <v>142832</v>
      </c>
      <c r="J1431" s="7">
        <v>0.3</v>
      </c>
      <c r="K1431" s="1" t="s">
        <v>21</v>
      </c>
      <c r="L1431" s="1" t="s">
        <v>29</v>
      </c>
      <c r="M1431" s="1" t="s">
        <v>29</v>
      </c>
      <c r="N1431" s="1" t="s">
        <v>22</v>
      </c>
      <c r="O1431" s="1" t="str">
        <f t="shared" ca="1" si="11"/>
        <v>Please solve the LeetCode problem '1648. Sell Diminishing-Valued Colored Balls'.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32" spans="1:15" x14ac:dyDescent="0.25">
      <c r="A1432" s="1">
        <v>2311</v>
      </c>
      <c r="B1432" s="2" t="str">
        <f>HYPERLINK("https://leetcode.com/problems/longest-binary-subsequence-less-than-or-equal-to-k/", "Longest Binary Subsequence Less Than or Equal to K")</f>
        <v>Longest Binary Subsequence Less Than or Equal to K</v>
      </c>
      <c r="C1432" s="1">
        <v>1141</v>
      </c>
      <c r="D1432" s="1">
        <v>79</v>
      </c>
      <c r="E1432" s="3">
        <f t="shared" si="10"/>
        <v>0.93524590163934429</v>
      </c>
      <c r="F1432" s="1" t="s">
        <v>672</v>
      </c>
      <c r="G1432" s="1" t="s">
        <v>24</v>
      </c>
      <c r="H1432" s="1">
        <v>110745</v>
      </c>
      <c r="I1432" s="1">
        <v>209521</v>
      </c>
      <c r="J1432" s="7">
        <v>0.52900000000000003</v>
      </c>
      <c r="K1432" s="1" t="s">
        <v>21</v>
      </c>
      <c r="L1432" s="1" t="s">
        <v>21</v>
      </c>
      <c r="M1432" s="1" t="s">
        <v>29</v>
      </c>
      <c r="N1432" s="1" t="s">
        <v>22</v>
      </c>
      <c r="O1432" s="1" t="str">
        <f t="shared" ca="1" si="11"/>
        <v>Please solve the LeetCode problem '2311. Longest Binary Subsequence Less Than or Equal to K'.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33" spans="1:15" x14ac:dyDescent="0.25">
      <c r="A1433" s="1">
        <v>418</v>
      </c>
      <c r="B1433" s="2" t="str">
        <f>HYPERLINK("https://leetcode.com/problems/sentence-screen-fitting/", "Sentence Screen Fitting")</f>
        <v>Sentence Screen Fitting</v>
      </c>
      <c r="C1433" s="1">
        <v>1139</v>
      </c>
      <c r="D1433" s="1">
        <v>543</v>
      </c>
      <c r="E1433" s="3">
        <f t="shared" si="10"/>
        <v>0.67717003567181921</v>
      </c>
      <c r="F1433" s="1" t="s">
        <v>225</v>
      </c>
      <c r="G1433" s="1" t="s">
        <v>24</v>
      </c>
      <c r="H1433" s="1">
        <v>106464</v>
      </c>
      <c r="I1433" s="1">
        <v>292569</v>
      </c>
      <c r="J1433" s="7">
        <v>0.36399999999999999</v>
      </c>
      <c r="K1433" s="1" t="s">
        <v>29</v>
      </c>
      <c r="L1433" s="1" t="s">
        <v>29</v>
      </c>
      <c r="M1433" s="1" t="s">
        <v>29</v>
      </c>
      <c r="N1433" s="1" t="s">
        <v>22</v>
      </c>
      <c r="O1433" s="1" t="str">
        <f t="shared" ca="1" si="11"/>
        <v>Please solve the LeetCode problem '418. Sentence Screen Fitting'.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34" spans="1:15" x14ac:dyDescent="0.25">
      <c r="A1434" s="1">
        <v>1984</v>
      </c>
      <c r="B1434" s="2" t="str">
        <f>HYPERLINK("https://leetcode.com/problems/minimum-difference-between-highest-and-lowest-of-k-scores/", "Minimum Difference Between Highest and Lowest of K Scores")</f>
        <v>Minimum Difference Between Highest and Lowest of K Scores</v>
      </c>
      <c r="C1434" s="1">
        <v>1139</v>
      </c>
      <c r="D1434" s="1">
        <v>330</v>
      </c>
      <c r="E1434" s="3">
        <f t="shared" si="10"/>
        <v>0.775357385976855</v>
      </c>
      <c r="F1434" s="1" t="s">
        <v>604</v>
      </c>
      <c r="G1434" s="1" t="s">
        <v>20</v>
      </c>
      <c r="H1434" s="1">
        <v>128201</v>
      </c>
      <c r="I1434" s="1">
        <v>215214</v>
      </c>
      <c r="J1434" s="7">
        <v>0.59599999999999997</v>
      </c>
      <c r="K1434" s="1" t="s">
        <v>21</v>
      </c>
      <c r="L1434" s="1" t="s">
        <v>29</v>
      </c>
      <c r="M1434" s="1" t="s">
        <v>29</v>
      </c>
      <c r="N1434" s="1" t="s">
        <v>22</v>
      </c>
      <c r="O1434" s="1" t="str">
        <f t="shared" ca="1" si="11"/>
        <v>Please solve the LeetCode problem '1984. Minimum Difference Between Highest and Lowest of K Scores'.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35" spans="1:15" x14ac:dyDescent="0.25">
      <c r="A1435" s="1">
        <v>1292</v>
      </c>
      <c r="B1435" s="2" t="str">
        <f>HYPERLINK("https://leetcode.com/problems/maximum-side-length-of-a-square-with-sum-less-than-or-equal-to-threshold/", "Maximum Side Length of a Square with Sum Less than or Equal to Threshold")</f>
        <v>Maximum Side Length of a Square with Sum Less than or Equal to Threshold</v>
      </c>
      <c r="C1435" s="1">
        <v>1138</v>
      </c>
      <c r="D1435" s="1">
        <v>99</v>
      </c>
      <c r="E1435" s="3">
        <f t="shared" si="10"/>
        <v>0.91996766370250604</v>
      </c>
      <c r="F1435" s="1" t="s">
        <v>580</v>
      </c>
      <c r="G1435" s="1" t="s">
        <v>24</v>
      </c>
      <c r="H1435" s="1">
        <v>40116</v>
      </c>
      <c r="I1435" s="1">
        <v>74305</v>
      </c>
      <c r="J1435" s="7">
        <v>0.54</v>
      </c>
      <c r="K1435" s="1" t="s">
        <v>21</v>
      </c>
      <c r="L1435" s="1" t="s">
        <v>21</v>
      </c>
      <c r="M1435" s="1" t="s">
        <v>29</v>
      </c>
      <c r="N1435" s="1" t="s">
        <v>22</v>
      </c>
      <c r="O1435" s="1" t="str">
        <f t="shared" ca="1" si="11"/>
        <v>Please solve the LeetCode problem '1292. Maximum Side Length of a Square with Sum Less than or Equal to Threshold'.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36" spans="1:15" x14ac:dyDescent="0.25">
      <c r="A1436" s="1">
        <v>536</v>
      </c>
      <c r="B1436" s="2" t="str">
        <f>HYPERLINK("https://leetcode.com/problems/construct-binary-tree-from-string/", "Construct Binary Tree from String")</f>
        <v>Construct Binary Tree from String</v>
      </c>
      <c r="C1436" s="1">
        <v>1134</v>
      </c>
      <c r="D1436" s="1">
        <v>184</v>
      </c>
      <c r="E1436" s="3">
        <f t="shared" si="10"/>
        <v>0.86039453717754177</v>
      </c>
      <c r="F1436" s="1" t="s">
        <v>676</v>
      </c>
      <c r="G1436" s="1" t="s">
        <v>24</v>
      </c>
      <c r="H1436" s="1">
        <v>126310</v>
      </c>
      <c r="I1436" s="1">
        <v>215317</v>
      </c>
      <c r="J1436" s="7">
        <v>0.58699999999999997</v>
      </c>
      <c r="K1436" s="1" t="s">
        <v>29</v>
      </c>
      <c r="L1436" s="1" t="s">
        <v>21</v>
      </c>
      <c r="M1436" s="1" t="s">
        <v>29</v>
      </c>
      <c r="N1436" s="1" t="s">
        <v>22</v>
      </c>
      <c r="O1436" s="1" t="str">
        <f t="shared" ca="1" si="11"/>
        <v>Please solve the LeetCode problem '536. Construct Binary Tree from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37" spans="1:15" x14ac:dyDescent="0.25">
      <c r="A1437" s="1">
        <v>1846</v>
      </c>
      <c r="B1437" s="2" t="str">
        <f>HYPERLINK("https://leetcode.com/problems/maximum-element-after-decreasing-and-rearranging/", "Maximum Element After Decreasing and Rearranging")</f>
        <v>Maximum Element After Decreasing and Rearranging</v>
      </c>
      <c r="C1437" s="1">
        <v>1134</v>
      </c>
      <c r="D1437" s="1">
        <v>278</v>
      </c>
      <c r="E1437" s="3">
        <f t="shared" si="10"/>
        <v>0.80311614730878189</v>
      </c>
      <c r="F1437" s="1" t="s">
        <v>169</v>
      </c>
      <c r="G1437" s="1" t="s">
        <v>24</v>
      </c>
      <c r="H1437" s="1">
        <v>113549</v>
      </c>
      <c r="I1437" s="1">
        <v>172647</v>
      </c>
      <c r="J1437" s="7">
        <v>0.65800000000000003</v>
      </c>
      <c r="K1437" s="1" t="s">
        <v>21</v>
      </c>
      <c r="L1437" s="1" t="s">
        <v>21</v>
      </c>
      <c r="M1437" s="1" t="s">
        <v>29</v>
      </c>
      <c r="N1437" s="1" t="s">
        <v>22</v>
      </c>
      <c r="O1437" s="1" t="str">
        <f t="shared" ca="1" si="11"/>
        <v>Please solve the LeetCode problem '1846. Maximum Element After Decreasing and Rearranging'.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38" spans="1:15" x14ac:dyDescent="0.25">
      <c r="A1438" s="1">
        <v>2163</v>
      </c>
      <c r="B1438" s="2" t="str">
        <f>HYPERLINK("https://leetcode.com/problems/minimum-difference-in-sums-after-removal-of-elements/", "Minimum Difference in Sums After Removal of Elements")</f>
        <v>Minimum Difference in Sums After Removal of Elements</v>
      </c>
      <c r="C1438" s="1">
        <v>1132</v>
      </c>
      <c r="D1438" s="1">
        <v>42</v>
      </c>
      <c r="E1438" s="3">
        <f t="shared" si="10"/>
        <v>0.96422487223168651</v>
      </c>
      <c r="F1438" s="1" t="s">
        <v>678</v>
      </c>
      <c r="G1438" s="1" t="s">
        <v>28</v>
      </c>
      <c r="H1438" s="1">
        <v>82045</v>
      </c>
      <c r="I1438" s="1">
        <v>117377</v>
      </c>
      <c r="J1438" s="7">
        <v>0.69899999999999995</v>
      </c>
      <c r="K1438" s="1" t="s">
        <v>21</v>
      </c>
      <c r="L1438" s="1" t="s">
        <v>21</v>
      </c>
      <c r="M1438" s="1" t="s">
        <v>29</v>
      </c>
      <c r="N1438" s="1" t="s">
        <v>22</v>
      </c>
      <c r="O1438" s="1" t="str">
        <f t="shared" ca="1" si="11"/>
        <v>Please solve the LeetCode problem '2163. Minimum Difference in Sums After Removal of Elements'.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39" spans="1:15" x14ac:dyDescent="0.25">
      <c r="A1439" s="1">
        <v>2275</v>
      </c>
      <c r="B1439" s="2" t="str">
        <f>HYPERLINK("https://leetcode.com/problems/largest-combination-with-bitwise-and-greater-than-zero/", "Largest Combination With Bitwise AND Greater Than Zero")</f>
        <v>Largest Combination With Bitwise AND Greater Than Zero</v>
      </c>
      <c r="C1439" s="1">
        <v>1132</v>
      </c>
      <c r="D1439" s="1">
        <v>60</v>
      </c>
      <c r="E1439" s="3">
        <f t="shared" si="10"/>
        <v>0.94966442953020136</v>
      </c>
      <c r="F1439" s="1" t="s">
        <v>657</v>
      </c>
      <c r="G1439" s="1" t="s">
        <v>24</v>
      </c>
      <c r="H1439" s="1">
        <v>154932</v>
      </c>
      <c r="I1439" s="1">
        <v>191756</v>
      </c>
      <c r="J1439" s="7">
        <v>0.80800000000000005</v>
      </c>
      <c r="K1439" s="1" t="s">
        <v>21</v>
      </c>
      <c r="L1439" s="1" t="s">
        <v>21</v>
      </c>
      <c r="M1439" s="1" t="s">
        <v>29</v>
      </c>
      <c r="N1439" s="1" t="s">
        <v>22</v>
      </c>
      <c r="O1439" s="1" t="str">
        <f t="shared" ca="1" si="11"/>
        <v>Please solve the LeetCode problem '2275. Largest Combination With Bitwise AND Greater Than Zero'.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40" spans="1:15" x14ac:dyDescent="0.25">
      <c r="A1440" s="1">
        <v>1388</v>
      </c>
      <c r="B1440" s="2" t="str">
        <f>HYPERLINK("https://leetcode.com/problems/pizza-with-3n-slices/", "Pizza With 3n Slices")</f>
        <v>Pizza With 3n Slices</v>
      </c>
      <c r="C1440" s="1">
        <v>1131</v>
      </c>
      <c r="D1440" s="1">
        <v>24</v>
      </c>
      <c r="E1440" s="3">
        <f t="shared" si="10"/>
        <v>0.97922077922077921</v>
      </c>
      <c r="F1440" s="1" t="s">
        <v>265</v>
      </c>
      <c r="G1440" s="1" t="s">
        <v>28</v>
      </c>
      <c r="H1440" s="1">
        <v>36511</v>
      </c>
      <c r="I1440" s="1">
        <v>68113</v>
      </c>
      <c r="J1440" s="7">
        <v>0.53600000000000003</v>
      </c>
      <c r="K1440" s="1" t="s">
        <v>21</v>
      </c>
      <c r="L1440" s="1" t="s">
        <v>29</v>
      </c>
      <c r="M1440" s="1" t="s">
        <v>29</v>
      </c>
      <c r="N1440" s="1" t="s">
        <v>22</v>
      </c>
      <c r="O1440" s="1" t="str">
        <f t="shared" ca="1" si="11"/>
        <v>Please solve the LeetCode problem '1388. Pizza With 3n Slices'.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41" spans="1:15" x14ac:dyDescent="0.25">
      <c r="A1441" s="1">
        <v>582</v>
      </c>
      <c r="B1441" s="2" t="str">
        <f>HYPERLINK("https://leetcode.com/problems/kill-process/", "Kill Process")</f>
        <v>Kill Process</v>
      </c>
      <c r="C1441" s="1">
        <v>1126</v>
      </c>
      <c r="D1441" s="1">
        <v>21</v>
      </c>
      <c r="E1441" s="3">
        <f t="shared" si="10"/>
        <v>0.981691368788143</v>
      </c>
      <c r="F1441" s="1" t="s">
        <v>471</v>
      </c>
      <c r="G1441" s="1" t="s">
        <v>24</v>
      </c>
      <c r="H1441" s="1">
        <v>94511</v>
      </c>
      <c r="I1441" s="1">
        <v>134543</v>
      </c>
      <c r="J1441" s="7">
        <v>0.70199999999999996</v>
      </c>
      <c r="K1441" s="1" t="s">
        <v>29</v>
      </c>
      <c r="L1441" s="1" t="s">
        <v>21</v>
      </c>
      <c r="M1441" s="1" t="s">
        <v>21</v>
      </c>
      <c r="N1441" s="1" t="s">
        <v>22</v>
      </c>
      <c r="O1441" s="1" t="str">
        <f t="shared" ca="1" si="11"/>
        <v>Please solve the LeetCode problem '582. Kill Process'.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42" spans="1:15" x14ac:dyDescent="0.25">
      <c r="A1442" s="1">
        <v>1711</v>
      </c>
      <c r="B1442" s="2" t="str">
        <f>HYPERLINK("https://leetcode.com/problems/count-good-meals/", "Count Good Meals")</f>
        <v>Count Good Meals</v>
      </c>
      <c r="C1442" s="1">
        <v>1125</v>
      </c>
      <c r="D1442" s="1">
        <v>247</v>
      </c>
      <c r="E1442" s="3">
        <f t="shared" si="10"/>
        <v>0.81997084548104959</v>
      </c>
      <c r="F1442" s="1" t="s">
        <v>19</v>
      </c>
      <c r="G1442" s="1" t="s">
        <v>24</v>
      </c>
      <c r="H1442" s="1">
        <v>51704</v>
      </c>
      <c r="I1442" s="1">
        <v>159466</v>
      </c>
      <c r="J1442" s="7">
        <v>0.32400000000000001</v>
      </c>
      <c r="K1442" s="1" t="s">
        <v>21</v>
      </c>
      <c r="L1442" s="1" t="s">
        <v>29</v>
      </c>
      <c r="M1442" s="1" t="s">
        <v>29</v>
      </c>
      <c r="N1442" s="1" t="s">
        <v>22</v>
      </c>
      <c r="O1442" s="1" t="str">
        <f t="shared" ca="1" si="11"/>
        <v>Please solve the LeetCode problem '1711. Count Good Meals'.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43" spans="1:15" x14ac:dyDescent="0.25">
      <c r="A1443" s="1">
        <v>2807</v>
      </c>
      <c r="B1443" s="2" t="str">
        <f>HYPERLINK("https://leetcode.com/problems/insert-greatest-common-divisors-in-linked-list/", "Insert Greatest Common Divisors in Linked List")</f>
        <v>Insert Greatest Common Divisors in Linked List</v>
      </c>
      <c r="C1443" s="1">
        <v>1125</v>
      </c>
      <c r="D1443" s="1">
        <v>36</v>
      </c>
      <c r="E1443" s="3">
        <f t="shared" si="10"/>
        <v>0.96899224806201545</v>
      </c>
      <c r="F1443" s="1" t="s">
        <v>675</v>
      </c>
      <c r="G1443" s="1" t="s">
        <v>24</v>
      </c>
      <c r="H1443" s="1">
        <v>284549</v>
      </c>
      <c r="I1443" s="1">
        <v>311123</v>
      </c>
      <c r="J1443" s="7">
        <v>0.91500000000000004</v>
      </c>
      <c r="K1443" s="1" t="s">
        <v>21</v>
      </c>
      <c r="L1443" s="1" t="s">
        <v>21</v>
      </c>
      <c r="M1443" s="1" t="s">
        <v>29</v>
      </c>
      <c r="N1443" s="1" t="s">
        <v>22</v>
      </c>
      <c r="O1443" s="1" t="str">
        <f t="shared" ca="1" si="11"/>
        <v>Please solve the LeetCode problem '2807. Insert Greatest Common Divisors in Linked List'.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44" spans="1:15" x14ac:dyDescent="0.25">
      <c r="A1444" s="1">
        <v>1494</v>
      </c>
      <c r="B1444" s="2" t="str">
        <f>HYPERLINK("https://leetcode.com/problems/parallel-courses-ii/", "Parallel Courses II")</f>
        <v>Parallel Courses II</v>
      </c>
      <c r="C1444" s="1">
        <v>1123</v>
      </c>
      <c r="D1444" s="1">
        <v>77</v>
      </c>
      <c r="E1444" s="3">
        <f t="shared" si="10"/>
        <v>0.93583333333333329</v>
      </c>
      <c r="F1444" s="1" t="s">
        <v>1366</v>
      </c>
      <c r="G1444" s="1" t="s">
        <v>28</v>
      </c>
      <c r="H1444" s="1">
        <v>25271</v>
      </c>
      <c r="I1444" s="1">
        <v>83544</v>
      </c>
      <c r="J1444" s="7">
        <v>0.30199999999999999</v>
      </c>
      <c r="K1444" s="1" t="s">
        <v>21</v>
      </c>
      <c r="L1444" s="1" t="s">
        <v>29</v>
      </c>
      <c r="M1444" s="1" t="s">
        <v>29</v>
      </c>
      <c r="N1444" s="1" t="s">
        <v>22</v>
      </c>
      <c r="O1444" s="1" t="str">
        <f t="shared" ca="1" si="11"/>
        <v>Please solve the LeetCode problem '1494. Parallel Courses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45" spans="1:15" x14ac:dyDescent="0.25">
      <c r="A1445" s="1">
        <v>2028</v>
      </c>
      <c r="B1445" s="2" t="str">
        <f>HYPERLINK("https://leetcode.com/problems/find-missing-observations/", "Find Missing Observations")</f>
        <v>Find Missing Observations</v>
      </c>
      <c r="C1445" s="1">
        <v>1123</v>
      </c>
      <c r="D1445" s="1">
        <v>108</v>
      </c>
      <c r="E1445" s="3">
        <f t="shared" si="10"/>
        <v>0.91226645004061735</v>
      </c>
      <c r="F1445" s="1" t="s">
        <v>629</v>
      </c>
      <c r="G1445" s="1" t="s">
        <v>24</v>
      </c>
      <c r="H1445" s="1">
        <v>173698</v>
      </c>
      <c r="I1445" s="1">
        <v>302700</v>
      </c>
      <c r="J1445" s="7">
        <v>0.57399999999999995</v>
      </c>
      <c r="K1445" s="1" t="s">
        <v>21</v>
      </c>
      <c r="L1445" s="1" t="s">
        <v>21</v>
      </c>
      <c r="M1445" s="1" t="s">
        <v>29</v>
      </c>
      <c r="N1445" s="1" t="s">
        <v>22</v>
      </c>
      <c r="O1445" s="1" t="str">
        <f t="shared" ca="1" si="11"/>
        <v>Please solve the LeetCode problem '2028. Find Missing Observations'.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46" spans="1:15" x14ac:dyDescent="0.25">
      <c r="A1446" s="1">
        <v>425</v>
      </c>
      <c r="B1446" s="2" t="str">
        <f>HYPERLINK("https://leetcode.com/problems/word-squares/", "Word Squares")</f>
        <v>Word Squares</v>
      </c>
      <c r="C1446" s="1">
        <v>1122</v>
      </c>
      <c r="D1446" s="1">
        <v>75</v>
      </c>
      <c r="E1446" s="3">
        <f t="shared" si="10"/>
        <v>0.93734335839598992</v>
      </c>
      <c r="F1446" s="1" t="s">
        <v>679</v>
      </c>
      <c r="G1446" s="1" t="s">
        <v>28</v>
      </c>
      <c r="H1446" s="1">
        <v>82672</v>
      </c>
      <c r="I1446" s="1">
        <v>151477</v>
      </c>
      <c r="J1446" s="7">
        <v>0.54600000000000004</v>
      </c>
      <c r="K1446" s="1" t="s">
        <v>29</v>
      </c>
      <c r="L1446" s="1" t="s">
        <v>21</v>
      </c>
      <c r="M1446" s="1" t="s">
        <v>29</v>
      </c>
      <c r="N1446" s="1" t="s">
        <v>22</v>
      </c>
      <c r="O1446" s="1" t="str">
        <f t="shared" ca="1" si="11"/>
        <v>Please solve the LeetCode problem '425. Word Squares'.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47" spans="1:15" x14ac:dyDescent="0.25">
      <c r="A1447" s="1">
        <v>1851</v>
      </c>
      <c r="B1447" s="2" t="str">
        <f>HYPERLINK("https://leetcode.com/problems/minimum-interval-to-include-each-query/", "Minimum Interval to Include Each Query")</f>
        <v>Minimum Interval to Include Each Query</v>
      </c>
      <c r="C1447" s="1">
        <v>1122</v>
      </c>
      <c r="D1447" s="1">
        <v>47</v>
      </c>
      <c r="E1447" s="3">
        <f t="shared" si="10"/>
        <v>0.95979469632164238</v>
      </c>
      <c r="F1447" s="1" t="s">
        <v>674</v>
      </c>
      <c r="G1447" s="1" t="s">
        <v>28</v>
      </c>
      <c r="H1447" s="1">
        <v>65888</v>
      </c>
      <c r="I1447" s="1">
        <v>122709</v>
      </c>
      <c r="J1447" s="7">
        <v>0.53700000000000003</v>
      </c>
      <c r="K1447" s="1" t="s">
        <v>21</v>
      </c>
      <c r="L1447" s="1" t="s">
        <v>29</v>
      </c>
      <c r="M1447" s="1" t="s">
        <v>29</v>
      </c>
      <c r="N1447" s="1" t="s">
        <v>22</v>
      </c>
      <c r="O1447" s="1" t="str">
        <f t="shared" ca="1" si="11"/>
        <v>Please solve the LeetCode problem '1851. Minimum Interval to Include Each Query'.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48" spans="1:15" x14ac:dyDescent="0.25">
      <c r="A1448" s="1">
        <v>311</v>
      </c>
      <c r="B1448" s="2" t="str">
        <f>HYPERLINK("https://leetcode.com/problems/sparse-matrix-multiplication/", "Sparse Matrix Multiplication")</f>
        <v>Sparse Matrix Multiplication</v>
      </c>
      <c r="C1448" s="1">
        <v>1121</v>
      </c>
      <c r="D1448" s="1">
        <v>373</v>
      </c>
      <c r="E1448" s="3">
        <f t="shared" si="10"/>
        <v>0.75033467202141901</v>
      </c>
      <c r="F1448" s="1" t="s">
        <v>78</v>
      </c>
      <c r="G1448" s="1" t="s">
        <v>24</v>
      </c>
      <c r="H1448" s="1">
        <v>218260</v>
      </c>
      <c r="I1448" s="1">
        <v>315513</v>
      </c>
      <c r="J1448" s="7">
        <v>0.69199999999999995</v>
      </c>
      <c r="K1448" s="1" t="s">
        <v>29</v>
      </c>
      <c r="L1448" s="1" t="s">
        <v>21</v>
      </c>
      <c r="M1448" s="1" t="s">
        <v>29</v>
      </c>
      <c r="N1448" s="1" t="s">
        <v>22</v>
      </c>
      <c r="O1448" s="1" t="str">
        <f t="shared" ca="1" si="11"/>
        <v>Please solve the LeetCode problem '311. Sparse Matrix Multiplication'.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49" spans="1:15" x14ac:dyDescent="0.25">
      <c r="A1449" s="1">
        <v>2577</v>
      </c>
      <c r="B1449" s="2" t="str">
        <f>HYPERLINK("https://leetcode.com/problems/minimum-time-to-visit-a-cell-in-a-grid/", "Minimum Time to Visit a Cell In a Grid")</f>
        <v>Minimum Time to Visit a Cell In a Grid</v>
      </c>
      <c r="C1449" s="1">
        <v>1121</v>
      </c>
      <c r="D1449" s="1">
        <v>44</v>
      </c>
      <c r="E1449" s="3">
        <f t="shared" si="10"/>
        <v>0.96223175965665231</v>
      </c>
      <c r="F1449" s="1" t="s">
        <v>415</v>
      </c>
      <c r="G1449" s="1" t="s">
        <v>28</v>
      </c>
      <c r="H1449" s="1">
        <v>86981</v>
      </c>
      <c r="I1449" s="1">
        <v>154325</v>
      </c>
      <c r="J1449" s="7">
        <v>0.56399999999999995</v>
      </c>
      <c r="K1449" s="1" t="s">
        <v>21</v>
      </c>
      <c r="L1449" s="1" t="s">
        <v>21</v>
      </c>
      <c r="M1449" s="1" t="s">
        <v>29</v>
      </c>
      <c r="N1449" s="1" t="s">
        <v>22</v>
      </c>
      <c r="O1449" s="1" t="str">
        <f t="shared" ca="1" si="11"/>
        <v>Please solve the LeetCode problem '2577. Minimum Time to Visit a Cell In a Grid'.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50" spans="1:15" x14ac:dyDescent="0.25">
      <c r="A1450" s="1">
        <v>1321</v>
      </c>
      <c r="B1450" s="2" t="str">
        <f>HYPERLINK("https://leetcode.com/problems/restaurant-growth/", "Restaurant Growth")</f>
        <v>Restaurant Growth</v>
      </c>
      <c r="C1450" s="1">
        <v>1120</v>
      </c>
      <c r="D1450" s="1">
        <v>375</v>
      </c>
      <c r="E1450" s="3">
        <f t="shared" si="10"/>
        <v>0.74916387959866215</v>
      </c>
      <c r="F1450" s="1" t="s">
        <v>297</v>
      </c>
      <c r="G1450" s="1" t="s">
        <v>24</v>
      </c>
      <c r="H1450" s="1">
        <v>234320</v>
      </c>
      <c r="I1450" s="1">
        <v>403975</v>
      </c>
      <c r="J1450" s="7">
        <v>0.57999999999999996</v>
      </c>
      <c r="K1450" s="1" t="s">
        <v>21</v>
      </c>
      <c r="L1450" s="1" t="s">
        <v>29</v>
      </c>
      <c r="M1450" s="1" t="s">
        <v>29</v>
      </c>
      <c r="N1450" s="1" t="s">
        <v>297</v>
      </c>
      <c r="O1450" s="1" t="str">
        <f t="shared" ca="1" si="11"/>
        <v>Please solve the LeetCode problem '1321. Restaurant Growth'.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51" spans="1:15" x14ac:dyDescent="0.25">
      <c r="A1451" s="1">
        <v>1723</v>
      </c>
      <c r="B1451" s="2" t="str">
        <f>HYPERLINK("https://leetcode.com/problems/find-minimum-time-to-finish-all-jobs/", "Find Minimum Time to Finish All Jobs")</f>
        <v>Find Minimum Time to Finish All Jobs</v>
      </c>
      <c r="C1451" s="1">
        <v>1120</v>
      </c>
      <c r="D1451" s="1">
        <v>37</v>
      </c>
      <c r="E1451" s="3">
        <f t="shared" si="10"/>
        <v>0.96802074330164223</v>
      </c>
      <c r="F1451" s="1" t="s">
        <v>1354</v>
      </c>
      <c r="G1451" s="1" t="s">
        <v>28</v>
      </c>
      <c r="H1451" s="1">
        <v>40892</v>
      </c>
      <c r="I1451" s="1">
        <v>90734</v>
      </c>
      <c r="J1451" s="7">
        <v>0.45100000000000001</v>
      </c>
      <c r="K1451" s="1" t="s">
        <v>21</v>
      </c>
      <c r="L1451" s="1" t="s">
        <v>29</v>
      </c>
      <c r="M1451" s="1" t="s">
        <v>29</v>
      </c>
      <c r="N1451" s="1" t="s">
        <v>22</v>
      </c>
      <c r="O1451" s="1" t="str">
        <f t="shared" ca="1" si="11"/>
        <v>Please solve the LeetCode problem '1723. Find Minimum Time to Finish All Jobs'.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52" spans="1:15" x14ac:dyDescent="0.25">
      <c r="A1452" s="1">
        <v>757</v>
      </c>
      <c r="B1452" s="2" t="str">
        <f>HYPERLINK("https://leetcode.com/problems/set-intersection-size-at-least-two/", "Set Intersection Size At Least Two")</f>
        <v>Set Intersection Size At Least Two</v>
      </c>
      <c r="C1452" s="1">
        <v>1119</v>
      </c>
      <c r="D1452" s="1">
        <v>110</v>
      </c>
      <c r="E1452" s="3">
        <f t="shared" si="10"/>
        <v>0.91049633848657441</v>
      </c>
      <c r="F1452" s="1" t="s">
        <v>169</v>
      </c>
      <c r="G1452" s="1" t="s">
        <v>28</v>
      </c>
      <c r="H1452" s="1">
        <v>94909</v>
      </c>
      <c r="I1452" s="1">
        <v>163909</v>
      </c>
      <c r="J1452" s="7">
        <v>0.57899999999999996</v>
      </c>
      <c r="K1452" s="1" t="s">
        <v>21</v>
      </c>
      <c r="L1452" s="1" t="s">
        <v>21</v>
      </c>
      <c r="M1452" s="1" t="s">
        <v>29</v>
      </c>
      <c r="N1452" s="1" t="s">
        <v>22</v>
      </c>
      <c r="O1452" s="1" t="str">
        <f t="shared" ca="1" si="11"/>
        <v>Please solve the LeetCode problem '757. Set Intersection Size At Least Two'.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53" spans="1:15" x14ac:dyDescent="0.25">
      <c r="A1453" s="1">
        <v>2185</v>
      </c>
      <c r="B1453" s="2" t="str">
        <f>HYPERLINK("https://leetcode.com/problems/counting-words-with-a-given-prefix/", "Counting Words With a Given Prefix")</f>
        <v>Counting Words With a Given Prefix</v>
      </c>
      <c r="C1453" s="1">
        <v>1117</v>
      </c>
      <c r="D1453" s="1">
        <v>38</v>
      </c>
      <c r="E1453" s="3">
        <f t="shared" si="10"/>
        <v>0.96709956709956713</v>
      </c>
      <c r="F1453" s="1" t="s">
        <v>592</v>
      </c>
      <c r="G1453" s="1" t="s">
        <v>20</v>
      </c>
      <c r="H1453" s="1">
        <v>298556</v>
      </c>
      <c r="I1453" s="1">
        <v>353423</v>
      </c>
      <c r="J1453" s="7">
        <v>0.84499999999999997</v>
      </c>
      <c r="K1453" s="1" t="s">
        <v>21</v>
      </c>
      <c r="L1453" s="1" t="s">
        <v>21</v>
      </c>
      <c r="M1453" s="1" t="s">
        <v>29</v>
      </c>
      <c r="N1453" s="1" t="s">
        <v>22</v>
      </c>
      <c r="O1453" s="1" t="str">
        <f t="shared" ca="1" si="11"/>
        <v>Please solve the LeetCode problem '2185. Counting Words With a Given Prefix'.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54" spans="1:15" x14ac:dyDescent="0.25">
      <c r="A1454" s="1">
        <v>2325</v>
      </c>
      <c r="B1454" s="2" t="str">
        <f>HYPERLINK("https://leetcode.com/problems/decode-the-message/", "Decode the Message")</f>
        <v>Decode the Message</v>
      </c>
      <c r="C1454" s="1">
        <v>1117</v>
      </c>
      <c r="D1454" s="1">
        <v>112</v>
      </c>
      <c r="E1454" s="3">
        <f t="shared" si="10"/>
        <v>0.90886899918633035</v>
      </c>
      <c r="F1454" s="1" t="s">
        <v>131</v>
      </c>
      <c r="G1454" s="1" t="s">
        <v>20</v>
      </c>
      <c r="H1454" s="1">
        <v>148878</v>
      </c>
      <c r="I1454" s="1">
        <v>173590</v>
      </c>
      <c r="J1454" s="7">
        <v>0.85799999999999998</v>
      </c>
      <c r="K1454" s="1" t="s">
        <v>21</v>
      </c>
      <c r="L1454" s="1" t="s">
        <v>29</v>
      </c>
      <c r="M1454" s="1" t="s">
        <v>29</v>
      </c>
      <c r="N1454" s="1" t="s">
        <v>22</v>
      </c>
      <c r="O1454" s="1" t="str">
        <f t="shared" ca="1" si="11"/>
        <v>Please solve the LeetCode problem '2325. Decode the Message'.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55" spans="1:15" x14ac:dyDescent="0.25">
      <c r="A1455" s="1">
        <v>2460</v>
      </c>
      <c r="B1455" s="2" t="str">
        <f>HYPERLINK("https://leetcode.com/problems/apply-operations-to-an-array/", "Apply Operations to an Array")</f>
        <v>Apply Operations to an Array</v>
      </c>
      <c r="C1455" s="1">
        <v>1117</v>
      </c>
      <c r="D1455" s="1">
        <v>66</v>
      </c>
      <c r="E1455" s="3">
        <f t="shared" si="10"/>
        <v>0.94420963651732881</v>
      </c>
      <c r="F1455" s="1" t="s">
        <v>303</v>
      </c>
      <c r="G1455" s="1" t="s">
        <v>20</v>
      </c>
      <c r="H1455" s="1">
        <v>265607</v>
      </c>
      <c r="I1455" s="1">
        <v>355284</v>
      </c>
      <c r="J1455" s="7">
        <v>0.748</v>
      </c>
      <c r="K1455" s="1" t="s">
        <v>21</v>
      </c>
      <c r="L1455" s="1" t="s">
        <v>21</v>
      </c>
      <c r="M1455" s="1" t="s">
        <v>29</v>
      </c>
      <c r="N1455" s="1" t="s">
        <v>22</v>
      </c>
      <c r="O1455" s="1" t="str">
        <f t="shared" ca="1" si="11"/>
        <v>Please solve the LeetCode problem '2460. Apply Operations to an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56" spans="1:15" x14ac:dyDescent="0.25">
      <c r="A1456" s="1">
        <v>1419</v>
      </c>
      <c r="B1456" s="2" t="str">
        <f>HYPERLINK("https://leetcode.com/problems/minimum-number-of-frogs-croaking/", "Minimum Number of Frogs Croaking")</f>
        <v>Minimum Number of Frogs Croaking</v>
      </c>
      <c r="C1456" s="1">
        <v>1116</v>
      </c>
      <c r="D1456" s="1">
        <v>95</v>
      </c>
      <c r="E1456" s="3">
        <f t="shared" si="10"/>
        <v>0.92155243600330305</v>
      </c>
      <c r="F1456" s="1" t="s">
        <v>452</v>
      </c>
      <c r="G1456" s="1" t="s">
        <v>24</v>
      </c>
      <c r="H1456" s="1">
        <v>62066</v>
      </c>
      <c r="I1456" s="1">
        <v>121474</v>
      </c>
      <c r="J1456" s="7">
        <v>0.51100000000000001</v>
      </c>
      <c r="K1456" s="1" t="s">
        <v>21</v>
      </c>
      <c r="L1456" s="1" t="s">
        <v>29</v>
      </c>
      <c r="M1456" s="1" t="s">
        <v>29</v>
      </c>
      <c r="N1456" s="1" t="s">
        <v>22</v>
      </c>
      <c r="O1456" s="1" t="str">
        <f t="shared" ca="1" si="11"/>
        <v>Please solve the LeetCode problem '1419. Minimum Number of Frogs Croaking'.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57" spans="1:15" x14ac:dyDescent="0.25">
      <c r="A1457" s="1">
        <v>186</v>
      </c>
      <c r="B1457" s="2" t="str">
        <f>HYPERLINK("https://leetcode.com/problems/reverse-words-in-a-string-ii/", "Reverse Words in a String II")</f>
        <v>Reverse Words in a String II</v>
      </c>
      <c r="C1457" s="1">
        <v>1115</v>
      </c>
      <c r="D1457" s="1">
        <v>146</v>
      </c>
      <c r="E1457" s="3">
        <f t="shared" si="10"/>
        <v>0.88421887390959553</v>
      </c>
      <c r="F1457" s="1" t="s">
        <v>117</v>
      </c>
      <c r="G1457" s="1" t="s">
        <v>24</v>
      </c>
      <c r="H1457" s="1">
        <v>179154</v>
      </c>
      <c r="I1457" s="1">
        <v>317054</v>
      </c>
      <c r="J1457" s="7">
        <v>0.56499999999999995</v>
      </c>
      <c r="K1457" s="1" t="s">
        <v>29</v>
      </c>
      <c r="L1457" s="1" t="s">
        <v>21</v>
      </c>
      <c r="M1457" s="1" t="s">
        <v>21</v>
      </c>
      <c r="N1457" s="1" t="s">
        <v>22</v>
      </c>
      <c r="O1457" s="1" t="str">
        <f t="shared" ca="1" si="11"/>
        <v>Please solve the LeetCode problem '186. Reverse Words in a String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58" spans="1:15" x14ac:dyDescent="0.25">
      <c r="A1458" s="1">
        <v>593</v>
      </c>
      <c r="B1458" s="2" t="str">
        <f>HYPERLINK("https://leetcode.com/problems/valid-square/", "Valid Square")</f>
        <v>Valid Square</v>
      </c>
      <c r="C1458" s="1">
        <v>1115</v>
      </c>
      <c r="D1458" s="1">
        <v>913</v>
      </c>
      <c r="E1458" s="3">
        <f t="shared" si="10"/>
        <v>0.54980276134122286</v>
      </c>
      <c r="F1458" s="1" t="s">
        <v>477</v>
      </c>
      <c r="G1458" s="1" t="s">
        <v>24</v>
      </c>
      <c r="H1458" s="1">
        <v>127046</v>
      </c>
      <c r="I1458" s="1">
        <v>283854</v>
      </c>
      <c r="J1458" s="7">
        <v>0.44800000000000001</v>
      </c>
      <c r="K1458" s="1" t="s">
        <v>21</v>
      </c>
      <c r="L1458" s="1" t="s">
        <v>21</v>
      </c>
      <c r="M1458" s="1" t="s">
        <v>29</v>
      </c>
      <c r="N1458" s="1" t="s">
        <v>22</v>
      </c>
      <c r="O1458" s="1" t="str">
        <f t="shared" ca="1" si="11"/>
        <v>Please solve the LeetCode problem '593. Valid Square'.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59" spans="1:15" x14ac:dyDescent="0.25">
      <c r="A1459" s="1">
        <v>2799</v>
      </c>
      <c r="B1459" s="2" t="str">
        <f>HYPERLINK("https://leetcode.com/problems/count-complete-subarrays-in-an-array/", "Count Complete Subarrays in an Array")</f>
        <v>Count Complete Subarrays in an Array</v>
      </c>
      <c r="C1459" s="1">
        <v>1115</v>
      </c>
      <c r="D1459" s="1">
        <v>25</v>
      </c>
      <c r="E1459" s="3">
        <f t="shared" si="10"/>
        <v>0.97807017543859653</v>
      </c>
      <c r="F1459" s="1" t="s">
        <v>185</v>
      </c>
      <c r="G1459" s="1" t="s">
        <v>24</v>
      </c>
      <c r="H1459" s="1">
        <v>167229</v>
      </c>
      <c r="I1459" s="1">
        <v>220385</v>
      </c>
      <c r="J1459" s="7">
        <v>0.75900000000000001</v>
      </c>
      <c r="K1459" s="1" t="s">
        <v>21</v>
      </c>
      <c r="L1459" s="1" t="s">
        <v>21</v>
      </c>
      <c r="M1459" s="1" t="s">
        <v>29</v>
      </c>
      <c r="N1459" s="1" t="s">
        <v>22</v>
      </c>
      <c r="O1459" s="1" t="str">
        <f t="shared" ca="1" si="11"/>
        <v>Please solve the LeetCode problem '2799. Count Complete Subarrays in an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60" spans="1:15" x14ac:dyDescent="0.25">
      <c r="A1460" s="1">
        <v>616</v>
      </c>
      <c r="B1460" s="2" t="str">
        <f>HYPERLINK("https://leetcode.com/problems/add-bold-tag-in-string/", "Add Bold Tag in String")</f>
        <v>Add Bold Tag in String</v>
      </c>
      <c r="C1460" s="1">
        <v>1112</v>
      </c>
      <c r="D1460" s="1">
        <v>201</v>
      </c>
      <c r="E1460" s="3">
        <f t="shared" si="10"/>
        <v>0.84691546077684687</v>
      </c>
      <c r="F1460" s="1" t="s">
        <v>682</v>
      </c>
      <c r="G1460" s="1" t="s">
        <v>24</v>
      </c>
      <c r="H1460" s="1">
        <v>104112</v>
      </c>
      <c r="I1460" s="1">
        <v>202911</v>
      </c>
      <c r="J1460" s="7">
        <v>0.51300000000000001</v>
      </c>
      <c r="K1460" s="1" t="s">
        <v>29</v>
      </c>
      <c r="L1460" s="1" t="s">
        <v>21</v>
      </c>
      <c r="M1460" s="1" t="s">
        <v>29</v>
      </c>
      <c r="N1460" s="1" t="s">
        <v>22</v>
      </c>
      <c r="O1460" s="1" t="str">
        <f t="shared" ca="1" si="11"/>
        <v>Please solve the LeetCode problem '616. Add Bold Tag in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61" spans="1:15" x14ac:dyDescent="0.25">
      <c r="A1461" s="1">
        <v>1128</v>
      </c>
      <c r="B1461" s="2" t="str">
        <f>HYPERLINK("https://leetcode.com/problems/number-of-equivalent-domino-pairs/", "Number of Equivalent Domino Pairs")</f>
        <v>Number of Equivalent Domino Pairs</v>
      </c>
      <c r="C1461" s="1">
        <v>1112</v>
      </c>
      <c r="D1461" s="1">
        <v>375</v>
      </c>
      <c r="E1461" s="3">
        <f t="shared" si="10"/>
        <v>0.74781439139206451</v>
      </c>
      <c r="F1461" s="1" t="s">
        <v>294</v>
      </c>
      <c r="G1461" s="1" t="s">
        <v>20</v>
      </c>
      <c r="H1461" s="1">
        <v>200535</v>
      </c>
      <c r="I1461" s="1">
        <v>330925</v>
      </c>
      <c r="J1461" s="7">
        <v>0.60599999999999998</v>
      </c>
      <c r="K1461" s="1" t="s">
        <v>21</v>
      </c>
      <c r="L1461" s="1" t="s">
        <v>21</v>
      </c>
      <c r="M1461" s="1" t="s">
        <v>29</v>
      </c>
      <c r="N1461" s="1" t="s">
        <v>22</v>
      </c>
      <c r="O1461" s="1" t="str">
        <f t="shared" ca="1" si="11"/>
        <v>Please solve the LeetCode problem '1128. Number of Equivalent Domino Pairs'.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62" spans="1:15" x14ac:dyDescent="0.25">
      <c r="A1462" s="1">
        <v>1546</v>
      </c>
      <c r="B1462" s="2" t="str">
        <f>HYPERLINK("https://leetcode.com/problems/maximum-number-of-non-overlapping-subarrays-with-sum-equals-target/", "Maximum Number of Non-Overlapping Subarrays With Sum Equals Target")</f>
        <v>Maximum Number of Non-Overlapping Subarrays With Sum Equals Target</v>
      </c>
      <c r="C1462" s="1">
        <v>1112</v>
      </c>
      <c r="D1462" s="1">
        <v>28</v>
      </c>
      <c r="E1462" s="3">
        <f t="shared" si="10"/>
        <v>0.9754385964912281</v>
      </c>
      <c r="F1462" s="1" t="s">
        <v>683</v>
      </c>
      <c r="G1462" s="1" t="s">
        <v>24</v>
      </c>
      <c r="H1462" s="1">
        <v>34632</v>
      </c>
      <c r="I1462" s="1">
        <v>71165</v>
      </c>
      <c r="J1462" s="7">
        <v>0.48699999999999999</v>
      </c>
      <c r="K1462" s="1" t="s">
        <v>21</v>
      </c>
      <c r="L1462" s="1" t="s">
        <v>29</v>
      </c>
      <c r="M1462" s="1" t="s">
        <v>29</v>
      </c>
      <c r="N1462" s="1" t="s">
        <v>22</v>
      </c>
      <c r="O1462" s="1" t="str">
        <f t="shared" ca="1" si="11"/>
        <v>Please solve the LeetCode problem '1546. Maximum Number of Non-Overlapping Subarrays With Sum Equals Target'.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63" spans="1:15" x14ac:dyDescent="0.25">
      <c r="A1463" s="1">
        <v>468</v>
      </c>
      <c r="B1463" s="2" t="str">
        <f>HYPERLINK("https://leetcode.com/problems/validate-ip-address/", "Validate IP Address")</f>
        <v>Validate IP Address</v>
      </c>
      <c r="C1463" s="1">
        <v>1111</v>
      </c>
      <c r="D1463" s="1">
        <v>2743</v>
      </c>
      <c r="E1463" s="3">
        <f t="shared" si="10"/>
        <v>0.28827192527244422</v>
      </c>
      <c r="F1463" s="1" t="s">
        <v>146</v>
      </c>
      <c r="G1463" s="1" t="s">
        <v>24</v>
      </c>
      <c r="H1463" s="1">
        <v>197695</v>
      </c>
      <c r="I1463" s="1">
        <v>702378</v>
      </c>
      <c r="J1463" s="7">
        <v>0.28100000000000003</v>
      </c>
      <c r="K1463" s="1" t="s">
        <v>21</v>
      </c>
      <c r="L1463" s="1" t="s">
        <v>21</v>
      </c>
      <c r="M1463" s="1" t="s">
        <v>29</v>
      </c>
      <c r="N1463" s="1" t="s">
        <v>22</v>
      </c>
      <c r="O1463" s="1" t="str">
        <f t="shared" ca="1" si="11"/>
        <v>Please solve the LeetCode problem '468. Validate IP Address'.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64" spans="1:15" x14ac:dyDescent="0.25">
      <c r="A1464" s="1">
        <v>2109</v>
      </c>
      <c r="B1464" s="2" t="str">
        <f>HYPERLINK("https://leetcode.com/problems/adding-spaces-to-a-string/", "Adding Spaces to a String")</f>
        <v>Adding Spaces to a String</v>
      </c>
      <c r="C1464" s="1">
        <v>1111</v>
      </c>
      <c r="D1464" s="1">
        <v>113</v>
      </c>
      <c r="E1464" s="3">
        <f t="shared" si="10"/>
        <v>0.9076797385620915</v>
      </c>
      <c r="F1464" s="1" t="s">
        <v>681</v>
      </c>
      <c r="G1464" s="1" t="s">
        <v>24</v>
      </c>
      <c r="H1464" s="1">
        <v>219427</v>
      </c>
      <c r="I1464" s="1">
        <v>305839</v>
      </c>
      <c r="J1464" s="7">
        <v>0.71699999999999997</v>
      </c>
      <c r="K1464" s="1" t="s">
        <v>21</v>
      </c>
      <c r="L1464" s="1" t="s">
        <v>21</v>
      </c>
      <c r="M1464" s="1" t="s">
        <v>29</v>
      </c>
      <c r="N1464" s="1" t="s">
        <v>22</v>
      </c>
      <c r="O1464" s="1" t="str">
        <f t="shared" ca="1" si="11"/>
        <v>Please solve the LeetCode problem '2109. Adding Spaces to a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65" spans="1:15" x14ac:dyDescent="0.25">
      <c r="A1465" s="1">
        <v>924</v>
      </c>
      <c r="B1465" s="2" t="str">
        <f>HYPERLINK("https://leetcode.com/problems/minimize-malware-spread/", "Minimize Malware Spread")</f>
        <v>Minimize Malware Spread</v>
      </c>
      <c r="C1465" s="1">
        <v>1109</v>
      </c>
      <c r="D1465" s="1">
        <v>647</v>
      </c>
      <c r="E1465" s="3">
        <f t="shared" si="10"/>
        <v>0.6315489749430524</v>
      </c>
      <c r="F1465" s="1" t="s">
        <v>680</v>
      </c>
      <c r="G1465" s="1" t="s">
        <v>28</v>
      </c>
      <c r="H1465" s="1">
        <v>71634</v>
      </c>
      <c r="I1465" s="1">
        <v>166996</v>
      </c>
      <c r="J1465" s="7">
        <v>0.42899999999999999</v>
      </c>
      <c r="K1465" s="1" t="s">
        <v>21</v>
      </c>
      <c r="L1465" s="1" t="s">
        <v>21</v>
      </c>
      <c r="M1465" s="1" t="s">
        <v>29</v>
      </c>
      <c r="N1465" s="1" t="s">
        <v>22</v>
      </c>
      <c r="O1465" s="1" t="str">
        <f t="shared" ca="1" si="11"/>
        <v>Please solve the LeetCode problem '924. Minimize Malware Spread'.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66" spans="1:15" x14ac:dyDescent="0.25">
      <c r="A1466" s="1">
        <v>1101</v>
      </c>
      <c r="B1466" s="2" t="str">
        <f>HYPERLINK("https://leetcode.com/problems/the-earliest-moment-when-everyone-become-friends/", "The Earliest Moment When Everyone Become Friends")</f>
        <v>The Earliest Moment When Everyone Become Friends</v>
      </c>
      <c r="C1466" s="1">
        <v>1107</v>
      </c>
      <c r="D1466" s="1">
        <v>40</v>
      </c>
      <c r="E1466" s="3">
        <f t="shared" si="10"/>
        <v>0.96512641673931998</v>
      </c>
      <c r="F1466" s="1" t="s">
        <v>684</v>
      </c>
      <c r="G1466" s="1" t="s">
        <v>24</v>
      </c>
      <c r="H1466" s="1">
        <v>128310</v>
      </c>
      <c r="I1466" s="1">
        <v>194894</v>
      </c>
      <c r="J1466" s="7">
        <v>0.65800000000000003</v>
      </c>
      <c r="K1466" s="1" t="s">
        <v>29</v>
      </c>
      <c r="L1466" s="1" t="s">
        <v>21</v>
      </c>
      <c r="M1466" s="1" t="s">
        <v>29</v>
      </c>
      <c r="N1466" s="1" t="s">
        <v>22</v>
      </c>
      <c r="O1466" s="1" t="str">
        <f t="shared" ca="1" si="11"/>
        <v>Please solve the LeetCode problem '1101. The Earliest Moment When Everyone Become Friends'.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67" spans="1:15" x14ac:dyDescent="0.25">
      <c r="A1467" s="1">
        <v>2033</v>
      </c>
      <c r="B1467" s="2" t="str">
        <f>HYPERLINK("https://leetcode.com/problems/minimum-operations-to-make-a-uni-value-grid/", "Minimum Operations to Make a Uni-Value Grid")</f>
        <v>Minimum Operations to Make a Uni-Value Grid</v>
      </c>
      <c r="C1467" s="1">
        <v>1106</v>
      </c>
      <c r="D1467" s="1">
        <v>75</v>
      </c>
      <c r="E1467" s="3">
        <f t="shared" si="10"/>
        <v>0.93649449618966973</v>
      </c>
      <c r="F1467" s="1" t="s">
        <v>650</v>
      </c>
      <c r="G1467" s="1" t="s">
        <v>24</v>
      </c>
      <c r="H1467" s="1">
        <v>141448</v>
      </c>
      <c r="I1467" s="1">
        <v>209623</v>
      </c>
      <c r="J1467" s="7">
        <v>0.67500000000000004</v>
      </c>
      <c r="K1467" s="1" t="s">
        <v>21</v>
      </c>
      <c r="L1467" s="1" t="s">
        <v>21</v>
      </c>
      <c r="M1467" s="1" t="s">
        <v>29</v>
      </c>
      <c r="N1467" s="1" t="s">
        <v>22</v>
      </c>
      <c r="O1467" s="1" t="str">
        <f t="shared" ca="1" si="11"/>
        <v>Please solve the LeetCode problem '2033. Minimum Operations to Make a Uni-Value Grid'.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68" spans="1:15" x14ac:dyDescent="0.25">
      <c r="A1468" s="1">
        <v>2404</v>
      </c>
      <c r="B1468" s="2" t="str">
        <f>HYPERLINK("https://leetcode.com/problems/most-frequent-even-element/", "Most Frequent Even Element")</f>
        <v>Most Frequent Even Element</v>
      </c>
      <c r="C1468" s="1">
        <v>1106</v>
      </c>
      <c r="D1468" s="1">
        <v>41</v>
      </c>
      <c r="E1468" s="3">
        <f t="shared" si="10"/>
        <v>0.96425457715780294</v>
      </c>
      <c r="F1468" s="1" t="s">
        <v>294</v>
      </c>
      <c r="G1468" s="1" t="s">
        <v>20</v>
      </c>
      <c r="H1468" s="1">
        <v>128180</v>
      </c>
      <c r="I1468" s="1">
        <v>242022</v>
      </c>
      <c r="J1468" s="7">
        <v>0.53</v>
      </c>
      <c r="K1468" s="1" t="s">
        <v>21</v>
      </c>
      <c r="L1468" s="1" t="s">
        <v>29</v>
      </c>
      <c r="M1468" s="1" t="s">
        <v>29</v>
      </c>
      <c r="N1468" s="1" t="s">
        <v>22</v>
      </c>
      <c r="O1468" s="1" t="str">
        <f t="shared" ca="1" si="11"/>
        <v>Please solve the LeetCode problem '2404. Most Frequent Even Element'.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69" spans="1:15" x14ac:dyDescent="0.25">
      <c r="A1469" s="1">
        <v>2062</v>
      </c>
      <c r="B1469" s="2" t="str">
        <f>HYPERLINK("https://leetcode.com/problems/count-vowel-substrings-of-a-string/", "Count Vowel Substrings of a String")</f>
        <v>Count Vowel Substrings of a String</v>
      </c>
      <c r="C1469" s="1">
        <v>1105</v>
      </c>
      <c r="D1469" s="1">
        <v>425</v>
      </c>
      <c r="E1469" s="3">
        <f t="shared" si="10"/>
        <v>0.72222222222222221</v>
      </c>
      <c r="F1469" s="1" t="s">
        <v>131</v>
      </c>
      <c r="G1469" s="1" t="s">
        <v>20</v>
      </c>
      <c r="H1469" s="1">
        <v>72834</v>
      </c>
      <c r="I1469" s="1">
        <v>100149</v>
      </c>
      <c r="J1469" s="7">
        <v>0.72699999999999998</v>
      </c>
      <c r="K1469" s="1" t="s">
        <v>21</v>
      </c>
      <c r="L1469" s="1" t="s">
        <v>29</v>
      </c>
      <c r="M1469" s="1" t="s">
        <v>29</v>
      </c>
      <c r="N1469" s="1" t="s">
        <v>22</v>
      </c>
      <c r="O1469" s="1" t="str">
        <f t="shared" ca="1" si="11"/>
        <v>Please solve the LeetCode problem '2062. Count Vowel Substrings of a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70" spans="1:15" x14ac:dyDescent="0.25">
      <c r="A1470" s="1">
        <v>2661</v>
      </c>
      <c r="B1470" s="2" t="str">
        <f>HYPERLINK("https://leetcode.com/problems/first-completely-painted-row-or-column/", "First Completely Painted Row or Column")</f>
        <v>First Completely Painted Row or Column</v>
      </c>
      <c r="C1470" s="1">
        <v>1102</v>
      </c>
      <c r="D1470" s="1">
        <v>32</v>
      </c>
      <c r="E1470" s="3">
        <f t="shared" si="10"/>
        <v>0.97178130511463845</v>
      </c>
      <c r="F1470" s="1" t="s">
        <v>78</v>
      </c>
      <c r="G1470" s="1" t="s">
        <v>24</v>
      </c>
      <c r="H1470" s="1">
        <v>158056</v>
      </c>
      <c r="I1470" s="1">
        <v>247389</v>
      </c>
      <c r="J1470" s="7">
        <v>0.63900000000000001</v>
      </c>
      <c r="K1470" s="1" t="s">
        <v>21</v>
      </c>
      <c r="L1470" s="1" t="s">
        <v>21</v>
      </c>
      <c r="M1470" s="1" t="s">
        <v>29</v>
      </c>
      <c r="N1470" s="1" t="s">
        <v>22</v>
      </c>
      <c r="O1470" s="1" t="str">
        <f t="shared" ca="1" si="11"/>
        <v>Please solve the LeetCode problem '2661. First Completely Painted Row or Column'.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71" spans="1:15" x14ac:dyDescent="0.25">
      <c r="A1471" s="1">
        <v>266</v>
      </c>
      <c r="B1471" s="2" t="str">
        <f>HYPERLINK("https://leetcode.com/problems/palindrome-permutation/", "Palindrome Permutation")</f>
        <v>Palindrome Permutation</v>
      </c>
      <c r="C1471" s="1">
        <v>1101</v>
      </c>
      <c r="D1471" s="1">
        <v>73</v>
      </c>
      <c r="E1471" s="3">
        <f t="shared" si="10"/>
        <v>0.93781942078364566</v>
      </c>
      <c r="F1471" s="1" t="s">
        <v>686</v>
      </c>
      <c r="G1471" s="1" t="s">
        <v>20</v>
      </c>
      <c r="H1471" s="1">
        <v>232466</v>
      </c>
      <c r="I1471" s="1">
        <v>338868</v>
      </c>
      <c r="J1471" s="7">
        <v>0.68600000000000005</v>
      </c>
      <c r="K1471" s="1" t="s">
        <v>29</v>
      </c>
      <c r="L1471" s="1" t="s">
        <v>21</v>
      </c>
      <c r="M1471" s="1" t="s">
        <v>29</v>
      </c>
      <c r="N1471" s="1" t="s">
        <v>22</v>
      </c>
      <c r="O1471" s="1" t="str">
        <f t="shared" ca="1" si="11"/>
        <v>Please solve the LeetCode problem '266. Palindrome Permutation'.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72" spans="1:15" x14ac:dyDescent="0.25">
      <c r="A1472" s="1">
        <v>840</v>
      </c>
      <c r="B1472" s="2" t="str">
        <f>HYPERLINK("https://leetcode.com/problems/magic-squares-in-grid/", "Magic Squares In Grid")</f>
        <v>Magic Squares In Grid</v>
      </c>
      <c r="C1472" s="1">
        <v>1096</v>
      </c>
      <c r="D1472" s="1">
        <v>1897</v>
      </c>
      <c r="E1472" s="3">
        <f t="shared" si="10"/>
        <v>0.36618777146675574</v>
      </c>
      <c r="F1472" s="1" t="s">
        <v>685</v>
      </c>
      <c r="G1472" s="1" t="s">
        <v>24</v>
      </c>
      <c r="H1472" s="1">
        <v>223667</v>
      </c>
      <c r="I1472" s="1">
        <v>405800</v>
      </c>
      <c r="J1472" s="7">
        <v>0.55100000000000005</v>
      </c>
      <c r="K1472" s="1" t="s">
        <v>21</v>
      </c>
      <c r="L1472" s="1" t="s">
        <v>21</v>
      </c>
      <c r="M1472" s="1" t="s">
        <v>29</v>
      </c>
      <c r="N1472" s="1" t="s">
        <v>22</v>
      </c>
      <c r="O1472" s="1" t="str">
        <f t="shared" ca="1" si="11"/>
        <v>Please solve the LeetCode problem '840. Magic Squares In Grid'.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73" spans="1:15" x14ac:dyDescent="0.25">
      <c r="A1473" s="1">
        <v>2582</v>
      </c>
      <c r="B1473" s="2" t="str">
        <f>HYPERLINK("https://leetcode.com/problems/pass-the-pillow/", "Pass the Pillow")</f>
        <v>Pass the Pillow</v>
      </c>
      <c r="C1473" s="1">
        <v>1095</v>
      </c>
      <c r="D1473" s="1">
        <v>58</v>
      </c>
      <c r="E1473" s="3">
        <f t="shared" si="10"/>
        <v>0.94969644405897657</v>
      </c>
      <c r="F1473" s="1" t="s">
        <v>465</v>
      </c>
      <c r="G1473" s="1" t="s">
        <v>20</v>
      </c>
      <c r="H1473" s="1">
        <v>213129</v>
      </c>
      <c r="I1473" s="1">
        <v>376704</v>
      </c>
      <c r="J1473" s="7">
        <v>0.56599999999999995</v>
      </c>
      <c r="K1473" s="1" t="s">
        <v>21</v>
      </c>
      <c r="L1473" s="1" t="s">
        <v>21</v>
      </c>
      <c r="M1473" s="1" t="s">
        <v>29</v>
      </c>
      <c r="N1473" s="1" t="s">
        <v>22</v>
      </c>
      <c r="O1473" s="1" t="str">
        <f t="shared" ca="1" si="11"/>
        <v>Please solve the LeetCode problem '2582. Pass the Pillow'.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74" spans="1:15" x14ac:dyDescent="0.25">
      <c r="A1474" s="1">
        <v>2211</v>
      </c>
      <c r="B1474" s="2" t="str">
        <f>HYPERLINK("https://leetcode.com/problems/count-collisions-on-a-road/", "Count Collisions on a Road")</f>
        <v>Count Collisions on a Road</v>
      </c>
      <c r="C1474" s="1">
        <v>1094</v>
      </c>
      <c r="D1474" s="1">
        <v>277</v>
      </c>
      <c r="E1474" s="3">
        <f t="shared" si="10"/>
        <v>0.79795769511305614</v>
      </c>
      <c r="F1474" s="1" t="s">
        <v>365</v>
      </c>
      <c r="G1474" s="1" t="s">
        <v>24</v>
      </c>
      <c r="H1474" s="1">
        <v>124458</v>
      </c>
      <c r="I1474" s="1">
        <v>214294</v>
      </c>
      <c r="J1474" s="7">
        <v>0.58099999999999996</v>
      </c>
      <c r="K1474" s="1" t="s">
        <v>21</v>
      </c>
      <c r="L1474" s="1" t="s">
        <v>21</v>
      </c>
      <c r="M1474" s="1" t="s">
        <v>29</v>
      </c>
      <c r="N1474" s="1" t="s">
        <v>22</v>
      </c>
      <c r="O1474" s="1" t="str">
        <f t="shared" ca="1" si="11"/>
        <v>Please solve the LeetCode problem '2211. Count Collisions on a Road'.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75" spans="1:15" x14ac:dyDescent="0.25">
      <c r="A1475" s="1">
        <v>1045</v>
      </c>
      <c r="B1475" s="2" t="str">
        <f>HYPERLINK("https://leetcode.com/problems/customers-who-bought-all-products/", "Customers Who Bought All Products")</f>
        <v>Customers Who Bought All Products</v>
      </c>
      <c r="C1475" s="1">
        <v>1093</v>
      </c>
      <c r="D1475" s="1">
        <v>92</v>
      </c>
      <c r="E1475" s="3">
        <f t="shared" si="10"/>
        <v>0.92236286919831223</v>
      </c>
      <c r="F1475" s="1" t="s">
        <v>297</v>
      </c>
      <c r="G1475" s="1" t="s">
        <v>24</v>
      </c>
      <c r="H1475" s="1">
        <v>440508</v>
      </c>
      <c r="I1475" s="1">
        <v>692537</v>
      </c>
      <c r="J1475" s="7">
        <v>0.63600000000000001</v>
      </c>
      <c r="K1475" s="1" t="s">
        <v>21</v>
      </c>
      <c r="L1475" s="1" t="s">
        <v>21</v>
      </c>
      <c r="M1475" s="1" t="s">
        <v>29</v>
      </c>
      <c r="N1475" s="1" t="s">
        <v>297</v>
      </c>
      <c r="O1475" s="1" t="str">
        <f t="shared" ca="1" si="11"/>
        <v>Please solve the LeetCode problem '1045. Customers Who Bought All Products'.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76" spans="1:15" x14ac:dyDescent="0.25">
      <c r="A1476" s="1">
        <v>1818</v>
      </c>
      <c r="B1476" s="2" t="str">
        <f>HYPERLINK("https://leetcode.com/problems/minimum-absolute-sum-difference/", "Minimum Absolute Sum Difference")</f>
        <v>Minimum Absolute Sum Difference</v>
      </c>
      <c r="C1476" s="1">
        <v>1093</v>
      </c>
      <c r="D1476" s="1">
        <v>80</v>
      </c>
      <c r="E1476" s="3">
        <f t="shared" si="10"/>
        <v>0.9317988064791134</v>
      </c>
      <c r="F1476" s="1" t="s">
        <v>688</v>
      </c>
      <c r="G1476" s="1" t="s">
        <v>24</v>
      </c>
      <c r="H1476" s="1">
        <v>31584</v>
      </c>
      <c r="I1476" s="1">
        <v>98515</v>
      </c>
      <c r="J1476" s="7">
        <v>0.32100000000000001</v>
      </c>
      <c r="K1476" s="1" t="s">
        <v>21</v>
      </c>
      <c r="L1476" s="1" t="s">
        <v>29</v>
      </c>
      <c r="M1476" s="1" t="s">
        <v>29</v>
      </c>
      <c r="N1476" s="1" t="s">
        <v>22</v>
      </c>
      <c r="O1476" s="1" t="str">
        <f t="shared" ca="1" si="11"/>
        <v>Please solve the LeetCode problem '1818. Minimum Absolute Sum Difference'.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77" spans="1:15" x14ac:dyDescent="0.25">
      <c r="A1477" s="1">
        <v>2503</v>
      </c>
      <c r="B1477" s="2" t="str">
        <f>HYPERLINK("https://leetcode.com/problems/maximum-number-of-points-from-grid-queries/", "Maximum Number of Points From Grid Queries")</f>
        <v>Maximum Number of Points From Grid Queries</v>
      </c>
      <c r="C1477" s="1">
        <v>1093</v>
      </c>
      <c r="D1477" s="1">
        <v>50</v>
      </c>
      <c r="E1477" s="3">
        <f t="shared" si="10"/>
        <v>0.95625546806649164</v>
      </c>
      <c r="F1477" s="1" t="s">
        <v>687</v>
      </c>
      <c r="G1477" s="1" t="s">
        <v>28</v>
      </c>
      <c r="H1477" s="1">
        <v>96616</v>
      </c>
      <c r="I1477" s="1">
        <v>162827</v>
      </c>
      <c r="J1477" s="7">
        <v>0.59299999999999997</v>
      </c>
      <c r="K1477" s="1" t="s">
        <v>21</v>
      </c>
      <c r="L1477" s="1" t="s">
        <v>21</v>
      </c>
      <c r="M1477" s="1" t="s">
        <v>29</v>
      </c>
      <c r="N1477" s="1" t="s">
        <v>22</v>
      </c>
      <c r="O1477" s="1" t="str">
        <f t="shared" ca="1" si="11"/>
        <v>Please solve the LeetCode problem '2503. Maximum Number of Points From Grid Queries'.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78" spans="1:15" x14ac:dyDescent="0.25">
      <c r="A1478" s="1">
        <v>1018</v>
      </c>
      <c r="B1478" s="2" t="str">
        <f>HYPERLINK("https://leetcode.com/problems/binary-prefix-divisible-by-5/", "Binary Prefix Divisible By 5")</f>
        <v>Binary Prefix Divisible By 5</v>
      </c>
      <c r="C1478" s="1">
        <v>1092</v>
      </c>
      <c r="D1478" s="1">
        <v>229</v>
      </c>
      <c r="E1478" s="3">
        <f t="shared" si="10"/>
        <v>0.82664647993943985</v>
      </c>
      <c r="F1478" s="1" t="s">
        <v>65</v>
      </c>
      <c r="G1478" s="1" t="s">
        <v>20</v>
      </c>
      <c r="H1478" s="1">
        <v>178387</v>
      </c>
      <c r="I1478" s="1">
        <v>333444</v>
      </c>
      <c r="J1478" s="7">
        <v>0.53500000000000003</v>
      </c>
      <c r="K1478" s="1" t="s">
        <v>21</v>
      </c>
      <c r="L1478" s="1" t="s">
        <v>21</v>
      </c>
      <c r="M1478" s="1" t="s">
        <v>29</v>
      </c>
      <c r="N1478" s="1" t="s">
        <v>22</v>
      </c>
      <c r="O1478" s="1" t="str">
        <f t="shared" ca="1" si="11"/>
        <v>Please solve the LeetCode problem '1018. Binary Prefix Divisible By 5'.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79" spans="1:15" x14ac:dyDescent="0.25">
      <c r="A1479" s="1">
        <v>776</v>
      </c>
      <c r="B1479" s="2" t="str">
        <f>HYPERLINK("https://leetcode.com/problems/split-bst/", "Split BST")</f>
        <v>Split BST</v>
      </c>
      <c r="C1479" s="1">
        <v>1091</v>
      </c>
      <c r="D1479" s="1">
        <v>105</v>
      </c>
      <c r="E1479" s="3">
        <f t="shared" si="10"/>
        <v>0.91220735785953178</v>
      </c>
      <c r="F1479" s="1" t="s">
        <v>689</v>
      </c>
      <c r="G1479" s="1" t="s">
        <v>24</v>
      </c>
      <c r="H1479" s="1">
        <v>112060</v>
      </c>
      <c r="I1479" s="1">
        <v>136270</v>
      </c>
      <c r="J1479" s="7">
        <v>0.82199999999999995</v>
      </c>
      <c r="K1479" s="1" t="s">
        <v>29</v>
      </c>
      <c r="L1479" s="1" t="s">
        <v>21</v>
      </c>
      <c r="M1479" s="1" t="s">
        <v>29</v>
      </c>
      <c r="N1479" s="1" t="s">
        <v>22</v>
      </c>
      <c r="O1479" s="1" t="str">
        <f t="shared" ca="1" si="11"/>
        <v>Please solve the LeetCode problem '776. Split BST'.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80" spans="1:15" x14ac:dyDescent="0.25">
      <c r="A1480" s="1">
        <v>2429</v>
      </c>
      <c r="B1480" s="2" t="str">
        <f>HYPERLINK("https://leetcode.com/problems/minimize-xor/", "Minimize XOR")</f>
        <v>Minimize XOR</v>
      </c>
      <c r="C1480" s="1">
        <v>1090</v>
      </c>
      <c r="D1480" s="1">
        <v>77</v>
      </c>
      <c r="E1480" s="3">
        <f t="shared" si="10"/>
        <v>0.93401885175664101</v>
      </c>
      <c r="F1480" s="1" t="s">
        <v>691</v>
      </c>
      <c r="G1480" s="1" t="s">
        <v>24</v>
      </c>
      <c r="H1480" s="1">
        <v>138380</v>
      </c>
      <c r="I1480" s="1">
        <v>221713</v>
      </c>
      <c r="J1480" s="7">
        <v>0.624</v>
      </c>
      <c r="K1480" s="1" t="s">
        <v>21</v>
      </c>
      <c r="L1480" s="1" t="s">
        <v>21</v>
      </c>
      <c r="M1480" s="1" t="s">
        <v>29</v>
      </c>
      <c r="N1480" s="1" t="s">
        <v>22</v>
      </c>
      <c r="O1480" s="1" t="str">
        <f t="shared" ca="1" si="11"/>
        <v>Please solve the LeetCode problem '2429. Minimize XOR'.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81" spans="1:15" x14ac:dyDescent="0.25">
      <c r="A1481" s="1">
        <v>2071</v>
      </c>
      <c r="B1481" s="2" t="str">
        <f>HYPERLINK("https://leetcode.com/problems/maximum-number-of-tasks-you-can-assign/", "Maximum Number of Tasks You Can Assign")</f>
        <v>Maximum Number of Tasks You Can Assign</v>
      </c>
      <c r="C1481" s="1">
        <v>1087</v>
      </c>
      <c r="D1481" s="1">
        <v>57</v>
      </c>
      <c r="E1481" s="3">
        <f t="shared" si="10"/>
        <v>0.95017482517482521</v>
      </c>
      <c r="F1481" s="1" t="s">
        <v>690</v>
      </c>
      <c r="G1481" s="1" t="s">
        <v>28</v>
      </c>
      <c r="H1481" s="1">
        <v>85122</v>
      </c>
      <c r="I1481" s="1">
        <v>169589</v>
      </c>
      <c r="J1481" s="7">
        <v>0.502</v>
      </c>
      <c r="K1481" s="1" t="s">
        <v>21</v>
      </c>
      <c r="L1481" s="1" t="s">
        <v>21</v>
      </c>
      <c r="M1481" s="1" t="s">
        <v>29</v>
      </c>
      <c r="N1481" s="1" t="s">
        <v>22</v>
      </c>
      <c r="O1481" s="1" t="str">
        <f t="shared" ca="1" si="11"/>
        <v>Please solve the LeetCode problem '2071. Maximum Number of Tasks You Can Assign'.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82" spans="1:15" x14ac:dyDescent="0.25">
      <c r="A1482" s="1">
        <v>244</v>
      </c>
      <c r="B1482" s="2" t="str">
        <f>HYPERLINK("https://leetcode.com/problems/shortest-word-distance-ii/", "Shortest Word Distance II")</f>
        <v>Shortest Word Distance II</v>
      </c>
      <c r="C1482" s="1">
        <v>1082</v>
      </c>
      <c r="D1482" s="1">
        <v>396</v>
      </c>
      <c r="E1482" s="3">
        <f t="shared" si="10"/>
        <v>0.73207036535859271</v>
      </c>
      <c r="F1482" s="1" t="s">
        <v>692</v>
      </c>
      <c r="G1482" s="1" t="s">
        <v>24</v>
      </c>
      <c r="H1482" s="1">
        <v>176245</v>
      </c>
      <c r="I1482" s="1">
        <v>281373</v>
      </c>
      <c r="J1482" s="7">
        <v>0.626</v>
      </c>
      <c r="K1482" s="1" t="s">
        <v>29</v>
      </c>
      <c r="L1482" s="1" t="s">
        <v>21</v>
      </c>
      <c r="M1482" s="1" t="s">
        <v>21</v>
      </c>
      <c r="N1482" s="1" t="s">
        <v>22</v>
      </c>
      <c r="O1482" s="1" t="str">
        <f t="shared" ca="1" si="11"/>
        <v>Please solve the LeetCode problem '244. Shortest Word Distance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83" spans="1:15" x14ac:dyDescent="0.25">
      <c r="A1483" s="1">
        <v>911</v>
      </c>
      <c r="B1483" s="2" t="str">
        <f>HYPERLINK("https://leetcode.com/problems/online-election/", "Online Election")</f>
        <v>Online Election</v>
      </c>
      <c r="C1483" s="1">
        <v>1080</v>
      </c>
      <c r="D1483" s="1">
        <v>680</v>
      </c>
      <c r="E1483" s="3">
        <f t="shared" si="10"/>
        <v>0.61363636363636365</v>
      </c>
      <c r="F1483" s="1" t="s">
        <v>313</v>
      </c>
      <c r="G1483" s="1" t="s">
        <v>24</v>
      </c>
      <c r="H1483" s="1">
        <v>75849</v>
      </c>
      <c r="I1483" s="1">
        <v>144295</v>
      </c>
      <c r="J1483" s="7">
        <v>0.52600000000000002</v>
      </c>
      <c r="K1483" s="1" t="s">
        <v>21</v>
      </c>
      <c r="L1483" s="1" t="s">
        <v>21</v>
      </c>
      <c r="M1483" s="1" t="s">
        <v>29</v>
      </c>
      <c r="N1483" s="1" t="s">
        <v>22</v>
      </c>
      <c r="O1483" s="1" t="str">
        <f t="shared" ca="1" si="11"/>
        <v>Please solve the LeetCode problem '911. Online Election'.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84" spans="1:15" x14ac:dyDescent="0.25">
      <c r="A1484" s="1">
        <v>2260</v>
      </c>
      <c r="B1484" s="2" t="str">
        <f>HYPERLINK("https://leetcode.com/problems/minimum-consecutive-cards-to-pick-up/", "Minimum Consecutive Cards to Pick Up")</f>
        <v>Minimum Consecutive Cards to Pick Up</v>
      </c>
      <c r="C1484" s="1">
        <v>1078</v>
      </c>
      <c r="D1484" s="1">
        <v>45</v>
      </c>
      <c r="E1484" s="3">
        <f t="shared" si="10"/>
        <v>0.95992876224398926</v>
      </c>
      <c r="F1484" s="1" t="s">
        <v>185</v>
      </c>
      <c r="G1484" s="1" t="s">
        <v>24</v>
      </c>
      <c r="H1484" s="1">
        <v>116408</v>
      </c>
      <c r="I1484" s="1">
        <v>218130</v>
      </c>
      <c r="J1484" s="7">
        <v>0.53400000000000003</v>
      </c>
      <c r="K1484" s="1" t="s">
        <v>21</v>
      </c>
      <c r="L1484" s="1" t="s">
        <v>29</v>
      </c>
      <c r="M1484" s="1" t="s">
        <v>29</v>
      </c>
      <c r="N1484" s="1" t="s">
        <v>22</v>
      </c>
      <c r="O1484" s="1" t="str">
        <f t="shared" ca="1" si="11"/>
        <v>Please solve the LeetCode problem '2260. Minimum Consecutive Cards to Pick Up'.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85" spans="1:15" x14ac:dyDescent="0.25">
      <c r="A1485" s="1">
        <v>2133</v>
      </c>
      <c r="B1485" s="2" t="str">
        <f>HYPERLINK("https://leetcode.com/problems/check-if-every-row-and-column-contains-all-numbers/", "Check if Every Row and Column Contains All Numbers")</f>
        <v>Check if Every Row and Column Contains All Numbers</v>
      </c>
      <c r="C1485" s="1">
        <v>1076</v>
      </c>
      <c r="D1485" s="1">
        <v>58</v>
      </c>
      <c r="E1485" s="3">
        <f t="shared" si="10"/>
        <v>0.94885361552028213</v>
      </c>
      <c r="F1485" s="1" t="s">
        <v>78</v>
      </c>
      <c r="G1485" s="1" t="s">
        <v>20</v>
      </c>
      <c r="H1485" s="1">
        <v>111292</v>
      </c>
      <c r="I1485" s="1">
        <v>206686</v>
      </c>
      <c r="J1485" s="7">
        <v>0.53800000000000003</v>
      </c>
      <c r="K1485" s="1" t="s">
        <v>21</v>
      </c>
      <c r="L1485" s="1" t="s">
        <v>29</v>
      </c>
      <c r="M1485" s="1" t="s">
        <v>29</v>
      </c>
      <c r="N1485" s="1" t="s">
        <v>22</v>
      </c>
      <c r="O1485" s="1" t="str">
        <f t="shared" ca="1" si="11"/>
        <v>Please solve the LeetCode problem '2133. Check if Every Row and Column Contains All Numbers'.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86" spans="1:15" x14ac:dyDescent="0.25">
      <c r="A1486" s="1">
        <v>1156</v>
      </c>
      <c r="B1486" s="2" t="str">
        <f>HYPERLINK("https://leetcode.com/problems/swap-for-longest-repeated-character-substring/", "Swap For Longest Repeated Character Substring")</f>
        <v>Swap For Longest Repeated Character Substring</v>
      </c>
      <c r="C1486" s="1">
        <v>1075</v>
      </c>
      <c r="D1486" s="1">
        <v>104</v>
      </c>
      <c r="E1486" s="3">
        <f t="shared" si="10"/>
        <v>0.9117896522476675</v>
      </c>
      <c r="F1486" s="1" t="s">
        <v>23</v>
      </c>
      <c r="G1486" s="1" t="s">
        <v>24</v>
      </c>
      <c r="H1486" s="1">
        <v>39746</v>
      </c>
      <c r="I1486" s="1">
        <v>90218</v>
      </c>
      <c r="J1486" s="7">
        <v>0.441</v>
      </c>
      <c r="K1486" s="1" t="s">
        <v>21</v>
      </c>
      <c r="L1486" s="1" t="s">
        <v>29</v>
      </c>
      <c r="M1486" s="1" t="s">
        <v>29</v>
      </c>
      <c r="N1486" s="1" t="s">
        <v>22</v>
      </c>
      <c r="O1486" s="1" t="str">
        <f t="shared" ca="1" si="11"/>
        <v>Please solve the LeetCode problem '1156. Swap For Longest Repeated Character Substring'.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87" spans="1:15" x14ac:dyDescent="0.25">
      <c r="A1487" s="1">
        <v>1003</v>
      </c>
      <c r="B1487" s="2" t="str">
        <f>HYPERLINK("https://leetcode.com/problems/check-if-word-is-valid-after-substitutions/", "Check If Word Is Valid After Substitutions")</f>
        <v>Check If Word Is Valid After Substitutions</v>
      </c>
      <c r="C1487" s="1">
        <v>1074</v>
      </c>
      <c r="D1487" s="1">
        <v>472</v>
      </c>
      <c r="E1487" s="3">
        <f t="shared" si="10"/>
        <v>0.69469598965071155</v>
      </c>
      <c r="F1487" s="1" t="s">
        <v>36</v>
      </c>
      <c r="G1487" s="1" t="s">
        <v>24</v>
      </c>
      <c r="H1487" s="1">
        <v>82603</v>
      </c>
      <c r="I1487" s="1">
        <v>135572</v>
      </c>
      <c r="J1487" s="7">
        <v>0.60899999999999999</v>
      </c>
      <c r="K1487" s="1" t="s">
        <v>21</v>
      </c>
      <c r="L1487" s="1" t="s">
        <v>29</v>
      </c>
      <c r="M1487" s="1" t="s">
        <v>29</v>
      </c>
      <c r="N1487" s="1" t="s">
        <v>22</v>
      </c>
      <c r="O1487" s="1" t="str">
        <f t="shared" ca="1" si="11"/>
        <v>Please solve the LeetCode problem '1003. Check If Word Is Valid After Substitutions'.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88" spans="1:15" x14ac:dyDescent="0.25">
      <c r="A1488" s="1">
        <v>2491</v>
      </c>
      <c r="B1488" s="2" t="str">
        <f>HYPERLINK("https://leetcode.com/problems/divide-players-into-teams-of-equal-skill/", "Divide Players Into Teams of Equal Skill")</f>
        <v>Divide Players Into Teams of Equal Skill</v>
      </c>
      <c r="C1488" s="1">
        <v>1074</v>
      </c>
      <c r="D1488" s="1">
        <v>35</v>
      </c>
      <c r="E1488" s="3">
        <f t="shared" si="10"/>
        <v>0.96844003606853024</v>
      </c>
      <c r="F1488" s="1" t="s">
        <v>347</v>
      </c>
      <c r="G1488" s="1" t="s">
        <v>24</v>
      </c>
      <c r="H1488" s="1">
        <v>198277</v>
      </c>
      <c r="I1488" s="1">
        <v>287831</v>
      </c>
      <c r="J1488" s="7">
        <v>0.68899999999999995</v>
      </c>
      <c r="K1488" s="1" t="s">
        <v>21</v>
      </c>
      <c r="L1488" s="1" t="s">
        <v>21</v>
      </c>
      <c r="M1488" s="1" t="s">
        <v>29</v>
      </c>
      <c r="N1488" s="1" t="s">
        <v>22</v>
      </c>
      <c r="O1488" s="1" t="str">
        <f t="shared" ca="1" si="11"/>
        <v>Please solve the LeetCode problem '2491. Divide Players Into Teams of Equal Skill'.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89" spans="1:15" x14ac:dyDescent="0.25">
      <c r="A1489" s="1">
        <v>2110</v>
      </c>
      <c r="B1489" s="2" t="str">
        <f>HYPERLINK("https://leetcode.com/problems/number-of-smooth-descent-periods-of-a-stock/", "Number of Smooth Descent Periods of a Stock")</f>
        <v>Number of Smooth Descent Periods of a Stock</v>
      </c>
      <c r="C1489" s="1">
        <v>1073</v>
      </c>
      <c r="D1489" s="1">
        <v>52</v>
      </c>
      <c r="E1489" s="3">
        <f t="shared" si="10"/>
        <v>0.95377777777777772</v>
      </c>
      <c r="F1489" s="1" t="s">
        <v>694</v>
      </c>
      <c r="G1489" s="1" t="s">
        <v>24</v>
      </c>
      <c r="H1489" s="1">
        <v>139846</v>
      </c>
      <c r="I1489" s="1">
        <v>206495</v>
      </c>
      <c r="J1489" s="7">
        <v>0.67700000000000005</v>
      </c>
      <c r="K1489" s="1" t="s">
        <v>21</v>
      </c>
      <c r="L1489" s="1" t="s">
        <v>21</v>
      </c>
      <c r="M1489" s="1" t="s">
        <v>29</v>
      </c>
      <c r="N1489" s="1" t="s">
        <v>22</v>
      </c>
      <c r="O1489" s="1" t="str">
        <f t="shared" ca="1" si="11"/>
        <v>Please solve the LeetCode problem '2110. Number of Smooth Descent Periods of a Stock'.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90" spans="1:15" x14ac:dyDescent="0.25">
      <c r="A1490" s="1">
        <v>428</v>
      </c>
      <c r="B1490" s="2" t="str">
        <f>HYPERLINK("https://leetcode.com/problems/serialize-and-deserialize-n-ary-tree/", "Serialize and Deserialize N-ary Tree")</f>
        <v>Serialize and Deserialize N-ary Tree</v>
      </c>
      <c r="C1490" s="1">
        <v>1070</v>
      </c>
      <c r="D1490" s="1">
        <v>58</v>
      </c>
      <c r="E1490" s="3">
        <f t="shared" si="10"/>
        <v>0.9485815602836879</v>
      </c>
      <c r="F1490" s="1" t="s">
        <v>696</v>
      </c>
      <c r="G1490" s="1" t="s">
        <v>28</v>
      </c>
      <c r="H1490" s="1">
        <v>98410</v>
      </c>
      <c r="I1490" s="1">
        <v>143551</v>
      </c>
      <c r="J1490" s="7">
        <v>0.68600000000000005</v>
      </c>
      <c r="K1490" s="1" t="s">
        <v>29</v>
      </c>
      <c r="L1490" s="1" t="s">
        <v>21</v>
      </c>
      <c r="M1490" s="1" t="s">
        <v>29</v>
      </c>
      <c r="N1490" s="1" t="s">
        <v>22</v>
      </c>
      <c r="O1490" s="1" t="str">
        <f t="shared" ca="1" si="11"/>
        <v>Please solve the LeetCode problem '428. Serialize and Deserialize N-ary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91" spans="1:15" x14ac:dyDescent="0.25">
      <c r="A1491" s="1">
        <v>3217</v>
      </c>
      <c r="B1491" s="2" t="str">
        <f>HYPERLINK("https://leetcode.com/problems/delete-nodes-from-linked-list-present-in-array/", "Delete Nodes From Linked List Present in Array")</f>
        <v>Delete Nodes From Linked List Present in Array</v>
      </c>
      <c r="C1491" s="1">
        <v>1069</v>
      </c>
      <c r="D1491" s="1">
        <v>50</v>
      </c>
      <c r="E1491" s="3">
        <f t="shared" si="10"/>
        <v>0.95531724754244862</v>
      </c>
      <c r="F1491" s="1" t="s">
        <v>656</v>
      </c>
      <c r="G1491" s="1" t="s">
        <v>24</v>
      </c>
      <c r="H1491" s="1">
        <v>329677</v>
      </c>
      <c r="I1491" s="1">
        <v>473927</v>
      </c>
      <c r="J1491" s="7">
        <v>0.69599999999999995</v>
      </c>
      <c r="K1491" s="1" t="s">
        <v>21</v>
      </c>
      <c r="L1491" s="1" t="s">
        <v>21</v>
      </c>
      <c r="M1491" s="1" t="s">
        <v>29</v>
      </c>
      <c r="N1491" s="1" t="s">
        <v>22</v>
      </c>
      <c r="O1491" s="1" t="str">
        <f t="shared" ca="1" si="11"/>
        <v>Please solve the LeetCode problem '3217. Delete Nodes From Linked List Present in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92" spans="1:15" x14ac:dyDescent="0.25">
      <c r="A1492" s="1">
        <v>1529</v>
      </c>
      <c r="B1492" s="2" t="str">
        <f>HYPERLINK("https://leetcode.com/problems/minimum-suffix-flips/", "Minimum Suffix Flips")</f>
        <v>Minimum Suffix Flips</v>
      </c>
      <c r="C1492" s="1">
        <v>1068</v>
      </c>
      <c r="D1492" s="1">
        <v>50</v>
      </c>
      <c r="E1492" s="3">
        <f t="shared" si="10"/>
        <v>0.95527728085867625</v>
      </c>
      <c r="F1492" s="1" t="s">
        <v>424</v>
      </c>
      <c r="G1492" s="1" t="s">
        <v>24</v>
      </c>
      <c r="H1492" s="1">
        <v>65012</v>
      </c>
      <c r="I1492" s="1">
        <v>88041</v>
      </c>
      <c r="J1492" s="7">
        <v>0.73799999999999999</v>
      </c>
      <c r="K1492" s="1" t="s">
        <v>21</v>
      </c>
      <c r="L1492" s="1" t="s">
        <v>29</v>
      </c>
      <c r="M1492" s="1" t="s">
        <v>29</v>
      </c>
      <c r="N1492" s="1" t="s">
        <v>22</v>
      </c>
      <c r="O1492" s="1" t="str">
        <f t="shared" ca="1" si="11"/>
        <v>Please solve the LeetCode problem '1529. Minimum Suffix Flips'.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93" spans="1:15" x14ac:dyDescent="0.25">
      <c r="A1493" s="1">
        <v>2097</v>
      </c>
      <c r="B1493" s="2" t="str">
        <f>HYPERLINK("https://leetcode.com/problems/valid-arrangement-of-pairs/", "Valid Arrangement of Pairs")</f>
        <v>Valid Arrangement of Pairs</v>
      </c>
      <c r="C1493" s="1">
        <v>1067</v>
      </c>
      <c r="D1493" s="1">
        <v>55</v>
      </c>
      <c r="E1493" s="3">
        <f t="shared" si="10"/>
        <v>0.9509803921568627</v>
      </c>
      <c r="F1493" s="1" t="s">
        <v>1352</v>
      </c>
      <c r="G1493" s="1" t="s">
        <v>28</v>
      </c>
      <c r="H1493" s="1">
        <v>80671</v>
      </c>
      <c r="I1493" s="1">
        <v>121427</v>
      </c>
      <c r="J1493" s="7">
        <v>0.66400000000000003</v>
      </c>
      <c r="K1493" s="1" t="s">
        <v>21</v>
      </c>
      <c r="L1493" s="1" t="s">
        <v>21</v>
      </c>
      <c r="M1493" s="1" t="s">
        <v>29</v>
      </c>
      <c r="N1493" s="1" t="s">
        <v>22</v>
      </c>
      <c r="O1493" s="1" t="str">
        <f t="shared" ca="1" si="11"/>
        <v>Please solve the LeetCode problem '2097. Valid Arrangement of Pairs'.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94" spans="1:15" x14ac:dyDescent="0.25">
      <c r="A1494" s="1">
        <v>2583</v>
      </c>
      <c r="B1494" s="2" t="str">
        <f>HYPERLINK("https://leetcode.com/problems/kth-largest-sum-in-a-binary-tree/", "Kth Largest Sum in a Binary Tree")</f>
        <v>Kth Largest Sum in a Binary Tree</v>
      </c>
      <c r="C1494" s="1">
        <v>1064</v>
      </c>
      <c r="D1494" s="1">
        <v>40</v>
      </c>
      <c r="E1494" s="3">
        <f t="shared" si="10"/>
        <v>0.96376811594202894</v>
      </c>
      <c r="F1494" s="1" t="s">
        <v>697</v>
      </c>
      <c r="G1494" s="1" t="s">
        <v>24</v>
      </c>
      <c r="H1494" s="1">
        <v>177886</v>
      </c>
      <c r="I1494" s="1">
        <v>301521</v>
      </c>
      <c r="J1494" s="7">
        <v>0.59</v>
      </c>
      <c r="K1494" s="1" t="s">
        <v>21</v>
      </c>
      <c r="L1494" s="1" t="s">
        <v>21</v>
      </c>
      <c r="M1494" s="1" t="s">
        <v>29</v>
      </c>
      <c r="N1494" s="1" t="s">
        <v>22</v>
      </c>
      <c r="O1494" s="1" t="str">
        <f t="shared" ca="1" si="11"/>
        <v>Please solve the LeetCode problem '2583. Kth Largest Sum in a Binary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95" spans="1:15" x14ac:dyDescent="0.25">
      <c r="A1495" s="1">
        <v>1204</v>
      </c>
      <c r="B1495" s="2" t="str">
        <f>HYPERLINK("https://leetcode.com/problems/last-person-to-fit-in-the-bus/", "Last Person to Fit in the Bus")</f>
        <v>Last Person to Fit in the Bus</v>
      </c>
      <c r="C1495" s="1">
        <v>1063</v>
      </c>
      <c r="D1495" s="1">
        <v>49</v>
      </c>
      <c r="E1495" s="3">
        <f t="shared" si="10"/>
        <v>0.9559352517985612</v>
      </c>
      <c r="F1495" s="1" t="s">
        <v>297</v>
      </c>
      <c r="G1495" s="1" t="s">
        <v>24</v>
      </c>
      <c r="H1495" s="1">
        <v>311329</v>
      </c>
      <c r="I1495" s="1">
        <v>451984</v>
      </c>
      <c r="J1495" s="7">
        <v>0.68899999999999995</v>
      </c>
      <c r="K1495" s="1" t="s">
        <v>21</v>
      </c>
      <c r="L1495" s="1" t="s">
        <v>29</v>
      </c>
      <c r="M1495" s="1" t="s">
        <v>29</v>
      </c>
      <c r="N1495" s="1" t="s">
        <v>297</v>
      </c>
      <c r="O1495" s="1" t="str">
        <f t="shared" ca="1" si="11"/>
        <v>Please solve the LeetCode problem '1204. Last Person to Fit in the Bus'.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96" spans="1:15" x14ac:dyDescent="0.25">
      <c r="A1496" s="1">
        <v>1537</v>
      </c>
      <c r="B1496" s="2" t="str">
        <f>HYPERLINK("https://leetcode.com/problems/get-the-maximum-score/", "Get the Maximum Score")</f>
        <v>Get the Maximum Score</v>
      </c>
      <c r="C1496" s="1">
        <v>1063</v>
      </c>
      <c r="D1496" s="1">
        <v>54</v>
      </c>
      <c r="E1496" s="3">
        <f t="shared" si="10"/>
        <v>0.9516562220232766</v>
      </c>
      <c r="F1496" s="1" t="s">
        <v>698</v>
      </c>
      <c r="G1496" s="1" t="s">
        <v>28</v>
      </c>
      <c r="H1496" s="1">
        <v>34974</v>
      </c>
      <c r="I1496" s="1">
        <v>85953</v>
      </c>
      <c r="J1496" s="7">
        <v>0.40699999999999997</v>
      </c>
      <c r="K1496" s="1" t="s">
        <v>21</v>
      </c>
      <c r="L1496" s="1" t="s">
        <v>29</v>
      </c>
      <c r="M1496" s="1" t="s">
        <v>29</v>
      </c>
      <c r="N1496" s="1" t="s">
        <v>22</v>
      </c>
      <c r="O1496" s="1" t="str">
        <f t="shared" ca="1" si="11"/>
        <v>Please solve the LeetCode problem '1537. Get the Maximum Score'.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97" spans="1:15" x14ac:dyDescent="0.25">
      <c r="A1497" s="1">
        <v>2139</v>
      </c>
      <c r="B1497" s="2" t="str">
        <f>HYPERLINK("https://leetcode.com/problems/minimum-moves-to-reach-target-score/", "Minimum Moves to Reach Target Score")</f>
        <v>Minimum Moves to Reach Target Score</v>
      </c>
      <c r="C1497" s="1">
        <v>1063</v>
      </c>
      <c r="D1497" s="1">
        <v>28</v>
      </c>
      <c r="E1497" s="3">
        <f t="shared" si="10"/>
        <v>0.97433547204399629</v>
      </c>
      <c r="F1497" s="1" t="s">
        <v>296</v>
      </c>
      <c r="G1497" s="1" t="s">
        <v>24</v>
      </c>
      <c r="H1497" s="1">
        <v>57893</v>
      </c>
      <c r="I1497" s="1">
        <v>111318</v>
      </c>
      <c r="J1497" s="7">
        <v>0.52</v>
      </c>
      <c r="K1497" s="1" t="s">
        <v>21</v>
      </c>
      <c r="L1497" s="1" t="s">
        <v>29</v>
      </c>
      <c r="M1497" s="1" t="s">
        <v>29</v>
      </c>
      <c r="N1497" s="1" t="s">
        <v>22</v>
      </c>
      <c r="O1497" s="1" t="str">
        <f t="shared" ca="1" si="11"/>
        <v>Please solve the LeetCode problem '2139. Minimum Moves to Reach Target Score'.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98" spans="1:15" x14ac:dyDescent="0.25">
      <c r="A1498" s="1">
        <v>3005</v>
      </c>
      <c r="B1498" s="2" t="str">
        <f>HYPERLINK("https://leetcode.com/problems/count-elements-with-maximum-frequency/", "Count Elements With Maximum Frequency")</f>
        <v>Count Elements With Maximum Frequency</v>
      </c>
      <c r="C1498" s="1">
        <v>1063</v>
      </c>
      <c r="D1498" s="1">
        <v>96</v>
      </c>
      <c r="E1498" s="3">
        <f t="shared" si="10"/>
        <v>0.91716997411561696</v>
      </c>
      <c r="F1498" s="1" t="s">
        <v>294</v>
      </c>
      <c r="G1498" s="1" t="s">
        <v>20</v>
      </c>
      <c r="H1498" s="1">
        <v>406976</v>
      </c>
      <c r="I1498" s="1">
        <v>509295</v>
      </c>
      <c r="J1498" s="7">
        <v>0.79900000000000004</v>
      </c>
      <c r="K1498" s="1" t="s">
        <v>21</v>
      </c>
      <c r="L1498" s="1" t="s">
        <v>21</v>
      </c>
      <c r="M1498" s="1" t="s">
        <v>29</v>
      </c>
      <c r="N1498" s="1" t="s">
        <v>22</v>
      </c>
      <c r="O1498" s="1" t="str">
        <f t="shared" ca="1" si="11"/>
        <v>Please solve the LeetCode problem '3005. Count Elements With Maximum Frequency'.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499" spans="1:15" x14ac:dyDescent="0.25">
      <c r="A1499" s="1">
        <v>1813</v>
      </c>
      <c r="B1499" s="2" t="str">
        <f>HYPERLINK("https://leetcode.com/problems/sentence-similarity-iii/", "Sentence Similarity III")</f>
        <v>Sentence Similarity III</v>
      </c>
      <c r="C1499" s="1">
        <v>1061</v>
      </c>
      <c r="D1499" s="1">
        <v>163</v>
      </c>
      <c r="E1499" s="3">
        <f t="shared" si="10"/>
        <v>0.86683006535947715</v>
      </c>
      <c r="F1499" s="1" t="s">
        <v>360</v>
      </c>
      <c r="G1499" s="1" t="s">
        <v>24</v>
      </c>
      <c r="H1499" s="1">
        <v>131100</v>
      </c>
      <c r="I1499" s="1">
        <v>270402</v>
      </c>
      <c r="J1499" s="7">
        <v>0.48499999999999999</v>
      </c>
      <c r="K1499" s="1" t="s">
        <v>21</v>
      </c>
      <c r="L1499" s="1" t="s">
        <v>21</v>
      </c>
      <c r="M1499" s="1" t="s">
        <v>29</v>
      </c>
      <c r="N1499" s="1" t="s">
        <v>22</v>
      </c>
      <c r="O1499" s="1" t="str">
        <f t="shared" ca="1" si="11"/>
        <v>Please solve the LeetCode problem '1813. Sentence Similarity III'.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00" spans="1:15" x14ac:dyDescent="0.25">
      <c r="A1500" s="1">
        <v>372</v>
      </c>
      <c r="B1500" s="2" t="str">
        <f>HYPERLINK("https://leetcode.com/problems/super-pow/", "Super Pow")</f>
        <v>Super Pow</v>
      </c>
      <c r="C1500" s="1">
        <v>1060</v>
      </c>
      <c r="D1500" s="1">
        <v>1483</v>
      </c>
      <c r="E1500" s="3">
        <f t="shared" si="10"/>
        <v>0.4168305151395989</v>
      </c>
      <c r="F1500" s="1" t="s">
        <v>695</v>
      </c>
      <c r="G1500" s="1" t="s">
        <v>24</v>
      </c>
      <c r="H1500" s="1">
        <v>96774</v>
      </c>
      <c r="I1500" s="1">
        <v>267405</v>
      </c>
      <c r="J1500" s="7">
        <v>0.36199999999999999</v>
      </c>
      <c r="K1500" s="1" t="s">
        <v>21</v>
      </c>
      <c r="L1500" s="1" t="s">
        <v>29</v>
      </c>
      <c r="M1500" s="1" t="s">
        <v>29</v>
      </c>
      <c r="N1500" s="1" t="s">
        <v>22</v>
      </c>
      <c r="O1500" s="1" t="str">
        <f t="shared" ca="1" si="11"/>
        <v>Please solve the LeetCode problem '372. Super Pow'.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01" spans="1:15" x14ac:dyDescent="0.25">
      <c r="A1501" s="1">
        <v>1211</v>
      </c>
      <c r="B1501" s="2" t="str">
        <f>HYPERLINK("https://leetcode.com/problems/queries-quality-and-percentage/", "Queries Quality and Percentage")</f>
        <v>Queries Quality and Percentage</v>
      </c>
      <c r="C1501" s="1">
        <v>1060</v>
      </c>
      <c r="D1501" s="1">
        <v>533</v>
      </c>
      <c r="E1501" s="3">
        <f t="shared" si="10"/>
        <v>0.66541117388575011</v>
      </c>
      <c r="F1501" s="1" t="s">
        <v>297</v>
      </c>
      <c r="G1501" s="1" t="s">
        <v>20</v>
      </c>
      <c r="H1501" s="1">
        <v>478701</v>
      </c>
      <c r="I1501" s="1">
        <v>925023</v>
      </c>
      <c r="J1501" s="7">
        <v>0.51800000000000002</v>
      </c>
      <c r="K1501" s="1" t="s">
        <v>21</v>
      </c>
      <c r="L1501" s="1" t="s">
        <v>29</v>
      </c>
      <c r="M1501" s="1" t="s">
        <v>29</v>
      </c>
      <c r="N1501" s="1" t="s">
        <v>297</v>
      </c>
      <c r="O1501" s="1" t="str">
        <f t="shared" ca="1" si="11"/>
        <v>Please solve the LeetCode problem '1211. Queries Quality and Percentage'.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02" spans="1:15" x14ac:dyDescent="0.25">
      <c r="A1502" s="1">
        <v>2706</v>
      </c>
      <c r="B1502" s="2" t="str">
        <f>HYPERLINK("https://leetcode.com/problems/buy-two-chocolates/", "Buy Two Chocolates")</f>
        <v>Buy Two Chocolates</v>
      </c>
      <c r="C1502" s="1">
        <v>1059</v>
      </c>
      <c r="D1502" s="1">
        <v>71</v>
      </c>
      <c r="E1502" s="3">
        <f t="shared" si="10"/>
        <v>0.93716814159292039</v>
      </c>
      <c r="F1502" s="1" t="s">
        <v>169</v>
      </c>
      <c r="G1502" s="1" t="s">
        <v>20</v>
      </c>
      <c r="H1502" s="1">
        <v>217612</v>
      </c>
      <c r="I1502" s="1">
        <v>318724</v>
      </c>
      <c r="J1502" s="7">
        <v>0.68300000000000005</v>
      </c>
      <c r="K1502" s="1" t="s">
        <v>21</v>
      </c>
      <c r="L1502" s="1" t="s">
        <v>21</v>
      </c>
      <c r="M1502" s="1" t="s">
        <v>29</v>
      </c>
      <c r="N1502" s="1" t="s">
        <v>22</v>
      </c>
      <c r="O1502" s="1" t="str">
        <f t="shared" ca="1" si="11"/>
        <v>Please solve the LeetCode problem '2706. Buy Two Chocolates'.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03" spans="1:15" x14ac:dyDescent="0.25">
      <c r="A1503" s="1">
        <v>723</v>
      </c>
      <c r="B1503" s="2" t="str">
        <f>HYPERLINK("https://leetcode.com/problems/candy-crush/", "Candy Crush")</f>
        <v>Candy Crush</v>
      </c>
      <c r="C1503" s="1">
        <v>1058</v>
      </c>
      <c r="D1503" s="1">
        <v>546</v>
      </c>
      <c r="E1503" s="3">
        <f t="shared" si="10"/>
        <v>0.65960099750623447</v>
      </c>
      <c r="F1503" s="1" t="s">
        <v>699</v>
      </c>
      <c r="G1503" s="1" t="s">
        <v>24</v>
      </c>
      <c r="H1503" s="1">
        <v>87603</v>
      </c>
      <c r="I1503" s="1">
        <v>113194</v>
      </c>
      <c r="J1503" s="7">
        <v>0.77400000000000002</v>
      </c>
      <c r="K1503" s="1" t="s">
        <v>29</v>
      </c>
      <c r="L1503" s="1" t="s">
        <v>21</v>
      </c>
      <c r="M1503" s="1" t="s">
        <v>29</v>
      </c>
      <c r="N1503" s="1" t="s">
        <v>22</v>
      </c>
      <c r="O1503" s="1" t="str">
        <f t="shared" ca="1" si="11"/>
        <v>Please solve the LeetCode problem '723. Candy Crush'.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04" spans="1:15" x14ac:dyDescent="0.25">
      <c r="A1504" s="1">
        <v>2154</v>
      </c>
      <c r="B1504" s="2" t="str">
        <f>HYPERLINK("https://leetcode.com/problems/keep-multiplying-found-values-by-two/", "Keep Multiplying Found Values by Two")</f>
        <v>Keep Multiplying Found Values by Two</v>
      </c>
      <c r="C1504" s="1">
        <v>1055</v>
      </c>
      <c r="D1504" s="1">
        <v>54</v>
      </c>
      <c r="E1504" s="3">
        <f t="shared" si="10"/>
        <v>0.95130748422001798</v>
      </c>
      <c r="F1504" s="1" t="s">
        <v>700</v>
      </c>
      <c r="G1504" s="1" t="s">
        <v>20</v>
      </c>
      <c r="H1504" s="1">
        <v>273639</v>
      </c>
      <c r="I1504" s="1">
        <v>364437</v>
      </c>
      <c r="J1504" s="7">
        <v>0.751</v>
      </c>
      <c r="K1504" s="1" t="s">
        <v>21</v>
      </c>
      <c r="L1504" s="1" t="s">
        <v>21</v>
      </c>
      <c r="M1504" s="1" t="s">
        <v>29</v>
      </c>
      <c r="N1504" s="1" t="s">
        <v>22</v>
      </c>
      <c r="O1504" s="1" t="str">
        <f t="shared" ca="1" si="11"/>
        <v>Please solve the LeetCode problem '2154. Keep Multiplying Found Values by Two'.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05" spans="1:15" x14ac:dyDescent="0.25">
      <c r="A1505" s="1">
        <v>2441</v>
      </c>
      <c r="B1505" s="2" t="str">
        <f>HYPERLINK("https://leetcode.com/problems/largest-positive-integer-that-exists-with-its-negative/", "Largest Positive Integer That Exists With Its Negative")</f>
        <v>Largest Positive Integer That Exists With Its Negative</v>
      </c>
      <c r="C1505" s="1">
        <v>1055</v>
      </c>
      <c r="D1505" s="1">
        <v>25</v>
      </c>
      <c r="E1505" s="3">
        <f t="shared" si="10"/>
        <v>0.97685185185185186</v>
      </c>
      <c r="F1505" s="1" t="s">
        <v>347</v>
      </c>
      <c r="G1505" s="1" t="s">
        <v>20</v>
      </c>
      <c r="H1505" s="1">
        <v>261394</v>
      </c>
      <c r="I1505" s="1">
        <v>350820</v>
      </c>
      <c r="J1505" s="7">
        <v>0.745</v>
      </c>
      <c r="K1505" s="1" t="s">
        <v>21</v>
      </c>
      <c r="L1505" s="1" t="s">
        <v>21</v>
      </c>
      <c r="M1505" s="1" t="s">
        <v>29</v>
      </c>
      <c r="N1505" s="1" t="s">
        <v>22</v>
      </c>
      <c r="O1505" s="1" t="str">
        <f t="shared" ca="1" si="11"/>
        <v>Please solve the LeetCode problem '2441. Largest Positive Integer That Exists With Its Negative'.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06" spans="1:15" x14ac:dyDescent="0.25">
      <c r="A1506" s="1">
        <v>1667</v>
      </c>
      <c r="B1506" s="2" t="str">
        <f>HYPERLINK("https://leetcode.com/problems/fix-names-in-a-table/", "Fix Names in a Table")</f>
        <v>Fix Names in a Table</v>
      </c>
      <c r="C1506" s="1">
        <v>1054</v>
      </c>
      <c r="D1506" s="1">
        <v>140</v>
      </c>
      <c r="E1506" s="3">
        <f t="shared" si="10"/>
        <v>0.88274706867671693</v>
      </c>
      <c r="F1506" s="1" t="s">
        <v>297</v>
      </c>
      <c r="G1506" s="1" t="s">
        <v>20</v>
      </c>
      <c r="H1506" s="1">
        <v>428198</v>
      </c>
      <c r="I1506" s="1">
        <v>706064</v>
      </c>
      <c r="J1506" s="7">
        <v>0.60599999999999998</v>
      </c>
      <c r="K1506" s="1" t="s">
        <v>21</v>
      </c>
      <c r="L1506" s="1" t="s">
        <v>21</v>
      </c>
      <c r="M1506" s="1" t="s">
        <v>29</v>
      </c>
      <c r="N1506" s="1" t="s">
        <v>297</v>
      </c>
      <c r="O1506" s="1" t="str">
        <f t="shared" ca="1" si="11"/>
        <v>Please solve the LeetCode problem '1667. Fix Names in a Table'.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07" spans="1:15" x14ac:dyDescent="0.25">
      <c r="A1507" s="1">
        <v>2222</v>
      </c>
      <c r="B1507" s="2" t="str">
        <f>HYPERLINK("https://leetcode.com/problems/number-of-ways-to-select-buildings/", "Number of Ways to Select Buildings")</f>
        <v>Number of Ways to Select Buildings</v>
      </c>
      <c r="C1507" s="1">
        <v>1054</v>
      </c>
      <c r="D1507" s="1">
        <v>54</v>
      </c>
      <c r="E1507" s="3">
        <f t="shared" si="10"/>
        <v>0.95126353790613716</v>
      </c>
      <c r="F1507" s="1" t="s">
        <v>701</v>
      </c>
      <c r="G1507" s="1" t="s">
        <v>24</v>
      </c>
      <c r="H1507" s="1">
        <v>51512</v>
      </c>
      <c r="I1507" s="1">
        <v>101572</v>
      </c>
      <c r="J1507" s="7">
        <v>0.50700000000000001</v>
      </c>
      <c r="K1507" s="1" t="s">
        <v>21</v>
      </c>
      <c r="L1507" s="1" t="s">
        <v>29</v>
      </c>
      <c r="M1507" s="1" t="s">
        <v>29</v>
      </c>
      <c r="N1507" s="1" t="s">
        <v>22</v>
      </c>
      <c r="O1507" s="1" t="str">
        <f t="shared" ca="1" si="11"/>
        <v>Please solve the LeetCode problem '2222. Number of Ways to Select Buildings'.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08" spans="1:15" x14ac:dyDescent="0.25">
      <c r="A1508" s="1">
        <v>511</v>
      </c>
      <c r="B1508" s="2" t="str">
        <f>HYPERLINK("https://leetcode.com/problems/game-play-analysis-i/", "Game Play Analysis I")</f>
        <v>Game Play Analysis I</v>
      </c>
      <c r="C1508" s="1">
        <v>1052</v>
      </c>
      <c r="D1508" s="1">
        <v>43</v>
      </c>
      <c r="E1508" s="3">
        <f t="shared" si="10"/>
        <v>0.96073059360730595</v>
      </c>
      <c r="F1508" s="1" t="s">
        <v>297</v>
      </c>
      <c r="G1508" s="1" t="s">
        <v>20</v>
      </c>
      <c r="H1508" s="1">
        <v>485749</v>
      </c>
      <c r="I1508" s="1">
        <v>637800</v>
      </c>
      <c r="J1508" s="7">
        <v>0.76200000000000001</v>
      </c>
      <c r="K1508" s="1" t="s">
        <v>21</v>
      </c>
      <c r="L1508" s="1" t="s">
        <v>21</v>
      </c>
      <c r="M1508" s="1" t="s">
        <v>29</v>
      </c>
      <c r="N1508" s="1" t="s">
        <v>297</v>
      </c>
      <c r="O1508" s="1" t="str">
        <f t="shared" ca="1" si="11"/>
        <v>Please solve the LeetCode problem '511. Game Play Analysis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09" spans="1:15" x14ac:dyDescent="0.25">
      <c r="A1509" s="1">
        <v>2273</v>
      </c>
      <c r="B1509" s="2" t="str">
        <f>HYPERLINK("https://leetcode.com/problems/find-resultant-array-after-removing-anagrams/", "Find Resultant Array After Removing Anagrams")</f>
        <v>Find Resultant Array After Removing Anagrams</v>
      </c>
      <c r="C1509" s="1">
        <v>1052</v>
      </c>
      <c r="D1509" s="1">
        <v>236</v>
      </c>
      <c r="E1509" s="3">
        <f t="shared" si="10"/>
        <v>0.81677018633540377</v>
      </c>
      <c r="F1509" s="1" t="s">
        <v>49</v>
      </c>
      <c r="G1509" s="1" t="s">
        <v>20</v>
      </c>
      <c r="H1509" s="1">
        <v>201351</v>
      </c>
      <c r="I1509" s="1">
        <v>288312</v>
      </c>
      <c r="J1509" s="7">
        <v>0.69799999999999995</v>
      </c>
      <c r="K1509" s="1" t="s">
        <v>21</v>
      </c>
      <c r="L1509" s="1" t="s">
        <v>21</v>
      </c>
      <c r="M1509" s="1" t="s">
        <v>29</v>
      </c>
      <c r="N1509" s="1" t="s">
        <v>22</v>
      </c>
      <c r="O1509" s="1" t="str">
        <f t="shared" ca="1" si="11"/>
        <v>Please solve the LeetCode problem '2273. Find Resultant Array After Removing Anagrams'.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10" spans="1:15" x14ac:dyDescent="0.25">
      <c r="A1510" s="1">
        <v>1981</v>
      </c>
      <c r="B1510" s="2" t="str">
        <f>HYPERLINK("https://leetcode.com/problems/minimize-the-difference-between-target-and-chosen-elements/", "Minimize the Difference Between Target and Chosen Elements")</f>
        <v>Minimize the Difference Between Target and Chosen Elements</v>
      </c>
      <c r="C1510" s="1">
        <v>1051</v>
      </c>
      <c r="D1510" s="1">
        <v>145</v>
      </c>
      <c r="E1510" s="3">
        <f t="shared" si="10"/>
        <v>0.87876254180602009</v>
      </c>
      <c r="F1510" s="1" t="s">
        <v>94</v>
      </c>
      <c r="G1510" s="1" t="s">
        <v>24</v>
      </c>
      <c r="H1510" s="1">
        <v>37450</v>
      </c>
      <c r="I1510" s="1">
        <v>102648</v>
      </c>
      <c r="J1510" s="7">
        <v>0.36499999999999999</v>
      </c>
      <c r="K1510" s="1" t="s">
        <v>21</v>
      </c>
      <c r="L1510" s="1" t="s">
        <v>29</v>
      </c>
      <c r="M1510" s="1" t="s">
        <v>29</v>
      </c>
      <c r="N1510" s="1" t="s">
        <v>22</v>
      </c>
      <c r="O1510" s="1" t="str">
        <f t="shared" ca="1" si="11"/>
        <v>Please solve the LeetCode problem '1981. Minimize the Difference Between Target and Chosen Elements'.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11" spans="1:15" x14ac:dyDescent="0.25">
      <c r="A1511" s="1">
        <v>1414</v>
      </c>
      <c r="B1511" s="2" t="str">
        <f>HYPERLINK("https://leetcode.com/problems/find-the-minimum-number-of-fibonacci-numbers-whose-sum-is-k/", "Find the Minimum Number of Fibonacci Numbers Whose Sum Is K")</f>
        <v>Find the Minimum Number of Fibonacci Numbers Whose Sum Is K</v>
      </c>
      <c r="C1511" s="1">
        <v>1050</v>
      </c>
      <c r="D1511" s="1">
        <v>68</v>
      </c>
      <c r="E1511" s="3">
        <f t="shared" si="10"/>
        <v>0.93917710196779969</v>
      </c>
      <c r="F1511" s="1" t="s">
        <v>296</v>
      </c>
      <c r="G1511" s="1" t="s">
        <v>24</v>
      </c>
      <c r="H1511" s="1">
        <v>51250</v>
      </c>
      <c r="I1511" s="1">
        <v>79147</v>
      </c>
      <c r="J1511" s="7">
        <v>0.64800000000000002</v>
      </c>
      <c r="K1511" s="1" t="s">
        <v>21</v>
      </c>
      <c r="L1511" s="1" t="s">
        <v>29</v>
      </c>
      <c r="M1511" s="1" t="s">
        <v>29</v>
      </c>
      <c r="N1511" s="1" t="s">
        <v>22</v>
      </c>
      <c r="O1511" s="1" t="str">
        <f t="shared" ca="1" si="11"/>
        <v>Please solve the LeetCode problem '1414. Find the Minimum Number of Fibonacci Numbers Whose Sum Is K'.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12" spans="1:15" x14ac:dyDescent="0.25">
      <c r="A1512" s="1">
        <v>1898</v>
      </c>
      <c r="B1512" s="2" t="str">
        <f>HYPERLINK("https://leetcode.com/problems/maximum-number-of-removable-characters/", "Maximum Number of Removable Characters")</f>
        <v>Maximum Number of Removable Characters</v>
      </c>
      <c r="C1512" s="1">
        <v>1049</v>
      </c>
      <c r="D1512" s="1">
        <v>137</v>
      </c>
      <c r="E1512" s="3">
        <f t="shared" si="10"/>
        <v>0.88448566610455315</v>
      </c>
      <c r="F1512" s="1" t="s">
        <v>702</v>
      </c>
      <c r="G1512" s="1" t="s">
        <v>24</v>
      </c>
      <c r="H1512" s="1">
        <v>41465</v>
      </c>
      <c r="I1512" s="1">
        <v>88829</v>
      </c>
      <c r="J1512" s="7">
        <v>0.46700000000000003</v>
      </c>
      <c r="K1512" s="1" t="s">
        <v>21</v>
      </c>
      <c r="L1512" s="1" t="s">
        <v>29</v>
      </c>
      <c r="M1512" s="1" t="s">
        <v>29</v>
      </c>
      <c r="N1512" s="1" t="s">
        <v>22</v>
      </c>
      <c r="O1512" s="1" t="str">
        <f t="shared" ca="1" si="11"/>
        <v>Please solve the LeetCode problem '1898. Maximum Number of Removable Characters'.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13" spans="1:15" x14ac:dyDescent="0.25">
      <c r="A1513" s="1">
        <v>2193</v>
      </c>
      <c r="B1513" s="2" t="str">
        <f>HYPERLINK("https://leetcode.com/problems/minimum-number-of-moves-to-make-palindrome/", "Minimum Number of Moves to Make Palindrome")</f>
        <v>Minimum Number of Moves to Make Palindrome</v>
      </c>
      <c r="C1513" s="1">
        <v>1047</v>
      </c>
      <c r="D1513" s="1">
        <v>78</v>
      </c>
      <c r="E1513" s="3">
        <f t="shared" si="10"/>
        <v>0.93066666666666664</v>
      </c>
      <c r="F1513" s="1" t="s">
        <v>703</v>
      </c>
      <c r="G1513" s="1" t="s">
        <v>28</v>
      </c>
      <c r="H1513" s="1">
        <v>33731</v>
      </c>
      <c r="I1513" s="1">
        <v>64188</v>
      </c>
      <c r="J1513" s="7">
        <v>0.52600000000000002</v>
      </c>
      <c r="K1513" s="1" t="s">
        <v>21</v>
      </c>
      <c r="L1513" s="1" t="s">
        <v>29</v>
      </c>
      <c r="M1513" s="1" t="s">
        <v>29</v>
      </c>
      <c r="N1513" s="1" t="s">
        <v>22</v>
      </c>
      <c r="O1513" s="1" t="str">
        <f t="shared" ca="1" si="11"/>
        <v>Please solve the LeetCode problem '2193. Minimum Number of Moves to Make Palindrome'.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14" spans="1:15" x14ac:dyDescent="0.25">
      <c r="A1514" s="1">
        <v>1320</v>
      </c>
      <c r="B1514" s="2" t="str">
        <f>HYPERLINK("https://leetcode.com/problems/minimum-distance-to-type-a-word-using-two-fingers/", "Minimum Distance to Type a Word Using Two Fingers")</f>
        <v>Minimum Distance to Type a Word Using Two Fingers</v>
      </c>
      <c r="C1514" s="1">
        <v>1044</v>
      </c>
      <c r="D1514" s="1">
        <v>39</v>
      </c>
      <c r="E1514" s="3">
        <f t="shared" si="10"/>
        <v>0.96398891966759004</v>
      </c>
      <c r="F1514" s="1" t="s">
        <v>82</v>
      </c>
      <c r="G1514" s="1" t="s">
        <v>28</v>
      </c>
      <c r="H1514" s="1">
        <v>37299</v>
      </c>
      <c r="I1514" s="1">
        <v>62805</v>
      </c>
      <c r="J1514" s="7">
        <v>0.59399999999999997</v>
      </c>
      <c r="K1514" s="1" t="s">
        <v>21</v>
      </c>
      <c r="L1514" s="1" t="s">
        <v>29</v>
      </c>
      <c r="M1514" s="1" t="s">
        <v>29</v>
      </c>
      <c r="N1514" s="1" t="s">
        <v>22</v>
      </c>
      <c r="O1514" s="1" t="str">
        <f t="shared" ca="1" si="11"/>
        <v>Please solve the LeetCode problem '1320. Minimum Distance to Type a Word Using Two Fingers'.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15" spans="1:15" x14ac:dyDescent="0.25">
      <c r="A1515" s="1">
        <v>1690</v>
      </c>
      <c r="B1515" s="2" t="str">
        <f>HYPERLINK("https://leetcode.com/problems/stone-game-vii/", "Stone Game VII")</f>
        <v>Stone Game VII</v>
      </c>
      <c r="C1515" s="1">
        <v>1044</v>
      </c>
      <c r="D1515" s="1">
        <v>175</v>
      </c>
      <c r="E1515" s="3">
        <f t="shared" si="10"/>
        <v>0.85643970467596386</v>
      </c>
      <c r="F1515" s="1" t="s">
        <v>349</v>
      </c>
      <c r="G1515" s="1" t="s">
        <v>24</v>
      </c>
      <c r="H1515" s="1">
        <v>42829</v>
      </c>
      <c r="I1515" s="1">
        <v>73080</v>
      </c>
      <c r="J1515" s="7">
        <v>0.58599999999999997</v>
      </c>
      <c r="K1515" s="1" t="s">
        <v>21</v>
      </c>
      <c r="L1515" s="1" t="s">
        <v>21</v>
      </c>
      <c r="M1515" s="1" t="s">
        <v>29</v>
      </c>
      <c r="N1515" s="1" t="s">
        <v>22</v>
      </c>
      <c r="O1515" s="1" t="str">
        <f t="shared" ca="1" si="11"/>
        <v>Please solve the LeetCode problem '1690. Stone Game VII'.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16" spans="1:15" x14ac:dyDescent="0.25">
      <c r="A1516" s="1">
        <v>2411</v>
      </c>
      <c r="B1516" s="2" t="str">
        <f>HYPERLINK("https://leetcode.com/problems/smallest-subarrays-with-maximum-bitwise-or/", "Smallest Subarrays With Maximum Bitwise OR")</f>
        <v>Smallest Subarrays With Maximum Bitwise OR</v>
      </c>
      <c r="C1516" s="1">
        <v>1043</v>
      </c>
      <c r="D1516" s="1">
        <v>74</v>
      </c>
      <c r="E1516" s="3">
        <f t="shared" si="10"/>
        <v>0.9337511190689346</v>
      </c>
      <c r="F1516" s="1" t="s">
        <v>704</v>
      </c>
      <c r="G1516" s="1" t="s">
        <v>24</v>
      </c>
      <c r="H1516" s="1">
        <v>94332</v>
      </c>
      <c r="I1516" s="1">
        <v>152134</v>
      </c>
      <c r="J1516" s="7">
        <v>0.62</v>
      </c>
      <c r="K1516" s="1" t="s">
        <v>21</v>
      </c>
      <c r="L1516" s="1" t="s">
        <v>21</v>
      </c>
      <c r="M1516" s="1" t="s">
        <v>29</v>
      </c>
      <c r="N1516" s="1" t="s">
        <v>22</v>
      </c>
      <c r="O1516" s="1" t="str">
        <f t="shared" ca="1" si="11"/>
        <v>Please solve the LeetCode problem '2411. Smallest Subarrays With Maximum Bitwise OR'.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17" spans="1:15" x14ac:dyDescent="0.25">
      <c r="A1517" s="1">
        <v>2517</v>
      </c>
      <c r="B1517" s="2" t="str">
        <f>HYPERLINK("https://leetcode.com/problems/maximum-tastiness-of-candy-basket/", "Maximum Tastiness of Candy Basket")</f>
        <v>Maximum Tastiness of Candy Basket</v>
      </c>
      <c r="C1517" s="1">
        <v>1043</v>
      </c>
      <c r="D1517" s="1">
        <v>183</v>
      </c>
      <c r="E1517" s="3">
        <f t="shared" si="10"/>
        <v>0.85073409461663951</v>
      </c>
      <c r="F1517" s="1" t="s">
        <v>440</v>
      </c>
      <c r="G1517" s="1" t="s">
        <v>24</v>
      </c>
      <c r="H1517" s="1">
        <v>37570</v>
      </c>
      <c r="I1517" s="1">
        <v>55487</v>
      </c>
      <c r="J1517" s="7">
        <v>0.67700000000000005</v>
      </c>
      <c r="K1517" s="1" t="s">
        <v>21</v>
      </c>
      <c r="L1517" s="1" t="s">
        <v>29</v>
      </c>
      <c r="M1517" s="1" t="s">
        <v>29</v>
      </c>
      <c r="N1517" s="1" t="s">
        <v>22</v>
      </c>
      <c r="O1517" s="1" t="str">
        <f t="shared" ca="1" si="11"/>
        <v>Please solve the LeetCode problem '2517. Maximum Tastiness of Candy Basket'.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18" spans="1:15" x14ac:dyDescent="0.25">
      <c r="A1518" s="1">
        <v>850</v>
      </c>
      <c r="B1518" s="2" t="str">
        <f>HYPERLINK("https://leetcode.com/problems/rectangle-area-ii/", "Rectangle Area II")</f>
        <v>Rectangle Area II</v>
      </c>
      <c r="C1518" s="1">
        <v>1039</v>
      </c>
      <c r="D1518" s="1">
        <v>65</v>
      </c>
      <c r="E1518" s="3">
        <f t="shared" si="10"/>
        <v>0.94112318840579712</v>
      </c>
      <c r="F1518" s="1" t="s">
        <v>705</v>
      </c>
      <c r="G1518" s="1" t="s">
        <v>28</v>
      </c>
      <c r="H1518" s="1">
        <v>42759</v>
      </c>
      <c r="I1518" s="1">
        <v>76735</v>
      </c>
      <c r="J1518" s="7">
        <v>0.55700000000000005</v>
      </c>
      <c r="K1518" s="1" t="s">
        <v>21</v>
      </c>
      <c r="L1518" s="1" t="s">
        <v>21</v>
      </c>
      <c r="M1518" s="1" t="s">
        <v>29</v>
      </c>
      <c r="N1518" s="1" t="s">
        <v>22</v>
      </c>
      <c r="O1518" s="1" t="str">
        <f t="shared" ca="1" si="11"/>
        <v>Please solve the LeetCode problem '850. Rectangle Area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19" spans="1:15" x14ac:dyDescent="0.25">
      <c r="A1519" s="1">
        <v>2145</v>
      </c>
      <c r="B1519" s="2" t="str">
        <f>HYPERLINK("https://leetcode.com/problems/count-the-hidden-sequences/", "Count the Hidden Sequences")</f>
        <v>Count the Hidden Sequences</v>
      </c>
      <c r="C1519" s="1">
        <v>1038</v>
      </c>
      <c r="D1519" s="1">
        <v>93</v>
      </c>
      <c r="E1519" s="3">
        <f t="shared" si="10"/>
        <v>0.91777188328912462</v>
      </c>
      <c r="F1519" s="1" t="s">
        <v>37</v>
      </c>
      <c r="G1519" s="1" t="s">
        <v>24</v>
      </c>
      <c r="H1519" s="1">
        <v>121854</v>
      </c>
      <c r="I1519" s="1">
        <v>214674</v>
      </c>
      <c r="J1519" s="7">
        <v>0.56799999999999995</v>
      </c>
      <c r="K1519" s="1" t="s">
        <v>21</v>
      </c>
      <c r="L1519" s="1" t="s">
        <v>21</v>
      </c>
      <c r="M1519" s="1" t="s">
        <v>29</v>
      </c>
      <c r="N1519" s="1" t="s">
        <v>22</v>
      </c>
      <c r="O1519" s="1" t="str">
        <f t="shared" ca="1" si="11"/>
        <v>Please solve the LeetCode problem '2145. Count the Hidden Sequences'.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20" spans="1:15" x14ac:dyDescent="0.25">
      <c r="A1520" s="1">
        <v>2413</v>
      </c>
      <c r="B1520" s="2" t="str">
        <f>HYPERLINK("https://leetcode.com/problems/smallest-even-multiple/", "Smallest Even Multiple")</f>
        <v>Smallest Even Multiple</v>
      </c>
      <c r="C1520" s="1">
        <v>1038</v>
      </c>
      <c r="D1520" s="1">
        <v>125</v>
      </c>
      <c r="E1520" s="3">
        <f t="shared" si="10"/>
        <v>0.89251934651762688</v>
      </c>
      <c r="F1520" s="1" t="s">
        <v>513</v>
      </c>
      <c r="G1520" s="1" t="s">
        <v>20</v>
      </c>
      <c r="H1520" s="1">
        <v>272506</v>
      </c>
      <c r="I1520" s="1">
        <v>308921</v>
      </c>
      <c r="J1520" s="7">
        <v>0.88200000000000001</v>
      </c>
      <c r="K1520" s="1" t="s">
        <v>21</v>
      </c>
      <c r="L1520" s="1" t="s">
        <v>29</v>
      </c>
      <c r="M1520" s="1" t="s">
        <v>29</v>
      </c>
      <c r="N1520" s="1" t="s">
        <v>22</v>
      </c>
      <c r="O1520" s="1" t="str">
        <f t="shared" ca="1" si="11"/>
        <v>Please solve the LeetCode problem '2413. Smallest Even Multiple'.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21" spans="1:15" x14ac:dyDescent="0.25">
      <c r="A1521" s="1">
        <v>996</v>
      </c>
      <c r="B1521" s="2" t="str">
        <f>HYPERLINK("https://leetcode.com/problems/number-of-squareful-arrays/", "Number of Squareful Arrays")</f>
        <v>Number of Squareful Arrays</v>
      </c>
      <c r="C1521" s="1">
        <v>1036</v>
      </c>
      <c r="D1521" s="1">
        <v>48</v>
      </c>
      <c r="E1521" s="3">
        <f t="shared" si="10"/>
        <v>0.955719557195572</v>
      </c>
      <c r="F1521" s="1" t="s">
        <v>1367</v>
      </c>
      <c r="G1521" s="1" t="s">
        <v>28</v>
      </c>
      <c r="H1521" s="1">
        <v>48608</v>
      </c>
      <c r="I1521" s="1">
        <v>95156</v>
      </c>
      <c r="J1521" s="7">
        <v>0.51100000000000001</v>
      </c>
      <c r="K1521" s="1" t="s">
        <v>21</v>
      </c>
      <c r="L1521" s="1" t="s">
        <v>21</v>
      </c>
      <c r="M1521" s="1" t="s">
        <v>29</v>
      </c>
      <c r="N1521" s="1" t="s">
        <v>22</v>
      </c>
      <c r="O1521" s="1" t="str">
        <f t="shared" ca="1" si="11"/>
        <v>Please solve the LeetCode problem '996. Number of Squareful Arrays'.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22" spans="1:15" x14ac:dyDescent="0.25">
      <c r="A1522" s="1">
        <v>1141</v>
      </c>
      <c r="B1522" s="2" t="str">
        <f>HYPERLINK("https://leetcode.com/problems/user-activity-for-the-past-30-days-i/", "User Activity for the Past 30 Days I")</f>
        <v>User Activity for the Past 30 Days I</v>
      </c>
      <c r="C1522" s="1">
        <v>1036</v>
      </c>
      <c r="D1522" s="1">
        <v>993</v>
      </c>
      <c r="E1522" s="3">
        <f t="shared" si="10"/>
        <v>0.51059635288319372</v>
      </c>
      <c r="F1522" s="1" t="s">
        <v>297</v>
      </c>
      <c r="G1522" s="1" t="s">
        <v>20</v>
      </c>
      <c r="H1522" s="1">
        <v>501185</v>
      </c>
      <c r="I1522" s="1">
        <v>996230</v>
      </c>
      <c r="J1522" s="7">
        <v>0.503</v>
      </c>
      <c r="K1522" s="1" t="s">
        <v>21</v>
      </c>
      <c r="L1522" s="1" t="s">
        <v>21</v>
      </c>
      <c r="M1522" s="1" t="s">
        <v>29</v>
      </c>
      <c r="N1522" s="1" t="s">
        <v>297</v>
      </c>
      <c r="O1522" s="1" t="str">
        <f t="shared" ca="1" si="11"/>
        <v>Please solve the LeetCode problem '1141. User Activity for the Past 30 Days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23" spans="1:15" x14ac:dyDescent="0.25">
      <c r="A1523" s="1">
        <v>1865</v>
      </c>
      <c r="B1523" s="2" t="str">
        <f>HYPERLINK("https://leetcode.com/problems/finding-pairs-with-a-certain-sum/", "Finding Pairs With a Certain Sum")</f>
        <v>Finding Pairs With a Certain Sum</v>
      </c>
      <c r="C1523" s="1">
        <v>1035</v>
      </c>
      <c r="D1523" s="1">
        <v>145</v>
      </c>
      <c r="E1523" s="3">
        <f t="shared" si="10"/>
        <v>0.8771186440677966</v>
      </c>
      <c r="F1523" s="1" t="s">
        <v>708</v>
      </c>
      <c r="G1523" s="1" t="s">
        <v>24</v>
      </c>
      <c r="H1523" s="1">
        <v>143036</v>
      </c>
      <c r="I1523" s="1">
        <v>232109</v>
      </c>
      <c r="J1523" s="7">
        <v>0.61599999999999999</v>
      </c>
      <c r="K1523" s="1" t="s">
        <v>21</v>
      </c>
      <c r="L1523" s="1" t="s">
        <v>21</v>
      </c>
      <c r="M1523" s="1" t="s">
        <v>29</v>
      </c>
      <c r="N1523" s="1" t="s">
        <v>22</v>
      </c>
      <c r="O1523" s="1" t="str">
        <f t="shared" ca="1" si="11"/>
        <v>Please solve the LeetCode problem '1865. Finding Pairs With a Certain Sum'.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24" spans="1:15" x14ac:dyDescent="0.25">
      <c r="A1524" s="1">
        <v>2176</v>
      </c>
      <c r="B1524" s="2" t="str">
        <f>HYPERLINK("https://leetcode.com/problems/count-equal-and-divisible-pairs-in-an-array/", "Count Equal and Divisible Pairs in an Array")</f>
        <v>Count Equal and Divisible Pairs in an Array</v>
      </c>
      <c r="C1524" s="1">
        <v>1035</v>
      </c>
      <c r="D1524" s="1">
        <v>69</v>
      </c>
      <c r="E1524" s="3">
        <f t="shared" si="10"/>
        <v>0.9375</v>
      </c>
      <c r="F1524" s="1" t="s">
        <v>113</v>
      </c>
      <c r="G1524" s="1" t="s">
        <v>20</v>
      </c>
      <c r="H1524" s="1">
        <v>231051</v>
      </c>
      <c r="I1524" s="1">
        <v>275077</v>
      </c>
      <c r="J1524" s="7">
        <v>0.84</v>
      </c>
      <c r="K1524" s="1" t="s">
        <v>21</v>
      </c>
      <c r="L1524" s="1" t="s">
        <v>21</v>
      </c>
      <c r="M1524" s="1" t="s">
        <v>29</v>
      </c>
      <c r="N1524" s="1" t="s">
        <v>22</v>
      </c>
      <c r="O1524" s="1" t="str">
        <f t="shared" ca="1" si="11"/>
        <v>Please solve the LeetCode problem '2176. Count Equal and Divisible Pairs in an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25" spans="1:15" x14ac:dyDescent="0.25">
      <c r="A1525" s="1">
        <v>2091</v>
      </c>
      <c r="B1525" s="2" t="str">
        <f>HYPERLINK("https://leetcode.com/problems/removing-minimum-and-maximum-from-array/", "Removing Minimum and Maximum From Array")</f>
        <v>Removing Minimum and Maximum From Array</v>
      </c>
      <c r="C1525" s="1">
        <v>1033</v>
      </c>
      <c r="D1525" s="1">
        <v>57</v>
      </c>
      <c r="E1525" s="3">
        <f t="shared" si="10"/>
        <v>0.94770642201834865</v>
      </c>
      <c r="F1525" s="1" t="s">
        <v>96</v>
      </c>
      <c r="G1525" s="1" t="s">
        <v>24</v>
      </c>
      <c r="H1525" s="1">
        <v>58510</v>
      </c>
      <c r="I1525" s="1">
        <v>104358</v>
      </c>
      <c r="J1525" s="7">
        <v>0.56100000000000005</v>
      </c>
      <c r="K1525" s="1" t="s">
        <v>21</v>
      </c>
      <c r="L1525" s="1" t="s">
        <v>29</v>
      </c>
      <c r="M1525" s="1" t="s">
        <v>29</v>
      </c>
      <c r="N1525" s="1" t="s">
        <v>22</v>
      </c>
      <c r="O1525" s="1" t="str">
        <f t="shared" ca="1" si="11"/>
        <v>Please solve the LeetCode problem '2091. Removing Minimum and Maximum From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26" spans="1:15" x14ac:dyDescent="0.25">
      <c r="A1526" s="1">
        <v>955</v>
      </c>
      <c r="B1526" s="2" t="str">
        <f>HYPERLINK("https://leetcode.com/problems/delete-columns-to-make-sorted-ii/", "Delete Columns to Make Sorted II")</f>
        <v>Delete Columns to Make Sorted II</v>
      </c>
      <c r="C1526" s="1">
        <v>1032</v>
      </c>
      <c r="D1526" s="1">
        <v>136</v>
      </c>
      <c r="E1526" s="3">
        <f t="shared" si="10"/>
        <v>0.88356164383561642</v>
      </c>
      <c r="F1526" s="1" t="s">
        <v>706</v>
      </c>
      <c r="G1526" s="1" t="s">
        <v>24</v>
      </c>
      <c r="H1526" s="1">
        <v>87611</v>
      </c>
      <c r="I1526" s="1">
        <v>176388</v>
      </c>
      <c r="J1526" s="7">
        <v>0.497</v>
      </c>
      <c r="K1526" s="1" t="s">
        <v>21</v>
      </c>
      <c r="L1526" s="1" t="s">
        <v>21</v>
      </c>
      <c r="M1526" s="1" t="s">
        <v>29</v>
      </c>
      <c r="N1526" s="1" t="s">
        <v>22</v>
      </c>
      <c r="O1526" s="1" t="str">
        <f t="shared" ca="1" si="11"/>
        <v>Please solve the LeetCode problem '955. Delete Columns to Make Sorted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27" spans="1:15" x14ac:dyDescent="0.25">
      <c r="A1527" s="1">
        <v>1231</v>
      </c>
      <c r="B1527" s="2" t="str">
        <f>HYPERLINK("https://leetcode.com/problems/divide-chocolate/", "Divide Chocolate")</f>
        <v>Divide Chocolate</v>
      </c>
      <c r="C1527" s="1">
        <v>1032</v>
      </c>
      <c r="D1527" s="1">
        <v>73</v>
      </c>
      <c r="E1527" s="3">
        <f t="shared" si="10"/>
        <v>0.93393665158371042</v>
      </c>
      <c r="F1527" s="1" t="s">
        <v>35</v>
      </c>
      <c r="G1527" s="1" t="s">
        <v>28</v>
      </c>
      <c r="H1527" s="1">
        <v>68884</v>
      </c>
      <c r="I1527" s="1">
        <v>114070</v>
      </c>
      <c r="J1527" s="7">
        <v>0.60399999999999998</v>
      </c>
      <c r="K1527" s="1" t="s">
        <v>29</v>
      </c>
      <c r="L1527" s="1" t="s">
        <v>21</v>
      </c>
      <c r="M1527" s="1" t="s">
        <v>29</v>
      </c>
      <c r="N1527" s="1" t="s">
        <v>22</v>
      </c>
      <c r="O1527" s="1" t="str">
        <f t="shared" ca="1" si="11"/>
        <v>Please solve the LeetCode problem '1231. Divide Chocolate'.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28" spans="1:15" x14ac:dyDescent="0.25">
      <c r="A1528" s="1">
        <v>1941</v>
      </c>
      <c r="B1528" s="2" t="str">
        <f>HYPERLINK("https://leetcode.com/problems/check-if-all-characters-have-equal-number-of-occurrences/", "Check if All Characters Have Equal Number of Occurrences")</f>
        <v>Check if All Characters Have Equal Number of Occurrences</v>
      </c>
      <c r="C1528" s="1">
        <v>1029</v>
      </c>
      <c r="D1528" s="1">
        <v>28</v>
      </c>
      <c r="E1528" s="3">
        <f t="shared" si="10"/>
        <v>0.97350993377483441</v>
      </c>
      <c r="F1528" s="1" t="s">
        <v>237</v>
      </c>
      <c r="G1528" s="1" t="s">
        <v>20</v>
      </c>
      <c r="H1528" s="1">
        <v>169639</v>
      </c>
      <c r="I1528" s="1">
        <v>214077</v>
      </c>
      <c r="J1528" s="7">
        <v>0.79200000000000004</v>
      </c>
      <c r="K1528" s="1" t="s">
        <v>21</v>
      </c>
      <c r="L1528" s="1" t="s">
        <v>29</v>
      </c>
      <c r="M1528" s="1" t="s">
        <v>29</v>
      </c>
      <c r="N1528" s="1" t="s">
        <v>22</v>
      </c>
      <c r="O1528" s="1" t="str">
        <f t="shared" ca="1" si="11"/>
        <v>Please solve the LeetCode problem '1941. Check if All Characters Have Equal Number of Occurrences'.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29" spans="1:15" x14ac:dyDescent="0.25">
      <c r="A1529" s="1">
        <v>598</v>
      </c>
      <c r="B1529" s="2" t="str">
        <f>HYPERLINK("https://leetcode.com/problems/range-addition-ii/", "Range Addition II")</f>
        <v>Range Addition II</v>
      </c>
      <c r="C1529" s="1">
        <v>1027</v>
      </c>
      <c r="D1529" s="1">
        <v>986</v>
      </c>
      <c r="E1529" s="3">
        <f t="shared" si="10"/>
        <v>0.51018380526577245</v>
      </c>
      <c r="F1529" s="1" t="s">
        <v>115</v>
      </c>
      <c r="G1529" s="1" t="s">
        <v>20</v>
      </c>
      <c r="H1529" s="1">
        <v>129028</v>
      </c>
      <c r="I1529" s="1">
        <v>221760</v>
      </c>
      <c r="J1529" s="7">
        <v>0.58199999999999996</v>
      </c>
      <c r="K1529" s="1" t="s">
        <v>21</v>
      </c>
      <c r="L1529" s="1" t="s">
        <v>21</v>
      </c>
      <c r="M1529" s="1" t="s">
        <v>29</v>
      </c>
      <c r="N1529" s="1" t="s">
        <v>22</v>
      </c>
      <c r="O1529" s="1" t="str">
        <f t="shared" ca="1" si="11"/>
        <v>Please solve the LeetCode problem '598. Range Addition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30" spans="1:15" x14ac:dyDescent="0.25">
      <c r="A1530" s="1">
        <v>1553</v>
      </c>
      <c r="B1530" s="2" t="str">
        <f>HYPERLINK("https://leetcode.com/problems/minimum-number-of-days-to-eat-n-oranges/", "Minimum Number of Days to Eat N Oranges")</f>
        <v>Minimum Number of Days to Eat N Oranges</v>
      </c>
      <c r="C1530" s="1">
        <v>1026</v>
      </c>
      <c r="D1530" s="1">
        <v>64</v>
      </c>
      <c r="E1530" s="3">
        <f t="shared" si="10"/>
        <v>0.94128440366972477</v>
      </c>
      <c r="F1530" s="1" t="s">
        <v>709</v>
      </c>
      <c r="G1530" s="1" t="s">
        <v>28</v>
      </c>
      <c r="H1530" s="1">
        <v>43202</v>
      </c>
      <c r="I1530" s="1">
        <v>119906</v>
      </c>
      <c r="J1530" s="7">
        <v>0.36</v>
      </c>
      <c r="K1530" s="1" t="s">
        <v>21</v>
      </c>
      <c r="L1530" s="1" t="s">
        <v>29</v>
      </c>
      <c r="M1530" s="1" t="s">
        <v>29</v>
      </c>
      <c r="N1530" s="1" t="s">
        <v>22</v>
      </c>
      <c r="O1530" s="1" t="str">
        <f t="shared" ca="1" si="11"/>
        <v>Please solve the LeetCode problem '1553. Minimum Number of Days to Eat N Oranges'.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31" spans="1:15" x14ac:dyDescent="0.25">
      <c r="A1531" s="1">
        <v>2103</v>
      </c>
      <c r="B1531" s="2" t="str">
        <f>HYPERLINK("https://leetcode.com/problems/rings-and-rods/", "Rings and Rods")</f>
        <v>Rings and Rods</v>
      </c>
      <c r="C1531" s="1">
        <v>1023</v>
      </c>
      <c r="D1531" s="1">
        <v>21</v>
      </c>
      <c r="E1531" s="3">
        <f t="shared" si="10"/>
        <v>0.97988505747126442</v>
      </c>
      <c r="F1531" s="1" t="s">
        <v>131</v>
      </c>
      <c r="G1531" s="1" t="s">
        <v>20</v>
      </c>
      <c r="H1531" s="1">
        <v>93136</v>
      </c>
      <c r="I1531" s="1">
        <v>114369</v>
      </c>
      <c r="J1531" s="7">
        <v>0.81399999999999995</v>
      </c>
      <c r="K1531" s="1" t="s">
        <v>21</v>
      </c>
      <c r="L1531" s="1" t="s">
        <v>29</v>
      </c>
      <c r="M1531" s="1" t="s">
        <v>29</v>
      </c>
      <c r="N1531" s="1" t="s">
        <v>22</v>
      </c>
      <c r="O1531" s="1" t="str">
        <f t="shared" ca="1" si="11"/>
        <v>Please solve the LeetCode problem '2103. Rings and Rods'.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32" spans="1:15" x14ac:dyDescent="0.25">
      <c r="A1532" s="1">
        <v>1103</v>
      </c>
      <c r="B1532" s="2" t="str">
        <f>HYPERLINK("https://leetcode.com/problems/distribute-candies-to-people/", "Distribute Candies to People")</f>
        <v>Distribute Candies to People</v>
      </c>
      <c r="C1532" s="1">
        <v>1022</v>
      </c>
      <c r="D1532" s="1">
        <v>201</v>
      </c>
      <c r="E1532" s="3">
        <f t="shared" si="10"/>
        <v>0.83565004088307437</v>
      </c>
      <c r="F1532" s="1" t="s">
        <v>465</v>
      </c>
      <c r="G1532" s="1" t="s">
        <v>20</v>
      </c>
      <c r="H1532" s="1">
        <v>107315</v>
      </c>
      <c r="I1532" s="1">
        <v>159434</v>
      </c>
      <c r="J1532" s="7">
        <v>0.67300000000000004</v>
      </c>
      <c r="K1532" s="1" t="s">
        <v>21</v>
      </c>
      <c r="L1532" s="1" t="s">
        <v>21</v>
      </c>
      <c r="M1532" s="1" t="s">
        <v>29</v>
      </c>
      <c r="N1532" s="1" t="s">
        <v>22</v>
      </c>
      <c r="O1532" s="1" t="str">
        <f t="shared" ca="1" si="11"/>
        <v>Please solve the LeetCode problem '1103. Distribute Candies to People'.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33" spans="1:15" x14ac:dyDescent="0.25">
      <c r="A1533" s="1">
        <v>1882</v>
      </c>
      <c r="B1533" s="2" t="str">
        <f>HYPERLINK("https://leetcode.com/problems/process-tasks-using-servers/", "Process Tasks Using Servers")</f>
        <v>Process Tasks Using Servers</v>
      </c>
      <c r="C1533" s="1">
        <v>1021</v>
      </c>
      <c r="D1533" s="1">
        <v>287</v>
      </c>
      <c r="E1533" s="3">
        <f t="shared" si="10"/>
        <v>0.78058103975535165</v>
      </c>
      <c r="F1533" s="1" t="s">
        <v>202</v>
      </c>
      <c r="G1533" s="1" t="s">
        <v>24</v>
      </c>
      <c r="H1533" s="1">
        <v>45253</v>
      </c>
      <c r="I1533" s="1">
        <v>107949</v>
      </c>
      <c r="J1533" s="7">
        <v>0.41899999999999998</v>
      </c>
      <c r="K1533" s="1" t="s">
        <v>21</v>
      </c>
      <c r="L1533" s="1" t="s">
        <v>29</v>
      </c>
      <c r="M1533" s="1" t="s">
        <v>29</v>
      </c>
      <c r="N1533" s="1" t="s">
        <v>22</v>
      </c>
      <c r="O1533" s="1" t="str">
        <f t="shared" ca="1" si="11"/>
        <v>Please solve the LeetCode problem '1882. Process Tasks Using Servers'.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34" spans="1:15" x14ac:dyDescent="0.25">
      <c r="A1534" s="1">
        <v>824</v>
      </c>
      <c r="B1534" s="2" t="str">
        <f>HYPERLINK("https://leetcode.com/problems/goat-latin/", "Goat Latin")</f>
        <v>Goat Latin</v>
      </c>
      <c r="C1534" s="1">
        <v>1018</v>
      </c>
      <c r="D1534" s="1">
        <v>1298</v>
      </c>
      <c r="E1534" s="3">
        <f t="shared" ref="E1534:E1788" si="12">IF(INDEX(C:C, ROW())+INDEX(D:D, ROW())=0, 0, INDEX(C:C, ROW())/(INDEX(C:C, ROW())+INDEX(D:D, ROW())))</f>
        <v>0.43955094991364424</v>
      </c>
      <c r="F1534" s="1" t="s">
        <v>146</v>
      </c>
      <c r="G1534" s="1" t="s">
        <v>20</v>
      </c>
      <c r="H1534" s="1">
        <v>237797</v>
      </c>
      <c r="I1534" s="1">
        <v>340526</v>
      </c>
      <c r="J1534" s="7">
        <v>0.69799999999999995</v>
      </c>
      <c r="K1534" s="1" t="s">
        <v>21</v>
      </c>
      <c r="L1534" s="1" t="s">
        <v>21</v>
      </c>
      <c r="M1534" s="1" t="s">
        <v>29</v>
      </c>
      <c r="N1534" s="1" t="s">
        <v>22</v>
      </c>
      <c r="O1534" s="1" t="str">
        <f t="shared" ref="O1534:O1788" ca="1" si="13"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>Please solve the LeetCode problem '824. Goat Latin'.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35" spans="1:15" x14ac:dyDescent="0.25">
      <c r="A1535" s="1">
        <v>3356</v>
      </c>
      <c r="B1535" s="2" t="str">
        <f>HYPERLINK("https://leetcode.com/problems/zero-array-transformation-ii/", "Zero Array Transformation II")</f>
        <v>Zero Array Transformation II</v>
      </c>
      <c r="C1535" s="1">
        <v>1016</v>
      </c>
      <c r="D1535" s="1">
        <v>86</v>
      </c>
      <c r="E1535" s="3">
        <f t="shared" si="12"/>
        <v>0.92196007259528134</v>
      </c>
      <c r="F1535" s="1" t="s">
        <v>710</v>
      </c>
      <c r="G1535" s="1" t="s">
        <v>24</v>
      </c>
      <c r="H1535" s="1">
        <v>131767</v>
      </c>
      <c r="I1535" s="1">
        <v>302146</v>
      </c>
      <c r="J1535" s="7">
        <v>0.436</v>
      </c>
      <c r="K1535" s="1" t="s">
        <v>21</v>
      </c>
      <c r="L1535" s="1" t="s">
        <v>21</v>
      </c>
      <c r="M1535" s="1" t="s">
        <v>29</v>
      </c>
      <c r="N1535" s="1" t="s">
        <v>22</v>
      </c>
      <c r="O1535" s="1" t="str">
        <f t="shared" ca="1" si="13"/>
        <v>Please solve the LeetCode problem '3356. Zero Array Transformation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36" spans="1:15" x14ac:dyDescent="0.25">
      <c r="A1536" s="1">
        <v>1385</v>
      </c>
      <c r="B1536" s="2" t="str">
        <f>HYPERLINK("https://leetcode.com/problems/find-the-distance-value-between-two-arrays/", "Find the Distance Value Between Two Arrays")</f>
        <v>Find the Distance Value Between Two Arrays</v>
      </c>
      <c r="C1536" s="1">
        <v>1014</v>
      </c>
      <c r="D1536" s="1">
        <v>3148</v>
      </c>
      <c r="E1536" s="3">
        <f t="shared" si="12"/>
        <v>0.24363286881307064</v>
      </c>
      <c r="F1536" s="1" t="s">
        <v>277</v>
      </c>
      <c r="G1536" s="1" t="s">
        <v>20</v>
      </c>
      <c r="H1536" s="1">
        <v>140862</v>
      </c>
      <c r="I1536" s="1">
        <v>197785</v>
      </c>
      <c r="J1536" s="7">
        <v>0.71199999999999997</v>
      </c>
      <c r="K1536" s="1" t="s">
        <v>21</v>
      </c>
      <c r="L1536" s="1" t="s">
        <v>29</v>
      </c>
      <c r="M1536" s="1" t="s">
        <v>29</v>
      </c>
      <c r="N1536" s="1" t="s">
        <v>22</v>
      </c>
      <c r="O1536" s="1" t="str">
        <f t="shared" ca="1" si="13"/>
        <v>Please solve the LeetCode problem '1385. Find the Distance Value Between Two Arrays'.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37" spans="1:15" x14ac:dyDescent="0.25">
      <c r="A1537" s="1">
        <v>353</v>
      </c>
      <c r="B1537" s="2" t="str">
        <f>HYPERLINK("https://leetcode.com/problems/design-snake-game/", "Design Snake Game")</f>
        <v>Design Snake Game</v>
      </c>
      <c r="C1537" s="1">
        <v>1011</v>
      </c>
      <c r="D1537" s="1">
        <v>353</v>
      </c>
      <c r="E1537" s="3">
        <f t="shared" si="12"/>
        <v>0.74120234604105573</v>
      </c>
      <c r="F1537" s="1" t="s">
        <v>711</v>
      </c>
      <c r="G1537" s="1" t="s">
        <v>24</v>
      </c>
      <c r="H1537" s="1">
        <v>104345</v>
      </c>
      <c r="I1537" s="1">
        <v>261226</v>
      </c>
      <c r="J1537" s="7">
        <v>0.39900000000000002</v>
      </c>
      <c r="K1537" s="1" t="s">
        <v>29</v>
      </c>
      <c r="L1537" s="1" t="s">
        <v>21</v>
      </c>
      <c r="M1537" s="1" t="s">
        <v>29</v>
      </c>
      <c r="N1537" s="1" t="s">
        <v>22</v>
      </c>
      <c r="O1537" s="1" t="str">
        <f t="shared" ca="1" si="13"/>
        <v>Please solve the LeetCode problem '353. Design Snake Game'.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38" spans="1:15" x14ac:dyDescent="0.25">
      <c r="A1538" s="1">
        <v>2078</v>
      </c>
      <c r="B1538" s="2" t="str">
        <f>HYPERLINK("https://leetcode.com/problems/two-furthest-houses-with-different-colors/", "Two Furthest Houses With Different Colors")</f>
        <v>Two Furthest Houses With Different Colors</v>
      </c>
      <c r="C1538" s="1">
        <v>1011</v>
      </c>
      <c r="D1538" s="1">
        <v>33</v>
      </c>
      <c r="E1538" s="3">
        <f t="shared" si="12"/>
        <v>0.9683908045977011</v>
      </c>
      <c r="F1538" s="1" t="s">
        <v>96</v>
      </c>
      <c r="G1538" s="1" t="s">
        <v>20</v>
      </c>
      <c r="H1538" s="1">
        <v>89385</v>
      </c>
      <c r="I1538" s="1">
        <v>136350</v>
      </c>
      <c r="J1538" s="7">
        <v>0.65600000000000003</v>
      </c>
      <c r="K1538" s="1" t="s">
        <v>21</v>
      </c>
      <c r="L1538" s="1" t="s">
        <v>29</v>
      </c>
      <c r="M1538" s="1" t="s">
        <v>29</v>
      </c>
      <c r="N1538" s="1" t="s">
        <v>22</v>
      </c>
      <c r="O1538" s="1" t="str">
        <f t="shared" ca="1" si="13"/>
        <v>Please solve the LeetCode problem '2078. Two Furthest Houses With Different Colors'.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39" spans="1:15" x14ac:dyDescent="0.25">
      <c r="A1539" s="1">
        <v>2002</v>
      </c>
      <c r="B1539" s="2" t="str">
        <f>HYPERLINK("https://leetcode.com/problems/maximum-product-of-the-length-of-two-palindromic-subsequences/", "Maximum Product of the Length of Two Palindromic Subsequences")</f>
        <v>Maximum Product of the Length of Two Palindromic Subsequences</v>
      </c>
      <c r="C1539" s="1">
        <v>1010</v>
      </c>
      <c r="D1539" s="1">
        <v>90</v>
      </c>
      <c r="E1539" s="3">
        <f t="shared" si="12"/>
        <v>0.91818181818181821</v>
      </c>
      <c r="F1539" s="1" t="s">
        <v>1368</v>
      </c>
      <c r="G1539" s="1" t="s">
        <v>24</v>
      </c>
      <c r="H1539" s="1">
        <v>38440</v>
      </c>
      <c r="I1539" s="1">
        <v>61765</v>
      </c>
      <c r="J1539" s="7">
        <v>0.622</v>
      </c>
      <c r="K1539" s="1" t="s">
        <v>21</v>
      </c>
      <c r="L1539" s="1" t="s">
        <v>29</v>
      </c>
      <c r="M1539" s="1" t="s">
        <v>29</v>
      </c>
      <c r="N1539" s="1" t="s">
        <v>22</v>
      </c>
      <c r="O1539" s="1" t="str">
        <f t="shared" ca="1" si="13"/>
        <v>Please solve the LeetCode problem '2002. Maximum Product of the Length of Two Palindromic Subsequences'.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40" spans="1:15" x14ac:dyDescent="0.25">
      <c r="A1540" s="1">
        <v>913</v>
      </c>
      <c r="B1540" s="2" t="str">
        <f>HYPERLINK("https://leetcode.com/problems/cat-and-mouse/", "Cat and Mouse")</f>
        <v>Cat and Mouse</v>
      </c>
      <c r="C1540" s="1">
        <v>1007</v>
      </c>
      <c r="D1540" s="1">
        <v>179</v>
      </c>
      <c r="E1540" s="3">
        <f t="shared" si="12"/>
        <v>0.84907251264755479</v>
      </c>
      <c r="F1540" s="1" t="s">
        <v>713</v>
      </c>
      <c r="G1540" s="1" t="s">
        <v>28</v>
      </c>
      <c r="H1540" s="1">
        <v>25706</v>
      </c>
      <c r="I1540" s="1">
        <v>74432</v>
      </c>
      <c r="J1540" s="7">
        <v>0.34499999999999997</v>
      </c>
      <c r="K1540" s="1" t="s">
        <v>21</v>
      </c>
      <c r="L1540" s="1" t="s">
        <v>21</v>
      </c>
      <c r="M1540" s="1" t="s">
        <v>29</v>
      </c>
      <c r="N1540" s="1" t="s">
        <v>22</v>
      </c>
      <c r="O1540" s="1" t="str">
        <f t="shared" ca="1" si="13"/>
        <v>Please solve the LeetCode problem '913. Cat and Mouse'.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41" spans="1:15" x14ac:dyDescent="0.25">
      <c r="A1541" s="1">
        <v>2501</v>
      </c>
      <c r="B1541" s="2" t="str">
        <f>HYPERLINK("https://leetcode.com/problems/longest-square-streak-in-an-array/", "Longest Square Streak in an Array")</f>
        <v>Longest Square Streak in an Array</v>
      </c>
      <c r="C1541" s="1">
        <v>1006</v>
      </c>
      <c r="D1541" s="1">
        <v>33</v>
      </c>
      <c r="E1541" s="3">
        <f t="shared" si="12"/>
        <v>0.96823869104908566</v>
      </c>
      <c r="F1541" s="1" t="s">
        <v>612</v>
      </c>
      <c r="G1541" s="1" t="s">
        <v>24</v>
      </c>
      <c r="H1541" s="1">
        <v>154906</v>
      </c>
      <c r="I1541" s="1">
        <v>291792</v>
      </c>
      <c r="J1541" s="7">
        <v>0.53100000000000003</v>
      </c>
      <c r="K1541" s="1" t="s">
        <v>21</v>
      </c>
      <c r="L1541" s="1" t="s">
        <v>21</v>
      </c>
      <c r="M1541" s="1" t="s">
        <v>29</v>
      </c>
      <c r="N1541" s="1" t="s">
        <v>22</v>
      </c>
      <c r="O1541" s="1" t="str">
        <f t="shared" ca="1" si="13"/>
        <v>Please solve the LeetCode problem '2501. Longest Square Streak in an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42" spans="1:15" x14ac:dyDescent="0.25">
      <c r="A1542" s="1">
        <v>2696</v>
      </c>
      <c r="B1542" s="2" t="str">
        <f>HYPERLINK("https://leetcode.com/problems/minimum-string-length-after-removing-substrings/", "Minimum String Length After Removing Substrings")</f>
        <v>Minimum String Length After Removing Substrings</v>
      </c>
      <c r="C1542" s="1">
        <v>1005</v>
      </c>
      <c r="D1542" s="1">
        <v>29</v>
      </c>
      <c r="E1542" s="3">
        <f t="shared" si="12"/>
        <v>0.97195357833655704</v>
      </c>
      <c r="F1542" s="1" t="s">
        <v>365</v>
      </c>
      <c r="G1542" s="1" t="s">
        <v>20</v>
      </c>
      <c r="H1542" s="1">
        <v>242855</v>
      </c>
      <c r="I1542" s="1">
        <v>315033</v>
      </c>
      <c r="J1542" s="7">
        <v>0.77100000000000002</v>
      </c>
      <c r="K1542" s="1" t="s">
        <v>21</v>
      </c>
      <c r="L1542" s="1" t="s">
        <v>21</v>
      </c>
      <c r="M1542" s="1" t="s">
        <v>29</v>
      </c>
      <c r="N1542" s="1" t="s">
        <v>22</v>
      </c>
      <c r="O1542" s="1" t="str">
        <f t="shared" ca="1" si="13"/>
        <v>Please solve the LeetCode problem '2696. Minimum String Length After Removing Substrings'.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43" spans="1:15" x14ac:dyDescent="0.25">
      <c r="A1543" s="1">
        <v>2013</v>
      </c>
      <c r="B1543" s="2" t="str">
        <f>HYPERLINK("https://leetcode.com/problems/detect-squares/", "Detect Squares")</f>
        <v>Detect Squares</v>
      </c>
      <c r="C1543" s="1">
        <v>1004</v>
      </c>
      <c r="D1543" s="1">
        <v>258</v>
      </c>
      <c r="E1543" s="3">
        <f t="shared" si="12"/>
        <v>0.7955625990491284</v>
      </c>
      <c r="F1543" s="1" t="s">
        <v>1369</v>
      </c>
      <c r="G1543" s="1" t="s">
        <v>24</v>
      </c>
      <c r="H1543" s="1">
        <v>103210</v>
      </c>
      <c r="I1543" s="1">
        <v>197955</v>
      </c>
      <c r="J1543" s="7">
        <v>0.52100000000000002</v>
      </c>
      <c r="K1543" s="1" t="s">
        <v>21</v>
      </c>
      <c r="L1543" s="1" t="s">
        <v>29</v>
      </c>
      <c r="M1543" s="1" t="s">
        <v>29</v>
      </c>
      <c r="N1543" s="1" t="s">
        <v>22</v>
      </c>
      <c r="O1543" s="1" t="str">
        <f t="shared" ca="1" si="13"/>
        <v>Please solve the LeetCode problem '2013. Detect Squares'.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44" spans="1:15" x14ac:dyDescent="0.25">
      <c r="A1544" s="1">
        <v>1284</v>
      </c>
      <c r="B1544" s="2" t="str">
        <f>HYPERLINK("https://leetcode.com/problems/minimum-number-of-flips-to-convert-binary-matrix-to-zero-matrix/", "Minimum Number of Flips to Convert Binary Matrix to Zero Matrix")</f>
        <v>Minimum Number of Flips to Convert Binary Matrix to Zero Matrix</v>
      </c>
      <c r="C1544" s="1">
        <v>1003</v>
      </c>
      <c r="D1544" s="1">
        <v>103</v>
      </c>
      <c r="E1544" s="3">
        <f t="shared" si="12"/>
        <v>0.90687160940325495</v>
      </c>
      <c r="F1544" s="1" t="s">
        <v>714</v>
      </c>
      <c r="G1544" s="1" t="s">
        <v>28</v>
      </c>
      <c r="H1544" s="1">
        <v>38587</v>
      </c>
      <c r="I1544" s="1">
        <v>53344</v>
      </c>
      <c r="J1544" s="7">
        <v>0.72299999999999998</v>
      </c>
      <c r="K1544" s="1" t="s">
        <v>21</v>
      </c>
      <c r="L1544" s="1" t="s">
        <v>21</v>
      </c>
      <c r="M1544" s="1" t="s">
        <v>29</v>
      </c>
      <c r="N1544" s="1" t="s">
        <v>22</v>
      </c>
      <c r="O1544" s="1" t="str">
        <f t="shared" ca="1" si="13"/>
        <v>Please solve the LeetCode problem '1284. Minimum Number of Flips to Convert Binary Matrix to Zero Matrix'.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45" spans="1:15" x14ac:dyDescent="0.25">
      <c r="A1545" s="1">
        <v>2179</v>
      </c>
      <c r="B1545" s="2" t="str">
        <f>HYPERLINK("https://leetcode.com/problems/count-good-triplets-in-an-array/", "Count Good Triplets in an Array")</f>
        <v>Count Good Triplets in an Array</v>
      </c>
      <c r="C1545" s="1">
        <v>1003</v>
      </c>
      <c r="D1545" s="1">
        <v>114</v>
      </c>
      <c r="E1545" s="3">
        <f t="shared" si="12"/>
        <v>0.89794091316025071</v>
      </c>
      <c r="F1545" s="1" t="s">
        <v>147</v>
      </c>
      <c r="G1545" s="1" t="s">
        <v>28</v>
      </c>
      <c r="H1545" s="1">
        <v>75981</v>
      </c>
      <c r="I1545" s="1">
        <v>115509</v>
      </c>
      <c r="J1545" s="7">
        <v>0.65800000000000003</v>
      </c>
      <c r="K1545" s="1" t="s">
        <v>21</v>
      </c>
      <c r="L1545" s="1" t="s">
        <v>21</v>
      </c>
      <c r="M1545" s="1" t="s">
        <v>29</v>
      </c>
      <c r="N1545" s="1" t="s">
        <v>22</v>
      </c>
      <c r="O1545" s="1" t="str">
        <f t="shared" ca="1" si="13"/>
        <v>Please solve the LeetCode problem '2179. Count Good Triplets in an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46" spans="1:15" x14ac:dyDescent="0.25">
      <c r="A1546" s="1">
        <v>361</v>
      </c>
      <c r="B1546" s="2" t="str">
        <f>HYPERLINK("https://leetcode.com/problems/bomb-enemy/", "Bomb Enemy")</f>
        <v>Bomb Enemy</v>
      </c>
      <c r="C1546" s="1">
        <v>1002</v>
      </c>
      <c r="D1546" s="1">
        <v>118</v>
      </c>
      <c r="E1546" s="3">
        <f t="shared" si="12"/>
        <v>0.89464285714285718</v>
      </c>
      <c r="F1546" s="1" t="s">
        <v>94</v>
      </c>
      <c r="G1546" s="1" t="s">
        <v>24</v>
      </c>
      <c r="H1546" s="1">
        <v>86196</v>
      </c>
      <c r="I1546" s="1">
        <v>163354</v>
      </c>
      <c r="J1546" s="7">
        <v>0.52800000000000002</v>
      </c>
      <c r="K1546" s="1" t="s">
        <v>29</v>
      </c>
      <c r="L1546" s="1" t="s">
        <v>21</v>
      </c>
      <c r="M1546" s="1" t="s">
        <v>29</v>
      </c>
      <c r="N1546" s="1" t="s">
        <v>22</v>
      </c>
      <c r="O1546" s="1" t="str">
        <f t="shared" ca="1" si="13"/>
        <v>Please solve the LeetCode problem '361. Bomb Enemy'.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47" spans="1:15" x14ac:dyDescent="0.25">
      <c r="A1547" s="1">
        <v>1057</v>
      </c>
      <c r="B1547" s="2" t="str">
        <f>HYPERLINK("https://leetcode.com/problems/campus-bikes/", "Campus Bikes")</f>
        <v>Campus Bikes</v>
      </c>
      <c r="C1547" s="1">
        <v>1002</v>
      </c>
      <c r="D1547" s="1">
        <v>198</v>
      </c>
      <c r="E1547" s="3">
        <f t="shared" si="12"/>
        <v>0.83499999999999996</v>
      </c>
      <c r="F1547" s="1" t="s">
        <v>350</v>
      </c>
      <c r="G1547" s="1" t="s">
        <v>24</v>
      </c>
      <c r="H1547" s="1">
        <v>77421</v>
      </c>
      <c r="I1547" s="1">
        <v>131033</v>
      </c>
      <c r="J1547" s="7">
        <v>0.59099999999999997</v>
      </c>
      <c r="K1547" s="1" t="s">
        <v>29</v>
      </c>
      <c r="L1547" s="1" t="s">
        <v>21</v>
      </c>
      <c r="M1547" s="1" t="s">
        <v>29</v>
      </c>
      <c r="N1547" s="1" t="s">
        <v>22</v>
      </c>
      <c r="O1547" s="1" t="str">
        <f t="shared" ca="1" si="13"/>
        <v>Please solve the LeetCode problem '1057. Campus Bikes'.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48" spans="1:15" x14ac:dyDescent="0.25">
      <c r="A1548" s="1">
        <v>1222</v>
      </c>
      <c r="B1548" s="2" t="str">
        <f>HYPERLINK("https://leetcode.com/problems/queens-that-can-attack-the-king/", "Queens That Can Attack the King")</f>
        <v>Queens That Can Attack the King</v>
      </c>
      <c r="C1548" s="1">
        <v>1002</v>
      </c>
      <c r="D1548" s="1">
        <v>154</v>
      </c>
      <c r="E1548" s="3">
        <f t="shared" si="12"/>
        <v>0.86678200692041518</v>
      </c>
      <c r="F1548" s="1" t="s">
        <v>77</v>
      </c>
      <c r="G1548" s="1" t="s">
        <v>24</v>
      </c>
      <c r="H1548" s="1">
        <v>50064</v>
      </c>
      <c r="I1548" s="1">
        <v>69068</v>
      </c>
      <c r="J1548" s="7">
        <v>0.72499999999999998</v>
      </c>
      <c r="K1548" s="1" t="s">
        <v>21</v>
      </c>
      <c r="L1548" s="1" t="s">
        <v>29</v>
      </c>
      <c r="M1548" s="1" t="s">
        <v>29</v>
      </c>
      <c r="N1548" s="1" t="s">
        <v>22</v>
      </c>
      <c r="O1548" s="1" t="str">
        <f t="shared" ca="1" si="13"/>
        <v>Please solve the LeetCode problem '1222. Queens That Can Attack the King'.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49" spans="1:15" x14ac:dyDescent="0.25">
      <c r="A1549" s="1">
        <v>1755</v>
      </c>
      <c r="B1549" s="2" t="str">
        <f>HYPERLINK("https://leetcode.com/problems/closest-subsequence-sum/", "Closest Subsequence Sum")</f>
        <v>Closest Subsequence Sum</v>
      </c>
      <c r="C1549" s="1">
        <v>1000</v>
      </c>
      <c r="D1549" s="1">
        <v>74</v>
      </c>
      <c r="E1549" s="3">
        <f t="shared" si="12"/>
        <v>0.93109869646182497</v>
      </c>
      <c r="F1549" s="1" t="s">
        <v>1370</v>
      </c>
      <c r="G1549" s="1" t="s">
        <v>28</v>
      </c>
      <c r="H1549" s="1">
        <v>26668</v>
      </c>
      <c r="I1549" s="1">
        <v>62201</v>
      </c>
      <c r="J1549" s="7">
        <v>0.42899999999999999</v>
      </c>
      <c r="K1549" s="1" t="s">
        <v>21</v>
      </c>
      <c r="L1549" s="1" t="s">
        <v>29</v>
      </c>
      <c r="M1549" s="1" t="s">
        <v>29</v>
      </c>
      <c r="N1549" s="1" t="s">
        <v>22</v>
      </c>
      <c r="O1549" s="1" t="str">
        <f t="shared" ca="1" si="13"/>
        <v>Please solve the LeetCode problem '1755. Closest Subsequence Sum'.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50" spans="1:15" x14ac:dyDescent="0.25">
      <c r="A1550" s="1">
        <v>971</v>
      </c>
      <c r="B1550" s="2" t="str">
        <f>HYPERLINK("https://leetcode.com/problems/flip-binary-tree-to-match-preorder-traversal/", "Flip Binary Tree To Match Preorder Traversal")</f>
        <v>Flip Binary Tree To Match Preorder Traversal</v>
      </c>
      <c r="C1550" s="1">
        <v>997</v>
      </c>
      <c r="D1550" s="1">
        <v>284</v>
      </c>
      <c r="E1550" s="3">
        <f t="shared" si="12"/>
        <v>0.7782982045277127</v>
      </c>
      <c r="F1550" s="1" t="s">
        <v>67</v>
      </c>
      <c r="G1550" s="1" t="s">
        <v>24</v>
      </c>
      <c r="H1550" s="1">
        <v>48484</v>
      </c>
      <c r="I1550" s="1">
        <v>93734</v>
      </c>
      <c r="J1550" s="7">
        <v>0.51700000000000002</v>
      </c>
      <c r="K1550" s="1" t="s">
        <v>21</v>
      </c>
      <c r="L1550" s="1" t="s">
        <v>21</v>
      </c>
      <c r="M1550" s="1" t="s">
        <v>29</v>
      </c>
      <c r="N1550" s="1" t="s">
        <v>22</v>
      </c>
      <c r="O1550" s="1" t="str">
        <f t="shared" ca="1" si="13"/>
        <v>Please solve the LeetCode problem '971. Flip Binary Tree To Match Preorder Traversal'.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51" spans="1:15" x14ac:dyDescent="0.25">
      <c r="A1551" s="1">
        <v>1223</v>
      </c>
      <c r="B1551" s="2" t="str">
        <f>HYPERLINK("https://leetcode.com/problems/dice-roll-simulation/", "Dice Roll Simulation")</f>
        <v>Dice Roll Simulation</v>
      </c>
      <c r="C1551" s="1">
        <v>993</v>
      </c>
      <c r="D1551" s="1">
        <v>197</v>
      </c>
      <c r="E1551" s="3">
        <f t="shared" si="12"/>
        <v>0.83445378151260508</v>
      </c>
      <c r="F1551" s="1" t="s">
        <v>30</v>
      </c>
      <c r="G1551" s="1" t="s">
        <v>28</v>
      </c>
      <c r="H1551" s="1">
        <v>36787</v>
      </c>
      <c r="I1551" s="1">
        <v>72749</v>
      </c>
      <c r="J1551" s="7">
        <v>0.50600000000000001</v>
      </c>
      <c r="K1551" s="1" t="s">
        <v>21</v>
      </c>
      <c r="L1551" s="1" t="s">
        <v>29</v>
      </c>
      <c r="M1551" s="1" t="s">
        <v>29</v>
      </c>
      <c r="N1551" s="1" t="s">
        <v>22</v>
      </c>
      <c r="O1551" s="1" t="str">
        <f t="shared" ca="1" si="13"/>
        <v>Please solve the LeetCode problem '1223. Dice Roll Simulation'.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52" spans="1:15" x14ac:dyDescent="0.25">
      <c r="A1552" s="1">
        <v>2106</v>
      </c>
      <c r="B1552" s="2" t="str">
        <f>HYPERLINK("https://leetcode.com/problems/maximum-fruits-harvested-after-at-most-k-steps/", "Maximum Fruits Harvested After at Most K Steps")</f>
        <v>Maximum Fruits Harvested After at Most K Steps</v>
      </c>
      <c r="C1552" s="1">
        <v>993</v>
      </c>
      <c r="D1552" s="1">
        <v>43</v>
      </c>
      <c r="E1552" s="3">
        <f t="shared" si="12"/>
        <v>0.95849420849420852</v>
      </c>
      <c r="F1552" s="1" t="s">
        <v>88</v>
      </c>
      <c r="G1552" s="1" t="s">
        <v>28</v>
      </c>
      <c r="H1552" s="1">
        <v>85751</v>
      </c>
      <c r="I1552" s="1">
        <v>140433</v>
      </c>
      <c r="J1552" s="7">
        <v>0.61099999999999999</v>
      </c>
      <c r="K1552" s="1" t="s">
        <v>21</v>
      </c>
      <c r="L1552" s="1" t="s">
        <v>21</v>
      </c>
      <c r="M1552" s="1" t="s">
        <v>29</v>
      </c>
      <c r="N1552" s="1" t="s">
        <v>22</v>
      </c>
      <c r="O1552" s="1" t="str">
        <f t="shared" ca="1" si="13"/>
        <v>Please solve the LeetCode problem '2106. Maximum Fruits Harvested After at Most K Steps'.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53" spans="1:15" x14ac:dyDescent="0.25">
      <c r="A1553" s="1">
        <v>1075</v>
      </c>
      <c r="B1553" s="2" t="str">
        <f>HYPERLINK("https://leetcode.com/problems/project-employees-i/", "Project Employees I")</f>
        <v>Project Employees I</v>
      </c>
      <c r="C1553" s="1">
        <v>992</v>
      </c>
      <c r="D1553" s="1">
        <v>204</v>
      </c>
      <c r="E1553" s="3">
        <f t="shared" si="12"/>
        <v>0.8294314381270903</v>
      </c>
      <c r="F1553" s="1" t="s">
        <v>297</v>
      </c>
      <c r="G1553" s="1" t="s">
        <v>20</v>
      </c>
      <c r="H1553" s="1">
        <v>625843</v>
      </c>
      <c r="I1553" s="1">
        <v>941857</v>
      </c>
      <c r="J1553" s="7">
        <v>0.66400000000000003</v>
      </c>
      <c r="K1553" s="1" t="s">
        <v>21</v>
      </c>
      <c r="L1553" s="1" t="s">
        <v>21</v>
      </c>
      <c r="M1553" s="1" t="s">
        <v>29</v>
      </c>
      <c r="N1553" s="1" t="s">
        <v>297</v>
      </c>
      <c r="O1553" s="1" t="str">
        <f t="shared" ca="1" si="13"/>
        <v>Please solve the LeetCode problem '1075. Project Employees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54" spans="1:15" x14ac:dyDescent="0.25">
      <c r="A1554" s="1">
        <v>358</v>
      </c>
      <c r="B1554" s="2" t="str">
        <f>HYPERLINK("https://leetcode.com/problems/rearrange-string-k-distance-apart/", "Rearrange String k Distance Apart")</f>
        <v>Rearrange String k Distance Apart</v>
      </c>
      <c r="C1554" s="1">
        <v>990</v>
      </c>
      <c r="D1554" s="1">
        <v>39</v>
      </c>
      <c r="E1554" s="3">
        <f t="shared" si="12"/>
        <v>0.96209912536443154</v>
      </c>
      <c r="F1554" s="1" t="s">
        <v>148</v>
      </c>
      <c r="G1554" s="1" t="s">
        <v>28</v>
      </c>
      <c r="H1554" s="1">
        <v>71401</v>
      </c>
      <c r="I1554" s="1">
        <v>180795</v>
      </c>
      <c r="J1554" s="7">
        <v>0.39500000000000002</v>
      </c>
      <c r="K1554" s="1" t="s">
        <v>29</v>
      </c>
      <c r="L1554" s="1" t="s">
        <v>21</v>
      </c>
      <c r="M1554" s="1" t="s">
        <v>29</v>
      </c>
      <c r="N1554" s="1" t="s">
        <v>22</v>
      </c>
      <c r="O1554" s="1" t="str">
        <f t="shared" ca="1" si="13"/>
        <v>Please solve the LeetCode problem '358. Rearrange String k Distance Apart'.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55" spans="1:15" x14ac:dyDescent="0.25">
      <c r="A1555" s="1">
        <v>1753</v>
      </c>
      <c r="B1555" s="2" t="str">
        <f>HYPERLINK("https://leetcode.com/problems/maximum-score-from-removing-stones/", "Maximum Score From Removing Stones")</f>
        <v>Maximum Score From Removing Stones</v>
      </c>
      <c r="C1555" s="1">
        <v>986</v>
      </c>
      <c r="D1555" s="1">
        <v>58</v>
      </c>
      <c r="E1555" s="3">
        <f t="shared" si="12"/>
        <v>0.94444444444444442</v>
      </c>
      <c r="F1555" s="1" t="s">
        <v>717</v>
      </c>
      <c r="G1555" s="1" t="s">
        <v>24</v>
      </c>
      <c r="H1555" s="1">
        <v>52436</v>
      </c>
      <c r="I1555" s="1">
        <v>76550</v>
      </c>
      <c r="J1555" s="7">
        <v>0.68500000000000005</v>
      </c>
      <c r="K1555" s="1" t="s">
        <v>21</v>
      </c>
      <c r="L1555" s="1" t="s">
        <v>29</v>
      </c>
      <c r="M1555" s="1" t="s">
        <v>29</v>
      </c>
      <c r="N1555" s="1" t="s">
        <v>22</v>
      </c>
      <c r="O1555" s="1" t="str">
        <f t="shared" ca="1" si="13"/>
        <v>Please solve the LeetCode problem '1753. Maximum Score From Removing Stones'.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56" spans="1:15" x14ac:dyDescent="0.25">
      <c r="A1556" s="1">
        <v>1935</v>
      </c>
      <c r="B1556" s="2" t="str">
        <f>HYPERLINK("https://leetcode.com/problems/maximum-number-of-words-you-can-type/", "Maximum Number of Words You Can Type")</f>
        <v>Maximum Number of Words You Can Type</v>
      </c>
      <c r="C1556" s="1">
        <v>985</v>
      </c>
      <c r="D1556" s="1">
        <v>40</v>
      </c>
      <c r="E1556" s="3">
        <f t="shared" si="12"/>
        <v>0.96097560975609753</v>
      </c>
      <c r="F1556" s="1" t="s">
        <v>131</v>
      </c>
      <c r="G1556" s="1" t="s">
        <v>20</v>
      </c>
      <c r="H1556" s="1">
        <v>226005</v>
      </c>
      <c r="I1556" s="1">
        <v>272569</v>
      </c>
      <c r="J1556" s="7">
        <v>0.82899999999999996</v>
      </c>
      <c r="K1556" s="1" t="s">
        <v>21</v>
      </c>
      <c r="L1556" s="1" t="s">
        <v>21</v>
      </c>
      <c r="M1556" s="1" t="s">
        <v>29</v>
      </c>
      <c r="N1556" s="1" t="s">
        <v>22</v>
      </c>
      <c r="O1556" s="1" t="str">
        <f t="shared" ca="1" si="13"/>
        <v>Please solve the LeetCode problem '1935. Maximum Number of Words You Can Type'.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57" spans="1:15" x14ac:dyDescent="0.25">
      <c r="A1557" s="1">
        <v>2493</v>
      </c>
      <c r="B1557" s="2" t="str">
        <f>HYPERLINK("https://leetcode.com/problems/divide-nodes-into-the-maximum-number-of-groups/", "Divide Nodes Into the Maximum Number of Groups")</f>
        <v>Divide Nodes Into the Maximum Number of Groups</v>
      </c>
      <c r="C1557" s="1">
        <v>984</v>
      </c>
      <c r="D1557" s="1">
        <v>74</v>
      </c>
      <c r="E1557" s="3">
        <f t="shared" si="12"/>
        <v>0.93005671077504726</v>
      </c>
      <c r="F1557" s="1" t="s">
        <v>122</v>
      </c>
      <c r="G1557" s="1" t="s">
        <v>28</v>
      </c>
      <c r="H1557" s="1">
        <v>85694</v>
      </c>
      <c r="I1557" s="1">
        <v>127770</v>
      </c>
      <c r="J1557" s="7">
        <v>0.67100000000000004</v>
      </c>
      <c r="K1557" s="1" t="s">
        <v>21</v>
      </c>
      <c r="L1557" s="1" t="s">
        <v>21</v>
      </c>
      <c r="M1557" s="1" t="s">
        <v>29</v>
      </c>
      <c r="N1557" s="1" t="s">
        <v>22</v>
      </c>
      <c r="O1557" s="1" t="str">
        <f t="shared" ca="1" si="13"/>
        <v>Please solve the LeetCode problem '2493. Divide Nodes Into the Maximum Number of Groups'.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58" spans="1:15" x14ac:dyDescent="0.25">
      <c r="A1558" s="1">
        <v>3306</v>
      </c>
      <c r="B1558" s="2" t="str">
        <f>HYPERLINK("https://leetcode.com/problems/count-of-substrings-containing-every-vowel-and-k-consonants-ii/", "Count of Substrings Containing Every Vowel and K Consonants II")</f>
        <v>Count of Substrings Containing Every Vowel and K Consonants II</v>
      </c>
      <c r="C1558" s="1">
        <v>984</v>
      </c>
      <c r="D1558" s="1">
        <v>148</v>
      </c>
      <c r="E1558" s="3">
        <f t="shared" si="12"/>
        <v>0.86925795053003529</v>
      </c>
      <c r="F1558" s="1" t="s">
        <v>23</v>
      </c>
      <c r="G1558" s="1" t="s">
        <v>24</v>
      </c>
      <c r="H1558" s="1">
        <v>113491</v>
      </c>
      <c r="I1558" s="1">
        <v>279420</v>
      </c>
      <c r="J1558" s="7">
        <v>0.40600000000000003</v>
      </c>
      <c r="K1558" s="1" t="s">
        <v>21</v>
      </c>
      <c r="L1558" s="1" t="s">
        <v>21</v>
      </c>
      <c r="M1558" s="1" t="s">
        <v>29</v>
      </c>
      <c r="N1558" s="1" t="s">
        <v>22</v>
      </c>
      <c r="O1558" s="1" t="str">
        <f t="shared" ca="1" si="13"/>
        <v>Please solve the LeetCode problem '3306. Count of Substrings Containing Every Vowel and K Consonants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59" spans="1:15" x14ac:dyDescent="0.25">
      <c r="A1559" s="1">
        <v>1637</v>
      </c>
      <c r="B1559" s="2" t="str">
        <f>HYPERLINK("https://leetcode.com/problems/widest-vertical-area-between-two-points-containing-no-points/", "Widest Vertical Area Between Two Points Containing No Points")</f>
        <v>Widest Vertical Area Between Two Points Containing No Points</v>
      </c>
      <c r="C1559" s="1">
        <v>981</v>
      </c>
      <c r="D1559" s="1">
        <v>1785</v>
      </c>
      <c r="E1559" s="3">
        <f t="shared" si="12"/>
        <v>0.35466377440347069</v>
      </c>
      <c r="F1559" s="1" t="s">
        <v>42</v>
      </c>
      <c r="G1559" s="1" t="s">
        <v>20</v>
      </c>
      <c r="H1559" s="1">
        <v>197035</v>
      </c>
      <c r="I1559" s="1">
        <v>226249</v>
      </c>
      <c r="J1559" s="7">
        <v>0.871</v>
      </c>
      <c r="K1559" s="1" t="s">
        <v>21</v>
      </c>
      <c r="L1559" s="1" t="s">
        <v>21</v>
      </c>
      <c r="M1559" s="1" t="s">
        <v>29</v>
      </c>
      <c r="N1559" s="1" t="s">
        <v>22</v>
      </c>
      <c r="O1559" s="1" t="str">
        <f t="shared" ca="1" si="13"/>
        <v>Please solve the LeetCode problem '1637. Widest Vertical Area Between Two Points Containing No Points'.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60" spans="1:15" x14ac:dyDescent="0.25">
      <c r="A1560" s="1">
        <v>2100</v>
      </c>
      <c r="B1560" s="2" t="str">
        <f>HYPERLINK("https://leetcode.com/problems/find-good-days-to-rob-the-bank/", "Find Good Days to Rob the Bank")</f>
        <v>Find Good Days to Rob the Bank</v>
      </c>
      <c r="C1560" s="1">
        <v>981</v>
      </c>
      <c r="D1560" s="1">
        <v>53</v>
      </c>
      <c r="E1560" s="3">
        <f t="shared" si="12"/>
        <v>0.94874274661508706</v>
      </c>
      <c r="F1560" s="1" t="s">
        <v>407</v>
      </c>
      <c r="G1560" s="1" t="s">
        <v>24</v>
      </c>
      <c r="H1560" s="1">
        <v>41984</v>
      </c>
      <c r="I1560" s="1">
        <v>82061</v>
      </c>
      <c r="J1560" s="7">
        <v>0.51200000000000001</v>
      </c>
      <c r="K1560" s="1" t="s">
        <v>21</v>
      </c>
      <c r="L1560" s="1" t="s">
        <v>29</v>
      </c>
      <c r="M1560" s="1" t="s">
        <v>29</v>
      </c>
      <c r="N1560" s="1" t="s">
        <v>22</v>
      </c>
      <c r="O1560" s="1" t="str">
        <f t="shared" ca="1" si="13"/>
        <v>Please solve the LeetCode problem '2100. Find Good Days to Rob the Bank'.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61" spans="1:15" x14ac:dyDescent="0.25">
      <c r="A1561" s="1">
        <v>1023</v>
      </c>
      <c r="B1561" s="2" t="str">
        <f>HYPERLINK("https://leetcode.com/problems/camelcase-matching/", "Camelcase Matching")</f>
        <v>Camelcase Matching</v>
      </c>
      <c r="C1561" s="1">
        <v>977</v>
      </c>
      <c r="D1561" s="1">
        <v>348</v>
      </c>
      <c r="E1561" s="3">
        <f t="shared" si="12"/>
        <v>0.73735849056603775</v>
      </c>
      <c r="F1561" s="1" t="s">
        <v>718</v>
      </c>
      <c r="G1561" s="1" t="s">
        <v>24</v>
      </c>
      <c r="H1561" s="1">
        <v>62816</v>
      </c>
      <c r="I1561" s="1">
        <v>96850</v>
      </c>
      <c r="J1561" s="7">
        <v>0.64900000000000002</v>
      </c>
      <c r="K1561" s="1" t="s">
        <v>21</v>
      </c>
      <c r="L1561" s="1" t="s">
        <v>29</v>
      </c>
      <c r="M1561" s="1" t="s">
        <v>29</v>
      </c>
      <c r="N1561" s="1" t="s">
        <v>22</v>
      </c>
      <c r="O1561" s="1" t="str">
        <f t="shared" ca="1" si="13"/>
        <v>Please solve the LeetCode problem '1023. Camelcase Matching'.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62" spans="1:15" x14ac:dyDescent="0.25">
      <c r="A1562" s="1">
        <v>1386</v>
      </c>
      <c r="B1562" s="2" t="str">
        <f>HYPERLINK("https://leetcode.com/problems/cinema-seat-allocation/", "Cinema Seat Allocation")</f>
        <v>Cinema Seat Allocation</v>
      </c>
      <c r="C1562" s="1">
        <v>971</v>
      </c>
      <c r="D1562" s="1">
        <v>414</v>
      </c>
      <c r="E1562" s="3">
        <f t="shared" si="12"/>
        <v>0.7010830324909747</v>
      </c>
      <c r="F1562" s="1" t="s">
        <v>719</v>
      </c>
      <c r="G1562" s="1" t="s">
        <v>24</v>
      </c>
      <c r="H1562" s="1">
        <v>60204</v>
      </c>
      <c r="I1562" s="1">
        <v>138659</v>
      </c>
      <c r="J1562" s="7">
        <v>0.434</v>
      </c>
      <c r="K1562" s="1" t="s">
        <v>21</v>
      </c>
      <c r="L1562" s="1" t="s">
        <v>29</v>
      </c>
      <c r="M1562" s="1" t="s">
        <v>29</v>
      </c>
      <c r="N1562" s="1" t="s">
        <v>22</v>
      </c>
      <c r="O1562" s="1" t="str">
        <f t="shared" ca="1" si="13"/>
        <v>Please solve the LeetCode problem '1386. Cinema Seat Allocation'.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63" spans="1:15" x14ac:dyDescent="0.25">
      <c r="A1563" s="1">
        <v>2079</v>
      </c>
      <c r="B1563" s="2" t="str">
        <f>HYPERLINK("https://leetcode.com/problems/watering-plants/", "Watering Plants")</f>
        <v>Watering Plants</v>
      </c>
      <c r="C1563" s="1">
        <v>971</v>
      </c>
      <c r="D1563" s="1">
        <v>73</v>
      </c>
      <c r="E1563" s="3">
        <f t="shared" si="12"/>
        <v>0.93007662835249039</v>
      </c>
      <c r="F1563" s="1" t="s">
        <v>306</v>
      </c>
      <c r="G1563" s="1" t="s">
        <v>24</v>
      </c>
      <c r="H1563" s="1">
        <v>65993</v>
      </c>
      <c r="I1563" s="1">
        <v>82560</v>
      </c>
      <c r="J1563" s="7">
        <v>0.79900000000000004</v>
      </c>
      <c r="K1563" s="1" t="s">
        <v>21</v>
      </c>
      <c r="L1563" s="1" t="s">
        <v>29</v>
      </c>
      <c r="M1563" s="1" t="s">
        <v>29</v>
      </c>
      <c r="N1563" s="1" t="s">
        <v>22</v>
      </c>
      <c r="O1563" s="1" t="str">
        <f t="shared" ca="1" si="13"/>
        <v>Please solve the LeetCode problem '2079. Watering Plants'.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64" spans="1:15" x14ac:dyDescent="0.25">
      <c r="A1564" s="1">
        <v>1375</v>
      </c>
      <c r="B1564" s="2" t="str">
        <f>HYPERLINK("https://leetcode.com/problems/number-of-times-binary-string-is-prefix-aligned/", "Number of Times Binary String Is Prefix-Aligned")</f>
        <v>Number of Times Binary String Is Prefix-Aligned</v>
      </c>
      <c r="C1564" s="1">
        <v>967</v>
      </c>
      <c r="D1564" s="1">
        <v>139</v>
      </c>
      <c r="E1564" s="3">
        <f t="shared" si="12"/>
        <v>0.87432188065099459</v>
      </c>
      <c r="F1564" s="1" t="s">
        <v>113</v>
      </c>
      <c r="G1564" s="1" t="s">
        <v>24</v>
      </c>
      <c r="H1564" s="1">
        <v>59272</v>
      </c>
      <c r="I1564" s="1">
        <v>89847</v>
      </c>
      <c r="J1564" s="7">
        <v>0.66</v>
      </c>
      <c r="K1564" s="1" t="s">
        <v>21</v>
      </c>
      <c r="L1564" s="1" t="s">
        <v>29</v>
      </c>
      <c r="M1564" s="1" t="s">
        <v>29</v>
      </c>
      <c r="N1564" s="1" t="s">
        <v>22</v>
      </c>
      <c r="O1564" s="1" t="str">
        <f t="shared" ca="1" si="13"/>
        <v>Please solve the LeetCode problem '1375. Number of Times Binary String Is Prefix-Aligned'.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65" spans="1:15" x14ac:dyDescent="0.25">
      <c r="A1565" s="1">
        <v>2304</v>
      </c>
      <c r="B1565" s="2" t="str">
        <f>HYPERLINK("https://leetcode.com/problems/minimum-path-cost-in-a-grid/", "Minimum Path Cost in a Grid")</f>
        <v>Minimum Path Cost in a Grid</v>
      </c>
      <c r="C1565" s="1">
        <v>967</v>
      </c>
      <c r="D1565" s="1">
        <v>175</v>
      </c>
      <c r="E1565" s="3">
        <f t="shared" si="12"/>
        <v>0.84676007005253939</v>
      </c>
      <c r="F1565" s="1" t="s">
        <v>94</v>
      </c>
      <c r="G1565" s="1" t="s">
        <v>24</v>
      </c>
      <c r="H1565" s="1">
        <v>39543</v>
      </c>
      <c r="I1565" s="1">
        <v>58280</v>
      </c>
      <c r="J1565" s="7">
        <v>0.67900000000000005</v>
      </c>
      <c r="K1565" s="1" t="s">
        <v>21</v>
      </c>
      <c r="L1565" s="1" t="s">
        <v>29</v>
      </c>
      <c r="M1565" s="1" t="s">
        <v>29</v>
      </c>
      <c r="N1565" s="1" t="s">
        <v>22</v>
      </c>
      <c r="O1565" s="1" t="str">
        <f t="shared" ca="1" si="13"/>
        <v>Please solve the LeetCode problem '2304. Minimum Path Cost in a Grid'.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66" spans="1:15" x14ac:dyDescent="0.25">
      <c r="A1566" s="1">
        <v>369</v>
      </c>
      <c r="B1566" s="2" t="str">
        <f>HYPERLINK("https://leetcode.com/problems/plus-one-linked-list/", "Plus One Linked List")</f>
        <v>Plus One Linked List</v>
      </c>
      <c r="C1566" s="1">
        <v>965</v>
      </c>
      <c r="D1566" s="1">
        <v>48</v>
      </c>
      <c r="E1566" s="3">
        <f t="shared" si="12"/>
        <v>0.95261599210266534</v>
      </c>
      <c r="F1566" s="1" t="s">
        <v>275</v>
      </c>
      <c r="G1566" s="1" t="s">
        <v>24</v>
      </c>
      <c r="H1566" s="1">
        <v>87103</v>
      </c>
      <c r="I1566" s="1">
        <v>142292</v>
      </c>
      <c r="J1566" s="7">
        <v>0.61199999999999999</v>
      </c>
      <c r="K1566" s="1" t="s">
        <v>29</v>
      </c>
      <c r="L1566" s="1" t="s">
        <v>21</v>
      </c>
      <c r="M1566" s="1" t="s">
        <v>21</v>
      </c>
      <c r="N1566" s="1" t="s">
        <v>22</v>
      </c>
      <c r="O1566" s="1" t="str">
        <f t="shared" ca="1" si="13"/>
        <v>Please solve the LeetCode problem '369. Plus One Linked List'.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67" spans="1:15" x14ac:dyDescent="0.25">
      <c r="A1567" s="1">
        <v>1066</v>
      </c>
      <c r="B1567" s="2" t="str">
        <f>HYPERLINK("https://leetcode.com/problems/campus-bikes-ii/", "Campus Bikes II")</f>
        <v>Campus Bikes II</v>
      </c>
      <c r="C1567" s="1">
        <v>964</v>
      </c>
      <c r="D1567" s="1">
        <v>90</v>
      </c>
      <c r="E1567" s="3">
        <f t="shared" si="12"/>
        <v>0.91461100569259957</v>
      </c>
      <c r="F1567" s="1" t="s">
        <v>1354</v>
      </c>
      <c r="G1567" s="1" t="s">
        <v>24</v>
      </c>
      <c r="H1567" s="1">
        <v>56895</v>
      </c>
      <c r="I1567" s="1">
        <v>101844</v>
      </c>
      <c r="J1567" s="7">
        <v>0.55900000000000005</v>
      </c>
      <c r="K1567" s="1" t="s">
        <v>29</v>
      </c>
      <c r="L1567" s="1" t="s">
        <v>21</v>
      </c>
      <c r="M1567" s="1" t="s">
        <v>29</v>
      </c>
      <c r="N1567" s="1" t="s">
        <v>22</v>
      </c>
      <c r="O1567" s="1" t="str">
        <f t="shared" ca="1" si="13"/>
        <v>Please solve the LeetCode problem '1066. Campus Bikes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68" spans="1:15" x14ac:dyDescent="0.25">
      <c r="A1568" s="1">
        <v>2948</v>
      </c>
      <c r="B1568" s="2" t="str">
        <f>HYPERLINK("https://leetcode.com/problems/make-lexicographically-smallest-array-by-swapping-elements/", "Make Lexicographically Smallest Array by Swapping Elements")</f>
        <v>Make Lexicographically Smallest Array by Swapping Elements</v>
      </c>
      <c r="C1568" s="1">
        <v>964</v>
      </c>
      <c r="D1568" s="1">
        <v>78</v>
      </c>
      <c r="E1568" s="3">
        <f t="shared" si="12"/>
        <v>0.92514395393474091</v>
      </c>
      <c r="F1568" s="1" t="s">
        <v>684</v>
      </c>
      <c r="G1568" s="1" t="s">
        <v>24</v>
      </c>
      <c r="H1568" s="1">
        <v>101068</v>
      </c>
      <c r="I1568" s="1">
        <v>167813</v>
      </c>
      <c r="J1568" s="7">
        <v>0.60199999999999998</v>
      </c>
      <c r="K1568" s="1" t="s">
        <v>21</v>
      </c>
      <c r="L1568" s="1" t="s">
        <v>21</v>
      </c>
      <c r="M1568" s="1" t="s">
        <v>29</v>
      </c>
      <c r="N1568" s="1" t="s">
        <v>22</v>
      </c>
      <c r="O1568" s="1" t="str">
        <f t="shared" ca="1" si="13"/>
        <v>Please solve the LeetCode problem '2948. Make Lexicographically Smallest Array by Swapping Elements'.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69" spans="1:15" x14ac:dyDescent="0.25">
      <c r="A1569" s="1">
        <v>1775</v>
      </c>
      <c r="B1569" s="2" t="str">
        <f>HYPERLINK("https://leetcode.com/problems/equal-sum-arrays-with-minimum-number-of-operations/", "Equal Sum Arrays With Minimum Number of Operations")</f>
        <v>Equal Sum Arrays With Minimum Number of Operations</v>
      </c>
      <c r="C1569" s="1">
        <v>963</v>
      </c>
      <c r="D1569" s="1">
        <v>47</v>
      </c>
      <c r="E1569" s="3">
        <f t="shared" si="12"/>
        <v>0.95346534653465342</v>
      </c>
      <c r="F1569" s="1" t="s">
        <v>389</v>
      </c>
      <c r="G1569" s="1" t="s">
        <v>24</v>
      </c>
      <c r="H1569" s="1">
        <v>34931</v>
      </c>
      <c r="I1569" s="1">
        <v>64086</v>
      </c>
      <c r="J1569" s="7">
        <v>0.54500000000000004</v>
      </c>
      <c r="K1569" s="1" t="s">
        <v>21</v>
      </c>
      <c r="L1569" s="1" t="s">
        <v>29</v>
      </c>
      <c r="M1569" s="1" t="s">
        <v>29</v>
      </c>
      <c r="N1569" s="1" t="s">
        <v>22</v>
      </c>
      <c r="O1569" s="1" t="str">
        <f t="shared" ca="1" si="13"/>
        <v>Please solve the LeetCode problem '1775. Equal Sum Arrays With Minimum Number of Operations'.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70" spans="1:15" x14ac:dyDescent="0.25">
      <c r="A1570" s="1">
        <v>2463</v>
      </c>
      <c r="B1570" s="2" t="str">
        <f>HYPERLINK("https://leetcode.com/problems/minimum-total-distance-traveled/", "Minimum Total Distance Traveled")</f>
        <v>Minimum Total Distance Traveled</v>
      </c>
      <c r="C1570" s="1">
        <v>963</v>
      </c>
      <c r="D1570" s="1">
        <v>33</v>
      </c>
      <c r="E1570" s="3">
        <f t="shared" si="12"/>
        <v>0.9668674698795181</v>
      </c>
      <c r="F1570" s="1" t="s">
        <v>270</v>
      </c>
      <c r="G1570" s="1" t="s">
        <v>28</v>
      </c>
      <c r="H1570" s="1">
        <v>75133</v>
      </c>
      <c r="I1570" s="1">
        <v>127705</v>
      </c>
      <c r="J1570" s="7">
        <v>0.58799999999999997</v>
      </c>
      <c r="K1570" s="1" t="s">
        <v>21</v>
      </c>
      <c r="L1570" s="1" t="s">
        <v>21</v>
      </c>
      <c r="M1570" s="1" t="s">
        <v>29</v>
      </c>
      <c r="N1570" s="1" t="s">
        <v>22</v>
      </c>
      <c r="O1570" s="1" t="str">
        <f t="shared" ca="1" si="13"/>
        <v>Please solve the LeetCode problem '2463. Minimum Total Distance Traveled'.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71" spans="1:15" x14ac:dyDescent="0.25">
      <c r="A1571" s="1">
        <v>2845</v>
      </c>
      <c r="B1571" s="2" t="str">
        <f>HYPERLINK("https://leetcode.com/problems/count-of-interesting-subarrays/", "Count of Interesting Subarrays")</f>
        <v>Count of Interesting Subarrays</v>
      </c>
      <c r="C1571" s="1">
        <v>963</v>
      </c>
      <c r="D1571" s="1">
        <v>269</v>
      </c>
      <c r="E1571" s="3">
        <f t="shared" si="12"/>
        <v>0.7816558441558441</v>
      </c>
      <c r="F1571" s="1" t="s">
        <v>39</v>
      </c>
      <c r="G1571" s="1" t="s">
        <v>24</v>
      </c>
      <c r="H1571" s="1">
        <v>91489</v>
      </c>
      <c r="I1571" s="1">
        <v>157594</v>
      </c>
      <c r="J1571" s="7">
        <v>0.58099999999999996</v>
      </c>
      <c r="K1571" s="1" t="s">
        <v>21</v>
      </c>
      <c r="L1571" s="1" t="s">
        <v>21</v>
      </c>
      <c r="M1571" s="1" t="s">
        <v>29</v>
      </c>
      <c r="N1571" s="1" t="s">
        <v>22</v>
      </c>
      <c r="O1571" s="1" t="str">
        <f t="shared" ca="1" si="13"/>
        <v>Please solve the LeetCode problem '2845. Count of Interesting Subarrays'.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72" spans="1:15" x14ac:dyDescent="0.25">
      <c r="A1572" s="1">
        <v>1745</v>
      </c>
      <c r="B1572" s="2" t="str">
        <f>HYPERLINK("https://leetcode.com/problems/palindrome-partitioning-iv/", "Palindrome Partitioning IV")</f>
        <v>Palindrome Partitioning IV</v>
      </c>
      <c r="C1572" s="1">
        <v>960</v>
      </c>
      <c r="D1572" s="1">
        <v>31</v>
      </c>
      <c r="E1572" s="3">
        <f t="shared" si="12"/>
        <v>0.96871846619576185</v>
      </c>
      <c r="F1572" s="1" t="s">
        <v>82</v>
      </c>
      <c r="G1572" s="1" t="s">
        <v>28</v>
      </c>
      <c r="H1572" s="1">
        <v>31887</v>
      </c>
      <c r="I1572" s="1">
        <v>70683</v>
      </c>
      <c r="J1572" s="7">
        <v>0.45100000000000001</v>
      </c>
      <c r="K1572" s="1" t="s">
        <v>21</v>
      </c>
      <c r="L1572" s="1" t="s">
        <v>29</v>
      </c>
      <c r="M1572" s="1" t="s">
        <v>29</v>
      </c>
      <c r="N1572" s="1" t="s">
        <v>22</v>
      </c>
      <c r="O1572" s="1" t="str">
        <f t="shared" ca="1" si="13"/>
        <v>Please solve the LeetCode problem '1745. Palindrome Partitioning IV'.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73" spans="1:15" x14ac:dyDescent="0.25">
      <c r="A1573" s="1">
        <v>2965</v>
      </c>
      <c r="B1573" s="2" t="str">
        <f>HYPERLINK("https://leetcode.com/problems/find-missing-and-repeated-values/", "Find Missing and Repeated Values")</f>
        <v>Find Missing and Repeated Values</v>
      </c>
      <c r="C1573" s="1">
        <v>960</v>
      </c>
      <c r="D1573" s="1">
        <v>48</v>
      </c>
      <c r="E1573" s="3">
        <f t="shared" si="12"/>
        <v>0.95238095238095233</v>
      </c>
      <c r="F1573" s="1" t="s">
        <v>685</v>
      </c>
      <c r="G1573" s="1" t="s">
        <v>20</v>
      </c>
      <c r="H1573" s="1">
        <v>312010</v>
      </c>
      <c r="I1573" s="1">
        <v>374888</v>
      </c>
      <c r="J1573" s="7">
        <v>0.83199999999999996</v>
      </c>
      <c r="K1573" s="1" t="s">
        <v>21</v>
      </c>
      <c r="L1573" s="1" t="s">
        <v>21</v>
      </c>
      <c r="M1573" s="1" t="s">
        <v>29</v>
      </c>
      <c r="N1573" s="1" t="s">
        <v>22</v>
      </c>
      <c r="O1573" s="1" t="str">
        <f t="shared" ca="1" si="13"/>
        <v>Please solve the LeetCode problem '2965. Find Missing and Repeated Values'.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74" spans="1:15" x14ac:dyDescent="0.25">
      <c r="A1574" s="1">
        <v>2349</v>
      </c>
      <c r="B1574" s="2" t="str">
        <f>HYPERLINK("https://leetcode.com/problems/design-a-number-container-system/", "Design a Number Container System")</f>
        <v>Design a Number Container System</v>
      </c>
      <c r="C1574" s="1">
        <v>959</v>
      </c>
      <c r="D1574" s="1">
        <v>74</v>
      </c>
      <c r="E1574" s="3">
        <f t="shared" si="12"/>
        <v>0.92836398838334944</v>
      </c>
      <c r="F1574" s="1" t="s">
        <v>530</v>
      </c>
      <c r="G1574" s="1" t="s">
        <v>24</v>
      </c>
      <c r="H1574" s="1">
        <v>148080</v>
      </c>
      <c r="I1574" s="1">
        <v>259383</v>
      </c>
      <c r="J1574" s="7">
        <v>0.57099999999999995</v>
      </c>
      <c r="K1574" s="1" t="s">
        <v>21</v>
      </c>
      <c r="L1574" s="1" t="s">
        <v>21</v>
      </c>
      <c r="M1574" s="1" t="s">
        <v>29</v>
      </c>
      <c r="N1574" s="1" t="s">
        <v>22</v>
      </c>
      <c r="O1574" s="1" t="str">
        <f t="shared" ca="1" si="13"/>
        <v>Please solve the LeetCode problem '2349. Design a Number Container System'.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75" spans="1:15" x14ac:dyDescent="0.25">
      <c r="A1575" s="1">
        <v>247</v>
      </c>
      <c r="B1575" s="2" t="str">
        <f>HYPERLINK("https://leetcode.com/problems/strobogrammatic-number-ii/", "Strobogrammatic Number II")</f>
        <v>Strobogrammatic Number II</v>
      </c>
      <c r="C1575" s="1">
        <v>958</v>
      </c>
      <c r="D1575" s="1">
        <v>263</v>
      </c>
      <c r="E1575" s="3">
        <f t="shared" si="12"/>
        <v>0.78460278460278465</v>
      </c>
      <c r="F1575" s="1" t="s">
        <v>721</v>
      </c>
      <c r="G1575" s="1" t="s">
        <v>24</v>
      </c>
      <c r="H1575" s="1">
        <v>160974</v>
      </c>
      <c r="I1575" s="1">
        <v>301112</v>
      </c>
      <c r="J1575" s="7">
        <v>0.53500000000000003</v>
      </c>
      <c r="K1575" s="1" t="s">
        <v>29</v>
      </c>
      <c r="L1575" s="1" t="s">
        <v>21</v>
      </c>
      <c r="M1575" s="1" t="s">
        <v>29</v>
      </c>
      <c r="N1575" s="1" t="s">
        <v>22</v>
      </c>
      <c r="O1575" s="1" t="str">
        <f t="shared" ca="1" si="13"/>
        <v>Please solve the LeetCode problem '247. Strobogrammatic Number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76" spans="1:15" x14ac:dyDescent="0.25">
      <c r="A1576" s="1">
        <v>2976</v>
      </c>
      <c r="B1576" s="2" t="str">
        <f>HYPERLINK("https://leetcode.com/problems/minimum-cost-to-convert-string-i/", "Minimum Cost to Convert String I")</f>
        <v>Minimum Cost to Convert String I</v>
      </c>
      <c r="C1576" s="1">
        <v>958</v>
      </c>
      <c r="D1576" s="1">
        <v>65</v>
      </c>
      <c r="E1576" s="3">
        <f t="shared" si="12"/>
        <v>0.93646138807429125</v>
      </c>
      <c r="F1576" s="1" t="s">
        <v>630</v>
      </c>
      <c r="G1576" s="1" t="s">
        <v>24</v>
      </c>
      <c r="H1576" s="1">
        <v>111919</v>
      </c>
      <c r="I1576" s="1">
        <v>195172</v>
      </c>
      <c r="J1576" s="7">
        <v>0.57299999999999995</v>
      </c>
      <c r="K1576" s="1" t="s">
        <v>21</v>
      </c>
      <c r="L1576" s="1" t="s">
        <v>21</v>
      </c>
      <c r="M1576" s="1" t="s">
        <v>29</v>
      </c>
      <c r="N1576" s="1" t="s">
        <v>22</v>
      </c>
      <c r="O1576" s="1" t="str">
        <f t="shared" ca="1" si="13"/>
        <v>Please solve the LeetCode problem '2976. Minimum Cost to Convert String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77" spans="1:15" x14ac:dyDescent="0.25">
      <c r="A1577" s="1">
        <v>1229</v>
      </c>
      <c r="B1577" s="2" t="str">
        <f>HYPERLINK("https://leetcode.com/problems/meeting-scheduler/", "Meeting Scheduler")</f>
        <v>Meeting Scheduler</v>
      </c>
      <c r="C1577" s="1">
        <v>957</v>
      </c>
      <c r="D1577" s="1">
        <v>39</v>
      </c>
      <c r="E1577" s="3">
        <f t="shared" si="12"/>
        <v>0.96084337349397586</v>
      </c>
      <c r="F1577" s="1" t="s">
        <v>31</v>
      </c>
      <c r="G1577" s="1" t="s">
        <v>24</v>
      </c>
      <c r="H1577" s="1">
        <v>103376</v>
      </c>
      <c r="I1577" s="1">
        <v>187297</v>
      </c>
      <c r="J1577" s="7">
        <v>0.55200000000000005</v>
      </c>
      <c r="K1577" s="1" t="s">
        <v>29</v>
      </c>
      <c r="L1577" s="1" t="s">
        <v>21</v>
      </c>
      <c r="M1577" s="1" t="s">
        <v>29</v>
      </c>
      <c r="N1577" s="1" t="s">
        <v>22</v>
      </c>
      <c r="O1577" s="1" t="str">
        <f t="shared" ca="1" si="13"/>
        <v>Please solve the LeetCode problem '1229. Meeting Scheduler'.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78" spans="1:15" x14ac:dyDescent="0.25">
      <c r="A1578" s="1">
        <v>1795</v>
      </c>
      <c r="B1578" s="2" t="str">
        <f>HYPERLINK("https://leetcode.com/problems/rearrange-products-table/", "Rearrange Products Table")</f>
        <v>Rearrange Products Table</v>
      </c>
      <c r="C1578" s="1">
        <v>957</v>
      </c>
      <c r="D1578" s="1">
        <v>67</v>
      </c>
      <c r="E1578" s="3">
        <f t="shared" si="12"/>
        <v>0.9345703125</v>
      </c>
      <c r="F1578" s="1" t="s">
        <v>297</v>
      </c>
      <c r="G1578" s="1" t="s">
        <v>20</v>
      </c>
      <c r="H1578" s="1">
        <v>190928</v>
      </c>
      <c r="I1578" s="1">
        <v>223199</v>
      </c>
      <c r="J1578" s="7">
        <v>0.85499999999999998</v>
      </c>
      <c r="K1578" s="1" t="s">
        <v>21</v>
      </c>
      <c r="L1578" s="1" t="s">
        <v>21</v>
      </c>
      <c r="M1578" s="1" t="s">
        <v>29</v>
      </c>
      <c r="N1578" s="1" t="s">
        <v>297</v>
      </c>
      <c r="O1578" s="1" t="str">
        <f t="shared" ca="1" si="13"/>
        <v>Please solve the LeetCode problem '1795. Rearrange Products Table'.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79" spans="1:15" x14ac:dyDescent="0.25">
      <c r="A1579" s="1">
        <v>420</v>
      </c>
      <c r="B1579" s="2" t="str">
        <f>HYPERLINK("https://leetcode.com/problems/strong-password-checker/", "Strong Password Checker")</f>
        <v>Strong Password Checker</v>
      </c>
      <c r="C1579" s="1">
        <v>956</v>
      </c>
      <c r="D1579" s="1">
        <v>1752</v>
      </c>
      <c r="E1579" s="3">
        <f t="shared" si="12"/>
        <v>0.35302806499261447</v>
      </c>
      <c r="F1579" s="1" t="s">
        <v>393</v>
      </c>
      <c r="G1579" s="1" t="s">
        <v>28</v>
      </c>
      <c r="H1579" s="1">
        <v>53751</v>
      </c>
      <c r="I1579" s="1">
        <v>350517</v>
      </c>
      <c r="J1579" s="7">
        <v>0.153</v>
      </c>
      <c r="K1579" s="1" t="s">
        <v>21</v>
      </c>
      <c r="L1579" s="1" t="s">
        <v>29</v>
      </c>
      <c r="M1579" s="1" t="s">
        <v>29</v>
      </c>
      <c r="N1579" s="1" t="s">
        <v>22</v>
      </c>
      <c r="O1579" s="1" t="str">
        <f t="shared" ca="1" si="13"/>
        <v>Please solve the LeetCode problem '420. Strong Password Checker'.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80" spans="1:15" x14ac:dyDescent="0.25">
      <c r="A1580" s="1">
        <v>2191</v>
      </c>
      <c r="B1580" s="2" t="str">
        <f>HYPERLINK("https://leetcode.com/problems/sort-the-jumbled-numbers/", "Sort the Jumbled Numbers")</f>
        <v>Sort the Jumbled Numbers</v>
      </c>
      <c r="C1580" s="1">
        <v>956</v>
      </c>
      <c r="D1580" s="1">
        <v>139</v>
      </c>
      <c r="E1580" s="3">
        <f t="shared" si="12"/>
        <v>0.87305936073059365</v>
      </c>
      <c r="F1580" s="1" t="s">
        <v>42</v>
      </c>
      <c r="G1580" s="1" t="s">
        <v>24</v>
      </c>
      <c r="H1580" s="1">
        <v>154262</v>
      </c>
      <c r="I1580" s="1">
        <v>257215</v>
      </c>
      <c r="J1580" s="7">
        <v>0.6</v>
      </c>
      <c r="K1580" s="1" t="s">
        <v>21</v>
      </c>
      <c r="L1580" s="1" t="s">
        <v>21</v>
      </c>
      <c r="M1580" s="1" t="s">
        <v>29</v>
      </c>
      <c r="N1580" s="1" t="s">
        <v>22</v>
      </c>
      <c r="O1580" s="1" t="str">
        <f t="shared" ca="1" si="13"/>
        <v>Please solve the LeetCode problem '2191. Sort the Jumbled Numbers'.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81" spans="1:15" x14ac:dyDescent="0.25">
      <c r="A1581" s="1">
        <v>1776</v>
      </c>
      <c r="B1581" s="2" t="str">
        <f>HYPERLINK("https://leetcode.com/problems/car-fleet-ii/", "Car Fleet II")</f>
        <v>Car Fleet II</v>
      </c>
      <c r="C1581" s="1">
        <v>955</v>
      </c>
      <c r="D1581" s="1">
        <v>41</v>
      </c>
      <c r="E1581" s="3">
        <f t="shared" si="12"/>
        <v>0.95883534136546189</v>
      </c>
      <c r="F1581" s="1" t="s">
        <v>720</v>
      </c>
      <c r="G1581" s="1" t="s">
        <v>28</v>
      </c>
      <c r="H1581" s="1">
        <v>32299</v>
      </c>
      <c r="I1581" s="1">
        <v>56237</v>
      </c>
      <c r="J1581" s="7">
        <v>0.57399999999999995</v>
      </c>
      <c r="K1581" s="1" t="s">
        <v>21</v>
      </c>
      <c r="L1581" s="1" t="s">
        <v>29</v>
      </c>
      <c r="M1581" s="1" t="s">
        <v>29</v>
      </c>
      <c r="N1581" s="1" t="s">
        <v>22</v>
      </c>
      <c r="O1581" s="1" t="str">
        <f t="shared" ca="1" si="13"/>
        <v>Please solve the LeetCode problem '1776. Car Fleet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82" spans="1:15" x14ac:dyDescent="0.25">
      <c r="A1582" s="1">
        <v>1437</v>
      </c>
      <c r="B1582" s="2" t="str">
        <f>HYPERLINK("https://leetcode.com/problems/check-if-all-1s-are-at-least-length-k-places-away/", "Check If All 1's Are at Least Length K Places Away")</f>
        <v>Check If All 1's Are at Least Length K Places Away</v>
      </c>
      <c r="C1582" s="1">
        <v>954</v>
      </c>
      <c r="D1582" s="1">
        <v>243</v>
      </c>
      <c r="E1582" s="3">
        <f t="shared" si="12"/>
        <v>0.79699248120300747</v>
      </c>
      <c r="F1582" s="1" t="s">
        <v>113</v>
      </c>
      <c r="G1582" s="1" t="s">
        <v>20</v>
      </c>
      <c r="H1582" s="1">
        <v>209796</v>
      </c>
      <c r="I1582" s="1">
        <v>326576</v>
      </c>
      <c r="J1582" s="7">
        <v>0.64200000000000002</v>
      </c>
      <c r="K1582" s="1" t="s">
        <v>21</v>
      </c>
      <c r="L1582" s="1" t="s">
        <v>21</v>
      </c>
      <c r="M1582" s="1" t="s">
        <v>29</v>
      </c>
      <c r="N1582" s="1" t="s">
        <v>22</v>
      </c>
      <c r="O1582" s="1" t="str">
        <f t="shared" ca="1" si="13"/>
        <v>Please solve the LeetCode problem '1437. Check If All 1's Are at Least Length K Places Away'.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83" spans="1:15" x14ac:dyDescent="0.25">
      <c r="A1583" s="1">
        <v>756</v>
      </c>
      <c r="B1583" s="2" t="str">
        <f>HYPERLINK("https://leetcode.com/problems/pyramid-transition-matrix/", "Pyramid Transition Matrix")</f>
        <v>Pyramid Transition Matrix</v>
      </c>
      <c r="C1583" s="1">
        <v>953</v>
      </c>
      <c r="D1583" s="1">
        <v>551</v>
      </c>
      <c r="E1583" s="3">
        <f t="shared" si="12"/>
        <v>0.63364361702127658</v>
      </c>
      <c r="F1583" s="1" t="s">
        <v>722</v>
      </c>
      <c r="G1583" s="1" t="s">
        <v>24</v>
      </c>
      <c r="H1583" s="1">
        <v>104919</v>
      </c>
      <c r="I1583" s="1">
        <v>173219</v>
      </c>
      <c r="J1583" s="7">
        <v>0.60599999999999998</v>
      </c>
      <c r="K1583" s="1" t="s">
        <v>21</v>
      </c>
      <c r="L1583" s="1" t="s">
        <v>21</v>
      </c>
      <c r="M1583" s="1" t="s">
        <v>29</v>
      </c>
      <c r="N1583" s="1" t="s">
        <v>22</v>
      </c>
      <c r="O1583" s="1" t="str">
        <f t="shared" ca="1" si="13"/>
        <v>Please solve the LeetCode problem '756. Pyramid Transition Matrix'.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84" spans="1:15" x14ac:dyDescent="0.25">
      <c r="A1584" s="1">
        <v>2121</v>
      </c>
      <c r="B1584" s="2" t="str">
        <f>HYPERLINK("https://leetcode.com/problems/intervals-between-identical-elements/", "Intervals Between Identical Elements")</f>
        <v>Intervals Between Identical Elements</v>
      </c>
      <c r="C1584" s="1">
        <v>952</v>
      </c>
      <c r="D1584" s="1">
        <v>44</v>
      </c>
      <c r="E1584" s="3">
        <f t="shared" si="12"/>
        <v>0.95582329317269077</v>
      </c>
      <c r="F1584" s="1" t="s">
        <v>39</v>
      </c>
      <c r="G1584" s="1" t="s">
        <v>24</v>
      </c>
      <c r="H1584" s="1">
        <v>26083</v>
      </c>
      <c r="I1584" s="1">
        <v>57440</v>
      </c>
      <c r="J1584" s="7">
        <v>0.45400000000000001</v>
      </c>
      <c r="K1584" s="1" t="s">
        <v>21</v>
      </c>
      <c r="L1584" s="1" t="s">
        <v>29</v>
      </c>
      <c r="M1584" s="1" t="s">
        <v>29</v>
      </c>
      <c r="N1584" s="1" t="s">
        <v>22</v>
      </c>
      <c r="O1584" s="1" t="str">
        <f t="shared" ca="1" si="13"/>
        <v>Please solve the LeetCode problem '2121. Intervals Between Identical Elements'.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85" spans="1:15" x14ac:dyDescent="0.25">
      <c r="A1585" s="1">
        <v>1434</v>
      </c>
      <c r="B1585" s="2" t="str">
        <f>HYPERLINK("https://leetcode.com/problems/number-of-ways-to-wear-different-hats-to-each-other/", "Number of Ways to Wear Different Hats to Each Other")</f>
        <v>Number of Ways to Wear Different Hats to Each Other</v>
      </c>
      <c r="C1585" s="1">
        <v>951</v>
      </c>
      <c r="D1585" s="1">
        <v>11</v>
      </c>
      <c r="E1585" s="3">
        <f t="shared" si="12"/>
        <v>0.98856548856548854</v>
      </c>
      <c r="F1585" s="1" t="s">
        <v>1359</v>
      </c>
      <c r="G1585" s="1" t="s">
        <v>28</v>
      </c>
      <c r="H1585" s="1">
        <v>21025</v>
      </c>
      <c r="I1585" s="1">
        <v>46219</v>
      </c>
      <c r="J1585" s="7">
        <v>0.45500000000000002</v>
      </c>
      <c r="K1585" s="1" t="s">
        <v>21</v>
      </c>
      <c r="L1585" s="1" t="s">
        <v>21</v>
      </c>
      <c r="M1585" s="1" t="s">
        <v>29</v>
      </c>
      <c r="N1585" s="1" t="s">
        <v>22</v>
      </c>
      <c r="O1585" s="1" t="str">
        <f t="shared" ca="1" si="13"/>
        <v>Please solve the LeetCode problem '1434. Number of Ways to Wear Different Hats to Each Other'.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86" spans="1:15" x14ac:dyDescent="0.25">
      <c r="A1586" s="1">
        <v>2407</v>
      </c>
      <c r="B1586" s="2" t="str">
        <f>HYPERLINK("https://leetcode.com/problems/longest-increasing-subsequence-ii/", "Longest Increasing Subsequence II")</f>
        <v>Longest Increasing Subsequence II</v>
      </c>
      <c r="C1586" s="1">
        <v>950</v>
      </c>
      <c r="D1586" s="1">
        <v>41</v>
      </c>
      <c r="E1586" s="3">
        <f t="shared" si="12"/>
        <v>0.95862764883955598</v>
      </c>
      <c r="F1586" s="1" t="s">
        <v>724</v>
      </c>
      <c r="G1586" s="1" t="s">
        <v>28</v>
      </c>
      <c r="H1586" s="1">
        <v>23155</v>
      </c>
      <c r="I1586" s="1">
        <v>89236</v>
      </c>
      <c r="J1586" s="7">
        <v>0.25900000000000001</v>
      </c>
      <c r="K1586" s="1" t="s">
        <v>21</v>
      </c>
      <c r="L1586" s="1" t="s">
        <v>29</v>
      </c>
      <c r="M1586" s="1" t="s">
        <v>29</v>
      </c>
      <c r="N1586" s="1" t="s">
        <v>22</v>
      </c>
      <c r="O1586" s="1" t="str">
        <f t="shared" ca="1" si="13"/>
        <v>Please solve the LeetCode problem '2407. Longest Increasing Subsequence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87" spans="1:15" x14ac:dyDescent="0.25">
      <c r="A1587" s="1">
        <v>2684</v>
      </c>
      <c r="B1587" s="2" t="str">
        <f>HYPERLINK("https://leetcode.com/problems/maximum-number-of-moves-in-a-grid/", "Maximum Number of Moves in a Grid")</f>
        <v>Maximum Number of Moves in a Grid</v>
      </c>
      <c r="C1587" s="1">
        <v>950</v>
      </c>
      <c r="D1587" s="1">
        <v>28</v>
      </c>
      <c r="E1587" s="3">
        <f t="shared" si="12"/>
        <v>0.97137014314928427</v>
      </c>
      <c r="F1587" s="1" t="s">
        <v>94</v>
      </c>
      <c r="G1587" s="1" t="s">
        <v>24</v>
      </c>
      <c r="H1587" s="1">
        <v>131928</v>
      </c>
      <c r="I1587" s="1">
        <v>224491</v>
      </c>
      <c r="J1587" s="7">
        <v>0.58799999999999997</v>
      </c>
      <c r="K1587" s="1" t="s">
        <v>21</v>
      </c>
      <c r="L1587" s="1" t="s">
        <v>21</v>
      </c>
      <c r="M1587" s="1" t="s">
        <v>29</v>
      </c>
      <c r="N1587" s="1" t="s">
        <v>22</v>
      </c>
      <c r="O1587" s="1" t="str">
        <f t="shared" ca="1" si="13"/>
        <v>Please solve the LeetCode problem '2684. Maximum Number of Moves in a Grid'.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88" spans="1:15" x14ac:dyDescent="0.25">
      <c r="A1588" s="1">
        <v>391</v>
      </c>
      <c r="B1588" s="2" t="str">
        <f>HYPERLINK("https://leetcode.com/problems/perfect-rectangle/", "Perfect Rectangle")</f>
        <v>Perfect Rectangle</v>
      </c>
      <c r="C1588" s="1">
        <v>948</v>
      </c>
      <c r="D1588" s="1">
        <v>120</v>
      </c>
      <c r="E1588" s="3">
        <f t="shared" si="12"/>
        <v>0.88764044943820219</v>
      </c>
      <c r="F1588" s="1" t="s">
        <v>725</v>
      </c>
      <c r="G1588" s="1" t="s">
        <v>28</v>
      </c>
      <c r="H1588" s="1">
        <v>57934</v>
      </c>
      <c r="I1588" s="1">
        <v>156651</v>
      </c>
      <c r="J1588" s="7">
        <v>0.37</v>
      </c>
      <c r="K1588" s="1" t="s">
        <v>21</v>
      </c>
      <c r="L1588" s="1" t="s">
        <v>29</v>
      </c>
      <c r="M1588" s="1" t="s">
        <v>29</v>
      </c>
      <c r="N1588" s="1" t="s">
        <v>22</v>
      </c>
      <c r="O1588" s="1" t="str">
        <f t="shared" ca="1" si="13"/>
        <v>Please solve the LeetCode problem '391. Perfect Rectangle'.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89" spans="1:15" x14ac:dyDescent="0.25">
      <c r="A1589" s="1">
        <v>1341</v>
      </c>
      <c r="B1589" s="2" t="str">
        <f>HYPERLINK("https://leetcode.com/problems/movie-rating/", "Movie Rating")</f>
        <v>Movie Rating</v>
      </c>
      <c r="C1589" s="1">
        <v>945</v>
      </c>
      <c r="D1589" s="1">
        <v>233</v>
      </c>
      <c r="E1589" s="3">
        <f t="shared" si="12"/>
        <v>0.8022071307300509</v>
      </c>
      <c r="F1589" s="1" t="s">
        <v>297</v>
      </c>
      <c r="G1589" s="1" t="s">
        <v>24</v>
      </c>
      <c r="H1589" s="1">
        <v>264754</v>
      </c>
      <c r="I1589" s="1">
        <v>622330</v>
      </c>
      <c r="J1589" s="7">
        <v>0.42499999999999999</v>
      </c>
      <c r="K1589" s="1" t="s">
        <v>21</v>
      </c>
      <c r="L1589" s="1" t="s">
        <v>29</v>
      </c>
      <c r="M1589" s="1" t="s">
        <v>29</v>
      </c>
      <c r="N1589" s="1" t="s">
        <v>297</v>
      </c>
      <c r="O1589" s="1" t="str">
        <f t="shared" ca="1" si="13"/>
        <v>Please solve the LeetCode problem '1341. Movie Rating'.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90" spans="1:15" x14ac:dyDescent="0.25">
      <c r="A1590" s="1">
        <v>393</v>
      </c>
      <c r="B1590" s="2" t="str">
        <f>HYPERLINK("https://leetcode.com/problems/utf-8-validation/", "UTF-8 Validation")</f>
        <v>UTF-8 Validation</v>
      </c>
      <c r="C1590" s="1">
        <v>944</v>
      </c>
      <c r="D1590" s="1">
        <v>2888</v>
      </c>
      <c r="E1590" s="3">
        <f t="shared" si="12"/>
        <v>0.24634655532359082</v>
      </c>
      <c r="F1590" s="1" t="s">
        <v>65</v>
      </c>
      <c r="G1590" s="1" t="s">
        <v>24</v>
      </c>
      <c r="H1590" s="1">
        <v>137671</v>
      </c>
      <c r="I1590" s="1">
        <v>299353</v>
      </c>
      <c r="J1590" s="7">
        <v>0.46</v>
      </c>
      <c r="K1590" s="1" t="s">
        <v>21</v>
      </c>
      <c r="L1590" s="1" t="s">
        <v>21</v>
      </c>
      <c r="M1590" s="1" t="s">
        <v>29</v>
      </c>
      <c r="N1590" s="1" t="s">
        <v>22</v>
      </c>
      <c r="O1590" s="1" t="str">
        <f t="shared" ca="1" si="13"/>
        <v>Please solve the LeetCode problem '393. UTF-8 Validation'.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91" spans="1:15" x14ac:dyDescent="0.25">
      <c r="A1591" s="1">
        <v>2658</v>
      </c>
      <c r="B1591" s="2" t="str">
        <f>HYPERLINK("https://leetcode.com/problems/maximum-number-of-fish-in-a-grid/", "Maximum Number of Fish in a Grid")</f>
        <v>Maximum Number of Fish in a Grid</v>
      </c>
      <c r="C1591" s="1">
        <v>944</v>
      </c>
      <c r="D1591" s="1">
        <v>66</v>
      </c>
      <c r="E1591" s="3">
        <f t="shared" si="12"/>
        <v>0.93465346534653471</v>
      </c>
      <c r="F1591" s="1" t="s">
        <v>40</v>
      </c>
      <c r="G1591" s="1" t="s">
        <v>24</v>
      </c>
      <c r="H1591" s="1">
        <v>159471</v>
      </c>
      <c r="I1591" s="1">
        <v>226180</v>
      </c>
      <c r="J1591" s="7">
        <v>0.70499999999999996</v>
      </c>
      <c r="K1591" s="1" t="s">
        <v>21</v>
      </c>
      <c r="L1591" s="1" t="s">
        <v>21</v>
      </c>
      <c r="M1591" s="1" t="s">
        <v>29</v>
      </c>
      <c r="N1591" s="1" t="s">
        <v>22</v>
      </c>
      <c r="O1591" s="1" t="str">
        <f t="shared" ca="1" si="13"/>
        <v>Please solve the LeetCode problem '2658. Maximum Number of Fish in a Grid'.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92" spans="1:15" x14ac:dyDescent="0.25">
      <c r="A1592" s="1">
        <v>2872</v>
      </c>
      <c r="B1592" s="2" t="str">
        <f>HYPERLINK("https://leetcode.com/problems/maximum-number-of-k-divisible-components/", "Maximum Number of K-Divisible Components")</f>
        <v>Maximum Number of K-Divisible Components</v>
      </c>
      <c r="C1592" s="1">
        <v>944</v>
      </c>
      <c r="D1592" s="1">
        <v>40</v>
      </c>
      <c r="E1592" s="3">
        <f t="shared" si="12"/>
        <v>0.95934959349593496</v>
      </c>
      <c r="F1592" s="1" t="s">
        <v>726</v>
      </c>
      <c r="G1592" s="1" t="s">
        <v>28</v>
      </c>
      <c r="H1592" s="1">
        <v>143779</v>
      </c>
      <c r="I1592" s="1">
        <v>193917</v>
      </c>
      <c r="J1592" s="7">
        <v>0.74099999999999999</v>
      </c>
      <c r="K1592" s="1" t="s">
        <v>21</v>
      </c>
      <c r="L1592" s="1" t="s">
        <v>21</v>
      </c>
      <c r="M1592" s="1" t="s">
        <v>29</v>
      </c>
      <c r="N1592" s="1" t="s">
        <v>22</v>
      </c>
      <c r="O1592" s="1" t="str">
        <f t="shared" ca="1" si="13"/>
        <v>Please solve the LeetCode problem '2872. Maximum Number of K-Divisible Components'.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93" spans="1:15" x14ac:dyDescent="0.25">
      <c r="A1593" s="1">
        <v>1928</v>
      </c>
      <c r="B1593" s="2" t="str">
        <f>HYPERLINK("https://leetcode.com/problems/minimum-cost-to-reach-destination-in-time/", "Minimum Cost to Reach Destination in Time")</f>
        <v>Minimum Cost to Reach Destination in Time</v>
      </c>
      <c r="C1593" s="1">
        <v>943</v>
      </c>
      <c r="D1593" s="1">
        <v>23</v>
      </c>
      <c r="E1593" s="3">
        <f t="shared" si="12"/>
        <v>0.97619047619047616</v>
      </c>
      <c r="F1593" s="1" t="s">
        <v>723</v>
      </c>
      <c r="G1593" s="1" t="s">
        <v>28</v>
      </c>
      <c r="H1593" s="1">
        <v>33708</v>
      </c>
      <c r="I1593" s="1">
        <v>82634</v>
      </c>
      <c r="J1593" s="7">
        <v>0.40799999999999997</v>
      </c>
      <c r="K1593" s="1" t="s">
        <v>21</v>
      </c>
      <c r="L1593" s="1" t="s">
        <v>29</v>
      </c>
      <c r="M1593" s="1" t="s">
        <v>29</v>
      </c>
      <c r="N1593" s="1" t="s">
        <v>22</v>
      </c>
      <c r="O1593" s="1" t="str">
        <f t="shared" ca="1" si="13"/>
        <v>Please solve the LeetCode problem '1928. Minimum Cost to Reach Destination in Time'.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94" spans="1:15" x14ac:dyDescent="0.25">
      <c r="A1594" s="1">
        <v>291</v>
      </c>
      <c r="B1594" s="2" t="str">
        <f>HYPERLINK("https://leetcode.com/problems/word-pattern-ii/", "Word Pattern II")</f>
        <v>Word Pattern II</v>
      </c>
      <c r="C1594" s="1">
        <v>941</v>
      </c>
      <c r="D1594" s="1">
        <v>77</v>
      </c>
      <c r="E1594" s="3">
        <f t="shared" si="12"/>
        <v>0.92436149312377214</v>
      </c>
      <c r="F1594" s="1" t="s">
        <v>58</v>
      </c>
      <c r="G1594" s="1" t="s">
        <v>24</v>
      </c>
      <c r="H1594" s="1">
        <v>83021</v>
      </c>
      <c r="I1594" s="1">
        <v>170289</v>
      </c>
      <c r="J1594" s="7">
        <v>0.48799999999999999</v>
      </c>
      <c r="K1594" s="1" t="s">
        <v>29</v>
      </c>
      <c r="L1594" s="1" t="s">
        <v>21</v>
      </c>
      <c r="M1594" s="1" t="s">
        <v>29</v>
      </c>
      <c r="N1594" s="1" t="s">
        <v>22</v>
      </c>
      <c r="O1594" s="1" t="str">
        <f t="shared" ca="1" si="13"/>
        <v>Please solve the LeetCode problem '291. Word Pattern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95" spans="1:15" x14ac:dyDescent="0.25">
      <c r="A1595" s="1">
        <v>2259</v>
      </c>
      <c r="B1595" s="2" t="str">
        <f>HYPERLINK("https://leetcode.com/problems/remove-digit-from-number-to-maximize-result/", "Remove Digit From Number to Maximize Result")</f>
        <v>Remove Digit From Number to Maximize Result</v>
      </c>
      <c r="C1595" s="1">
        <v>940</v>
      </c>
      <c r="D1595" s="1">
        <v>65</v>
      </c>
      <c r="E1595" s="3">
        <f t="shared" si="12"/>
        <v>0.93532338308457708</v>
      </c>
      <c r="F1595" s="1" t="s">
        <v>727</v>
      </c>
      <c r="G1595" s="1" t="s">
        <v>20</v>
      </c>
      <c r="H1595" s="1">
        <v>125517</v>
      </c>
      <c r="I1595" s="1">
        <v>261172</v>
      </c>
      <c r="J1595" s="7">
        <v>0.48099999999999998</v>
      </c>
      <c r="K1595" s="1" t="s">
        <v>21</v>
      </c>
      <c r="L1595" s="1" t="s">
        <v>29</v>
      </c>
      <c r="M1595" s="1" t="s">
        <v>29</v>
      </c>
      <c r="N1595" s="1" t="s">
        <v>22</v>
      </c>
      <c r="O1595" s="1" t="str">
        <f t="shared" ca="1" si="13"/>
        <v>Please solve the LeetCode problem '2259. Remove Digit From Number to Maximize Result'.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96" spans="1:15" x14ac:dyDescent="0.25">
      <c r="A1596" s="1">
        <v>2601</v>
      </c>
      <c r="B1596" s="2" t="str">
        <f>HYPERLINK("https://leetcode.com/problems/prime-subtraction-operation/", "Prime Subtraction Operation")</f>
        <v>Prime Subtraction Operation</v>
      </c>
      <c r="C1596" s="1">
        <v>940</v>
      </c>
      <c r="D1596" s="1">
        <v>96</v>
      </c>
      <c r="E1596" s="3">
        <f t="shared" si="12"/>
        <v>0.9073359073359073</v>
      </c>
      <c r="F1596" s="1" t="s">
        <v>729</v>
      </c>
      <c r="G1596" s="1" t="s">
        <v>24</v>
      </c>
      <c r="H1596" s="1">
        <v>119110</v>
      </c>
      <c r="I1596" s="1">
        <v>214348</v>
      </c>
      <c r="J1596" s="7">
        <v>0.55600000000000005</v>
      </c>
      <c r="K1596" s="1" t="s">
        <v>21</v>
      </c>
      <c r="L1596" s="1" t="s">
        <v>21</v>
      </c>
      <c r="M1596" s="1" t="s">
        <v>29</v>
      </c>
      <c r="N1596" s="1" t="s">
        <v>22</v>
      </c>
      <c r="O1596" s="1" t="str">
        <f t="shared" ca="1" si="13"/>
        <v>Please solve the LeetCode problem '2601. Prime Subtraction Operation'.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97" spans="1:15" x14ac:dyDescent="0.25">
      <c r="A1597" s="1">
        <v>602</v>
      </c>
      <c r="B1597" s="2" t="str">
        <f>HYPERLINK("https://leetcode.com/problems/friend-requests-ii-who-has-the-most-friends/", "Friend Requests II: Who Has the Most Friends")</f>
        <v>Friend Requests II: Who Has the Most Friends</v>
      </c>
      <c r="C1597" s="1">
        <v>939</v>
      </c>
      <c r="D1597" s="1">
        <v>151</v>
      </c>
      <c r="E1597" s="3">
        <f t="shared" si="12"/>
        <v>0.86146788990825685</v>
      </c>
      <c r="F1597" s="1" t="s">
        <v>297</v>
      </c>
      <c r="G1597" s="1" t="s">
        <v>24</v>
      </c>
      <c r="H1597" s="1">
        <v>313272</v>
      </c>
      <c r="I1597" s="1">
        <v>504403</v>
      </c>
      <c r="J1597" s="7">
        <v>0.621</v>
      </c>
      <c r="K1597" s="1" t="s">
        <v>21</v>
      </c>
      <c r="L1597" s="1" t="s">
        <v>21</v>
      </c>
      <c r="M1597" s="1" t="s">
        <v>29</v>
      </c>
      <c r="N1597" s="1" t="s">
        <v>297</v>
      </c>
      <c r="O1597" s="1" t="str">
        <f t="shared" ca="1" si="13"/>
        <v>Please solve the LeetCode problem '602. Friend Requests II: Who Has the Most Friends'.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98" spans="1:15" x14ac:dyDescent="0.25">
      <c r="A1598" s="1">
        <v>702</v>
      </c>
      <c r="B1598" s="2" t="str">
        <f>HYPERLINK("https://leetcode.com/problems/search-in-a-sorted-array-of-unknown-size/", "Search in a Sorted Array of Unknown Size")</f>
        <v>Search in a Sorted Array of Unknown Size</v>
      </c>
      <c r="C1598" s="1">
        <v>939</v>
      </c>
      <c r="D1598" s="1">
        <v>51</v>
      </c>
      <c r="E1598" s="3">
        <f t="shared" si="12"/>
        <v>0.94848484848484849</v>
      </c>
      <c r="F1598" s="1" t="s">
        <v>341</v>
      </c>
      <c r="G1598" s="1" t="s">
        <v>24</v>
      </c>
      <c r="H1598" s="1">
        <v>111801</v>
      </c>
      <c r="I1598" s="1">
        <v>153063</v>
      </c>
      <c r="J1598" s="7">
        <v>0.73</v>
      </c>
      <c r="K1598" s="1" t="s">
        <v>29</v>
      </c>
      <c r="L1598" s="1" t="s">
        <v>21</v>
      </c>
      <c r="M1598" s="1" t="s">
        <v>29</v>
      </c>
      <c r="N1598" s="1" t="s">
        <v>22</v>
      </c>
      <c r="O1598" s="1" t="str">
        <f t="shared" ca="1" si="13"/>
        <v>Please solve the LeetCode problem '702. Search in a Sorted Array of Unknown Size'.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599" spans="1:15" x14ac:dyDescent="0.25">
      <c r="A1599" s="1">
        <v>1640</v>
      </c>
      <c r="B1599" s="2" t="str">
        <f>HYPERLINK("https://leetcode.com/problems/check-array-formation-through-concatenation/", "Check Array Formation Through Concatenation")</f>
        <v>Check Array Formation Through Concatenation</v>
      </c>
      <c r="C1599" s="1">
        <v>939</v>
      </c>
      <c r="D1599" s="1">
        <v>143</v>
      </c>
      <c r="E1599" s="3">
        <f t="shared" si="12"/>
        <v>0.86783733826247689</v>
      </c>
      <c r="F1599" s="1" t="s">
        <v>19</v>
      </c>
      <c r="G1599" s="1" t="s">
        <v>20</v>
      </c>
      <c r="H1599" s="1">
        <v>91233</v>
      </c>
      <c r="I1599" s="1">
        <v>159431</v>
      </c>
      <c r="J1599" s="7">
        <v>0.57199999999999995</v>
      </c>
      <c r="K1599" s="1" t="s">
        <v>21</v>
      </c>
      <c r="L1599" s="1" t="s">
        <v>21</v>
      </c>
      <c r="M1599" s="1" t="s">
        <v>29</v>
      </c>
      <c r="N1599" s="1" t="s">
        <v>22</v>
      </c>
      <c r="O1599" s="1" t="str">
        <f t="shared" ca="1" si="13"/>
        <v>Please solve the LeetCode problem '1640. Check Array Formation Through Concatenation'.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00" spans="1:15" x14ac:dyDescent="0.25">
      <c r="A1600" s="1">
        <v>1594</v>
      </c>
      <c r="B1600" s="2" t="str">
        <f>HYPERLINK("https://leetcode.com/problems/maximum-non-negative-product-in-a-matrix/", "Maximum Non Negative Product in a Matrix")</f>
        <v>Maximum Non Negative Product in a Matrix</v>
      </c>
      <c r="C1600" s="1">
        <v>936</v>
      </c>
      <c r="D1600" s="1">
        <v>54</v>
      </c>
      <c r="E1600" s="3">
        <f t="shared" si="12"/>
        <v>0.94545454545454544</v>
      </c>
      <c r="F1600" s="1" t="s">
        <v>94</v>
      </c>
      <c r="G1600" s="1" t="s">
        <v>24</v>
      </c>
      <c r="H1600" s="1">
        <v>31447</v>
      </c>
      <c r="I1600" s="1">
        <v>88387</v>
      </c>
      <c r="J1600" s="7">
        <v>0.35599999999999998</v>
      </c>
      <c r="K1600" s="1" t="s">
        <v>21</v>
      </c>
      <c r="L1600" s="1" t="s">
        <v>29</v>
      </c>
      <c r="M1600" s="1" t="s">
        <v>29</v>
      </c>
      <c r="N1600" s="1" t="s">
        <v>22</v>
      </c>
      <c r="O1600" s="1" t="str">
        <f t="shared" ca="1" si="13"/>
        <v>Please solve the LeetCode problem '1594. Maximum Non Negative Product in a Matrix'.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01" spans="1:15" x14ac:dyDescent="0.25">
      <c r="A1601" s="1">
        <v>2593</v>
      </c>
      <c r="B1601" s="2" t="str">
        <f>HYPERLINK("https://leetcode.com/problems/find-score-of-an-array-after-marking-all-elements/", "Find Score of an Array After Marking All Elements")</f>
        <v>Find Score of an Array After Marking All Elements</v>
      </c>
      <c r="C1601" s="1">
        <v>935</v>
      </c>
      <c r="D1601" s="1">
        <v>21</v>
      </c>
      <c r="E1601" s="3">
        <f t="shared" si="12"/>
        <v>0.97803347280334729</v>
      </c>
      <c r="F1601" s="1" t="s">
        <v>432</v>
      </c>
      <c r="G1601" s="1" t="s">
        <v>24</v>
      </c>
      <c r="H1601" s="1">
        <v>134221</v>
      </c>
      <c r="I1601" s="1">
        <v>208135</v>
      </c>
      <c r="J1601" s="7">
        <v>0.64500000000000002</v>
      </c>
      <c r="K1601" s="1" t="s">
        <v>21</v>
      </c>
      <c r="L1601" s="1" t="s">
        <v>21</v>
      </c>
      <c r="M1601" s="1" t="s">
        <v>29</v>
      </c>
      <c r="N1601" s="1" t="s">
        <v>22</v>
      </c>
      <c r="O1601" s="1" t="str">
        <f t="shared" ca="1" si="13"/>
        <v>Please solve the LeetCode problem '2593. Find Score of an Array After Marking All Elements'.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02" spans="1:15" x14ac:dyDescent="0.25">
      <c r="A1602" s="1">
        <v>3075</v>
      </c>
      <c r="B1602" s="2" t="str">
        <f>HYPERLINK("https://leetcode.com/problems/maximize-happiness-of-selected-children/", "Maximize Happiness of Selected Children")</f>
        <v>Maximize Happiness of Selected Children</v>
      </c>
      <c r="C1602" s="1">
        <v>934</v>
      </c>
      <c r="D1602" s="1">
        <v>99</v>
      </c>
      <c r="E1602" s="3">
        <f t="shared" si="12"/>
        <v>0.90416263310745404</v>
      </c>
      <c r="F1602" s="1" t="s">
        <v>169</v>
      </c>
      <c r="G1602" s="1" t="s">
        <v>24</v>
      </c>
      <c r="H1602" s="1">
        <v>284225</v>
      </c>
      <c r="I1602" s="1">
        <v>484389</v>
      </c>
      <c r="J1602" s="7">
        <v>0.58699999999999997</v>
      </c>
      <c r="K1602" s="1" t="s">
        <v>21</v>
      </c>
      <c r="L1602" s="1" t="s">
        <v>21</v>
      </c>
      <c r="M1602" s="1" t="s">
        <v>29</v>
      </c>
      <c r="N1602" s="1" t="s">
        <v>22</v>
      </c>
      <c r="O1602" s="1" t="str">
        <f t="shared" ca="1" si="13"/>
        <v>Please solve the LeetCode problem '3075. Maximize Happiness of Selected Children'.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03" spans="1:15" x14ac:dyDescent="0.25">
      <c r="A1603" s="1">
        <v>1138</v>
      </c>
      <c r="B1603" s="2" t="str">
        <f>HYPERLINK("https://leetcode.com/problems/alphabet-board-path/", "Alphabet Board Path")</f>
        <v>Alphabet Board Path</v>
      </c>
      <c r="C1603" s="1">
        <v>933</v>
      </c>
      <c r="D1603" s="1">
        <v>187</v>
      </c>
      <c r="E1603" s="3">
        <f t="shared" si="12"/>
        <v>0.83303571428571432</v>
      </c>
      <c r="F1603" s="1" t="s">
        <v>131</v>
      </c>
      <c r="G1603" s="1" t="s">
        <v>24</v>
      </c>
      <c r="H1603" s="1">
        <v>58613</v>
      </c>
      <c r="I1603" s="1">
        <v>113149</v>
      </c>
      <c r="J1603" s="7">
        <v>0.51800000000000002</v>
      </c>
      <c r="K1603" s="1" t="s">
        <v>21</v>
      </c>
      <c r="L1603" s="1" t="s">
        <v>29</v>
      </c>
      <c r="M1603" s="1" t="s">
        <v>29</v>
      </c>
      <c r="N1603" s="1" t="s">
        <v>22</v>
      </c>
      <c r="O1603" s="1" t="str">
        <f t="shared" ca="1" si="13"/>
        <v>Please solve the LeetCode problem '1138. Alphabet Board Path'.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04" spans="1:15" x14ac:dyDescent="0.25">
      <c r="A1604" s="1">
        <v>1931</v>
      </c>
      <c r="B1604" s="2" t="str">
        <f>HYPERLINK("https://leetcode.com/problems/painting-a-grid-with-three-different-colors/", "Painting a Grid With Three Different Colors")</f>
        <v>Painting a Grid With Three Different Colors</v>
      </c>
      <c r="C1604" s="1">
        <v>932</v>
      </c>
      <c r="D1604" s="1">
        <v>58</v>
      </c>
      <c r="E1604" s="3">
        <f t="shared" si="12"/>
        <v>0.94141414141414137</v>
      </c>
      <c r="F1604" s="1" t="s">
        <v>251</v>
      </c>
      <c r="G1604" s="1" t="s">
        <v>28</v>
      </c>
      <c r="H1604" s="1">
        <v>74710</v>
      </c>
      <c r="I1604" s="1">
        <v>96566</v>
      </c>
      <c r="J1604" s="7">
        <v>0.77400000000000002</v>
      </c>
      <c r="K1604" s="1" t="s">
        <v>21</v>
      </c>
      <c r="L1604" s="1" t="s">
        <v>21</v>
      </c>
      <c r="M1604" s="1" t="s">
        <v>29</v>
      </c>
      <c r="N1604" s="1" t="s">
        <v>22</v>
      </c>
      <c r="O1604" s="1" t="str">
        <f t="shared" ca="1" si="13"/>
        <v>Please solve the LeetCode problem '1931. Painting a Grid With Three Different Colors'.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05" spans="1:15" x14ac:dyDescent="0.25">
      <c r="A1605" s="1">
        <v>2171</v>
      </c>
      <c r="B1605" s="2" t="str">
        <f>HYPERLINK("https://leetcode.com/problems/removing-minimum-number-of-magic-beans/", "Removing Minimum Number of Magic Beans")</f>
        <v>Removing Minimum Number of Magic Beans</v>
      </c>
      <c r="C1605" s="1">
        <v>932</v>
      </c>
      <c r="D1605" s="1">
        <v>49</v>
      </c>
      <c r="E1605" s="3">
        <f t="shared" si="12"/>
        <v>0.95005096839959224</v>
      </c>
      <c r="F1605" s="1" t="s">
        <v>730</v>
      </c>
      <c r="G1605" s="1" t="s">
        <v>24</v>
      </c>
      <c r="H1605" s="1">
        <v>34453</v>
      </c>
      <c r="I1605" s="1">
        <v>77827</v>
      </c>
      <c r="J1605" s="7">
        <v>0.443</v>
      </c>
      <c r="K1605" s="1" t="s">
        <v>21</v>
      </c>
      <c r="L1605" s="1" t="s">
        <v>29</v>
      </c>
      <c r="M1605" s="1" t="s">
        <v>29</v>
      </c>
      <c r="N1605" s="1" t="s">
        <v>22</v>
      </c>
      <c r="O1605" s="1" t="str">
        <f t="shared" ca="1" si="13"/>
        <v>Please solve the LeetCode problem '2171. Removing Minimum Number of Magic Beans'.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06" spans="1:15" x14ac:dyDescent="0.25">
      <c r="A1606" s="1">
        <v>2266</v>
      </c>
      <c r="B1606" s="2" t="str">
        <f>HYPERLINK("https://leetcode.com/problems/count-number-of-texts/", "Count Number of Texts")</f>
        <v>Count Number of Texts</v>
      </c>
      <c r="C1606" s="1">
        <v>932</v>
      </c>
      <c r="D1606" s="1">
        <v>36</v>
      </c>
      <c r="E1606" s="3">
        <f t="shared" si="12"/>
        <v>0.96280991735537191</v>
      </c>
      <c r="F1606" s="1" t="s">
        <v>728</v>
      </c>
      <c r="G1606" s="1" t="s">
        <v>24</v>
      </c>
      <c r="H1606" s="1">
        <v>28366</v>
      </c>
      <c r="I1606" s="1">
        <v>57165</v>
      </c>
      <c r="J1606" s="7">
        <v>0.496</v>
      </c>
      <c r="K1606" s="1" t="s">
        <v>21</v>
      </c>
      <c r="L1606" s="1" t="s">
        <v>29</v>
      </c>
      <c r="M1606" s="1" t="s">
        <v>29</v>
      </c>
      <c r="N1606" s="1" t="s">
        <v>22</v>
      </c>
      <c r="O1606" s="1" t="str">
        <f t="shared" ca="1" si="13"/>
        <v>Please solve the LeetCode problem '2266. Count Number of Texts'.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07" spans="1:15" x14ac:dyDescent="0.25">
      <c r="A1607" s="1">
        <v>2561</v>
      </c>
      <c r="B1607" s="2" t="str">
        <f>HYPERLINK("https://leetcode.com/problems/rearranging-fruits/", "Rearranging Fruits")</f>
        <v>Rearranging Fruits</v>
      </c>
      <c r="C1607" s="1">
        <v>931</v>
      </c>
      <c r="D1607" s="1">
        <v>57</v>
      </c>
      <c r="E1607" s="3">
        <f t="shared" si="12"/>
        <v>0.94230769230769229</v>
      </c>
      <c r="F1607" s="1" t="s">
        <v>731</v>
      </c>
      <c r="G1607" s="1" t="s">
        <v>28</v>
      </c>
      <c r="H1607" s="1">
        <v>96840</v>
      </c>
      <c r="I1607" s="1">
        <v>168379</v>
      </c>
      <c r="J1607" s="7">
        <v>0.57499999999999996</v>
      </c>
      <c r="K1607" s="1" t="s">
        <v>21</v>
      </c>
      <c r="L1607" s="1" t="s">
        <v>21</v>
      </c>
      <c r="M1607" s="1" t="s">
        <v>29</v>
      </c>
      <c r="N1607" s="1" t="s">
        <v>22</v>
      </c>
      <c r="O1607" s="1" t="str">
        <f t="shared" ca="1" si="13"/>
        <v>Please solve the LeetCode problem '2561. Rearranging Fruits'.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08" spans="1:15" x14ac:dyDescent="0.25">
      <c r="A1608" s="1">
        <v>1632</v>
      </c>
      <c r="B1608" s="2" t="str">
        <f>HYPERLINK("https://leetcode.com/problems/rank-transform-of-a-matrix/", "Rank Transform of a Matrix")</f>
        <v>Rank Transform of a Matrix</v>
      </c>
      <c r="C1608" s="1">
        <v>930</v>
      </c>
      <c r="D1608" s="1">
        <v>59</v>
      </c>
      <c r="E1608" s="3">
        <f t="shared" si="12"/>
        <v>0.94034378159757326</v>
      </c>
      <c r="F1608" s="1" t="s">
        <v>732</v>
      </c>
      <c r="G1608" s="1" t="s">
        <v>28</v>
      </c>
      <c r="H1608" s="1">
        <v>26773</v>
      </c>
      <c r="I1608" s="1">
        <v>63876</v>
      </c>
      <c r="J1608" s="7">
        <v>0.41899999999999998</v>
      </c>
      <c r="K1608" s="1" t="s">
        <v>21</v>
      </c>
      <c r="L1608" s="1" t="s">
        <v>21</v>
      </c>
      <c r="M1608" s="1" t="s">
        <v>29</v>
      </c>
      <c r="N1608" s="1" t="s">
        <v>22</v>
      </c>
      <c r="O1608" s="1" t="str">
        <f t="shared" ca="1" si="13"/>
        <v>Please solve the LeetCode problem '1632. Rank Transform of a Matrix'.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09" spans="1:15" x14ac:dyDescent="0.25">
      <c r="A1609" s="1">
        <v>1450</v>
      </c>
      <c r="B1609" s="2" t="str">
        <f>HYPERLINK("https://leetcode.com/problems/number-of-students-doing-homework-at-a-given-time/", "Number of Students Doing Homework at a Given Time")</f>
        <v>Number of Students Doing Homework at a Given Time</v>
      </c>
      <c r="C1609" s="1">
        <v>927</v>
      </c>
      <c r="D1609" s="1">
        <v>157</v>
      </c>
      <c r="E1609" s="3">
        <f t="shared" si="12"/>
        <v>0.85516605166051662</v>
      </c>
      <c r="F1609" s="1" t="s">
        <v>113</v>
      </c>
      <c r="G1609" s="1" t="s">
        <v>20</v>
      </c>
      <c r="H1609" s="1">
        <v>146877</v>
      </c>
      <c r="I1609" s="1">
        <v>193855</v>
      </c>
      <c r="J1609" s="7">
        <v>0.75800000000000001</v>
      </c>
      <c r="K1609" s="1" t="s">
        <v>21</v>
      </c>
      <c r="L1609" s="1" t="s">
        <v>29</v>
      </c>
      <c r="M1609" s="1" t="s">
        <v>29</v>
      </c>
      <c r="N1609" s="1" t="s">
        <v>22</v>
      </c>
      <c r="O1609" s="1" t="str">
        <f t="shared" ca="1" si="13"/>
        <v>Please solve the LeetCode problem '1450. Number of Students Doing Homework at a Given Time'.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10" spans="1:15" x14ac:dyDescent="0.25">
      <c r="A1610" s="1">
        <v>619</v>
      </c>
      <c r="B1610" s="2" t="str">
        <f>HYPERLINK("https://leetcode.com/problems/biggest-single-number/", "Biggest Single Number")</f>
        <v>Biggest Single Number</v>
      </c>
      <c r="C1610" s="1">
        <v>921</v>
      </c>
      <c r="D1610" s="1">
        <v>202</v>
      </c>
      <c r="E1610" s="3">
        <f t="shared" si="12"/>
        <v>0.8201246660730187</v>
      </c>
      <c r="F1610" s="1" t="s">
        <v>297</v>
      </c>
      <c r="G1610" s="1" t="s">
        <v>20</v>
      </c>
      <c r="H1610" s="1">
        <v>508354</v>
      </c>
      <c r="I1610" s="1">
        <v>718454</v>
      </c>
      <c r="J1610" s="7">
        <v>0.70799999999999996</v>
      </c>
      <c r="K1610" s="1" t="s">
        <v>21</v>
      </c>
      <c r="L1610" s="1" t="s">
        <v>21</v>
      </c>
      <c r="M1610" s="1" t="s">
        <v>29</v>
      </c>
      <c r="N1610" s="1" t="s">
        <v>297</v>
      </c>
      <c r="O1610" s="1" t="str">
        <f t="shared" ca="1" si="13"/>
        <v>Please solve the LeetCode problem '619. Biggest Single Number'.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11" spans="1:15" x14ac:dyDescent="0.25">
      <c r="A1611" s="1">
        <v>2183</v>
      </c>
      <c r="B1611" s="2" t="str">
        <f>HYPERLINK("https://leetcode.com/problems/count-array-pairs-divisible-by-k/", "Count Array Pairs Divisible by K")</f>
        <v>Count Array Pairs Divisible by K</v>
      </c>
      <c r="C1611" s="1">
        <v>921</v>
      </c>
      <c r="D1611" s="1">
        <v>39</v>
      </c>
      <c r="E1611" s="3">
        <f t="shared" si="12"/>
        <v>0.95937499999999998</v>
      </c>
      <c r="F1611" s="1" t="s">
        <v>640</v>
      </c>
      <c r="G1611" s="1" t="s">
        <v>28</v>
      </c>
      <c r="H1611" s="1">
        <v>22374</v>
      </c>
      <c r="I1611" s="1">
        <v>73384</v>
      </c>
      <c r="J1611" s="7">
        <v>0.30499999999999999</v>
      </c>
      <c r="K1611" s="1" t="s">
        <v>21</v>
      </c>
      <c r="L1611" s="1" t="s">
        <v>29</v>
      </c>
      <c r="M1611" s="1" t="s">
        <v>29</v>
      </c>
      <c r="N1611" s="1" t="s">
        <v>22</v>
      </c>
      <c r="O1611" s="1" t="str">
        <f t="shared" ca="1" si="13"/>
        <v>Please solve the LeetCode problem '2183. Count Array Pairs Divisible by K'.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12" spans="1:15" x14ac:dyDescent="0.25">
      <c r="A1612" s="1">
        <v>2523</v>
      </c>
      <c r="B1612" s="2" t="str">
        <f>HYPERLINK("https://leetcode.com/problems/closest-prime-numbers-in-range/", "Closest Prime Numbers in Range")</f>
        <v>Closest Prime Numbers in Range</v>
      </c>
      <c r="C1612" s="1">
        <v>921</v>
      </c>
      <c r="D1612" s="1">
        <v>76</v>
      </c>
      <c r="E1612" s="3">
        <f t="shared" si="12"/>
        <v>0.92377131394182543</v>
      </c>
      <c r="F1612" s="1" t="s">
        <v>513</v>
      </c>
      <c r="G1612" s="1" t="s">
        <v>24</v>
      </c>
      <c r="H1612" s="1">
        <v>186727</v>
      </c>
      <c r="I1612" s="1">
        <v>361589</v>
      </c>
      <c r="J1612" s="7">
        <v>0.51600000000000001</v>
      </c>
      <c r="K1612" s="1" t="s">
        <v>21</v>
      </c>
      <c r="L1612" s="1" t="s">
        <v>21</v>
      </c>
      <c r="M1612" s="1" t="s">
        <v>29</v>
      </c>
      <c r="N1612" s="1" t="s">
        <v>22</v>
      </c>
      <c r="O1612" s="1" t="str">
        <f t="shared" ca="1" si="13"/>
        <v>Please solve the LeetCode problem '2523. Closest Prime Numbers in Range'.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13" spans="1:15" x14ac:dyDescent="0.25">
      <c r="A1613" s="1">
        <v>830</v>
      </c>
      <c r="B1613" s="2" t="str">
        <f>HYPERLINK("https://leetcode.com/problems/positions-of-large-groups/", "Positions of Large Groups")</f>
        <v>Positions of Large Groups</v>
      </c>
      <c r="C1613" s="1">
        <v>919</v>
      </c>
      <c r="D1613" s="1">
        <v>126</v>
      </c>
      <c r="E1613" s="3">
        <f t="shared" si="12"/>
        <v>0.87942583732057411</v>
      </c>
      <c r="F1613" s="1" t="s">
        <v>146</v>
      </c>
      <c r="G1613" s="1" t="s">
        <v>20</v>
      </c>
      <c r="H1613" s="1">
        <v>117304</v>
      </c>
      <c r="I1613" s="1">
        <v>218647</v>
      </c>
      <c r="J1613" s="7">
        <v>0.53600000000000003</v>
      </c>
      <c r="K1613" s="1" t="s">
        <v>21</v>
      </c>
      <c r="L1613" s="1" t="s">
        <v>21</v>
      </c>
      <c r="M1613" s="1" t="s">
        <v>29</v>
      </c>
      <c r="N1613" s="1" t="s">
        <v>22</v>
      </c>
      <c r="O1613" s="1" t="str">
        <f t="shared" ca="1" si="13"/>
        <v>Please solve the LeetCode problem '830. Positions of Large Groups'.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14" spans="1:15" x14ac:dyDescent="0.25">
      <c r="A1614" s="1">
        <v>2425</v>
      </c>
      <c r="B1614" s="2" t="str">
        <f>HYPERLINK("https://leetcode.com/problems/bitwise-xor-of-all-pairings/", "Bitwise XOR of All Pairings")</f>
        <v>Bitwise XOR of All Pairings</v>
      </c>
      <c r="C1614" s="1">
        <v>918</v>
      </c>
      <c r="D1614" s="1">
        <v>58</v>
      </c>
      <c r="E1614" s="3">
        <f t="shared" si="12"/>
        <v>0.94057377049180324</v>
      </c>
      <c r="F1614" s="1" t="s">
        <v>634</v>
      </c>
      <c r="G1614" s="1" t="s">
        <v>24</v>
      </c>
      <c r="H1614" s="1">
        <v>151284</v>
      </c>
      <c r="I1614" s="1">
        <v>225993</v>
      </c>
      <c r="J1614" s="7">
        <v>0.66900000000000004</v>
      </c>
      <c r="K1614" s="1" t="s">
        <v>21</v>
      </c>
      <c r="L1614" s="1" t="s">
        <v>21</v>
      </c>
      <c r="M1614" s="1" t="s">
        <v>29</v>
      </c>
      <c r="N1614" s="1" t="s">
        <v>22</v>
      </c>
      <c r="O1614" s="1" t="str">
        <f t="shared" ca="1" si="13"/>
        <v>Please solve the LeetCode problem '2425. Bitwise XOR of All Pairings'.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15" spans="1:15" x14ac:dyDescent="0.25">
      <c r="A1615" s="1">
        <v>3068</v>
      </c>
      <c r="B1615" s="2" t="str">
        <f>HYPERLINK("https://leetcode.com/problems/find-the-maximum-sum-of-node-values/", "Find the Maximum Sum of Node Values")</f>
        <v>Find the Maximum Sum of Node Values</v>
      </c>
      <c r="C1615" s="1">
        <v>918</v>
      </c>
      <c r="D1615" s="1">
        <v>133</v>
      </c>
      <c r="E1615" s="3">
        <f t="shared" si="12"/>
        <v>0.87345385347288296</v>
      </c>
      <c r="F1615" s="1" t="s">
        <v>733</v>
      </c>
      <c r="G1615" s="1" t="s">
        <v>28</v>
      </c>
      <c r="H1615" s="1">
        <v>138075</v>
      </c>
      <c r="I1615" s="1">
        <v>198577</v>
      </c>
      <c r="J1615" s="7">
        <v>0.69499999999999995</v>
      </c>
      <c r="K1615" s="1" t="s">
        <v>21</v>
      </c>
      <c r="L1615" s="1" t="s">
        <v>21</v>
      </c>
      <c r="M1615" s="1" t="s">
        <v>29</v>
      </c>
      <c r="N1615" s="1" t="s">
        <v>22</v>
      </c>
      <c r="O1615" s="1" t="str">
        <f t="shared" ca="1" si="13"/>
        <v>Please solve the LeetCode problem '3068. Find the Maximum Sum of Node Values'.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16" spans="1:15" x14ac:dyDescent="0.25">
      <c r="A1616" s="1">
        <v>1899</v>
      </c>
      <c r="B1616" s="2" t="str">
        <f>HYPERLINK("https://leetcode.com/problems/merge-triplets-to-form-target-triplet/", "Merge Triplets to Form Target Triplet")</f>
        <v>Merge Triplets to Form Target Triplet</v>
      </c>
      <c r="C1616" s="1">
        <v>916</v>
      </c>
      <c r="D1616" s="1">
        <v>79</v>
      </c>
      <c r="E1616" s="3">
        <f t="shared" si="12"/>
        <v>0.9206030150753769</v>
      </c>
      <c r="F1616" s="1" t="s">
        <v>96</v>
      </c>
      <c r="G1616" s="1" t="s">
        <v>24</v>
      </c>
      <c r="H1616" s="1">
        <v>110903</v>
      </c>
      <c r="I1616" s="1">
        <v>161600</v>
      </c>
      <c r="J1616" s="7">
        <v>0.68600000000000005</v>
      </c>
      <c r="K1616" s="1" t="s">
        <v>21</v>
      </c>
      <c r="L1616" s="1" t="s">
        <v>29</v>
      </c>
      <c r="M1616" s="1" t="s">
        <v>29</v>
      </c>
      <c r="N1616" s="1" t="s">
        <v>22</v>
      </c>
      <c r="O1616" s="1" t="str">
        <f t="shared" ca="1" si="13"/>
        <v>Please solve the LeetCode problem '1899. Merge Triplets to Form Target Triplet'.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17" spans="1:15" x14ac:dyDescent="0.25">
      <c r="A1617" s="1">
        <v>408</v>
      </c>
      <c r="B1617" s="2" t="str">
        <f>HYPERLINK("https://leetcode.com/problems/valid-word-abbreviation/", "Valid Word Abbreviation")</f>
        <v>Valid Word Abbreviation</v>
      </c>
      <c r="C1617" s="1">
        <v>913</v>
      </c>
      <c r="D1617" s="1">
        <v>2398</v>
      </c>
      <c r="E1617" s="3">
        <f t="shared" si="12"/>
        <v>0.27574750830564781</v>
      </c>
      <c r="F1617" s="1" t="s">
        <v>117</v>
      </c>
      <c r="G1617" s="1" t="s">
        <v>20</v>
      </c>
      <c r="H1617" s="1">
        <v>352515</v>
      </c>
      <c r="I1617" s="1">
        <v>952739</v>
      </c>
      <c r="J1617" s="7">
        <v>0.37</v>
      </c>
      <c r="K1617" s="1" t="s">
        <v>29</v>
      </c>
      <c r="L1617" s="1" t="s">
        <v>29</v>
      </c>
      <c r="M1617" s="1" t="s">
        <v>29</v>
      </c>
      <c r="N1617" s="1" t="s">
        <v>22</v>
      </c>
      <c r="O1617" s="1" t="str">
        <f t="shared" ca="1" si="13"/>
        <v>Please solve the LeetCode problem '408. Valid Word Abbreviation'.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18" spans="1:15" x14ac:dyDescent="0.25">
      <c r="A1618" s="1">
        <v>1393</v>
      </c>
      <c r="B1618" s="2" t="str">
        <f>HYPERLINK("https://leetcode.com/problems/capital-gainloss/", "Capital Gain/Loss")</f>
        <v>Capital Gain/Loss</v>
      </c>
      <c r="C1618" s="1">
        <v>913</v>
      </c>
      <c r="D1618" s="1">
        <v>51</v>
      </c>
      <c r="E1618" s="3">
        <f t="shared" si="12"/>
        <v>0.94709543568464727</v>
      </c>
      <c r="F1618" s="1" t="s">
        <v>297</v>
      </c>
      <c r="G1618" s="1" t="s">
        <v>24</v>
      </c>
      <c r="H1618" s="1">
        <v>158618</v>
      </c>
      <c r="I1618" s="1">
        <v>187387</v>
      </c>
      <c r="J1618" s="7">
        <v>0.84599999999999997</v>
      </c>
      <c r="K1618" s="1" t="s">
        <v>21</v>
      </c>
      <c r="L1618" s="1" t="s">
        <v>21</v>
      </c>
      <c r="M1618" s="1" t="s">
        <v>29</v>
      </c>
      <c r="N1618" s="1" t="s">
        <v>297</v>
      </c>
      <c r="O1618" s="1" t="str">
        <f t="shared" ca="1" si="13"/>
        <v>Please solve the LeetCode problem '1393. Capital Gain/Loss'.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19" spans="1:15" x14ac:dyDescent="0.25">
      <c r="A1619" s="1">
        <v>3152</v>
      </c>
      <c r="B1619" s="2" t="str">
        <f>HYPERLINK("https://leetcode.com/problems/special-array-ii/", "Special Array II")</f>
        <v>Special Array II</v>
      </c>
      <c r="C1619" s="1">
        <v>912</v>
      </c>
      <c r="D1619" s="1">
        <v>67</v>
      </c>
      <c r="E1619" s="3">
        <f t="shared" si="12"/>
        <v>0.93156281920326867</v>
      </c>
      <c r="F1619" s="1" t="s">
        <v>710</v>
      </c>
      <c r="G1619" s="1" t="s">
        <v>24</v>
      </c>
      <c r="H1619" s="1">
        <v>137141</v>
      </c>
      <c r="I1619" s="1">
        <v>299866</v>
      </c>
      <c r="J1619" s="7">
        <v>0.45700000000000002</v>
      </c>
      <c r="K1619" s="1" t="s">
        <v>21</v>
      </c>
      <c r="L1619" s="1" t="s">
        <v>21</v>
      </c>
      <c r="M1619" s="1" t="s">
        <v>29</v>
      </c>
      <c r="N1619" s="1" t="s">
        <v>22</v>
      </c>
      <c r="O1619" s="1" t="str">
        <f t="shared" ca="1" si="13"/>
        <v>Please solve the LeetCode problem '3152. Special Array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20" spans="1:15" x14ac:dyDescent="0.25">
      <c r="A1620" s="1">
        <v>2410</v>
      </c>
      <c r="B1620" s="2" t="str">
        <f>HYPERLINK("https://leetcode.com/problems/maximum-matching-of-players-with-trainers/", "Maximum Matching of Players With Trainers")</f>
        <v>Maximum Matching of Players With Trainers</v>
      </c>
      <c r="C1620" s="1">
        <v>909</v>
      </c>
      <c r="D1620" s="1">
        <v>34</v>
      </c>
      <c r="E1620" s="3">
        <f t="shared" si="12"/>
        <v>0.96394485683987274</v>
      </c>
      <c r="F1620" s="1" t="s">
        <v>203</v>
      </c>
      <c r="G1620" s="1" t="s">
        <v>24</v>
      </c>
      <c r="H1620" s="1">
        <v>176322</v>
      </c>
      <c r="I1620" s="1">
        <v>234608</v>
      </c>
      <c r="J1620" s="7">
        <v>0.752</v>
      </c>
      <c r="K1620" s="1" t="s">
        <v>21</v>
      </c>
      <c r="L1620" s="1" t="s">
        <v>21</v>
      </c>
      <c r="M1620" s="1" t="s">
        <v>29</v>
      </c>
      <c r="N1620" s="1" t="s">
        <v>22</v>
      </c>
      <c r="O1620" s="1" t="str">
        <f t="shared" ca="1" si="13"/>
        <v>Please solve the LeetCode problem '2410. Maximum Matching of Players With Trainers'.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21" spans="1:15" x14ac:dyDescent="0.25">
      <c r="A1621" s="1">
        <v>809</v>
      </c>
      <c r="B1621" s="2" t="str">
        <f>HYPERLINK("https://leetcode.com/problems/expressive-words/", "Expressive Words")</f>
        <v>Expressive Words</v>
      </c>
      <c r="C1621" s="1">
        <v>908</v>
      </c>
      <c r="D1621" s="1">
        <v>1948</v>
      </c>
      <c r="E1621" s="3">
        <f t="shared" si="12"/>
        <v>0.31792717086834732</v>
      </c>
      <c r="F1621" s="1" t="s">
        <v>360</v>
      </c>
      <c r="G1621" s="1" t="s">
        <v>24</v>
      </c>
      <c r="H1621" s="1">
        <v>133684</v>
      </c>
      <c r="I1621" s="1">
        <v>286618</v>
      </c>
      <c r="J1621" s="7">
        <v>0.46600000000000003</v>
      </c>
      <c r="K1621" s="1" t="s">
        <v>21</v>
      </c>
      <c r="L1621" s="1" t="s">
        <v>21</v>
      </c>
      <c r="M1621" s="1" t="s">
        <v>29</v>
      </c>
      <c r="N1621" s="1" t="s">
        <v>22</v>
      </c>
      <c r="O1621" s="1" t="str">
        <f t="shared" ca="1" si="13"/>
        <v>Please solve the LeetCode problem '809. Expressive Words'.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22" spans="1:15" x14ac:dyDescent="0.25">
      <c r="A1622" s="1">
        <v>2169</v>
      </c>
      <c r="B1622" s="2" t="str">
        <f>HYPERLINK("https://leetcode.com/problems/count-operations-to-obtain-zero/", "Count Operations to Obtain Zero")</f>
        <v>Count Operations to Obtain Zero</v>
      </c>
      <c r="C1622" s="1">
        <v>908</v>
      </c>
      <c r="D1622" s="1">
        <v>36</v>
      </c>
      <c r="E1622" s="3">
        <f t="shared" si="12"/>
        <v>0.96186440677966101</v>
      </c>
      <c r="F1622" s="1" t="s">
        <v>465</v>
      </c>
      <c r="G1622" s="1" t="s">
        <v>20</v>
      </c>
      <c r="H1622" s="1">
        <v>218451</v>
      </c>
      <c r="I1622" s="1">
        <v>273592</v>
      </c>
      <c r="J1622" s="7">
        <v>0.79800000000000004</v>
      </c>
      <c r="K1622" s="1" t="s">
        <v>21</v>
      </c>
      <c r="L1622" s="1" t="s">
        <v>21</v>
      </c>
      <c r="M1622" s="1" t="s">
        <v>29</v>
      </c>
      <c r="N1622" s="1" t="s">
        <v>22</v>
      </c>
      <c r="O1622" s="1" t="str">
        <f t="shared" ca="1" si="13"/>
        <v>Please solve the LeetCode problem '2169. Count Operations to Obtain Zero'.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23" spans="1:15" x14ac:dyDescent="0.25">
      <c r="A1623" s="1">
        <v>2704</v>
      </c>
      <c r="B1623" s="2" t="str">
        <f>HYPERLINK("https://leetcode.com/problems/to-be-or-not-to-be/", "To Be Or Not To Be")</f>
        <v>To Be Or Not To Be</v>
      </c>
      <c r="C1623" s="1">
        <v>906</v>
      </c>
      <c r="D1623" s="1">
        <v>217</v>
      </c>
      <c r="E1623" s="3">
        <f t="shared" si="12"/>
        <v>0.80676758682101513</v>
      </c>
      <c r="G1623" s="1" t="s">
        <v>20</v>
      </c>
      <c r="H1623" s="1">
        <v>337261</v>
      </c>
      <c r="I1623" s="1">
        <v>533904</v>
      </c>
      <c r="J1623" s="7">
        <v>0.63200000000000001</v>
      </c>
      <c r="K1623" s="1" t="s">
        <v>21</v>
      </c>
      <c r="L1623" s="1" t="s">
        <v>21</v>
      </c>
      <c r="M1623" s="1" t="s">
        <v>29</v>
      </c>
      <c r="N1623" s="1" t="s">
        <v>555</v>
      </c>
      <c r="O1623" s="1" t="str">
        <f t="shared" ca="1" si="13"/>
        <v>Please solve the LeetCode problem '2704. To Be Or Not To Be'.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24" spans="1:15" x14ac:dyDescent="0.25">
      <c r="A1624" s="1">
        <v>562</v>
      </c>
      <c r="B1624" s="2" t="str">
        <f>HYPERLINK("https://leetcode.com/problems/longest-line-of-consecutive-one-in-matrix/", "Longest Line of Consecutive One in Matrix")</f>
        <v>Longest Line of Consecutive One in Matrix</v>
      </c>
      <c r="C1624" s="1">
        <v>905</v>
      </c>
      <c r="D1624" s="1">
        <v>119</v>
      </c>
      <c r="E1624" s="3">
        <f t="shared" si="12"/>
        <v>0.8837890625</v>
      </c>
      <c r="F1624" s="1" t="s">
        <v>94</v>
      </c>
      <c r="G1624" s="1" t="s">
        <v>24</v>
      </c>
      <c r="H1624" s="1">
        <v>80641</v>
      </c>
      <c r="I1624" s="1">
        <v>159514</v>
      </c>
      <c r="J1624" s="7">
        <v>0.50600000000000001</v>
      </c>
      <c r="K1624" s="1" t="s">
        <v>29</v>
      </c>
      <c r="L1624" s="1" t="s">
        <v>21</v>
      </c>
      <c r="M1624" s="1" t="s">
        <v>29</v>
      </c>
      <c r="N1624" s="1" t="s">
        <v>22</v>
      </c>
      <c r="O1624" s="1" t="str">
        <f t="shared" ca="1" si="13"/>
        <v>Please solve the LeetCode problem '562. Longest Line of Consecutive One in Matrix'.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25" spans="1:15" x14ac:dyDescent="0.25">
      <c r="A1625" s="1">
        <v>2063</v>
      </c>
      <c r="B1625" s="2" t="str">
        <f>HYPERLINK("https://leetcode.com/problems/vowels-of-all-substrings/", "Vowels of All Substrings")</f>
        <v>Vowels of All Substrings</v>
      </c>
      <c r="C1625" s="1">
        <v>903</v>
      </c>
      <c r="D1625" s="1">
        <v>36</v>
      </c>
      <c r="E1625" s="3">
        <f t="shared" si="12"/>
        <v>0.96166134185303509</v>
      </c>
      <c r="F1625" s="1" t="s">
        <v>734</v>
      </c>
      <c r="G1625" s="1" t="s">
        <v>24</v>
      </c>
      <c r="H1625" s="1">
        <v>41491</v>
      </c>
      <c r="I1625" s="1">
        <v>75227</v>
      </c>
      <c r="J1625" s="7">
        <v>0.55200000000000005</v>
      </c>
      <c r="K1625" s="1" t="s">
        <v>21</v>
      </c>
      <c r="L1625" s="1" t="s">
        <v>29</v>
      </c>
      <c r="M1625" s="1" t="s">
        <v>29</v>
      </c>
      <c r="N1625" s="1" t="s">
        <v>22</v>
      </c>
      <c r="O1625" s="1" t="str">
        <f t="shared" ca="1" si="13"/>
        <v>Please solve the LeetCode problem '2063. Vowels of All Substrings'.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26" spans="1:15" x14ac:dyDescent="0.25">
      <c r="A1626" s="1">
        <v>2085</v>
      </c>
      <c r="B1626" s="2" t="str">
        <f>HYPERLINK("https://leetcode.com/problems/count-common-words-with-one-occurrence/", "Count Common Words With One Occurrence")</f>
        <v>Count Common Words With One Occurrence</v>
      </c>
      <c r="C1626" s="1">
        <v>902</v>
      </c>
      <c r="D1626" s="1">
        <v>21</v>
      </c>
      <c r="E1626" s="3">
        <f t="shared" si="12"/>
        <v>0.97724810400866735</v>
      </c>
      <c r="F1626" s="1" t="s">
        <v>467</v>
      </c>
      <c r="G1626" s="1" t="s">
        <v>20</v>
      </c>
      <c r="H1626" s="1">
        <v>106720</v>
      </c>
      <c r="I1626" s="1">
        <v>146076</v>
      </c>
      <c r="J1626" s="7">
        <v>0.73099999999999998</v>
      </c>
      <c r="K1626" s="1" t="s">
        <v>21</v>
      </c>
      <c r="L1626" s="1" t="s">
        <v>29</v>
      </c>
      <c r="M1626" s="1" t="s">
        <v>29</v>
      </c>
      <c r="N1626" s="1" t="s">
        <v>22</v>
      </c>
      <c r="O1626" s="1" t="str">
        <f t="shared" ca="1" si="13"/>
        <v>Please solve the LeetCode problem '2085. Count Common Words With One Occurrence'.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27" spans="1:15" x14ac:dyDescent="0.25">
      <c r="A1627" s="1">
        <v>1245</v>
      </c>
      <c r="B1627" s="2" t="str">
        <f>HYPERLINK("https://leetcode.com/problems/tree-diameter/", "Tree Diameter")</f>
        <v>Tree Diameter</v>
      </c>
      <c r="C1627" s="1">
        <v>900</v>
      </c>
      <c r="D1627" s="1">
        <v>25</v>
      </c>
      <c r="E1627" s="3">
        <f t="shared" si="12"/>
        <v>0.97297297297297303</v>
      </c>
      <c r="F1627" s="1" t="s">
        <v>735</v>
      </c>
      <c r="G1627" s="1" t="s">
        <v>24</v>
      </c>
      <c r="H1627" s="1">
        <v>55606</v>
      </c>
      <c r="I1627" s="1">
        <v>90808</v>
      </c>
      <c r="J1627" s="7">
        <v>0.61199999999999999</v>
      </c>
      <c r="K1627" s="1" t="s">
        <v>29</v>
      </c>
      <c r="L1627" s="1" t="s">
        <v>21</v>
      </c>
      <c r="M1627" s="1" t="s">
        <v>29</v>
      </c>
      <c r="N1627" s="1" t="s">
        <v>22</v>
      </c>
      <c r="O1627" s="1" t="str">
        <f t="shared" ca="1" si="13"/>
        <v>Please solve the LeetCode problem '1245. Tree Diameter'.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28" spans="1:15" x14ac:dyDescent="0.25">
      <c r="A1628" s="1">
        <v>2398</v>
      </c>
      <c r="B1628" s="2" t="str">
        <f>HYPERLINK("https://leetcode.com/problems/maximum-number-of-robots-within-budget/", "Maximum Number of Robots Within Budget")</f>
        <v>Maximum Number of Robots Within Budget</v>
      </c>
      <c r="C1628" s="1">
        <v>900</v>
      </c>
      <c r="D1628" s="1">
        <v>21</v>
      </c>
      <c r="E1628" s="3">
        <f t="shared" si="12"/>
        <v>0.9771986970684039</v>
      </c>
      <c r="F1628" s="1" t="s">
        <v>254</v>
      </c>
      <c r="G1628" s="1" t="s">
        <v>28</v>
      </c>
      <c r="H1628" s="1">
        <v>32927</v>
      </c>
      <c r="I1628" s="1">
        <v>87098</v>
      </c>
      <c r="J1628" s="7">
        <v>0.378</v>
      </c>
      <c r="K1628" s="1" t="s">
        <v>21</v>
      </c>
      <c r="L1628" s="1" t="s">
        <v>29</v>
      </c>
      <c r="M1628" s="1" t="s">
        <v>29</v>
      </c>
      <c r="N1628" s="1" t="s">
        <v>22</v>
      </c>
      <c r="O1628" s="1" t="str">
        <f t="shared" ca="1" si="13"/>
        <v>Please solve the LeetCode problem '2398. Maximum Number of Robots Within Budget'.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29" spans="1:15" x14ac:dyDescent="0.25">
      <c r="A1629" s="1">
        <v>267</v>
      </c>
      <c r="B1629" s="2" t="str">
        <f>HYPERLINK("https://leetcode.com/problems/palindrome-permutation-ii/", "Palindrome Permutation II")</f>
        <v>Palindrome Permutation II</v>
      </c>
      <c r="C1629" s="1">
        <v>898</v>
      </c>
      <c r="D1629" s="1">
        <v>98</v>
      </c>
      <c r="E1629" s="3">
        <f t="shared" si="12"/>
        <v>0.90160642570281124</v>
      </c>
      <c r="F1629" s="1" t="s">
        <v>58</v>
      </c>
      <c r="G1629" s="1" t="s">
        <v>24</v>
      </c>
      <c r="H1629" s="1">
        <v>75357</v>
      </c>
      <c r="I1629" s="1">
        <v>178259</v>
      </c>
      <c r="J1629" s="7">
        <v>0.42299999999999999</v>
      </c>
      <c r="K1629" s="1" t="s">
        <v>29</v>
      </c>
      <c r="L1629" s="1" t="s">
        <v>21</v>
      </c>
      <c r="M1629" s="1" t="s">
        <v>29</v>
      </c>
      <c r="N1629" s="1" t="s">
        <v>22</v>
      </c>
      <c r="O1629" s="1" t="str">
        <f t="shared" ca="1" si="13"/>
        <v>Please solve the LeetCode problem '267. Palindrome Permutation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30" spans="1:15" x14ac:dyDescent="0.25">
      <c r="A1630" s="1">
        <v>874</v>
      </c>
      <c r="B1630" s="2" t="str">
        <f>HYPERLINK("https://leetcode.com/problems/walking-robot-simulation/", "Walking Robot Simulation")</f>
        <v>Walking Robot Simulation</v>
      </c>
      <c r="C1630" s="1">
        <v>897</v>
      </c>
      <c r="D1630" s="1">
        <v>200</v>
      </c>
      <c r="E1630" s="3">
        <f t="shared" si="12"/>
        <v>0.81768459434822238</v>
      </c>
      <c r="F1630" s="1" t="s">
        <v>736</v>
      </c>
      <c r="G1630" s="1" t="s">
        <v>24</v>
      </c>
      <c r="H1630" s="1">
        <v>168107</v>
      </c>
      <c r="I1630" s="1">
        <v>288034</v>
      </c>
      <c r="J1630" s="7">
        <v>0.58399999999999996</v>
      </c>
      <c r="K1630" s="1" t="s">
        <v>21</v>
      </c>
      <c r="L1630" s="1" t="s">
        <v>21</v>
      </c>
      <c r="M1630" s="1" t="s">
        <v>29</v>
      </c>
      <c r="N1630" s="1" t="s">
        <v>22</v>
      </c>
      <c r="O1630" s="1" t="str">
        <f t="shared" ca="1" si="13"/>
        <v>Please solve the LeetCode problem '874. Walking Robot Simulation'.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31" spans="1:15" x14ac:dyDescent="0.25">
      <c r="A1631" s="1">
        <v>434</v>
      </c>
      <c r="B1631" s="2" t="str">
        <f>HYPERLINK("https://leetcode.com/problems/number-of-segments-in-a-string/", "Number of Segments in a String")</f>
        <v>Number of Segments in a String</v>
      </c>
      <c r="C1631" s="1">
        <v>895</v>
      </c>
      <c r="D1631" s="1">
        <v>1331</v>
      </c>
      <c r="E1631" s="3">
        <f t="shared" si="12"/>
        <v>0.40206648697214736</v>
      </c>
      <c r="F1631" s="1" t="s">
        <v>146</v>
      </c>
      <c r="G1631" s="1" t="s">
        <v>20</v>
      </c>
      <c r="H1631" s="1">
        <v>261849</v>
      </c>
      <c r="I1631" s="1">
        <v>709750</v>
      </c>
      <c r="J1631" s="7">
        <v>0.36899999999999999</v>
      </c>
      <c r="K1631" s="1" t="s">
        <v>21</v>
      </c>
      <c r="L1631" s="1" t="s">
        <v>21</v>
      </c>
      <c r="M1631" s="1" t="s">
        <v>29</v>
      </c>
      <c r="N1631" s="1" t="s">
        <v>22</v>
      </c>
      <c r="O1631" s="1" t="str">
        <f t="shared" ca="1" si="13"/>
        <v>Please solve the LeetCode problem '434. Number of Segments in a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32" spans="1:15" x14ac:dyDescent="0.25">
      <c r="A1632" s="1">
        <v>710</v>
      </c>
      <c r="B1632" s="2" t="str">
        <f>HYPERLINK("https://leetcode.com/problems/random-pick-with-blacklist/", "Random Pick with Blacklist")</f>
        <v>Random Pick with Blacklist</v>
      </c>
      <c r="C1632" s="1">
        <v>895</v>
      </c>
      <c r="D1632" s="1">
        <v>121</v>
      </c>
      <c r="E1632" s="3">
        <f t="shared" si="12"/>
        <v>0.88090551181102361</v>
      </c>
      <c r="F1632" s="1" t="s">
        <v>739</v>
      </c>
      <c r="G1632" s="1" t="s">
        <v>28</v>
      </c>
      <c r="H1632" s="1">
        <v>51113</v>
      </c>
      <c r="I1632" s="1">
        <v>147971</v>
      </c>
      <c r="J1632" s="7">
        <v>0.34499999999999997</v>
      </c>
      <c r="K1632" s="1" t="s">
        <v>21</v>
      </c>
      <c r="L1632" s="1" t="s">
        <v>29</v>
      </c>
      <c r="M1632" s="1" t="s">
        <v>29</v>
      </c>
      <c r="N1632" s="1" t="s">
        <v>22</v>
      </c>
      <c r="O1632" s="1" t="str">
        <f t="shared" ca="1" si="13"/>
        <v>Please solve the LeetCode problem '710. Random Pick with Blacklist'.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33" spans="1:15" x14ac:dyDescent="0.25">
      <c r="A1633" s="1">
        <v>1722</v>
      </c>
      <c r="B1633" s="2" t="str">
        <f>HYPERLINK("https://leetcode.com/problems/minimize-hamming-distance-after-swap-operations/", "Minimize Hamming Distance After Swap Operations")</f>
        <v>Minimize Hamming Distance After Swap Operations</v>
      </c>
      <c r="C1633" s="1">
        <v>895</v>
      </c>
      <c r="D1633" s="1">
        <v>30</v>
      </c>
      <c r="E1633" s="3">
        <f t="shared" si="12"/>
        <v>0.96756756756756757</v>
      </c>
      <c r="F1633" s="1" t="s">
        <v>738</v>
      </c>
      <c r="G1633" s="1" t="s">
        <v>24</v>
      </c>
      <c r="H1633" s="1">
        <v>22045</v>
      </c>
      <c r="I1633" s="1">
        <v>44960</v>
      </c>
      <c r="J1633" s="7">
        <v>0.49</v>
      </c>
      <c r="K1633" s="1" t="s">
        <v>21</v>
      </c>
      <c r="L1633" s="1" t="s">
        <v>29</v>
      </c>
      <c r="M1633" s="1" t="s">
        <v>29</v>
      </c>
      <c r="N1633" s="1" t="s">
        <v>22</v>
      </c>
      <c r="O1633" s="1" t="str">
        <f t="shared" ca="1" si="13"/>
        <v>Please solve the LeetCode problem '1722. Minimize Hamming Distance After Swap Operations'.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34" spans="1:15" x14ac:dyDescent="0.25">
      <c r="A1634" s="1">
        <v>1812</v>
      </c>
      <c r="B1634" s="2" t="str">
        <f>HYPERLINK("https://leetcode.com/problems/determine-color-of-a-chessboard-square/", "Determine Color of a Chessboard Square")</f>
        <v>Determine Color of a Chessboard Square</v>
      </c>
      <c r="C1634" s="1">
        <v>895</v>
      </c>
      <c r="D1634" s="1">
        <v>24</v>
      </c>
      <c r="E1634" s="3">
        <f t="shared" si="12"/>
        <v>0.97388465723612627</v>
      </c>
      <c r="F1634" s="1" t="s">
        <v>228</v>
      </c>
      <c r="G1634" s="1" t="s">
        <v>20</v>
      </c>
      <c r="H1634" s="1">
        <v>114586</v>
      </c>
      <c r="I1634" s="1">
        <v>143743</v>
      </c>
      <c r="J1634" s="7">
        <v>0.79700000000000004</v>
      </c>
      <c r="K1634" s="1" t="s">
        <v>21</v>
      </c>
      <c r="L1634" s="1" t="s">
        <v>29</v>
      </c>
      <c r="M1634" s="1" t="s">
        <v>29</v>
      </c>
      <c r="N1634" s="1" t="s">
        <v>22</v>
      </c>
      <c r="O1634" s="1" t="str">
        <f t="shared" ca="1" si="13"/>
        <v>Please solve the LeetCode problem '1812. Determine Color of a Chessboard Square'.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35" spans="1:15" x14ac:dyDescent="0.25">
      <c r="A1635" s="1">
        <v>2635</v>
      </c>
      <c r="B1635" s="2" t="str">
        <f>HYPERLINK("https://leetcode.com/problems/apply-transform-over-each-element-in-array/", "Apply Transform Over Each Element in Array")</f>
        <v>Apply Transform Over Each Element in Array</v>
      </c>
      <c r="C1635" s="1">
        <v>895</v>
      </c>
      <c r="D1635" s="1">
        <v>119</v>
      </c>
      <c r="E1635" s="3">
        <f t="shared" si="12"/>
        <v>0.88264299802761337</v>
      </c>
      <c r="G1635" s="1" t="s">
        <v>20</v>
      </c>
      <c r="H1635" s="1">
        <v>324801</v>
      </c>
      <c r="I1635" s="1">
        <v>376757</v>
      </c>
      <c r="J1635" s="7">
        <v>0.86199999999999999</v>
      </c>
      <c r="K1635" s="1" t="s">
        <v>21</v>
      </c>
      <c r="L1635" s="1" t="s">
        <v>21</v>
      </c>
      <c r="M1635" s="1" t="s">
        <v>29</v>
      </c>
      <c r="N1635" s="1" t="s">
        <v>555</v>
      </c>
      <c r="O1635" s="1" t="str">
        <f t="shared" ca="1" si="13"/>
        <v>Please solve the LeetCode problem '2635. Apply Transform Over Each Element in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36" spans="1:15" x14ac:dyDescent="0.25">
      <c r="A1636" s="1">
        <v>1686</v>
      </c>
      <c r="B1636" s="2" t="str">
        <f>HYPERLINK("https://leetcode.com/problems/stone-game-vi/", "Stone Game VI")</f>
        <v>Stone Game VI</v>
      </c>
      <c r="C1636" s="1">
        <v>893</v>
      </c>
      <c r="D1636" s="1">
        <v>77</v>
      </c>
      <c r="E1636" s="3">
        <f t="shared" si="12"/>
        <v>0.92061855670103088</v>
      </c>
      <c r="F1636" s="1" t="s">
        <v>742</v>
      </c>
      <c r="G1636" s="1" t="s">
        <v>24</v>
      </c>
      <c r="H1636" s="1">
        <v>27601</v>
      </c>
      <c r="I1636" s="1">
        <v>45787</v>
      </c>
      <c r="J1636" s="7">
        <v>0.60299999999999998</v>
      </c>
      <c r="K1636" s="1" t="s">
        <v>21</v>
      </c>
      <c r="L1636" s="1" t="s">
        <v>29</v>
      </c>
      <c r="M1636" s="1" t="s">
        <v>29</v>
      </c>
      <c r="N1636" s="1" t="s">
        <v>22</v>
      </c>
      <c r="O1636" s="1" t="str">
        <f t="shared" ca="1" si="13"/>
        <v>Please solve the LeetCode problem '1686. Stone Game VI'.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37" spans="1:15" x14ac:dyDescent="0.25">
      <c r="A1637" s="1">
        <v>510</v>
      </c>
      <c r="B1637" s="2" t="str">
        <f>HYPERLINK("https://leetcode.com/problems/inorder-successor-in-bst-ii/", "Inorder Successor in BST II")</f>
        <v>Inorder Successor in BST II</v>
      </c>
      <c r="C1637" s="1">
        <v>890</v>
      </c>
      <c r="D1637" s="1">
        <v>44</v>
      </c>
      <c r="E1637" s="3">
        <f t="shared" si="12"/>
        <v>0.95289079229122053</v>
      </c>
      <c r="F1637" s="1" t="s">
        <v>133</v>
      </c>
      <c r="G1637" s="1" t="s">
        <v>24</v>
      </c>
      <c r="H1637" s="1">
        <v>75340</v>
      </c>
      <c r="I1637" s="1">
        <v>123326</v>
      </c>
      <c r="J1637" s="7">
        <v>0.61099999999999999</v>
      </c>
      <c r="K1637" s="1" t="s">
        <v>29</v>
      </c>
      <c r="L1637" s="1" t="s">
        <v>21</v>
      </c>
      <c r="M1637" s="1" t="s">
        <v>29</v>
      </c>
      <c r="N1637" s="1" t="s">
        <v>22</v>
      </c>
      <c r="O1637" s="1" t="str">
        <f t="shared" ca="1" si="13"/>
        <v>Please solve the LeetCode problem '510. Inorder Successor in BST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38" spans="1:15" x14ac:dyDescent="0.25">
      <c r="A1638" s="1">
        <v>447</v>
      </c>
      <c r="B1638" s="2" t="str">
        <f>HYPERLINK("https://leetcode.com/problems/number-of-boomerangs/", "Number of Boomerangs")</f>
        <v>Number of Boomerangs</v>
      </c>
      <c r="C1638" s="1">
        <v>889</v>
      </c>
      <c r="D1638" s="1">
        <v>1039</v>
      </c>
      <c r="E1638" s="3">
        <f t="shared" si="12"/>
        <v>0.46109958506224069</v>
      </c>
      <c r="F1638" s="1" t="s">
        <v>741</v>
      </c>
      <c r="G1638" s="1" t="s">
        <v>24</v>
      </c>
      <c r="H1638" s="1">
        <v>115523</v>
      </c>
      <c r="I1638" s="1">
        <v>202124</v>
      </c>
      <c r="J1638" s="7">
        <v>0.57199999999999995</v>
      </c>
      <c r="K1638" s="1" t="s">
        <v>21</v>
      </c>
      <c r="L1638" s="1" t="s">
        <v>29</v>
      </c>
      <c r="M1638" s="1" t="s">
        <v>29</v>
      </c>
      <c r="N1638" s="1" t="s">
        <v>22</v>
      </c>
      <c r="O1638" s="1" t="str">
        <f t="shared" ca="1" si="13"/>
        <v>Please solve the LeetCode problem '447. Number of Boomerangs'.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39" spans="1:15" x14ac:dyDescent="0.25">
      <c r="A1639" s="1">
        <v>592</v>
      </c>
      <c r="B1639" s="2" t="str">
        <f>HYPERLINK("https://leetcode.com/problems/fraction-addition-and-subtraction/", "Fraction Addition and Subtraction")</f>
        <v>Fraction Addition and Subtraction</v>
      </c>
      <c r="C1639" s="1">
        <v>889</v>
      </c>
      <c r="D1639" s="1">
        <v>693</v>
      </c>
      <c r="E1639" s="3">
        <f t="shared" si="12"/>
        <v>0.56194690265486724</v>
      </c>
      <c r="F1639" s="1" t="s">
        <v>178</v>
      </c>
      <c r="G1639" s="1" t="s">
        <v>24</v>
      </c>
      <c r="H1639" s="1">
        <v>136164</v>
      </c>
      <c r="I1639" s="1">
        <v>205229</v>
      </c>
      <c r="J1639" s="7">
        <v>0.66300000000000003</v>
      </c>
      <c r="K1639" s="1" t="s">
        <v>21</v>
      </c>
      <c r="L1639" s="1" t="s">
        <v>21</v>
      </c>
      <c r="M1639" s="1" t="s">
        <v>29</v>
      </c>
      <c r="N1639" s="1" t="s">
        <v>22</v>
      </c>
      <c r="O1639" s="1" t="str">
        <f t="shared" ca="1" si="13"/>
        <v>Please solve the LeetCode problem '592. Fraction Addition and Subtraction'.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40" spans="1:15" x14ac:dyDescent="0.25">
      <c r="A1640" s="1">
        <v>882</v>
      </c>
      <c r="B1640" s="2" t="str">
        <f>HYPERLINK("https://leetcode.com/problems/reachable-nodes-in-subdivided-graph/", "Reachable Nodes In Subdivided Graph")</f>
        <v>Reachable Nodes In Subdivided Graph</v>
      </c>
      <c r="C1640" s="1">
        <v>888</v>
      </c>
      <c r="D1640" s="1">
        <v>229</v>
      </c>
      <c r="E1640" s="3">
        <f t="shared" si="12"/>
        <v>0.79498657117278426</v>
      </c>
      <c r="F1640" s="1" t="s">
        <v>737</v>
      </c>
      <c r="G1640" s="1" t="s">
        <v>28</v>
      </c>
      <c r="H1640" s="1">
        <v>36095</v>
      </c>
      <c r="I1640" s="1">
        <v>69882</v>
      </c>
      <c r="J1640" s="7">
        <v>0.51700000000000002</v>
      </c>
      <c r="K1640" s="1" t="s">
        <v>21</v>
      </c>
      <c r="L1640" s="1" t="s">
        <v>21</v>
      </c>
      <c r="M1640" s="1" t="s">
        <v>29</v>
      </c>
      <c r="N1640" s="1" t="s">
        <v>22</v>
      </c>
      <c r="O1640" s="1" t="str">
        <f t="shared" ca="1" si="13"/>
        <v>Please solve the LeetCode problem '882. Reachable Nodes In Subdivided Graph'.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41" spans="1:15" x14ac:dyDescent="0.25">
      <c r="A1641" s="1">
        <v>1153</v>
      </c>
      <c r="B1641" s="2" t="str">
        <f>HYPERLINK("https://leetcode.com/problems/string-transforms-into-another-string/", "String Transforms Into Another String")</f>
        <v>String Transforms Into Another String</v>
      </c>
      <c r="C1641" s="1">
        <v>888</v>
      </c>
      <c r="D1641" s="1">
        <v>339</v>
      </c>
      <c r="E1641" s="3">
        <f t="shared" si="12"/>
        <v>0.72371638141809291</v>
      </c>
      <c r="F1641" s="1" t="s">
        <v>743</v>
      </c>
      <c r="G1641" s="1" t="s">
        <v>28</v>
      </c>
      <c r="H1641" s="1">
        <v>54126</v>
      </c>
      <c r="I1641" s="1">
        <v>156122</v>
      </c>
      <c r="J1641" s="7">
        <v>0.34699999999999998</v>
      </c>
      <c r="K1641" s="1" t="s">
        <v>29</v>
      </c>
      <c r="L1641" s="1" t="s">
        <v>21</v>
      </c>
      <c r="M1641" s="1" t="s">
        <v>29</v>
      </c>
      <c r="N1641" s="1" t="s">
        <v>22</v>
      </c>
      <c r="O1641" s="1" t="str">
        <f t="shared" ca="1" si="13"/>
        <v>Please solve the LeetCode problem '1153. String Transforms Into Another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42" spans="1:15" x14ac:dyDescent="0.25">
      <c r="A1642" s="1">
        <v>742</v>
      </c>
      <c r="B1642" s="2" t="str">
        <f>HYPERLINK("https://leetcode.com/problems/closest-leaf-in-a-binary-tree/", "Closest Leaf in a Binary Tree")</f>
        <v>Closest Leaf in a Binary Tree</v>
      </c>
      <c r="C1642" s="1">
        <v>887</v>
      </c>
      <c r="D1642" s="1">
        <v>189</v>
      </c>
      <c r="E1642" s="3">
        <f t="shared" si="12"/>
        <v>0.82434944237918217</v>
      </c>
      <c r="F1642" s="1" t="s">
        <v>80</v>
      </c>
      <c r="G1642" s="1" t="s">
        <v>24</v>
      </c>
      <c r="H1642" s="1">
        <v>55099</v>
      </c>
      <c r="I1642" s="1">
        <v>116366</v>
      </c>
      <c r="J1642" s="7">
        <v>0.47299999999999998</v>
      </c>
      <c r="K1642" s="1" t="s">
        <v>29</v>
      </c>
      <c r="L1642" s="1" t="s">
        <v>21</v>
      </c>
      <c r="M1642" s="1" t="s">
        <v>29</v>
      </c>
      <c r="N1642" s="1" t="s">
        <v>22</v>
      </c>
      <c r="O1642" s="1" t="str">
        <f t="shared" ca="1" si="13"/>
        <v>Please solve the LeetCode problem '742. Closest Leaf in a Binary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43" spans="1:15" x14ac:dyDescent="0.25">
      <c r="A1643" s="1">
        <v>1349</v>
      </c>
      <c r="B1643" s="2" t="str">
        <f>HYPERLINK("https://leetcode.com/problems/maximum-students-taking-exam/", "Maximum Students Taking Exam")</f>
        <v>Maximum Students Taking Exam</v>
      </c>
      <c r="C1643" s="1">
        <v>887</v>
      </c>
      <c r="D1643" s="1">
        <v>19</v>
      </c>
      <c r="E1643" s="3">
        <f t="shared" si="12"/>
        <v>0.97902869757174393</v>
      </c>
      <c r="F1643" s="1" t="s">
        <v>1371</v>
      </c>
      <c r="G1643" s="1" t="s">
        <v>28</v>
      </c>
      <c r="H1643" s="1">
        <v>22421</v>
      </c>
      <c r="I1643" s="1">
        <v>42086</v>
      </c>
      <c r="J1643" s="7">
        <v>0.53300000000000003</v>
      </c>
      <c r="K1643" s="1" t="s">
        <v>21</v>
      </c>
      <c r="L1643" s="1" t="s">
        <v>29</v>
      </c>
      <c r="M1643" s="1" t="s">
        <v>29</v>
      </c>
      <c r="N1643" s="1" t="s">
        <v>22</v>
      </c>
      <c r="O1643" s="1" t="str">
        <f t="shared" ca="1" si="13"/>
        <v>Please solve the LeetCode problem '1349. Maximum Students Taking Exam'.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44" spans="1:15" x14ac:dyDescent="0.25">
      <c r="A1644" s="1">
        <v>1844</v>
      </c>
      <c r="B1644" s="2" t="str">
        <f>HYPERLINK("https://leetcode.com/problems/replace-all-digits-with-characters/", "Replace All Digits with Characters")</f>
        <v>Replace All Digits with Characters</v>
      </c>
      <c r="C1644" s="1">
        <v>886</v>
      </c>
      <c r="D1644" s="1">
        <v>116</v>
      </c>
      <c r="E1644" s="3">
        <f t="shared" si="12"/>
        <v>0.88423153692614775</v>
      </c>
      <c r="F1644" s="1" t="s">
        <v>146</v>
      </c>
      <c r="G1644" s="1" t="s">
        <v>20</v>
      </c>
      <c r="H1644" s="1">
        <v>111177</v>
      </c>
      <c r="I1644" s="1">
        <v>134686</v>
      </c>
      <c r="J1644" s="7">
        <v>0.82499999999999996</v>
      </c>
      <c r="K1644" s="1" t="s">
        <v>21</v>
      </c>
      <c r="L1644" s="1" t="s">
        <v>29</v>
      </c>
      <c r="M1644" s="1" t="s">
        <v>29</v>
      </c>
      <c r="N1644" s="1" t="s">
        <v>22</v>
      </c>
      <c r="O1644" s="1" t="str">
        <f t="shared" ca="1" si="13"/>
        <v>Please solve the LeetCode problem '1844. Replace All Digits with Characters'.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45" spans="1:15" x14ac:dyDescent="0.25">
      <c r="A1645" s="1">
        <v>1263</v>
      </c>
      <c r="B1645" s="2" t="str">
        <f>HYPERLINK("https://leetcode.com/problems/minimum-moves-to-move-a-box-to-their-target-location/", "Minimum Moves to Move a Box to Their Target Location")</f>
        <v>Minimum Moves to Move a Box to Their Target Location</v>
      </c>
      <c r="C1645" s="1">
        <v>885</v>
      </c>
      <c r="D1645" s="1">
        <v>59</v>
      </c>
      <c r="E1645" s="3">
        <f t="shared" si="12"/>
        <v>0.9375</v>
      </c>
      <c r="F1645" s="1" t="s">
        <v>261</v>
      </c>
      <c r="G1645" s="1" t="s">
        <v>28</v>
      </c>
      <c r="H1645" s="1">
        <v>31474</v>
      </c>
      <c r="I1645" s="1">
        <v>63734</v>
      </c>
      <c r="J1645" s="7">
        <v>0.49399999999999999</v>
      </c>
      <c r="K1645" s="1" t="s">
        <v>21</v>
      </c>
      <c r="L1645" s="1" t="s">
        <v>29</v>
      </c>
      <c r="M1645" s="1" t="s">
        <v>29</v>
      </c>
      <c r="N1645" s="1" t="s">
        <v>22</v>
      </c>
      <c r="O1645" s="1" t="str">
        <f t="shared" ca="1" si="13"/>
        <v>Please solve the LeetCode problem '1263. Minimum Moves to Move a Box to Their Target Location'.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46" spans="1:15" x14ac:dyDescent="0.25">
      <c r="A1646" s="1">
        <v>158</v>
      </c>
      <c r="B1646" s="2" t="str">
        <f>HYPERLINK("https://leetcode.com/problems/read-n-characters-given-read4-ii-call-multiple-times/", "Read N Characters Given read4 II - Call Multiple Times")</f>
        <v>Read N Characters Given read4 II - Call Multiple Times</v>
      </c>
      <c r="C1646" s="1">
        <v>884</v>
      </c>
      <c r="D1646" s="1">
        <v>1819</v>
      </c>
      <c r="E1646" s="3">
        <f t="shared" si="12"/>
        <v>0.32704402515723269</v>
      </c>
      <c r="F1646" s="1" t="s">
        <v>744</v>
      </c>
      <c r="G1646" s="1" t="s">
        <v>28</v>
      </c>
      <c r="H1646" s="1">
        <v>195729</v>
      </c>
      <c r="I1646" s="1">
        <v>453281</v>
      </c>
      <c r="J1646" s="7">
        <v>0.432</v>
      </c>
      <c r="K1646" s="1" t="s">
        <v>29</v>
      </c>
      <c r="L1646" s="1" t="s">
        <v>29</v>
      </c>
      <c r="M1646" s="1" t="s">
        <v>29</v>
      </c>
      <c r="N1646" s="1" t="s">
        <v>22</v>
      </c>
      <c r="O1646" s="1" t="str">
        <f t="shared" ca="1" si="13"/>
        <v>Please solve the LeetCode problem '158. Read N Characters Given read4 II - Call Multiple Times'.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47" spans="1:15" x14ac:dyDescent="0.25">
      <c r="A1647" s="1">
        <v>423</v>
      </c>
      <c r="B1647" s="2" t="str">
        <f>HYPERLINK("https://leetcode.com/problems/reconstruct-original-digits-from-english/", "Reconstruct Original Digits from English")</f>
        <v>Reconstruct Original Digits from English</v>
      </c>
      <c r="C1647" s="1">
        <v>884</v>
      </c>
      <c r="D1647" s="1">
        <v>2802</v>
      </c>
      <c r="E1647" s="3">
        <f t="shared" si="12"/>
        <v>0.23982637004883342</v>
      </c>
      <c r="F1647" s="1" t="s">
        <v>75</v>
      </c>
      <c r="G1647" s="1" t="s">
        <v>24</v>
      </c>
      <c r="H1647" s="1">
        <v>97197</v>
      </c>
      <c r="I1647" s="1">
        <v>184706</v>
      </c>
      <c r="J1647" s="7">
        <v>0.52600000000000002</v>
      </c>
      <c r="K1647" s="1" t="s">
        <v>21</v>
      </c>
      <c r="L1647" s="1" t="s">
        <v>21</v>
      </c>
      <c r="M1647" s="1" t="s">
        <v>29</v>
      </c>
      <c r="N1647" s="1" t="s">
        <v>22</v>
      </c>
      <c r="O1647" s="1" t="str">
        <f t="shared" ca="1" si="13"/>
        <v>Please solve the LeetCode problem '423. Reconstruct Original Digits from English'.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48" spans="1:15" x14ac:dyDescent="0.25">
      <c r="A1648" s="1">
        <v>1542</v>
      </c>
      <c r="B1648" s="2" t="str">
        <f>HYPERLINK("https://leetcode.com/problems/find-longest-awesome-substring/", "Find Longest Awesome Substring")</f>
        <v>Find Longest Awesome Substring</v>
      </c>
      <c r="C1648" s="1">
        <v>884</v>
      </c>
      <c r="D1648" s="1">
        <v>16</v>
      </c>
      <c r="E1648" s="3">
        <f t="shared" si="12"/>
        <v>0.98222222222222222</v>
      </c>
      <c r="F1648" s="1" t="s">
        <v>686</v>
      </c>
      <c r="G1648" s="1" t="s">
        <v>28</v>
      </c>
      <c r="H1648" s="1">
        <v>19510</v>
      </c>
      <c r="I1648" s="1">
        <v>42160</v>
      </c>
      <c r="J1648" s="7">
        <v>0.46300000000000002</v>
      </c>
      <c r="K1648" s="1" t="s">
        <v>21</v>
      </c>
      <c r="L1648" s="1" t="s">
        <v>29</v>
      </c>
      <c r="M1648" s="1" t="s">
        <v>29</v>
      </c>
      <c r="N1648" s="1" t="s">
        <v>22</v>
      </c>
      <c r="O1648" s="1" t="str">
        <f t="shared" ca="1" si="13"/>
        <v>Please solve the LeetCode problem '1542. Find Longest Awesome Substring'.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49" spans="1:15" x14ac:dyDescent="0.25">
      <c r="A1649" s="1">
        <v>504</v>
      </c>
      <c r="B1649" s="2" t="str">
        <f>HYPERLINK("https://leetcode.com/problems/base-7/", "Base 7")</f>
        <v>Base 7</v>
      </c>
      <c r="C1649" s="1">
        <v>880</v>
      </c>
      <c r="D1649" s="1">
        <v>239</v>
      </c>
      <c r="E1649" s="3">
        <f t="shared" si="12"/>
        <v>0.78641644325290438</v>
      </c>
      <c r="F1649" s="1" t="s">
        <v>228</v>
      </c>
      <c r="G1649" s="1" t="s">
        <v>20</v>
      </c>
      <c r="H1649" s="1">
        <v>193120</v>
      </c>
      <c r="I1649" s="1">
        <v>360761</v>
      </c>
      <c r="J1649" s="7">
        <v>0.53500000000000003</v>
      </c>
      <c r="K1649" s="1" t="s">
        <v>21</v>
      </c>
      <c r="L1649" s="1" t="s">
        <v>29</v>
      </c>
      <c r="M1649" s="1" t="s">
        <v>29</v>
      </c>
      <c r="N1649" s="1" t="s">
        <v>22</v>
      </c>
      <c r="O1649" s="1" t="str">
        <f t="shared" ca="1" si="13"/>
        <v>Please solve the LeetCode problem '504. Base 7'.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50" spans="1:15" x14ac:dyDescent="0.25">
      <c r="A1650" s="1">
        <v>585</v>
      </c>
      <c r="B1650" s="2" t="str">
        <f>HYPERLINK("https://leetcode.com/problems/investments-in-2016/", "Investments in 2016")</f>
        <v>Investments in 2016</v>
      </c>
      <c r="C1650" s="1">
        <v>880</v>
      </c>
      <c r="D1650" s="1">
        <v>622</v>
      </c>
      <c r="E1650" s="3">
        <f t="shared" si="12"/>
        <v>0.58588548601864177</v>
      </c>
      <c r="F1650" s="1" t="s">
        <v>297</v>
      </c>
      <c r="G1650" s="1" t="s">
        <v>24</v>
      </c>
      <c r="H1650" s="1">
        <v>282877</v>
      </c>
      <c r="I1650" s="1">
        <v>557797</v>
      </c>
      <c r="J1650" s="7">
        <v>0.50700000000000001</v>
      </c>
      <c r="K1650" s="1" t="s">
        <v>21</v>
      </c>
      <c r="L1650" s="1" t="s">
        <v>21</v>
      </c>
      <c r="M1650" s="1" t="s">
        <v>29</v>
      </c>
      <c r="N1650" s="1" t="s">
        <v>297</v>
      </c>
      <c r="O1650" s="1" t="str">
        <f t="shared" ca="1" si="13"/>
        <v>Please solve the LeetCode problem '585. Investments in 2016'.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51" spans="1:15" x14ac:dyDescent="0.25">
      <c r="A1651" s="1">
        <v>1705</v>
      </c>
      <c r="B1651" s="2" t="str">
        <f>HYPERLINK("https://leetcode.com/problems/maximum-number-of-eaten-apples/", "Maximum Number of Eaten Apples")</f>
        <v>Maximum Number of Eaten Apples</v>
      </c>
      <c r="C1651" s="1">
        <v>880</v>
      </c>
      <c r="D1651" s="1">
        <v>198</v>
      </c>
      <c r="E1651" s="3">
        <f t="shared" si="12"/>
        <v>0.81632653061224492</v>
      </c>
      <c r="F1651" s="1" t="s">
        <v>221</v>
      </c>
      <c r="G1651" s="1" t="s">
        <v>24</v>
      </c>
      <c r="H1651" s="1">
        <v>30569</v>
      </c>
      <c r="I1651" s="1">
        <v>72483</v>
      </c>
      <c r="J1651" s="7">
        <v>0.42199999999999999</v>
      </c>
      <c r="K1651" s="1" t="s">
        <v>21</v>
      </c>
      <c r="L1651" s="1" t="s">
        <v>21</v>
      </c>
      <c r="M1651" s="1" t="s">
        <v>29</v>
      </c>
      <c r="N1651" s="1" t="s">
        <v>22</v>
      </c>
      <c r="O1651" s="1" t="str">
        <f t="shared" ca="1" si="13"/>
        <v>Please solve the LeetCode problem '1705. Maximum Number of Eaten Apples'.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52" spans="1:15" x14ac:dyDescent="0.25">
      <c r="A1652" s="1">
        <v>1390</v>
      </c>
      <c r="B1652" s="2" t="str">
        <f>HYPERLINK("https://leetcode.com/problems/four-divisors/", "Four Divisors")</f>
        <v>Four Divisors</v>
      </c>
      <c r="C1652" s="1">
        <v>879</v>
      </c>
      <c r="D1652" s="1">
        <v>219</v>
      </c>
      <c r="E1652" s="3">
        <f t="shared" si="12"/>
        <v>0.80054644808743169</v>
      </c>
      <c r="F1652" s="1" t="s">
        <v>115</v>
      </c>
      <c r="G1652" s="1" t="s">
        <v>24</v>
      </c>
      <c r="H1652" s="1">
        <v>189050</v>
      </c>
      <c r="I1652" s="1">
        <v>333596</v>
      </c>
      <c r="J1652" s="7">
        <v>0.56699999999999995</v>
      </c>
      <c r="K1652" s="1" t="s">
        <v>21</v>
      </c>
      <c r="L1652" s="1" t="s">
        <v>21</v>
      </c>
      <c r="M1652" s="1" t="s">
        <v>29</v>
      </c>
      <c r="N1652" s="1" t="s">
        <v>22</v>
      </c>
      <c r="O1652" s="1" t="str">
        <f t="shared" ca="1" si="13"/>
        <v>Please solve the LeetCode problem '1390. Four Divisors'.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53" spans="1:15" x14ac:dyDescent="0.25">
      <c r="A1653" s="1">
        <v>1520</v>
      </c>
      <c r="B1653" s="2" t="str">
        <f>HYPERLINK("https://leetcode.com/problems/maximum-number-of-non-overlapping-substrings/", "Maximum Number of Non-Overlapping Substrings")</f>
        <v>Maximum Number of Non-Overlapping Substrings</v>
      </c>
      <c r="C1653" s="1">
        <v>879</v>
      </c>
      <c r="D1653" s="1">
        <v>86</v>
      </c>
      <c r="E1653" s="3">
        <f t="shared" si="12"/>
        <v>0.91088082901554401</v>
      </c>
      <c r="F1653" s="1" t="s">
        <v>424</v>
      </c>
      <c r="G1653" s="1" t="s">
        <v>28</v>
      </c>
      <c r="H1653" s="1">
        <v>23497</v>
      </c>
      <c r="I1653" s="1">
        <v>57080</v>
      </c>
      <c r="J1653" s="7">
        <v>0.41199999999999998</v>
      </c>
      <c r="K1653" s="1" t="s">
        <v>21</v>
      </c>
      <c r="L1653" s="1" t="s">
        <v>29</v>
      </c>
      <c r="M1653" s="1" t="s">
        <v>29</v>
      </c>
      <c r="N1653" s="1" t="s">
        <v>22</v>
      </c>
      <c r="O1653" s="1" t="str">
        <f t="shared" ca="1" si="13"/>
        <v>Please solve the LeetCode problem '1520. Maximum Number of Non-Overlapping Substrings'.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54" spans="1:15" x14ac:dyDescent="0.25">
      <c r="A1654" s="1">
        <v>1391</v>
      </c>
      <c r="B1654" s="2" t="str">
        <f>HYPERLINK("https://leetcode.com/problems/check-if-there-is-a-valid-path-in-a-grid/", "Check if There is a Valid Path in a Grid")</f>
        <v>Check if There is a Valid Path in a Grid</v>
      </c>
      <c r="C1654" s="1">
        <v>878</v>
      </c>
      <c r="D1654" s="1">
        <v>326</v>
      </c>
      <c r="E1654" s="3">
        <f t="shared" si="12"/>
        <v>0.72923588039867104</v>
      </c>
      <c r="F1654" s="1" t="s">
        <v>40</v>
      </c>
      <c r="G1654" s="1" t="s">
        <v>24</v>
      </c>
      <c r="H1654" s="1">
        <v>36590</v>
      </c>
      <c r="I1654" s="1">
        <v>73374</v>
      </c>
      <c r="J1654" s="7">
        <v>0.499</v>
      </c>
      <c r="K1654" s="1" t="s">
        <v>21</v>
      </c>
      <c r="L1654" s="1" t="s">
        <v>29</v>
      </c>
      <c r="M1654" s="1" t="s">
        <v>29</v>
      </c>
      <c r="N1654" s="1" t="s">
        <v>22</v>
      </c>
      <c r="O1654" s="1" t="str">
        <f t="shared" ca="1" si="13"/>
        <v>Please solve the LeetCode problem '1391. Check if There is a Valid Path in a Grid'.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55" spans="1:15" x14ac:dyDescent="0.25">
      <c r="A1655" s="1">
        <v>1779</v>
      </c>
      <c r="B1655" s="2" t="str">
        <f>HYPERLINK("https://leetcode.com/problems/find-nearest-point-that-has-the-same-x-or-y-coordinate/", "Find Nearest Point That Has the Same X or Y Coordinate")</f>
        <v>Find Nearest Point That Has the Same X or Y Coordinate</v>
      </c>
      <c r="C1655" s="1">
        <v>878</v>
      </c>
      <c r="D1655" s="1">
        <v>190</v>
      </c>
      <c r="E1655" s="3">
        <f t="shared" si="12"/>
        <v>0.82209737827715357</v>
      </c>
      <c r="F1655" s="1" t="s">
        <v>113</v>
      </c>
      <c r="G1655" s="1" t="s">
        <v>20</v>
      </c>
      <c r="H1655" s="1">
        <v>131903</v>
      </c>
      <c r="I1655" s="1">
        <v>188924</v>
      </c>
      <c r="J1655" s="7">
        <v>0.69799999999999995</v>
      </c>
      <c r="K1655" s="1" t="s">
        <v>21</v>
      </c>
      <c r="L1655" s="1" t="s">
        <v>29</v>
      </c>
      <c r="M1655" s="1" t="s">
        <v>29</v>
      </c>
      <c r="N1655" s="1" t="s">
        <v>22</v>
      </c>
      <c r="O1655" s="1" t="str">
        <f t="shared" ca="1" si="13"/>
        <v>Please solve the LeetCode problem '1779. Find Nearest Point That Has the Same X or Y Coordinate'.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56" spans="1:15" x14ac:dyDescent="0.25">
      <c r="A1656" s="1">
        <v>2665</v>
      </c>
      <c r="B1656" s="2" t="str">
        <f>HYPERLINK("https://leetcode.com/problems/counter-ii/", "Counter II")</f>
        <v>Counter II</v>
      </c>
      <c r="C1656" s="1">
        <v>876</v>
      </c>
      <c r="D1656" s="1">
        <v>36</v>
      </c>
      <c r="E1656" s="3">
        <f t="shared" si="12"/>
        <v>0.96052631578947367</v>
      </c>
      <c r="G1656" s="1" t="s">
        <v>20</v>
      </c>
      <c r="H1656" s="1">
        <v>364428</v>
      </c>
      <c r="I1656" s="1">
        <v>448919</v>
      </c>
      <c r="J1656" s="7">
        <v>0.81200000000000006</v>
      </c>
      <c r="K1656" s="1" t="s">
        <v>21</v>
      </c>
      <c r="L1656" s="1" t="s">
        <v>21</v>
      </c>
      <c r="M1656" s="1" t="s">
        <v>29</v>
      </c>
      <c r="N1656" s="1" t="s">
        <v>555</v>
      </c>
      <c r="O1656" s="1" t="str">
        <f t="shared" ca="1" si="13"/>
        <v>Please solve the LeetCode problem '2665. Counter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57" spans="1:15" x14ac:dyDescent="0.25">
      <c r="A1657" s="1">
        <v>2825</v>
      </c>
      <c r="B1657" s="2" t="str">
        <f>HYPERLINK("https://leetcode.com/problems/make-string-a-subsequence-using-cyclic-increments/", "Make String a Subsequence Using Cyclic Increments")</f>
        <v>Make String a Subsequence Using Cyclic Increments</v>
      </c>
      <c r="C1657" s="1">
        <v>876</v>
      </c>
      <c r="D1657" s="1">
        <v>71</v>
      </c>
      <c r="E1657" s="3">
        <f t="shared" si="12"/>
        <v>0.925026399155227</v>
      </c>
      <c r="F1657" s="1" t="s">
        <v>117</v>
      </c>
      <c r="G1657" s="1" t="s">
        <v>24</v>
      </c>
      <c r="H1657" s="1">
        <v>162006</v>
      </c>
      <c r="I1657" s="1">
        <v>246672</v>
      </c>
      <c r="J1657" s="7">
        <v>0.65700000000000003</v>
      </c>
      <c r="K1657" s="1" t="s">
        <v>21</v>
      </c>
      <c r="L1657" s="1" t="s">
        <v>21</v>
      </c>
      <c r="M1657" s="1" t="s">
        <v>29</v>
      </c>
      <c r="N1657" s="1" t="s">
        <v>22</v>
      </c>
      <c r="O1657" s="1" t="str">
        <f t="shared" ca="1" si="13"/>
        <v>Please solve the LeetCode problem '2825. Make String a Subsequence Using Cyclic Increments'.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58" spans="1:15" x14ac:dyDescent="0.25">
      <c r="A1658" s="1">
        <v>2530</v>
      </c>
      <c r="B1658" s="2" t="str">
        <f>HYPERLINK("https://leetcode.com/problems/maximal-score-after-applying-k-operations/", "Maximal Score After Applying K Operations")</f>
        <v>Maximal Score After Applying K Operations</v>
      </c>
      <c r="C1658" s="1">
        <v>875</v>
      </c>
      <c r="D1658" s="1">
        <v>52</v>
      </c>
      <c r="E1658" s="3">
        <f t="shared" si="12"/>
        <v>0.94390507011866231</v>
      </c>
      <c r="F1658" s="1" t="s">
        <v>221</v>
      </c>
      <c r="G1658" s="1" t="s">
        <v>24</v>
      </c>
      <c r="H1658" s="1">
        <v>162090</v>
      </c>
      <c r="I1658" s="1">
        <v>253354</v>
      </c>
      <c r="J1658" s="7">
        <v>0.64</v>
      </c>
      <c r="K1658" s="1" t="s">
        <v>21</v>
      </c>
      <c r="L1658" s="1" t="s">
        <v>21</v>
      </c>
      <c r="M1658" s="1" t="s">
        <v>29</v>
      </c>
      <c r="N1658" s="1" t="s">
        <v>22</v>
      </c>
      <c r="O1658" s="1" t="str">
        <f t="shared" ca="1" si="13"/>
        <v>Please solve the LeetCode problem '2530. Maximal Score After Applying K Operations'.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59" spans="1:15" x14ac:dyDescent="0.25">
      <c r="A1659" s="1">
        <v>825</v>
      </c>
      <c r="B1659" s="2" t="str">
        <f>HYPERLINK("https://leetcode.com/problems/friends-of-appropriate-ages/", "Friends Of Appropriate Ages")</f>
        <v>Friends Of Appropriate Ages</v>
      </c>
      <c r="C1659" s="1">
        <v>873</v>
      </c>
      <c r="D1659" s="1">
        <v>1275</v>
      </c>
      <c r="E1659" s="3">
        <f t="shared" si="12"/>
        <v>0.40642458100558659</v>
      </c>
      <c r="F1659" s="1" t="s">
        <v>277</v>
      </c>
      <c r="G1659" s="1" t="s">
        <v>24</v>
      </c>
      <c r="H1659" s="1">
        <v>125941</v>
      </c>
      <c r="I1659" s="1">
        <v>253290</v>
      </c>
      <c r="J1659" s="7">
        <v>0.497</v>
      </c>
      <c r="K1659" s="1" t="s">
        <v>21</v>
      </c>
      <c r="L1659" s="1" t="s">
        <v>21</v>
      </c>
      <c r="M1659" s="1" t="s">
        <v>29</v>
      </c>
      <c r="N1659" s="1" t="s">
        <v>22</v>
      </c>
      <c r="O1659" s="1" t="str">
        <f t="shared" ca="1" si="13"/>
        <v>Please solve the LeetCode problem '825. Friends Of Appropriate Ages'.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60" spans="1:15" x14ac:dyDescent="0.25">
      <c r="A1660" s="1">
        <v>2536</v>
      </c>
      <c r="B1660" s="2" t="str">
        <f>HYPERLINK("https://leetcode.com/problems/increment-submatrices-by-one/", "Increment Submatrices by One")</f>
        <v>Increment Submatrices by One</v>
      </c>
      <c r="C1660" s="1">
        <v>872</v>
      </c>
      <c r="D1660" s="1">
        <v>81</v>
      </c>
      <c r="E1660" s="3">
        <f t="shared" si="12"/>
        <v>0.91500524658971671</v>
      </c>
      <c r="F1660" s="1" t="s">
        <v>425</v>
      </c>
      <c r="G1660" s="1" t="s">
        <v>24</v>
      </c>
      <c r="H1660" s="1">
        <v>105615</v>
      </c>
      <c r="I1660" s="1">
        <v>143008</v>
      </c>
      <c r="J1660" s="7">
        <v>0.73899999999999999</v>
      </c>
      <c r="K1660" s="1" t="s">
        <v>21</v>
      </c>
      <c r="L1660" s="1" t="s">
        <v>21</v>
      </c>
      <c r="M1660" s="1" t="s">
        <v>29</v>
      </c>
      <c r="N1660" s="1" t="s">
        <v>22</v>
      </c>
      <c r="O1660" s="1" t="str">
        <f t="shared" ca="1" si="13"/>
        <v>Please solve the LeetCode problem '2536. Increment Submatrices by One'.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61" spans="1:15" x14ac:dyDescent="0.25">
      <c r="A1661" s="1">
        <v>2642</v>
      </c>
      <c r="B1661" s="2" t="str">
        <f>HYPERLINK("https://leetcode.com/problems/design-graph-with-shortest-path-calculator/", "Design Graph With Shortest Path Calculator")</f>
        <v>Design Graph With Shortest Path Calculator</v>
      </c>
      <c r="C1661" s="1">
        <v>871</v>
      </c>
      <c r="D1661" s="1">
        <v>59</v>
      </c>
      <c r="E1661" s="3">
        <f t="shared" si="12"/>
        <v>0.9365591397849462</v>
      </c>
      <c r="F1661" s="1" t="s">
        <v>746</v>
      </c>
      <c r="G1661" s="1" t="s">
        <v>28</v>
      </c>
      <c r="H1661" s="1">
        <v>77130</v>
      </c>
      <c r="I1661" s="1">
        <v>119264</v>
      </c>
      <c r="J1661" s="7">
        <v>0.64700000000000002</v>
      </c>
      <c r="K1661" s="1" t="s">
        <v>21</v>
      </c>
      <c r="L1661" s="1" t="s">
        <v>21</v>
      </c>
      <c r="M1661" s="1" t="s">
        <v>29</v>
      </c>
      <c r="N1661" s="1" t="s">
        <v>22</v>
      </c>
      <c r="O1661" s="1" t="str">
        <f t="shared" ca="1" si="13"/>
        <v>Please solve the LeetCode problem '2642. Design Graph With Shortest Path Calculator'.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62" spans="1:15" x14ac:dyDescent="0.25">
      <c r="A1662" s="1">
        <v>2938</v>
      </c>
      <c r="B1662" s="2" t="str">
        <f>HYPERLINK("https://leetcode.com/problems/separate-black-and-white-balls/", "Separate Black and White Balls")</f>
        <v>Separate Black and White Balls</v>
      </c>
      <c r="C1662" s="1">
        <v>871</v>
      </c>
      <c r="D1662" s="1">
        <v>43</v>
      </c>
      <c r="E1662" s="3">
        <f t="shared" si="12"/>
        <v>0.95295404814004381</v>
      </c>
      <c r="F1662" s="1" t="s">
        <v>158</v>
      </c>
      <c r="G1662" s="1" t="s">
        <v>24</v>
      </c>
      <c r="H1662" s="1">
        <v>178524</v>
      </c>
      <c r="I1662" s="1">
        <v>279034</v>
      </c>
      <c r="J1662" s="7">
        <v>0.64</v>
      </c>
      <c r="K1662" s="1" t="s">
        <v>21</v>
      </c>
      <c r="L1662" s="1" t="s">
        <v>21</v>
      </c>
      <c r="M1662" s="1" t="s">
        <v>29</v>
      </c>
      <c r="N1662" s="1" t="s">
        <v>22</v>
      </c>
      <c r="O1662" s="1" t="str">
        <f t="shared" ca="1" si="13"/>
        <v>Please solve the LeetCode problem '2938. Separate Black and White Balls'.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63" spans="1:15" x14ac:dyDescent="0.25">
      <c r="A1663" s="1">
        <v>984</v>
      </c>
      <c r="B1663" s="2" t="str">
        <f>HYPERLINK("https://leetcode.com/problems/string-without-aaa-or-bbb/", "String Without AAA or BBB")</f>
        <v>String Without AAA or BBB</v>
      </c>
      <c r="C1663" s="1">
        <v>869</v>
      </c>
      <c r="D1663" s="1">
        <v>377</v>
      </c>
      <c r="E1663" s="3">
        <f t="shared" si="12"/>
        <v>0.6974317817014446</v>
      </c>
      <c r="F1663" s="1" t="s">
        <v>424</v>
      </c>
      <c r="G1663" s="1" t="s">
        <v>24</v>
      </c>
      <c r="H1663" s="1">
        <v>59292</v>
      </c>
      <c r="I1663" s="1">
        <v>132043</v>
      </c>
      <c r="J1663" s="7">
        <v>0.44900000000000001</v>
      </c>
      <c r="K1663" s="1" t="s">
        <v>21</v>
      </c>
      <c r="L1663" s="1" t="s">
        <v>21</v>
      </c>
      <c r="M1663" s="1" t="s">
        <v>29</v>
      </c>
      <c r="N1663" s="1" t="s">
        <v>22</v>
      </c>
      <c r="O1663" s="1" t="str">
        <f t="shared" ca="1" si="13"/>
        <v>Please solve the LeetCode problem '984. String Without AAA or BBB'.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64" spans="1:15" x14ac:dyDescent="0.25">
      <c r="A1664" s="1">
        <v>1177</v>
      </c>
      <c r="B1664" s="2" t="str">
        <f>HYPERLINK("https://leetcode.com/problems/can-make-palindrome-from-substring/", "Can Make Palindrome from Substring")</f>
        <v>Can Make Palindrome from Substring</v>
      </c>
      <c r="C1664" s="1">
        <v>867</v>
      </c>
      <c r="D1664" s="1">
        <v>281</v>
      </c>
      <c r="E1664" s="3">
        <f t="shared" si="12"/>
        <v>0.75522648083623689</v>
      </c>
      <c r="F1664" s="1" t="s">
        <v>745</v>
      </c>
      <c r="G1664" s="1" t="s">
        <v>24</v>
      </c>
      <c r="H1664" s="1">
        <v>35017</v>
      </c>
      <c r="I1664" s="1">
        <v>85103</v>
      </c>
      <c r="J1664" s="7">
        <v>0.41099999999999998</v>
      </c>
      <c r="K1664" s="1" t="s">
        <v>21</v>
      </c>
      <c r="L1664" s="1" t="s">
        <v>29</v>
      </c>
      <c r="M1664" s="1" t="s">
        <v>29</v>
      </c>
      <c r="N1664" s="1" t="s">
        <v>22</v>
      </c>
      <c r="O1664" s="1" t="str">
        <f t="shared" ca="1" si="13"/>
        <v>Please solve the LeetCode problem '1177. Can Make Palindrome from Substring'.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65" spans="1:15" x14ac:dyDescent="0.25">
      <c r="A1665" s="1">
        <v>2528</v>
      </c>
      <c r="B1665" s="2" t="str">
        <f>HYPERLINK("https://leetcode.com/problems/maximize-the-minimum-powered-city/", "Maximize the Minimum Powered City")</f>
        <v>Maximize the Minimum Powered City</v>
      </c>
      <c r="C1665" s="1">
        <v>866</v>
      </c>
      <c r="D1665" s="1">
        <v>32</v>
      </c>
      <c r="E1665" s="3">
        <f t="shared" si="12"/>
        <v>0.96436525612472157</v>
      </c>
      <c r="F1665" s="1" t="s">
        <v>748</v>
      </c>
      <c r="G1665" s="1" t="s">
        <v>28</v>
      </c>
      <c r="H1665" s="1">
        <v>66526</v>
      </c>
      <c r="I1665" s="1">
        <v>107503</v>
      </c>
      <c r="J1665" s="7">
        <v>0.61899999999999999</v>
      </c>
      <c r="K1665" s="1" t="s">
        <v>21</v>
      </c>
      <c r="L1665" s="1" t="s">
        <v>21</v>
      </c>
      <c r="M1665" s="1" t="s">
        <v>29</v>
      </c>
      <c r="N1665" s="1" t="s">
        <v>22</v>
      </c>
      <c r="O1665" s="1" t="str">
        <f t="shared" ca="1" si="13"/>
        <v>Please solve the LeetCode problem '2528. Maximize the Minimum Powered City'.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66" spans="1:15" x14ac:dyDescent="0.25">
      <c r="A1666" s="1">
        <v>960</v>
      </c>
      <c r="B1666" s="2" t="str">
        <f>HYPERLINK("https://leetcode.com/problems/delete-columns-to-make-sorted-iii/", "Delete Columns to Make Sorted III")</f>
        <v>Delete Columns to Make Sorted III</v>
      </c>
      <c r="C1666" s="1">
        <v>863</v>
      </c>
      <c r="D1666" s="1">
        <v>31</v>
      </c>
      <c r="E1666" s="3">
        <f t="shared" si="12"/>
        <v>0.96532438478747207</v>
      </c>
      <c r="F1666" s="1" t="s">
        <v>225</v>
      </c>
      <c r="G1666" s="1" t="s">
        <v>28</v>
      </c>
      <c r="H1666" s="1">
        <v>72243</v>
      </c>
      <c r="I1666" s="1">
        <v>99422</v>
      </c>
      <c r="J1666" s="7">
        <v>0.72699999999999998</v>
      </c>
      <c r="K1666" s="1" t="s">
        <v>21</v>
      </c>
      <c r="L1666" s="1" t="s">
        <v>21</v>
      </c>
      <c r="M1666" s="1" t="s">
        <v>29</v>
      </c>
      <c r="N1666" s="1" t="s">
        <v>22</v>
      </c>
      <c r="O1666" s="1" t="str">
        <f t="shared" ca="1" si="13"/>
        <v>Please solve the LeetCode problem '960. Delete Columns to Make Sorted III'.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67" spans="1:15" x14ac:dyDescent="0.25">
      <c r="A1667" s="1">
        <v>2258</v>
      </c>
      <c r="B1667" s="2" t="str">
        <f>HYPERLINK("https://leetcode.com/problems/escape-the-spreading-fire/", "Escape the Spreading Fire")</f>
        <v>Escape the Spreading Fire</v>
      </c>
      <c r="C1667" s="1">
        <v>862</v>
      </c>
      <c r="D1667" s="1">
        <v>41</v>
      </c>
      <c r="E1667" s="3">
        <f t="shared" si="12"/>
        <v>0.95459579180509413</v>
      </c>
      <c r="F1667" s="1" t="s">
        <v>747</v>
      </c>
      <c r="G1667" s="1" t="s">
        <v>28</v>
      </c>
      <c r="H1667" s="1">
        <v>18816</v>
      </c>
      <c r="I1667" s="1">
        <v>50555</v>
      </c>
      <c r="J1667" s="7">
        <v>0.372</v>
      </c>
      <c r="K1667" s="1" t="s">
        <v>21</v>
      </c>
      <c r="L1667" s="1" t="s">
        <v>29</v>
      </c>
      <c r="M1667" s="1" t="s">
        <v>29</v>
      </c>
      <c r="N1667" s="1" t="s">
        <v>22</v>
      </c>
      <c r="O1667" s="1" t="str">
        <f t="shared" ca="1" si="13"/>
        <v>Please solve the LeetCode problem '2258. Escape the Spreading Fire'.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68" spans="1:15" x14ac:dyDescent="0.25">
      <c r="A1668" s="1">
        <v>1798</v>
      </c>
      <c r="B1668" s="2" t="str">
        <f>HYPERLINK("https://leetcode.com/problems/maximum-number-of-consecutive-values-you-can-make/", "Maximum Number of Consecutive Values You Can Make")</f>
        <v>Maximum Number of Consecutive Values You Can Make</v>
      </c>
      <c r="C1668" s="1">
        <v>861</v>
      </c>
      <c r="D1668" s="1">
        <v>60</v>
      </c>
      <c r="E1668" s="3">
        <f t="shared" si="12"/>
        <v>0.93485342019543971</v>
      </c>
      <c r="F1668" s="1" t="s">
        <v>169</v>
      </c>
      <c r="G1668" s="1" t="s">
        <v>24</v>
      </c>
      <c r="H1668" s="1">
        <v>25254</v>
      </c>
      <c r="I1668" s="1">
        <v>39925</v>
      </c>
      <c r="J1668" s="7">
        <v>0.63300000000000001</v>
      </c>
      <c r="K1668" s="1" t="s">
        <v>21</v>
      </c>
      <c r="L1668" s="1" t="s">
        <v>29</v>
      </c>
      <c r="M1668" s="1" t="s">
        <v>29</v>
      </c>
      <c r="N1668" s="1" t="s">
        <v>22</v>
      </c>
      <c r="O1668" s="1" t="str">
        <f t="shared" ca="1" si="13"/>
        <v>Please solve the LeetCode problem '1798. Maximum Number of Consecutive Values You Can Make'.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69" spans="1:15" x14ac:dyDescent="0.25">
      <c r="A1669" s="1">
        <v>1817</v>
      </c>
      <c r="B1669" s="2" t="str">
        <f>HYPERLINK("https://leetcode.com/problems/finding-the-users-active-minutes/", "Finding the Users Active Minutes")</f>
        <v>Finding the Users Active Minutes</v>
      </c>
      <c r="C1669" s="1">
        <v>861</v>
      </c>
      <c r="D1669" s="1">
        <v>318</v>
      </c>
      <c r="E1669" s="3">
        <f t="shared" si="12"/>
        <v>0.73027989821882955</v>
      </c>
      <c r="F1669" s="1" t="s">
        <v>19</v>
      </c>
      <c r="G1669" s="1" t="s">
        <v>24</v>
      </c>
      <c r="H1669" s="1">
        <v>68967</v>
      </c>
      <c r="I1669" s="1">
        <v>85389</v>
      </c>
      <c r="J1669" s="7">
        <v>0.80800000000000005</v>
      </c>
      <c r="K1669" s="1" t="s">
        <v>21</v>
      </c>
      <c r="L1669" s="1" t="s">
        <v>29</v>
      </c>
      <c r="M1669" s="1" t="s">
        <v>29</v>
      </c>
      <c r="N1669" s="1" t="s">
        <v>22</v>
      </c>
      <c r="O1669" s="1" t="str">
        <f t="shared" ca="1" si="13"/>
        <v>Please solve the LeetCode problem '1817. Finding the Users Active Minutes'.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70" spans="1:15" x14ac:dyDescent="0.25">
      <c r="A1670" s="1">
        <v>2074</v>
      </c>
      <c r="B1670" s="2" t="str">
        <f>HYPERLINK("https://leetcode.com/problems/reverse-nodes-in-even-length-groups/", "Reverse Nodes in Even Length Groups")</f>
        <v>Reverse Nodes in Even Length Groups</v>
      </c>
      <c r="C1670" s="1">
        <v>860</v>
      </c>
      <c r="D1670" s="1">
        <v>374</v>
      </c>
      <c r="E1670" s="3">
        <f t="shared" si="12"/>
        <v>0.69692058346839547</v>
      </c>
      <c r="F1670" s="1" t="s">
        <v>104</v>
      </c>
      <c r="G1670" s="1" t="s">
        <v>24</v>
      </c>
      <c r="H1670" s="1">
        <v>42943</v>
      </c>
      <c r="I1670" s="1">
        <v>68018</v>
      </c>
      <c r="J1670" s="7">
        <v>0.63100000000000001</v>
      </c>
      <c r="K1670" s="1" t="s">
        <v>21</v>
      </c>
      <c r="L1670" s="1" t="s">
        <v>29</v>
      </c>
      <c r="M1670" s="1" t="s">
        <v>29</v>
      </c>
      <c r="N1670" s="1" t="s">
        <v>22</v>
      </c>
      <c r="O1670" s="1" t="str">
        <f t="shared" ca="1" si="13"/>
        <v>Please solve the LeetCode problem '2074. Reverse Nodes in Even Length Groups'.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71" spans="1:15" x14ac:dyDescent="0.25">
      <c r="A1671" s="1">
        <v>1120</v>
      </c>
      <c r="B1671" s="2" t="str">
        <f>HYPERLINK("https://leetcode.com/problems/maximum-average-subtree/", "Maximum Average Subtree")</f>
        <v>Maximum Average Subtree</v>
      </c>
      <c r="C1671" s="1">
        <v>858</v>
      </c>
      <c r="D1671" s="1">
        <v>36</v>
      </c>
      <c r="E1671" s="3">
        <f t="shared" si="12"/>
        <v>0.95973154362416102</v>
      </c>
      <c r="F1671" s="1" t="s">
        <v>67</v>
      </c>
      <c r="G1671" s="1" t="s">
        <v>24</v>
      </c>
      <c r="H1671" s="1">
        <v>73559</v>
      </c>
      <c r="I1671" s="1">
        <v>109978</v>
      </c>
      <c r="J1671" s="7">
        <v>0.66900000000000004</v>
      </c>
      <c r="K1671" s="1" t="s">
        <v>29</v>
      </c>
      <c r="L1671" s="1" t="s">
        <v>21</v>
      </c>
      <c r="M1671" s="1" t="s">
        <v>29</v>
      </c>
      <c r="N1671" s="1" t="s">
        <v>22</v>
      </c>
      <c r="O1671" s="1" t="str">
        <f t="shared" ca="1" si="13"/>
        <v>Please solve the LeetCode problem '1120. Maximum Average Subtree'.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72" spans="1:15" x14ac:dyDescent="0.25">
      <c r="A1672" s="1">
        <v>2498</v>
      </c>
      <c r="B1672" s="2" t="str">
        <f>HYPERLINK("https://leetcode.com/problems/frog-jump-ii/", "Frog Jump II")</f>
        <v>Frog Jump II</v>
      </c>
      <c r="C1672" s="1">
        <v>856</v>
      </c>
      <c r="D1672" s="1">
        <v>126</v>
      </c>
      <c r="E1672" s="3">
        <f t="shared" si="12"/>
        <v>0.8716904276985743</v>
      </c>
      <c r="F1672" s="1" t="s">
        <v>533</v>
      </c>
      <c r="G1672" s="1" t="s">
        <v>24</v>
      </c>
      <c r="H1672" s="1">
        <v>36326</v>
      </c>
      <c r="I1672" s="1">
        <v>58240</v>
      </c>
      <c r="J1672" s="7">
        <v>0.624</v>
      </c>
      <c r="K1672" s="1" t="s">
        <v>21</v>
      </c>
      <c r="L1672" s="1" t="s">
        <v>29</v>
      </c>
      <c r="M1672" s="1" t="s">
        <v>29</v>
      </c>
      <c r="N1672" s="1" t="s">
        <v>22</v>
      </c>
      <c r="O1672" s="1" t="str">
        <f t="shared" ca="1" si="13"/>
        <v>Please solve the LeetCode problem '2498. Frog Jump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73" spans="1:15" x14ac:dyDescent="0.25">
      <c r="A1673" s="1">
        <v>927</v>
      </c>
      <c r="B1673" s="2" t="str">
        <f>HYPERLINK("https://leetcode.com/problems/three-equal-parts/", "Three Equal Parts")</f>
        <v>Three Equal Parts</v>
      </c>
      <c r="C1673" s="1">
        <v>855</v>
      </c>
      <c r="D1673" s="1">
        <v>125</v>
      </c>
      <c r="E1673" s="3">
        <f t="shared" si="12"/>
        <v>0.87244897959183676</v>
      </c>
      <c r="F1673" s="1" t="s">
        <v>115</v>
      </c>
      <c r="G1673" s="1" t="s">
        <v>28</v>
      </c>
      <c r="H1673" s="1">
        <v>34431</v>
      </c>
      <c r="I1673" s="1">
        <v>83737</v>
      </c>
      <c r="J1673" s="7">
        <v>0.41099999999999998</v>
      </c>
      <c r="K1673" s="1" t="s">
        <v>21</v>
      </c>
      <c r="L1673" s="1" t="s">
        <v>21</v>
      </c>
      <c r="M1673" s="1" t="s">
        <v>29</v>
      </c>
      <c r="N1673" s="1" t="s">
        <v>22</v>
      </c>
      <c r="O1673" s="1" t="str">
        <f t="shared" ca="1" si="13"/>
        <v>Please solve the LeetCode problem '927. Three Equal Parts'.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74" spans="1:15" x14ac:dyDescent="0.25">
      <c r="A1674" s="1">
        <v>1317</v>
      </c>
      <c r="B1674" s="2" t="str">
        <f>HYPERLINK("https://leetcode.com/problems/convert-integer-to-the-sum-of-two-no-zero-integers/", "Convert Integer to the Sum of Two No-Zero Integers")</f>
        <v>Convert Integer to the Sum of Two No-Zero Integers</v>
      </c>
      <c r="C1674" s="1">
        <v>855</v>
      </c>
      <c r="D1674" s="1">
        <v>369</v>
      </c>
      <c r="E1674" s="3">
        <f t="shared" si="12"/>
        <v>0.69852941176470584</v>
      </c>
      <c r="F1674" s="1" t="s">
        <v>84</v>
      </c>
      <c r="G1674" s="1" t="s">
        <v>20</v>
      </c>
      <c r="H1674" s="1">
        <v>203436</v>
      </c>
      <c r="I1674" s="1">
        <v>343659</v>
      </c>
      <c r="J1674" s="7">
        <v>0.59199999999999997</v>
      </c>
      <c r="K1674" s="1" t="s">
        <v>21</v>
      </c>
      <c r="L1674" s="1" t="s">
        <v>21</v>
      </c>
      <c r="M1674" s="1" t="s">
        <v>29</v>
      </c>
      <c r="N1674" s="1" t="s">
        <v>22</v>
      </c>
      <c r="O1674" s="1" t="str">
        <f t="shared" ca="1" si="13"/>
        <v>Please solve the LeetCode problem '1317. Convert Integer to the Sum of Two No-Zero Integers'.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75" spans="1:15" x14ac:dyDescent="0.25">
      <c r="A1675" s="1">
        <v>2709</v>
      </c>
      <c r="B1675" s="2" t="str">
        <f>HYPERLINK("https://leetcode.com/problems/greatest-common-divisor-traversal/", "Greatest Common Divisor Traversal")</f>
        <v>Greatest Common Divisor Traversal</v>
      </c>
      <c r="C1675" s="1">
        <v>855</v>
      </c>
      <c r="D1675" s="1">
        <v>142</v>
      </c>
      <c r="E1675" s="3">
        <f t="shared" si="12"/>
        <v>0.85757271815446334</v>
      </c>
      <c r="F1675" s="1" t="s">
        <v>749</v>
      </c>
      <c r="G1675" s="1" t="s">
        <v>28</v>
      </c>
      <c r="H1675" s="1">
        <v>75769</v>
      </c>
      <c r="I1675" s="1">
        <v>181410</v>
      </c>
      <c r="J1675" s="7">
        <v>0.41799999999999998</v>
      </c>
      <c r="K1675" s="1" t="s">
        <v>21</v>
      </c>
      <c r="L1675" s="1" t="s">
        <v>21</v>
      </c>
      <c r="M1675" s="1" t="s">
        <v>29</v>
      </c>
      <c r="N1675" s="1" t="s">
        <v>22</v>
      </c>
      <c r="O1675" s="1" t="str">
        <f t="shared" ca="1" si="13"/>
        <v>Please solve the LeetCode problem '2709. Greatest Common Divisor Traversal'.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76" spans="1:15" x14ac:dyDescent="0.25">
      <c r="A1676" s="1">
        <v>737</v>
      </c>
      <c r="B1676" s="2" t="str">
        <f>HYPERLINK("https://leetcode.com/problems/sentence-similarity-ii/", "Sentence Similarity II")</f>
        <v>Sentence Similarity II</v>
      </c>
      <c r="C1676" s="1">
        <v>854</v>
      </c>
      <c r="D1676" s="1">
        <v>43</v>
      </c>
      <c r="E1676" s="3">
        <f t="shared" si="12"/>
        <v>0.95206243032329985</v>
      </c>
      <c r="F1676" s="1" t="s">
        <v>433</v>
      </c>
      <c r="G1676" s="1" t="s">
        <v>24</v>
      </c>
      <c r="H1676" s="1">
        <v>78033</v>
      </c>
      <c r="I1676" s="1">
        <v>152851</v>
      </c>
      <c r="J1676" s="7">
        <v>0.51100000000000001</v>
      </c>
      <c r="K1676" s="1" t="s">
        <v>29</v>
      </c>
      <c r="L1676" s="1" t="s">
        <v>21</v>
      </c>
      <c r="M1676" s="1" t="s">
        <v>29</v>
      </c>
      <c r="N1676" s="1" t="s">
        <v>22</v>
      </c>
      <c r="O1676" s="1" t="str">
        <f t="shared" ca="1" si="13"/>
        <v>Please solve the LeetCode problem '737. Sentence Similarity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77" spans="1:15" x14ac:dyDescent="0.25">
      <c r="A1677" s="1">
        <v>2602</v>
      </c>
      <c r="B1677" s="2" t="str">
        <f>HYPERLINK("https://leetcode.com/problems/minimum-operations-to-make-all-array-elements-equal/", "Minimum Operations to Make All Array Elements Equal")</f>
        <v>Minimum Operations to Make All Array Elements Equal</v>
      </c>
      <c r="C1677" s="1">
        <v>853</v>
      </c>
      <c r="D1677" s="1">
        <v>29</v>
      </c>
      <c r="E1677" s="3">
        <f t="shared" si="12"/>
        <v>0.96712018140589573</v>
      </c>
      <c r="F1677" s="1" t="s">
        <v>750</v>
      </c>
      <c r="G1677" s="1" t="s">
        <v>24</v>
      </c>
      <c r="H1677" s="1">
        <v>28214</v>
      </c>
      <c r="I1677" s="1">
        <v>74741</v>
      </c>
      <c r="J1677" s="7">
        <v>0.377</v>
      </c>
      <c r="K1677" s="1" t="s">
        <v>21</v>
      </c>
      <c r="L1677" s="1" t="s">
        <v>29</v>
      </c>
      <c r="M1677" s="1" t="s">
        <v>29</v>
      </c>
      <c r="N1677" s="1" t="s">
        <v>22</v>
      </c>
      <c r="O1677" s="1" t="str">
        <f t="shared" ca="1" si="13"/>
        <v>Please solve the LeetCode problem '2602. Minimum Operations to Make All Array Elements Equal'.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78" spans="1:15" x14ac:dyDescent="0.25">
      <c r="A1678" s="1">
        <v>1527</v>
      </c>
      <c r="B1678" s="2" t="str">
        <f>HYPERLINK("https://leetcode.com/problems/patients-with-a-condition/", "Patients With a Condition")</f>
        <v>Patients With a Condition</v>
      </c>
      <c r="C1678" s="1">
        <v>851</v>
      </c>
      <c r="D1678" s="1">
        <v>643</v>
      </c>
      <c r="E1678" s="3">
        <f t="shared" si="12"/>
        <v>0.56961178045515393</v>
      </c>
      <c r="F1678" s="1" t="s">
        <v>297</v>
      </c>
      <c r="G1678" s="1" t="s">
        <v>20</v>
      </c>
      <c r="H1678" s="1">
        <v>416286</v>
      </c>
      <c r="I1678" s="1">
        <v>1073078</v>
      </c>
      <c r="J1678" s="7">
        <v>0.38800000000000001</v>
      </c>
      <c r="K1678" s="1" t="s">
        <v>21</v>
      </c>
      <c r="L1678" s="1" t="s">
        <v>21</v>
      </c>
      <c r="M1678" s="1" t="s">
        <v>29</v>
      </c>
      <c r="N1678" s="1" t="s">
        <v>297</v>
      </c>
      <c r="O1678" s="1" t="str">
        <f t="shared" ca="1" si="13"/>
        <v>Please solve the LeetCode problem '1527. Patients With a Condition'.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79" spans="1:15" x14ac:dyDescent="0.25">
      <c r="A1679" s="1">
        <v>1731</v>
      </c>
      <c r="B1679" s="2" t="str">
        <f>HYPERLINK("https://leetcode.com/problems/the-number-of-employees-which-report-to-each-employee/", "The Number of Employees Which Report to Each Employee")</f>
        <v>The Number of Employees Which Report to Each Employee</v>
      </c>
      <c r="C1679" s="1">
        <v>849</v>
      </c>
      <c r="D1679" s="1">
        <v>101</v>
      </c>
      <c r="E1679" s="3">
        <f t="shared" si="12"/>
        <v>0.89368421052631575</v>
      </c>
      <c r="F1679" s="1" t="s">
        <v>297</v>
      </c>
      <c r="G1679" s="1" t="s">
        <v>20</v>
      </c>
      <c r="H1679" s="1">
        <v>351395</v>
      </c>
      <c r="I1679" s="1">
        <v>664134</v>
      </c>
      <c r="J1679" s="7">
        <v>0.52900000000000003</v>
      </c>
      <c r="K1679" s="1" t="s">
        <v>21</v>
      </c>
      <c r="L1679" s="1" t="s">
        <v>21</v>
      </c>
      <c r="M1679" s="1" t="s">
        <v>29</v>
      </c>
      <c r="N1679" s="1" t="s">
        <v>297</v>
      </c>
      <c r="O1679" s="1" t="str">
        <f t="shared" ca="1" si="13"/>
        <v>Please solve the LeetCode problem '1731. The Number of Employees Which Report to Each Employee'.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80" spans="1:15" x14ac:dyDescent="0.25">
      <c r="A1680" s="1">
        <v>551</v>
      </c>
      <c r="B1680" s="2" t="str">
        <f>HYPERLINK("https://leetcode.com/problems/student-attendance-record-i/", "Student Attendance Record I")</f>
        <v>Student Attendance Record I</v>
      </c>
      <c r="C1680" s="1">
        <v>847</v>
      </c>
      <c r="D1680" s="1">
        <v>57</v>
      </c>
      <c r="E1680" s="3">
        <f t="shared" si="12"/>
        <v>0.93694690265486724</v>
      </c>
      <c r="F1680" s="1" t="s">
        <v>146</v>
      </c>
      <c r="G1680" s="1" t="s">
        <v>20</v>
      </c>
      <c r="H1680" s="1">
        <v>278757</v>
      </c>
      <c r="I1680" s="1">
        <v>558166</v>
      </c>
      <c r="J1680" s="7">
        <v>0.499</v>
      </c>
      <c r="K1680" s="1" t="s">
        <v>21</v>
      </c>
      <c r="L1680" s="1" t="s">
        <v>21</v>
      </c>
      <c r="M1680" s="1" t="s">
        <v>29</v>
      </c>
      <c r="N1680" s="1" t="s">
        <v>22</v>
      </c>
      <c r="O1680" s="1" t="str">
        <f t="shared" ca="1" si="13"/>
        <v>Please solve the LeetCode problem '551. Student Attendance Record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81" spans="1:15" x14ac:dyDescent="0.25">
      <c r="A1681" s="1">
        <v>1839</v>
      </c>
      <c r="B1681" s="2" t="str">
        <f>HYPERLINK("https://leetcode.com/problems/longest-substring-of-all-vowels-in-order/", "Longest Substring Of All Vowels in Order")</f>
        <v>Longest Substring Of All Vowels in Order</v>
      </c>
      <c r="C1681" s="1">
        <v>846</v>
      </c>
      <c r="D1681" s="1">
        <v>31</v>
      </c>
      <c r="E1681" s="3">
        <f t="shared" si="12"/>
        <v>0.96465222348916757</v>
      </c>
      <c r="F1681" s="1" t="s">
        <v>314</v>
      </c>
      <c r="G1681" s="1" t="s">
        <v>24</v>
      </c>
      <c r="H1681" s="1">
        <v>44607</v>
      </c>
      <c r="I1681" s="1">
        <v>86867</v>
      </c>
      <c r="J1681" s="7">
        <v>0.51400000000000001</v>
      </c>
      <c r="K1681" s="1" t="s">
        <v>21</v>
      </c>
      <c r="L1681" s="1" t="s">
        <v>29</v>
      </c>
      <c r="M1681" s="1" t="s">
        <v>29</v>
      </c>
      <c r="N1681" s="1" t="s">
        <v>22</v>
      </c>
      <c r="O1681" s="1" t="str">
        <f t="shared" ca="1" si="13"/>
        <v>Please solve the LeetCode problem '1839. Longest Substring Of All Vowels in Order'.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82" spans="1:15" x14ac:dyDescent="0.25">
      <c r="A1682" s="1">
        <v>966</v>
      </c>
      <c r="B1682" s="2" t="str">
        <f>HYPERLINK("https://leetcode.com/problems/vowel-spellchecker/", "Vowel Spellchecker")</f>
        <v>Vowel Spellchecker</v>
      </c>
      <c r="C1682" s="1">
        <v>844</v>
      </c>
      <c r="D1682" s="1">
        <v>1003</v>
      </c>
      <c r="E1682" s="3">
        <f t="shared" si="12"/>
        <v>0.45695722793719545</v>
      </c>
      <c r="F1682" s="1" t="s">
        <v>258</v>
      </c>
      <c r="G1682" s="1" t="s">
        <v>24</v>
      </c>
      <c r="H1682" s="1">
        <v>138289</v>
      </c>
      <c r="I1682" s="1">
        <v>225135</v>
      </c>
      <c r="J1682" s="7">
        <v>0.61399999999999999</v>
      </c>
      <c r="K1682" s="1" t="s">
        <v>21</v>
      </c>
      <c r="L1682" s="1" t="s">
        <v>21</v>
      </c>
      <c r="M1682" s="1" t="s">
        <v>29</v>
      </c>
      <c r="N1682" s="1" t="s">
        <v>22</v>
      </c>
      <c r="O1682" s="1" t="str">
        <f t="shared" ca="1" si="13"/>
        <v>Please solve the LeetCode problem '966. Vowel Spellchecker'.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83" spans="1:15" x14ac:dyDescent="0.25">
      <c r="A1683" s="1">
        <v>1012</v>
      </c>
      <c r="B1683" s="2" t="str">
        <f>HYPERLINK("https://leetcode.com/problems/numbers-with-repeated-digits/", "Numbers With Repeated Digits")</f>
        <v>Numbers With Repeated Digits</v>
      </c>
      <c r="C1683" s="1">
        <v>844</v>
      </c>
      <c r="D1683" s="1">
        <v>90</v>
      </c>
      <c r="E1683" s="3">
        <f t="shared" si="12"/>
        <v>0.90364025695931482</v>
      </c>
      <c r="F1683" s="1" t="s">
        <v>250</v>
      </c>
      <c r="G1683" s="1" t="s">
        <v>28</v>
      </c>
      <c r="H1683" s="1">
        <v>23788</v>
      </c>
      <c r="I1683" s="1">
        <v>52247</v>
      </c>
      <c r="J1683" s="7">
        <v>0.45500000000000002</v>
      </c>
      <c r="K1683" s="1" t="s">
        <v>21</v>
      </c>
      <c r="L1683" s="1" t="s">
        <v>29</v>
      </c>
      <c r="M1683" s="1" t="s">
        <v>29</v>
      </c>
      <c r="N1683" s="1" t="s">
        <v>22</v>
      </c>
      <c r="O1683" s="1" t="str">
        <f t="shared" ca="1" si="13"/>
        <v>Please solve the LeetCode problem '1012. Numbers With Repeated Digits'.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84" spans="1:15" x14ac:dyDescent="0.25">
      <c r="A1684" s="1">
        <v>2338</v>
      </c>
      <c r="B1684" s="2" t="str">
        <f>HYPERLINK("https://leetcode.com/problems/count-the-number-of-ideal-arrays/", "Count the Number of Ideal Arrays")</f>
        <v>Count the Number of Ideal Arrays</v>
      </c>
      <c r="C1684" s="1">
        <v>842</v>
      </c>
      <c r="D1684" s="1">
        <v>133</v>
      </c>
      <c r="E1684" s="3">
        <f t="shared" si="12"/>
        <v>0.86358974358974361</v>
      </c>
      <c r="F1684" s="1" t="s">
        <v>752</v>
      </c>
      <c r="G1684" s="1" t="s">
        <v>28</v>
      </c>
      <c r="H1684" s="1">
        <v>69239</v>
      </c>
      <c r="I1684" s="1">
        <v>121573</v>
      </c>
      <c r="J1684" s="7">
        <v>0.56999999999999995</v>
      </c>
      <c r="K1684" s="1" t="s">
        <v>21</v>
      </c>
      <c r="L1684" s="1" t="s">
        <v>21</v>
      </c>
      <c r="M1684" s="1" t="s">
        <v>29</v>
      </c>
      <c r="N1684" s="1" t="s">
        <v>22</v>
      </c>
      <c r="O1684" s="1" t="str">
        <f t="shared" ca="1" si="13"/>
        <v>Please solve the LeetCode problem '2338. Count the Number of Ideal Arrays'.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85" spans="1:15" x14ac:dyDescent="0.25">
      <c r="A1685" s="1">
        <v>2558</v>
      </c>
      <c r="B1685" s="2" t="str">
        <f>HYPERLINK("https://leetcode.com/problems/take-gifts-from-the-richest-pile/", "Take Gifts From the Richest Pile")</f>
        <v>Take Gifts From the Richest Pile</v>
      </c>
      <c r="C1685" s="1">
        <v>842</v>
      </c>
      <c r="D1685" s="1">
        <v>81</v>
      </c>
      <c r="E1685" s="3">
        <f t="shared" si="12"/>
        <v>0.91224268689057419</v>
      </c>
      <c r="F1685" s="1" t="s">
        <v>751</v>
      </c>
      <c r="G1685" s="1" t="s">
        <v>20</v>
      </c>
      <c r="H1685" s="1">
        <v>194364</v>
      </c>
      <c r="I1685" s="1">
        <v>257392</v>
      </c>
      <c r="J1685" s="7">
        <v>0.755</v>
      </c>
      <c r="K1685" s="1" t="s">
        <v>21</v>
      </c>
      <c r="L1685" s="1" t="s">
        <v>21</v>
      </c>
      <c r="M1685" s="1" t="s">
        <v>29</v>
      </c>
      <c r="N1685" s="1" t="s">
        <v>22</v>
      </c>
      <c r="O1685" s="1" t="str">
        <f t="shared" ca="1" si="13"/>
        <v>Please solve the LeetCode problem '2558. Take Gifts From the Richest Pile'.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86" spans="1:15" x14ac:dyDescent="0.25">
      <c r="A1686" s="1">
        <v>2579</v>
      </c>
      <c r="B1686" s="2" t="str">
        <f>HYPERLINK("https://leetcode.com/problems/count-total-number-of-colored-cells/", "Count Total Number of Colored Cells")</f>
        <v>Count Total Number of Colored Cells</v>
      </c>
      <c r="C1686" s="1">
        <v>842</v>
      </c>
      <c r="D1686" s="1">
        <v>95</v>
      </c>
      <c r="E1686" s="3">
        <f t="shared" si="12"/>
        <v>0.8986125933831377</v>
      </c>
      <c r="F1686" s="1" t="s">
        <v>84</v>
      </c>
      <c r="G1686" s="1" t="s">
        <v>24</v>
      </c>
      <c r="H1686" s="1">
        <v>202783</v>
      </c>
      <c r="I1686" s="1">
        <v>306594</v>
      </c>
      <c r="J1686" s="7">
        <v>0.66100000000000003</v>
      </c>
      <c r="K1686" s="1" t="s">
        <v>21</v>
      </c>
      <c r="L1686" s="1" t="s">
        <v>21</v>
      </c>
      <c r="M1686" s="1" t="s">
        <v>29</v>
      </c>
      <c r="N1686" s="1" t="s">
        <v>22</v>
      </c>
      <c r="O1686" s="1" t="str">
        <f t="shared" ca="1" si="13"/>
        <v>Please solve the LeetCode problem '2579. Count Total Number of Colored Cells'.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87" spans="1:15" x14ac:dyDescent="0.25">
      <c r="A1687" s="1">
        <v>3355</v>
      </c>
      <c r="B1687" s="2" t="str">
        <f>HYPERLINK("https://leetcode.com/problems/zero-array-transformation-i/", "Zero Array Transformation I")</f>
        <v>Zero Array Transformation I</v>
      </c>
      <c r="C1687" s="1">
        <v>842</v>
      </c>
      <c r="D1687" s="1">
        <v>90</v>
      </c>
      <c r="E1687" s="3">
        <f t="shared" si="12"/>
        <v>0.90343347639484983</v>
      </c>
      <c r="F1687" s="1" t="s">
        <v>37</v>
      </c>
      <c r="G1687" s="1" t="s">
        <v>24</v>
      </c>
      <c r="H1687" s="1">
        <v>153320</v>
      </c>
      <c r="I1687" s="1">
        <v>281854</v>
      </c>
      <c r="J1687" s="7">
        <v>0.54400000000000004</v>
      </c>
      <c r="K1687" s="1" t="s">
        <v>21</v>
      </c>
      <c r="L1687" s="1" t="s">
        <v>21</v>
      </c>
      <c r="M1687" s="1" t="s">
        <v>29</v>
      </c>
      <c r="N1687" s="1" t="s">
        <v>22</v>
      </c>
      <c r="O1687" s="1" t="str">
        <f t="shared" ca="1" si="13"/>
        <v>Please solve the LeetCode problem '3355. Zero Array Transformation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88" spans="1:15" x14ac:dyDescent="0.25">
      <c r="A1688" s="1">
        <v>1216</v>
      </c>
      <c r="B1688" s="2" t="str">
        <f>HYPERLINK("https://leetcode.com/problems/valid-palindrome-iii/", "Valid Palindrome III")</f>
        <v>Valid Palindrome III</v>
      </c>
      <c r="C1688" s="1">
        <v>841</v>
      </c>
      <c r="D1688" s="1">
        <v>15</v>
      </c>
      <c r="E1688" s="3">
        <f t="shared" si="12"/>
        <v>0.98247663551401865</v>
      </c>
      <c r="F1688" s="1" t="s">
        <v>82</v>
      </c>
      <c r="G1688" s="1" t="s">
        <v>28</v>
      </c>
      <c r="H1688" s="1">
        <v>107856</v>
      </c>
      <c r="I1688" s="1">
        <v>219550</v>
      </c>
      <c r="J1688" s="7">
        <v>0.49099999999999999</v>
      </c>
      <c r="K1688" s="1" t="s">
        <v>29</v>
      </c>
      <c r="L1688" s="1" t="s">
        <v>21</v>
      </c>
      <c r="M1688" s="1" t="s">
        <v>29</v>
      </c>
      <c r="N1688" s="1" t="s">
        <v>22</v>
      </c>
      <c r="O1688" s="1" t="str">
        <f t="shared" ca="1" si="13"/>
        <v>Please solve the LeetCode problem '1216. Valid Palindrome III'.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89" spans="1:15" x14ac:dyDescent="0.25">
      <c r="A1689" s="1">
        <v>1370</v>
      </c>
      <c r="B1689" s="2" t="str">
        <f>HYPERLINK("https://leetcode.com/problems/increasing-decreasing-string/", "Increasing Decreasing String")</f>
        <v>Increasing Decreasing String</v>
      </c>
      <c r="C1689" s="1">
        <v>839</v>
      </c>
      <c r="D1689" s="1">
        <v>878</v>
      </c>
      <c r="E1689" s="3">
        <f t="shared" si="12"/>
        <v>0.48864298194525335</v>
      </c>
      <c r="F1689" s="1" t="s">
        <v>237</v>
      </c>
      <c r="G1689" s="1" t="s">
        <v>20</v>
      </c>
      <c r="H1689" s="1">
        <v>96669</v>
      </c>
      <c r="I1689" s="1">
        <v>125303</v>
      </c>
      <c r="J1689" s="7">
        <v>0.77100000000000002</v>
      </c>
      <c r="K1689" s="1" t="s">
        <v>21</v>
      </c>
      <c r="L1689" s="1" t="s">
        <v>29</v>
      </c>
      <c r="M1689" s="1" t="s">
        <v>29</v>
      </c>
      <c r="N1689" s="1" t="s">
        <v>22</v>
      </c>
      <c r="O1689" s="1" t="str">
        <f t="shared" ca="1" si="13"/>
        <v>Please solve the LeetCode problem '1370. Increasing Decreasing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90" spans="1:15" x14ac:dyDescent="0.25">
      <c r="A1690" s="1">
        <v>2787</v>
      </c>
      <c r="B1690" s="2" t="str">
        <f>HYPERLINK("https://leetcode.com/problems/ways-to-express-an-integer-as-sum-of-powers/", "Ways to Express an Integer as Sum of Powers")</f>
        <v>Ways to Express an Integer as Sum of Powers</v>
      </c>
      <c r="C1690" s="1">
        <v>839</v>
      </c>
      <c r="D1690" s="1">
        <v>41</v>
      </c>
      <c r="E1690" s="3">
        <f t="shared" si="12"/>
        <v>0.95340909090909087</v>
      </c>
      <c r="F1690" s="1" t="s">
        <v>251</v>
      </c>
      <c r="G1690" s="1" t="s">
        <v>24</v>
      </c>
      <c r="H1690" s="1">
        <v>117520</v>
      </c>
      <c r="I1690" s="1">
        <v>235498</v>
      </c>
      <c r="J1690" s="7">
        <v>0.499</v>
      </c>
      <c r="K1690" s="1" t="s">
        <v>21</v>
      </c>
      <c r="L1690" s="1" t="s">
        <v>21</v>
      </c>
      <c r="M1690" s="1" t="s">
        <v>29</v>
      </c>
      <c r="N1690" s="1" t="s">
        <v>22</v>
      </c>
      <c r="O1690" s="1" t="str">
        <f t="shared" ca="1" si="13"/>
        <v>Please solve the LeetCode problem '2787. Ways to Express an Integer as Sum of Powers'.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91" spans="1:15" x14ac:dyDescent="0.25">
      <c r="A1691" s="1">
        <v>2849</v>
      </c>
      <c r="B1691" s="2" t="str">
        <f>HYPERLINK("https://leetcode.com/problems/determine-if-a-cell-is-reachable-at-a-given-time/", "Determine if a Cell Is Reachable at a Given Time")</f>
        <v>Determine if a Cell Is Reachable at a Given Time</v>
      </c>
      <c r="C1691" s="1">
        <v>839</v>
      </c>
      <c r="D1691" s="1">
        <v>769</v>
      </c>
      <c r="E1691" s="3">
        <f t="shared" si="12"/>
        <v>0.52176616915422891</v>
      </c>
      <c r="F1691" s="1" t="s">
        <v>84</v>
      </c>
      <c r="G1691" s="1" t="s">
        <v>24</v>
      </c>
      <c r="H1691" s="1">
        <v>109709</v>
      </c>
      <c r="I1691" s="1">
        <v>295292</v>
      </c>
      <c r="J1691" s="7">
        <v>0.372</v>
      </c>
      <c r="K1691" s="1" t="s">
        <v>21</v>
      </c>
      <c r="L1691" s="1" t="s">
        <v>21</v>
      </c>
      <c r="M1691" s="1" t="s">
        <v>29</v>
      </c>
      <c r="N1691" s="1" t="s">
        <v>22</v>
      </c>
      <c r="O1691" s="1" t="str">
        <f t="shared" ca="1" si="13"/>
        <v>Please solve the LeetCode problem '2849. Determine if a Cell Is Reachable at a Given Time'.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92" spans="1:15" x14ac:dyDescent="0.25">
      <c r="A1692" s="1">
        <v>1084</v>
      </c>
      <c r="B1692" s="2" t="str">
        <f>HYPERLINK("https://leetcode.com/problems/sales-analysis-iii/", "Sales Analysis III")</f>
        <v>Sales Analysis III</v>
      </c>
      <c r="C1692" s="1">
        <v>838</v>
      </c>
      <c r="D1692" s="1">
        <v>166</v>
      </c>
      <c r="E1692" s="3">
        <f t="shared" si="12"/>
        <v>0.83466135458167334</v>
      </c>
      <c r="F1692" s="1" t="s">
        <v>297</v>
      </c>
      <c r="G1692" s="1" t="s">
        <v>20</v>
      </c>
      <c r="H1692" s="1">
        <v>211731</v>
      </c>
      <c r="I1692" s="1">
        <v>449230</v>
      </c>
      <c r="J1692" s="7">
        <v>0.47099999999999997</v>
      </c>
      <c r="K1692" s="1" t="s">
        <v>21</v>
      </c>
      <c r="L1692" s="1" t="s">
        <v>21</v>
      </c>
      <c r="M1692" s="1" t="s">
        <v>29</v>
      </c>
      <c r="N1692" s="1" t="s">
        <v>297</v>
      </c>
      <c r="O1692" s="1" t="str">
        <f t="shared" ca="1" si="13"/>
        <v>Please solve the LeetCode problem '1084. Sales Analysis III'.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93" spans="1:15" x14ac:dyDescent="0.25">
      <c r="A1693" s="1">
        <v>1179</v>
      </c>
      <c r="B1693" s="2" t="str">
        <f>HYPERLINK("https://leetcode.com/problems/reformat-department-table/", "Reformat Department Table")</f>
        <v>Reformat Department Table</v>
      </c>
      <c r="C1693" s="1">
        <v>838</v>
      </c>
      <c r="D1693" s="1">
        <v>638</v>
      </c>
      <c r="E1693" s="3">
        <f t="shared" si="12"/>
        <v>0.5677506775067751</v>
      </c>
      <c r="F1693" s="1" t="s">
        <v>297</v>
      </c>
      <c r="G1693" s="1" t="s">
        <v>20</v>
      </c>
      <c r="H1693" s="1">
        <v>171335</v>
      </c>
      <c r="I1693" s="1">
        <v>224337</v>
      </c>
      <c r="J1693" s="7">
        <v>0.76400000000000001</v>
      </c>
      <c r="K1693" s="1" t="s">
        <v>21</v>
      </c>
      <c r="L1693" s="1" t="s">
        <v>21</v>
      </c>
      <c r="M1693" s="1" t="s">
        <v>29</v>
      </c>
      <c r="N1693" s="1" t="s">
        <v>297</v>
      </c>
      <c r="O1693" s="1" t="str">
        <f t="shared" ca="1" si="13"/>
        <v>Please solve the LeetCode problem '1179. Reformat Department Table'.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94" spans="1:15" x14ac:dyDescent="0.25">
      <c r="A1694" s="1">
        <v>1377</v>
      </c>
      <c r="B1694" s="2" t="str">
        <f>HYPERLINK("https://leetcode.com/problems/frog-position-after-t-seconds/", "Frog Position After T Seconds")</f>
        <v>Frog Position After T Seconds</v>
      </c>
      <c r="C1694" s="1">
        <v>838</v>
      </c>
      <c r="D1694" s="1">
        <v>150</v>
      </c>
      <c r="E1694" s="3">
        <f t="shared" si="12"/>
        <v>0.84817813765182182</v>
      </c>
      <c r="F1694" s="1" t="s">
        <v>455</v>
      </c>
      <c r="G1694" s="1" t="s">
        <v>28</v>
      </c>
      <c r="H1694" s="1">
        <v>41102</v>
      </c>
      <c r="I1694" s="1">
        <v>109444</v>
      </c>
      <c r="J1694" s="7">
        <v>0.376</v>
      </c>
      <c r="K1694" s="1" t="s">
        <v>21</v>
      </c>
      <c r="L1694" s="1" t="s">
        <v>29</v>
      </c>
      <c r="M1694" s="1" t="s">
        <v>29</v>
      </c>
      <c r="N1694" s="1" t="s">
        <v>22</v>
      </c>
      <c r="O1694" s="1" t="str">
        <f t="shared" ca="1" si="13"/>
        <v>Please solve the LeetCode problem '1377. Frog Position After T Seconds'.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95" spans="1:15" x14ac:dyDescent="0.25">
      <c r="A1695" s="1">
        <v>2197</v>
      </c>
      <c r="B1695" s="2" t="str">
        <f>HYPERLINK("https://leetcode.com/problems/replace-non-coprime-numbers-in-array/", "Replace Non-Coprime Numbers in Array")</f>
        <v>Replace Non-Coprime Numbers in Array</v>
      </c>
      <c r="C1695" s="1">
        <v>838</v>
      </c>
      <c r="D1695" s="1">
        <v>33</v>
      </c>
      <c r="E1695" s="3">
        <f t="shared" si="12"/>
        <v>0.96211251435132028</v>
      </c>
      <c r="F1695" s="1" t="s">
        <v>753</v>
      </c>
      <c r="G1695" s="1" t="s">
        <v>28</v>
      </c>
      <c r="H1695" s="1">
        <v>112233</v>
      </c>
      <c r="I1695" s="1">
        <v>194878</v>
      </c>
      <c r="J1695" s="7">
        <v>0.57599999999999996</v>
      </c>
      <c r="K1695" s="1" t="s">
        <v>21</v>
      </c>
      <c r="L1695" s="1" t="s">
        <v>21</v>
      </c>
      <c r="M1695" s="1" t="s">
        <v>29</v>
      </c>
      <c r="N1695" s="1" t="s">
        <v>22</v>
      </c>
      <c r="O1695" s="1" t="str">
        <f t="shared" ca="1" si="13"/>
        <v>Please solve the LeetCode problem '2197. Replace Non-Coprime Numbers in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96" spans="1:15" x14ac:dyDescent="0.25">
      <c r="A1696" s="1">
        <v>812</v>
      </c>
      <c r="B1696" s="2" t="str">
        <f>HYPERLINK("https://leetcode.com/problems/largest-triangle-area/", "Largest Triangle Area")</f>
        <v>Largest Triangle Area</v>
      </c>
      <c r="C1696" s="1">
        <v>837</v>
      </c>
      <c r="D1696" s="1">
        <v>1735</v>
      </c>
      <c r="E1696" s="3">
        <f t="shared" si="12"/>
        <v>0.32542768273716954</v>
      </c>
      <c r="F1696" s="1" t="s">
        <v>397</v>
      </c>
      <c r="G1696" s="1" t="s">
        <v>20</v>
      </c>
      <c r="H1696" s="1">
        <v>171711</v>
      </c>
      <c r="I1696" s="1">
        <v>240682</v>
      </c>
      <c r="J1696" s="7">
        <v>0.71299999999999997</v>
      </c>
      <c r="K1696" s="1" t="s">
        <v>21</v>
      </c>
      <c r="L1696" s="1" t="s">
        <v>21</v>
      </c>
      <c r="M1696" s="1" t="s">
        <v>29</v>
      </c>
      <c r="N1696" s="1" t="s">
        <v>22</v>
      </c>
      <c r="O1696" s="1" t="str">
        <f t="shared" ca="1" si="13"/>
        <v>Please solve the LeetCode problem '812. Largest Triangle Area'.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97" spans="1:15" x14ac:dyDescent="0.25">
      <c r="A1697" s="1">
        <v>1034</v>
      </c>
      <c r="B1697" s="2" t="str">
        <f>HYPERLINK("https://leetcode.com/problems/coloring-a-border/", "Coloring A Border")</f>
        <v>Coloring A Border</v>
      </c>
      <c r="C1697" s="1">
        <v>836</v>
      </c>
      <c r="D1697" s="1">
        <v>941</v>
      </c>
      <c r="E1697" s="3">
        <f t="shared" si="12"/>
        <v>0.47045582442318512</v>
      </c>
      <c r="F1697" s="1" t="s">
        <v>143</v>
      </c>
      <c r="G1697" s="1" t="s">
        <v>24</v>
      </c>
      <c r="H1697" s="1">
        <v>48259</v>
      </c>
      <c r="I1697" s="1">
        <v>95081</v>
      </c>
      <c r="J1697" s="7">
        <v>0.50800000000000001</v>
      </c>
      <c r="K1697" s="1" t="s">
        <v>21</v>
      </c>
      <c r="L1697" s="1" t="s">
        <v>29</v>
      </c>
      <c r="M1697" s="1" t="s">
        <v>29</v>
      </c>
      <c r="N1697" s="1" t="s">
        <v>22</v>
      </c>
      <c r="O1697" s="1" t="str">
        <f t="shared" ca="1" si="13"/>
        <v>Please solve the LeetCode problem '1034. Coloring A Border'.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98" spans="1:15" x14ac:dyDescent="0.25">
      <c r="A1698" s="1">
        <v>2400</v>
      </c>
      <c r="B1698" s="2" t="str">
        <f>HYPERLINK("https://leetcode.com/problems/number-of-ways-to-reach-a-position-after-exactly-k-steps/", "Number of Ways to Reach a Position After Exactly k Steps")</f>
        <v>Number of Ways to Reach a Position After Exactly k Steps</v>
      </c>
      <c r="C1698" s="1">
        <v>836</v>
      </c>
      <c r="D1698" s="1">
        <v>67</v>
      </c>
      <c r="E1698" s="3">
        <f t="shared" si="12"/>
        <v>0.92580287929125138</v>
      </c>
      <c r="F1698" s="1" t="s">
        <v>70</v>
      </c>
      <c r="G1698" s="1" t="s">
        <v>24</v>
      </c>
      <c r="H1698" s="1">
        <v>38482</v>
      </c>
      <c r="I1698" s="1">
        <v>104891</v>
      </c>
      <c r="J1698" s="7">
        <v>0.36699999999999999</v>
      </c>
      <c r="K1698" s="1" t="s">
        <v>21</v>
      </c>
      <c r="L1698" s="1" t="s">
        <v>29</v>
      </c>
      <c r="M1698" s="1" t="s">
        <v>29</v>
      </c>
      <c r="N1698" s="1" t="s">
        <v>22</v>
      </c>
      <c r="O1698" s="1" t="str">
        <f t="shared" ca="1" si="13"/>
        <v>Please solve the LeetCode problem '2400. Number of Ways to Reach a Position After Exactly k Steps'.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699" spans="1:15" x14ac:dyDescent="0.25">
      <c r="A1699" s="1">
        <v>2216</v>
      </c>
      <c r="B1699" s="2" t="str">
        <f>HYPERLINK("https://leetcode.com/problems/minimum-deletions-to-make-array-beautiful/", "Minimum Deletions to Make Array Beautiful")</f>
        <v>Minimum Deletions to Make Array Beautiful</v>
      </c>
      <c r="C1699" s="1">
        <v>834</v>
      </c>
      <c r="D1699" s="1">
        <v>96</v>
      </c>
      <c r="E1699" s="3">
        <f t="shared" si="12"/>
        <v>0.89677419354838706</v>
      </c>
      <c r="F1699" s="1" t="s">
        <v>756</v>
      </c>
      <c r="G1699" s="1" t="s">
        <v>24</v>
      </c>
      <c r="H1699" s="1">
        <v>39251</v>
      </c>
      <c r="I1699" s="1">
        <v>79086</v>
      </c>
      <c r="J1699" s="7">
        <v>0.496</v>
      </c>
      <c r="K1699" s="1" t="s">
        <v>21</v>
      </c>
      <c r="L1699" s="1" t="s">
        <v>29</v>
      </c>
      <c r="M1699" s="1" t="s">
        <v>29</v>
      </c>
      <c r="N1699" s="1" t="s">
        <v>22</v>
      </c>
      <c r="O1699" s="1" t="str">
        <f t="shared" ca="1" si="13"/>
        <v>Please solve the LeetCode problem '2216. Minimum Deletions to Make Array Beautiful'.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00" spans="1:15" x14ac:dyDescent="0.25">
      <c r="A1700" s="1">
        <v>2271</v>
      </c>
      <c r="B1700" s="2" t="str">
        <f>HYPERLINK("https://leetcode.com/problems/maximum-white-tiles-covered-by-a-carpet/", "Maximum White Tiles Covered by a Carpet")</f>
        <v>Maximum White Tiles Covered by a Carpet</v>
      </c>
      <c r="C1700" s="1">
        <v>834</v>
      </c>
      <c r="D1700" s="1">
        <v>57</v>
      </c>
      <c r="E1700" s="3">
        <f t="shared" si="12"/>
        <v>0.93602693602693599</v>
      </c>
      <c r="F1700" s="1" t="s">
        <v>236</v>
      </c>
      <c r="G1700" s="1" t="s">
        <v>24</v>
      </c>
      <c r="H1700" s="1">
        <v>21294</v>
      </c>
      <c r="I1700" s="1">
        <v>59942</v>
      </c>
      <c r="J1700" s="7">
        <v>0.35499999999999998</v>
      </c>
      <c r="K1700" s="1" t="s">
        <v>21</v>
      </c>
      <c r="L1700" s="1" t="s">
        <v>29</v>
      </c>
      <c r="M1700" s="1" t="s">
        <v>29</v>
      </c>
      <c r="N1700" s="1" t="s">
        <v>22</v>
      </c>
      <c r="O1700" s="1" t="str">
        <f t="shared" ca="1" si="13"/>
        <v>Please solve the LeetCode problem '2271. Maximum White Tiles Covered by a Carpet'.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01" spans="1:15" x14ac:dyDescent="0.25">
      <c r="A1701" s="1">
        <v>2321</v>
      </c>
      <c r="B1701" s="2" t="str">
        <f>HYPERLINK("https://leetcode.com/problems/maximum-score-of-spliced-array/", "Maximum Score Of Spliced Array")</f>
        <v>Maximum Score Of Spliced Array</v>
      </c>
      <c r="C1701" s="1">
        <v>834</v>
      </c>
      <c r="D1701" s="1">
        <v>16</v>
      </c>
      <c r="E1701" s="3">
        <f t="shared" si="12"/>
        <v>0.98117647058823532</v>
      </c>
      <c r="F1701" s="1" t="s">
        <v>30</v>
      </c>
      <c r="G1701" s="1" t="s">
        <v>28</v>
      </c>
      <c r="H1701" s="1">
        <v>23363</v>
      </c>
      <c r="I1701" s="1">
        <v>40167</v>
      </c>
      <c r="J1701" s="7">
        <v>0.58199999999999996</v>
      </c>
      <c r="K1701" s="1" t="s">
        <v>21</v>
      </c>
      <c r="L1701" s="1" t="s">
        <v>29</v>
      </c>
      <c r="M1701" s="1" t="s">
        <v>29</v>
      </c>
      <c r="N1701" s="1" t="s">
        <v>22</v>
      </c>
      <c r="O1701" s="1" t="str">
        <f t="shared" ca="1" si="13"/>
        <v>Please solve the LeetCode problem '2321. Maximum Score Of Spliced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02" spans="1:15" x14ac:dyDescent="0.25">
      <c r="A1702" s="1">
        <v>2940</v>
      </c>
      <c r="B1702" s="2" t="str">
        <f>HYPERLINK("https://leetcode.com/problems/find-building-where-alice-and-bob-can-meet/", "Find Building Where Alice and Bob Can Meet")</f>
        <v>Find Building Where Alice and Bob Can Meet</v>
      </c>
      <c r="C1702" s="1">
        <v>832</v>
      </c>
      <c r="D1702" s="1">
        <v>57</v>
      </c>
      <c r="E1702" s="3">
        <f t="shared" si="12"/>
        <v>0.93588301462317214</v>
      </c>
      <c r="F1702" s="1" t="s">
        <v>754</v>
      </c>
      <c r="G1702" s="1" t="s">
        <v>28</v>
      </c>
      <c r="H1702" s="1">
        <v>74015</v>
      </c>
      <c r="I1702" s="1">
        <v>141773</v>
      </c>
      <c r="J1702" s="7">
        <v>0.52200000000000002</v>
      </c>
      <c r="K1702" s="1" t="s">
        <v>21</v>
      </c>
      <c r="L1702" s="1" t="s">
        <v>21</v>
      </c>
      <c r="M1702" s="1" t="s">
        <v>29</v>
      </c>
      <c r="N1702" s="1" t="s">
        <v>22</v>
      </c>
      <c r="O1702" s="1" t="str">
        <f t="shared" ca="1" si="13"/>
        <v>Please solve the LeetCode problem '2940. Find Building Where Alice and Bob Can Meet'.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03" spans="1:15" x14ac:dyDescent="0.25">
      <c r="A1703" s="1">
        <v>2971</v>
      </c>
      <c r="B1703" s="2" t="str">
        <f>HYPERLINK("https://leetcode.com/problems/find-polygon-with-the-largest-perimeter/", "Find Polygon With the Largest Perimeter")</f>
        <v>Find Polygon With the Largest Perimeter</v>
      </c>
      <c r="C1703" s="1">
        <v>831</v>
      </c>
      <c r="D1703" s="1">
        <v>70</v>
      </c>
      <c r="E1703" s="3">
        <f t="shared" si="12"/>
        <v>0.9223085460599334</v>
      </c>
      <c r="F1703" s="1" t="s">
        <v>755</v>
      </c>
      <c r="G1703" s="1" t="s">
        <v>24</v>
      </c>
      <c r="H1703" s="1">
        <v>144550</v>
      </c>
      <c r="I1703" s="1">
        <v>220705</v>
      </c>
      <c r="J1703" s="7">
        <v>0.65500000000000003</v>
      </c>
      <c r="K1703" s="1" t="s">
        <v>21</v>
      </c>
      <c r="L1703" s="1" t="s">
        <v>21</v>
      </c>
      <c r="M1703" s="1" t="s">
        <v>29</v>
      </c>
      <c r="N1703" s="1" t="s">
        <v>22</v>
      </c>
      <c r="O1703" s="1" t="str">
        <f t="shared" ca="1" si="13"/>
        <v>Please solve the LeetCode problem '2971. Find Polygon With the Largest Perimeter'.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04" spans="1:15" x14ac:dyDescent="0.25">
      <c r="A1704" s="1">
        <v>2195</v>
      </c>
      <c r="B1704" s="2" t="str">
        <f>HYPERLINK("https://leetcode.com/problems/append-k-integers-with-minimal-sum/", "Append K Integers With Minimal Sum")</f>
        <v>Append K Integers With Minimal Sum</v>
      </c>
      <c r="C1704" s="1">
        <v>830</v>
      </c>
      <c r="D1704" s="1">
        <v>313</v>
      </c>
      <c r="E1704" s="3">
        <f t="shared" si="12"/>
        <v>0.72615923009623795</v>
      </c>
      <c r="F1704" s="1" t="s">
        <v>354</v>
      </c>
      <c r="G1704" s="1" t="s">
        <v>24</v>
      </c>
      <c r="H1704" s="1">
        <v>40823</v>
      </c>
      <c r="I1704" s="1">
        <v>152920</v>
      </c>
      <c r="J1704" s="7">
        <v>0.26700000000000002</v>
      </c>
      <c r="K1704" s="1" t="s">
        <v>21</v>
      </c>
      <c r="L1704" s="1" t="s">
        <v>29</v>
      </c>
      <c r="M1704" s="1" t="s">
        <v>29</v>
      </c>
      <c r="N1704" s="1" t="s">
        <v>22</v>
      </c>
      <c r="O1704" s="1" t="str">
        <f t="shared" ca="1" si="13"/>
        <v>Please solve the LeetCode problem '2195. Append K Integers With Minimal Sum'.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05" spans="1:15" x14ac:dyDescent="0.25">
      <c r="A1705" s="1">
        <v>1947</v>
      </c>
      <c r="B1705" s="2" t="str">
        <f>HYPERLINK("https://leetcode.com/problems/maximum-compatibility-score-sum/", "Maximum Compatibility Score Sum")</f>
        <v>Maximum Compatibility Score Sum</v>
      </c>
      <c r="C1705" s="1">
        <v>829</v>
      </c>
      <c r="D1705" s="1">
        <v>32</v>
      </c>
      <c r="E1705" s="3">
        <f t="shared" si="12"/>
        <v>0.96283391405342622</v>
      </c>
      <c r="F1705" s="1" t="s">
        <v>1354</v>
      </c>
      <c r="G1705" s="1" t="s">
        <v>24</v>
      </c>
      <c r="H1705" s="1">
        <v>32931</v>
      </c>
      <c r="I1705" s="1">
        <v>51325</v>
      </c>
      <c r="J1705" s="7">
        <v>0.64200000000000002</v>
      </c>
      <c r="K1705" s="1" t="s">
        <v>21</v>
      </c>
      <c r="L1705" s="1" t="s">
        <v>29</v>
      </c>
      <c r="M1705" s="1" t="s">
        <v>29</v>
      </c>
      <c r="N1705" s="1" t="s">
        <v>22</v>
      </c>
      <c r="O1705" s="1" t="str">
        <f t="shared" ca="1" si="13"/>
        <v>Please solve the LeetCode problem '1947. Maximum Compatibility Score Sum'.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06" spans="1:15" x14ac:dyDescent="0.25">
      <c r="A1706" s="1">
        <v>683</v>
      </c>
      <c r="B1706" s="2" t="str">
        <f>HYPERLINK("https://leetcode.com/problems/k-empty-slots/", "K Empty Slots")</f>
        <v>K Empty Slots</v>
      </c>
      <c r="C1706" s="1">
        <v>828</v>
      </c>
      <c r="D1706" s="1">
        <v>706</v>
      </c>
      <c r="E1706" s="3">
        <f t="shared" si="12"/>
        <v>0.53976531942633632</v>
      </c>
      <c r="F1706" s="1" t="s">
        <v>758</v>
      </c>
      <c r="G1706" s="1" t="s">
        <v>28</v>
      </c>
      <c r="H1706" s="1">
        <v>66898</v>
      </c>
      <c r="I1706" s="1">
        <v>176394</v>
      </c>
      <c r="J1706" s="7">
        <v>0.379</v>
      </c>
      <c r="K1706" s="1" t="s">
        <v>29</v>
      </c>
      <c r="L1706" s="1" t="s">
        <v>21</v>
      </c>
      <c r="M1706" s="1" t="s">
        <v>29</v>
      </c>
      <c r="N1706" s="1" t="s">
        <v>22</v>
      </c>
      <c r="O1706" s="1" t="str">
        <f t="shared" ca="1" si="13"/>
        <v>Please solve the LeetCode problem '683. K Empty Slots'.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07" spans="1:15" x14ac:dyDescent="0.25">
      <c r="A1707" s="1">
        <v>2864</v>
      </c>
      <c r="B1707" s="2" t="str">
        <f>HYPERLINK("https://leetcode.com/problems/maximum-odd-binary-number/", "Maximum Odd Binary Number")</f>
        <v>Maximum Odd Binary Number</v>
      </c>
      <c r="C1707" s="1">
        <v>828</v>
      </c>
      <c r="D1707" s="1">
        <v>34</v>
      </c>
      <c r="E1707" s="3">
        <f t="shared" si="12"/>
        <v>0.96055684454756385</v>
      </c>
      <c r="F1707" s="1" t="s">
        <v>418</v>
      </c>
      <c r="G1707" s="1" t="s">
        <v>20</v>
      </c>
      <c r="H1707" s="1">
        <v>230252</v>
      </c>
      <c r="I1707" s="1">
        <v>277932</v>
      </c>
      <c r="J1707" s="7">
        <v>0.82799999999999996</v>
      </c>
      <c r="K1707" s="1" t="s">
        <v>21</v>
      </c>
      <c r="L1707" s="1" t="s">
        <v>21</v>
      </c>
      <c r="M1707" s="1" t="s">
        <v>29</v>
      </c>
      <c r="N1707" s="1" t="s">
        <v>22</v>
      </c>
      <c r="O1707" s="1" t="str">
        <f t="shared" ca="1" si="13"/>
        <v>Please solve the LeetCode problem '2864. Maximum Odd Binary Number'.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08" spans="1:15" x14ac:dyDescent="0.25">
      <c r="A1708" s="1">
        <v>1086</v>
      </c>
      <c r="B1708" s="2" t="str">
        <f>HYPERLINK("https://leetcode.com/problems/high-five/", "High Five")</f>
        <v>High Five</v>
      </c>
      <c r="C1708" s="1">
        <v>827</v>
      </c>
      <c r="D1708" s="1">
        <v>131</v>
      </c>
      <c r="E1708" s="3">
        <f t="shared" si="12"/>
        <v>0.86325678496868474</v>
      </c>
      <c r="F1708" s="1" t="s">
        <v>542</v>
      </c>
      <c r="G1708" s="1" t="s">
        <v>20</v>
      </c>
      <c r="H1708" s="1">
        <v>121730</v>
      </c>
      <c r="I1708" s="1">
        <v>164063</v>
      </c>
      <c r="J1708" s="7">
        <v>0.74199999999999999</v>
      </c>
      <c r="K1708" s="1" t="s">
        <v>29</v>
      </c>
      <c r="L1708" s="1" t="s">
        <v>21</v>
      </c>
      <c r="M1708" s="1" t="s">
        <v>29</v>
      </c>
      <c r="N1708" s="1" t="s">
        <v>22</v>
      </c>
      <c r="O1708" s="1" t="str">
        <f t="shared" ca="1" si="13"/>
        <v>Please solve the LeetCode problem '1086. High Five'.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09" spans="1:15" x14ac:dyDescent="0.25">
      <c r="A1709" s="1">
        <v>2615</v>
      </c>
      <c r="B1709" s="2" t="str">
        <f>HYPERLINK("https://leetcode.com/problems/sum-of-distances/", "Sum of Distances")</f>
        <v>Sum of Distances</v>
      </c>
      <c r="C1709" s="1">
        <v>827</v>
      </c>
      <c r="D1709" s="1">
        <v>97</v>
      </c>
      <c r="E1709" s="3">
        <f t="shared" si="12"/>
        <v>0.89502164502164505</v>
      </c>
      <c r="F1709" s="1" t="s">
        <v>39</v>
      </c>
      <c r="G1709" s="1" t="s">
        <v>24</v>
      </c>
      <c r="H1709" s="1">
        <v>27792</v>
      </c>
      <c r="I1709" s="1">
        <v>86104</v>
      </c>
      <c r="J1709" s="7">
        <v>0.32300000000000001</v>
      </c>
      <c r="K1709" s="1" t="s">
        <v>21</v>
      </c>
      <c r="L1709" s="1" t="s">
        <v>29</v>
      </c>
      <c r="M1709" s="1" t="s">
        <v>29</v>
      </c>
      <c r="N1709" s="1" t="s">
        <v>22</v>
      </c>
      <c r="O1709" s="1" t="str">
        <f t="shared" ca="1" si="13"/>
        <v>Please solve the LeetCode problem '2615. Sum of Distances'.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10" spans="1:15" x14ac:dyDescent="0.25">
      <c r="A1710" s="1">
        <v>2554</v>
      </c>
      <c r="B1710" s="2" t="str">
        <f>HYPERLINK("https://leetcode.com/problems/maximum-number-of-integers-to-choose-from-a-range-i/", "Maximum Number of Integers to Choose From a Range I")</f>
        <v>Maximum Number of Integers to Choose From a Range I</v>
      </c>
      <c r="C1710" s="1">
        <v>825</v>
      </c>
      <c r="D1710" s="1">
        <v>57</v>
      </c>
      <c r="E1710" s="3">
        <f t="shared" si="12"/>
        <v>0.93537414965986398</v>
      </c>
      <c r="F1710" s="1" t="s">
        <v>761</v>
      </c>
      <c r="G1710" s="1" t="s">
        <v>24</v>
      </c>
      <c r="H1710" s="1">
        <v>167654</v>
      </c>
      <c r="I1710" s="1">
        <v>246750</v>
      </c>
      <c r="J1710" s="7">
        <v>0.67900000000000005</v>
      </c>
      <c r="K1710" s="1" t="s">
        <v>21</v>
      </c>
      <c r="L1710" s="1" t="s">
        <v>21</v>
      </c>
      <c r="M1710" s="1" t="s">
        <v>29</v>
      </c>
      <c r="N1710" s="1" t="s">
        <v>22</v>
      </c>
      <c r="O1710" s="1" t="str">
        <f t="shared" ca="1" si="13"/>
        <v>Please solve the LeetCode problem '2554. Maximum Number of Integers to Choose From a Range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11" spans="1:15" x14ac:dyDescent="0.25">
      <c r="A1711" s="1">
        <v>2874</v>
      </c>
      <c r="B1711" s="2" t="str">
        <f>HYPERLINK("https://leetcode.com/problems/maximum-value-of-an-ordered-triplet-ii/", "Maximum Value of an Ordered Triplet II")</f>
        <v>Maximum Value of an Ordered Triplet II</v>
      </c>
      <c r="C1711" s="1">
        <v>825</v>
      </c>
      <c r="D1711" s="1">
        <v>20</v>
      </c>
      <c r="E1711" s="3">
        <f t="shared" si="12"/>
        <v>0.97633136094674555</v>
      </c>
      <c r="F1711" s="1" t="s">
        <v>113</v>
      </c>
      <c r="G1711" s="1" t="s">
        <v>24</v>
      </c>
      <c r="H1711" s="1">
        <v>157626</v>
      </c>
      <c r="I1711" s="1">
        <v>279183</v>
      </c>
      <c r="J1711" s="7">
        <v>0.56499999999999995</v>
      </c>
      <c r="K1711" s="1" t="s">
        <v>21</v>
      </c>
      <c r="L1711" s="1" t="s">
        <v>21</v>
      </c>
      <c r="M1711" s="1" t="s">
        <v>29</v>
      </c>
      <c r="N1711" s="1" t="s">
        <v>22</v>
      </c>
      <c r="O1711" s="1" t="str">
        <f t="shared" ca="1" si="13"/>
        <v>Please solve the LeetCode problem '2874. Maximum Value of an Ordered Triplet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12" spans="1:15" x14ac:dyDescent="0.25">
      <c r="A1712" s="1">
        <v>667</v>
      </c>
      <c r="B1712" s="2" t="str">
        <f>HYPERLINK("https://leetcode.com/problems/beautiful-arrangement-ii/", "Beautiful Arrangement II")</f>
        <v>Beautiful Arrangement II</v>
      </c>
      <c r="C1712" s="1">
        <v>824</v>
      </c>
      <c r="D1712" s="1">
        <v>1059</v>
      </c>
      <c r="E1712" s="3">
        <f t="shared" si="12"/>
        <v>0.43759957514604353</v>
      </c>
      <c r="F1712" s="1" t="s">
        <v>115</v>
      </c>
      <c r="G1712" s="1" t="s">
        <v>24</v>
      </c>
      <c r="H1712" s="1">
        <v>60598</v>
      </c>
      <c r="I1712" s="1">
        <v>99342</v>
      </c>
      <c r="J1712" s="7">
        <v>0.61</v>
      </c>
      <c r="K1712" s="1" t="s">
        <v>21</v>
      </c>
      <c r="L1712" s="1" t="s">
        <v>21</v>
      </c>
      <c r="M1712" s="1" t="s">
        <v>29</v>
      </c>
      <c r="N1712" s="1" t="s">
        <v>22</v>
      </c>
      <c r="O1712" s="1" t="str">
        <f t="shared" ca="1" si="13"/>
        <v>Please solve the LeetCode problem '667. Beautiful Arrangement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13" spans="1:15" x14ac:dyDescent="0.25">
      <c r="A1713" s="1">
        <v>2178</v>
      </c>
      <c r="B1713" s="2" t="str">
        <f>HYPERLINK("https://leetcode.com/problems/maximum-split-of-positive-even-integers/", "Maximum Split of Positive Even Integers")</f>
        <v>Maximum Split of Positive Even Integers</v>
      </c>
      <c r="C1713" s="1">
        <v>824</v>
      </c>
      <c r="D1713" s="1">
        <v>75</v>
      </c>
      <c r="E1713" s="3">
        <f t="shared" si="12"/>
        <v>0.91657397107897665</v>
      </c>
      <c r="F1713" s="1" t="s">
        <v>762</v>
      </c>
      <c r="G1713" s="1" t="s">
        <v>24</v>
      </c>
      <c r="H1713" s="1">
        <v>55050</v>
      </c>
      <c r="I1713" s="1">
        <v>92300</v>
      </c>
      <c r="J1713" s="7">
        <v>0.59599999999999997</v>
      </c>
      <c r="K1713" s="1" t="s">
        <v>21</v>
      </c>
      <c r="L1713" s="1" t="s">
        <v>29</v>
      </c>
      <c r="M1713" s="1" t="s">
        <v>29</v>
      </c>
      <c r="N1713" s="1" t="s">
        <v>22</v>
      </c>
      <c r="O1713" s="1" t="str">
        <f t="shared" ca="1" si="13"/>
        <v>Please solve the LeetCode problem '2178. Maximum Split of Positive Even Integers'.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14" spans="1:15" x14ac:dyDescent="0.25">
      <c r="A1714" s="1">
        <v>2570</v>
      </c>
      <c r="B1714" s="2" t="str">
        <f>HYPERLINK("https://leetcode.com/problems/merge-two-2d-arrays-by-summing-values/", "Merge Two 2D Arrays by Summing Values")</f>
        <v>Merge Two 2D Arrays by Summing Values</v>
      </c>
      <c r="C1714" s="1">
        <v>824</v>
      </c>
      <c r="D1714" s="1">
        <v>38</v>
      </c>
      <c r="E1714" s="3">
        <f t="shared" si="12"/>
        <v>0.95591647331786544</v>
      </c>
      <c r="F1714" s="1" t="s">
        <v>757</v>
      </c>
      <c r="G1714" s="1" t="s">
        <v>20</v>
      </c>
      <c r="H1714" s="1">
        <v>208545</v>
      </c>
      <c r="I1714" s="1">
        <v>255029</v>
      </c>
      <c r="J1714" s="7">
        <v>0.81799999999999995</v>
      </c>
      <c r="K1714" s="1" t="s">
        <v>21</v>
      </c>
      <c r="L1714" s="1" t="s">
        <v>21</v>
      </c>
      <c r="M1714" s="1" t="s">
        <v>29</v>
      </c>
      <c r="N1714" s="1" t="s">
        <v>22</v>
      </c>
      <c r="O1714" s="1" t="str">
        <f t="shared" ca="1" si="13"/>
        <v>Please solve the LeetCode problem '2570. Merge Two 2D Arrays by Summing Values'.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15" spans="1:15" x14ac:dyDescent="0.25">
      <c r="A1715" s="1">
        <v>2014</v>
      </c>
      <c r="B1715" s="2" t="str">
        <f>HYPERLINK("https://leetcode.com/problems/longest-subsequence-repeated-k-times/", "Longest Subsequence Repeated k Times")</f>
        <v>Longest Subsequence Repeated k Times</v>
      </c>
      <c r="C1715" s="1">
        <v>821</v>
      </c>
      <c r="D1715" s="1">
        <v>117</v>
      </c>
      <c r="E1715" s="3">
        <f t="shared" si="12"/>
        <v>0.87526652452025588</v>
      </c>
      <c r="F1715" s="1" t="s">
        <v>1372</v>
      </c>
      <c r="G1715" s="1" t="s">
        <v>28</v>
      </c>
      <c r="H1715" s="1">
        <v>73186</v>
      </c>
      <c r="I1715" s="1">
        <v>102636</v>
      </c>
      <c r="J1715" s="7">
        <v>0.71299999999999997</v>
      </c>
      <c r="K1715" s="1" t="s">
        <v>21</v>
      </c>
      <c r="L1715" s="1" t="s">
        <v>21</v>
      </c>
      <c r="M1715" s="1" t="s">
        <v>29</v>
      </c>
      <c r="N1715" s="1" t="s">
        <v>22</v>
      </c>
      <c r="O1715" s="1" t="str">
        <f t="shared" ca="1" si="13"/>
        <v>Please solve the LeetCode problem '2014. Longest Subsequence Repeated k Times'.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16" spans="1:15" x14ac:dyDescent="0.25">
      <c r="A1716" s="1">
        <v>2124</v>
      </c>
      <c r="B1716" s="2" t="str">
        <f>HYPERLINK("https://leetcode.com/problems/check-if-all-as-appears-before-all-bs/", "Check if All A's Appears Before All B's")</f>
        <v>Check if All A's Appears Before All B's</v>
      </c>
      <c r="C1716" s="1">
        <v>821</v>
      </c>
      <c r="D1716" s="1">
        <v>21</v>
      </c>
      <c r="E1716" s="3">
        <f t="shared" si="12"/>
        <v>0.97505938242280288</v>
      </c>
      <c r="F1716" s="1" t="s">
        <v>146</v>
      </c>
      <c r="G1716" s="1" t="s">
        <v>20</v>
      </c>
      <c r="H1716" s="1">
        <v>116237</v>
      </c>
      <c r="I1716" s="1">
        <v>159896</v>
      </c>
      <c r="J1716" s="7">
        <v>0.72699999999999998</v>
      </c>
      <c r="K1716" s="1" t="s">
        <v>21</v>
      </c>
      <c r="L1716" s="1" t="s">
        <v>29</v>
      </c>
      <c r="M1716" s="1" t="s">
        <v>29</v>
      </c>
      <c r="N1716" s="1" t="s">
        <v>22</v>
      </c>
      <c r="O1716" s="1" t="str">
        <f t="shared" ca="1" si="13"/>
        <v>Please solve the LeetCode problem '2124. Check if All A's Appears Before All B's'.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17" spans="1:15" x14ac:dyDescent="0.25">
      <c r="A1717" s="1">
        <v>1324</v>
      </c>
      <c r="B1717" s="2" t="str">
        <f>HYPERLINK("https://leetcode.com/problems/print-words-vertically/", "Print Words Vertically")</f>
        <v>Print Words Vertically</v>
      </c>
      <c r="C1717" s="1">
        <v>820</v>
      </c>
      <c r="D1717" s="1">
        <v>121</v>
      </c>
      <c r="E1717" s="3">
        <f t="shared" si="12"/>
        <v>0.87141339001062701</v>
      </c>
      <c r="F1717" s="1" t="s">
        <v>285</v>
      </c>
      <c r="G1717" s="1" t="s">
        <v>24</v>
      </c>
      <c r="H1717" s="1">
        <v>51019</v>
      </c>
      <c r="I1717" s="1">
        <v>75875</v>
      </c>
      <c r="J1717" s="7">
        <v>0.67200000000000004</v>
      </c>
      <c r="K1717" s="1" t="s">
        <v>21</v>
      </c>
      <c r="L1717" s="1" t="s">
        <v>29</v>
      </c>
      <c r="M1717" s="1" t="s">
        <v>29</v>
      </c>
      <c r="N1717" s="1" t="s">
        <v>22</v>
      </c>
      <c r="O1717" s="1" t="str">
        <f t="shared" ca="1" si="13"/>
        <v>Please solve the LeetCode problem '1324. Print Words Vertically'.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18" spans="1:15" x14ac:dyDescent="0.25">
      <c r="A1718" s="1">
        <v>1789</v>
      </c>
      <c r="B1718" s="2" t="str">
        <f>HYPERLINK("https://leetcode.com/problems/primary-department-for-each-employee/", "Primary Department for Each Employee")</f>
        <v>Primary Department for Each Employee</v>
      </c>
      <c r="C1718" s="1">
        <v>820</v>
      </c>
      <c r="D1718" s="1">
        <v>265</v>
      </c>
      <c r="E1718" s="3">
        <f t="shared" si="12"/>
        <v>0.75576036866359442</v>
      </c>
      <c r="F1718" s="1" t="s">
        <v>297</v>
      </c>
      <c r="G1718" s="1" t="s">
        <v>20</v>
      </c>
      <c r="H1718" s="1">
        <v>327086</v>
      </c>
      <c r="I1718" s="1">
        <v>443787</v>
      </c>
      <c r="J1718" s="7">
        <v>0.73699999999999999</v>
      </c>
      <c r="K1718" s="1" t="s">
        <v>21</v>
      </c>
      <c r="L1718" s="1" t="s">
        <v>21</v>
      </c>
      <c r="M1718" s="1" t="s">
        <v>29</v>
      </c>
      <c r="N1718" s="1" t="s">
        <v>297</v>
      </c>
      <c r="O1718" s="1" t="str">
        <f t="shared" ca="1" si="13"/>
        <v>Please solve the LeetCode problem '1789. Primary Department for Each Employee'.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19" spans="1:15" x14ac:dyDescent="0.25">
      <c r="A1719" s="1">
        <v>308</v>
      </c>
      <c r="B1719" s="2" t="str">
        <f>HYPERLINK("https://leetcode.com/problems/range-sum-query-2d-mutable/", "Range Sum Query 2D - Mutable")</f>
        <v>Range Sum Query 2D - Mutable</v>
      </c>
      <c r="C1719" s="1">
        <v>819</v>
      </c>
      <c r="D1719" s="1">
        <v>97</v>
      </c>
      <c r="E1719" s="3">
        <f t="shared" si="12"/>
        <v>0.89410480349344978</v>
      </c>
      <c r="F1719" s="1" t="s">
        <v>764</v>
      </c>
      <c r="G1719" s="1" t="s">
        <v>24</v>
      </c>
      <c r="H1719" s="1">
        <v>83069</v>
      </c>
      <c r="I1719" s="1">
        <v>183235</v>
      </c>
      <c r="J1719" s="7">
        <v>0.45300000000000001</v>
      </c>
      <c r="K1719" s="1" t="s">
        <v>29</v>
      </c>
      <c r="L1719" s="1" t="s">
        <v>21</v>
      </c>
      <c r="M1719" s="1" t="s">
        <v>21</v>
      </c>
      <c r="N1719" s="1" t="s">
        <v>22</v>
      </c>
      <c r="O1719" s="1" t="str">
        <f t="shared" ca="1" si="13"/>
        <v>Please solve the LeetCode problem '308. Range Sum Query 2D - Mutable'.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20" spans="1:15" x14ac:dyDescent="0.25">
      <c r="A1720" s="1">
        <v>601</v>
      </c>
      <c r="B1720" s="2" t="str">
        <f>HYPERLINK("https://leetcode.com/problems/human-traffic-of-stadium/", "Human Traffic of Stadium")</f>
        <v>Human Traffic of Stadium</v>
      </c>
      <c r="C1720" s="1">
        <v>819</v>
      </c>
      <c r="D1720" s="1">
        <v>575</v>
      </c>
      <c r="E1720" s="3">
        <f t="shared" si="12"/>
        <v>0.58751793400286945</v>
      </c>
      <c r="F1720" s="1" t="s">
        <v>297</v>
      </c>
      <c r="G1720" s="1" t="s">
        <v>28</v>
      </c>
      <c r="H1720" s="1">
        <v>160072</v>
      </c>
      <c r="I1720" s="1">
        <v>316437</v>
      </c>
      <c r="J1720" s="7">
        <v>0.50600000000000001</v>
      </c>
      <c r="K1720" s="1" t="s">
        <v>21</v>
      </c>
      <c r="L1720" s="1" t="s">
        <v>21</v>
      </c>
      <c r="M1720" s="1" t="s">
        <v>29</v>
      </c>
      <c r="N1720" s="1" t="s">
        <v>297</v>
      </c>
      <c r="O1720" s="1" t="str">
        <f t="shared" ca="1" si="13"/>
        <v>Please solve the LeetCode problem '601. Human Traffic of Stadium'.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21" spans="1:15" x14ac:dyDescent="0.25">
      <c r="A1721" s="1">
        <v>3043</v>
      </c>
      <c r="B1721" s="2" t="str">
        <f>HYPERLINK("https://leetcode.com/problems/find-the-length-of-the-longest-common-prefix/", "Find the Length of the Longest Common Prefix")</f>
        <v>Find the Length of the Longest Common Prefix</v>
      </c>
      <c r="C1721" s="1">
        <v>819</v>
      </c>
      <c r="D1721" s="1">
        <v>50</v>
      </c>
      <c r="E1721" s="3">
        <f t="shared" si="12"/>
        <v>0.94246260069044874</v>
      </c>
      <c r="F1721" s="1" t="s">
        <v>279</v>
      </c>
      <c r="G1721" s="1" t="s">
        <v>24</v>
      </c>
      <c r="H1721" s="1">
        <v>171510</v>
      </c>
      <c r="I1721" s="1">
        <v>301274</v>
      </c>
      <c r="J1721" s="7">
        <v>0.56899999999999995</v>
      </c>
      <c r="K1721" s="1" t="s">
        <v>21</v>
      </c>
      <c r="L1721" s="1" t="s">
        <v>21</v>
      </c>
      <c r="M1721" s="1" t="s">
        <v>29</v>
      </c>
      <c r="N1721" s="1" t="s">
        <v>22</v>
      </c>
      <c r="O1721" s="1" t="str">
        <f t="shared" ca="1" si="13"/>
        <v>Please solve the LeetCode problem '3043. Find the Length of the Longest Common Prefix'.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22" spans="1:15" x14ac:dyDescent="0.25">
      <c r="A1722" s="1">
        <v>2629</v>
      </c>
      <c r="B1722" s="2" t="str">
        <f>HYPERLINK("https://leetcode.com/problems/function-composition/", "Function Composition")</f>
        <v>Function Composition</v>
      </c>
      <c r="C1722" s="1">
        <v>818</v>
      </c>
      <c r="D1722" s="1">
        <v>61</v>
      </c>
      <c r="E1722" s="3">
        <f t="shared" si="12"/>
        <v>0.93060295790671221</v>
      </c>
      <c r="G1722" s="1" t="s">
        <v>20</v>
      </c>
      <c r="H1722" s="1">
        <v>232988</v>
      </c>
      <c r="I1722" s="1">
        <v>268180</v>
      </c>
      <c r="J1722" s="7">
        <v>0.86899999999999999</v>
      </c>
      <c r="K1722" s="1" t="s">
        <v>21</v>
      </c>
      <c r="L1722" s="1" t="s">
        <v>21</v>
      </c>
      <c r="M1722" s="1" t="s">
        <v>29</v>
      </c>
      <c r="N1722" s="1" t="s">
        <v>555</v>
      </c>
      <c r="O1722" s="1" t="str">
        <f t="shared" ca="1" si="13"/>
        <v>Please solve the LeetCode problem '2629. Function Composition'.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23" spans="1:15" x14ac:dyDescent="0.25">
      <c r="A1723" s="1">
        <v>3110</v>
      </c>
      <c r="B1723" s="2" t="str">
        <f>HYPERLINK("https://leetcode.com/problems/score-of-a-string/", "Score of a String")</f>
        <v>Score of a String</v>
      </c>
      <c r="C1723" s="1">
        <v>818</v>
      </c>
      <c r="D1723" s="1">
        <v>52</v>
      </c>
      <c r="E1723" s="3">
        <f t="shared" si="12"/>
        <v>0.94022988505747129</v>
      </c>
      <c r="F1723" s="1" t="s">
        <v>146</v>
      </c>
      <c r="G1723" s="1" t="s">
        <v>20</v>
      </c>
      <c r="H1723" s="1">
        <v>422057</v>
      </c>
      <c r="I1723" s="1">
        <v>461736</v>
      </c>
      <c r="J1723" s="7">
        <v>0.91400000000000003</v>
      </c>
      <c r="K1723" s="1" t="s">
        <v>21</v>
      </c>
      <c r="L1723" s="1" t="s">
        <v>21</v>
      </c>
      <c r="M1723" s="1" t="s">
        <v>29</v>
      </c>
      <c r="N1723" s="1" t="s">
        <v>22</v>
      </c>
      <c r="O1723" s="1" t="str">
        <f t="shared" ca="1" si="13"/>
        <v>Please solve the LeetCode problem '3110. Score of a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24" spans="1:15" x14ac:dyDescent="0.25">
      <c r="A1724" s="1">
        <v>1244</v>
      </c>
      <c r="B1724" s="2" t="str">
        <f>HYPERLINK("https://leetcode.com/problems/design-a-leaderboard/", "Design A Leaderboard")</f>
        <v>Design A Leaderboard</v>
      </c>
      <c r="C1724" s="1">
        <v>817</v>
      </c>
      <c r="D1724" s="1">
        <v>98</v>
      </c>
      <c r="E1724" s="3">
        <f t="shared" si="12"/>
        <v>0.89289617486338801</v>
      </c>
      <c r="F1724" s="1" t="s">
        <v>765</v>
      </c>
      <c r="G1724" s="1" t="s">
        <v>24</v>
      </c>
      <c r="H1724" s="1">
        <v>93995</v>
      </c>
      <c r="I1724" s="1">
        <v>138029</v>
      </c>
      <c r="J1724" s="7">
        <v>0.68100000000000005</v>
      </c>
      <c r="K1724" s="1" t="s">
        <v>29</v>
      </c>
      <c r="L1724" s="1" t="s">
        <v>21</v>
      </c>
      <c r="M1724" s="1" t="s">
        <v>29</v>
      </c>
      <c r="N1724" s="1" t="s">
        <v>22</v>
      </c>
      <c r="O1724" s="1" t="str">
        <f t="shared" ca="1" si="13"/>
        <v>Please solve the LeetCode problem '1244. Design A Leaderboard'.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25" spans="1:15" x14ac:dyDescent="0.25">
      <c r="A1725" s="1">
        <v>2780</v>
      </c>
      <c r="B1725" s="2" t="str">
        <f>HYPERLINK("https://leetcode.com/problems/minimum-index-of-a-valid-split/", "Minimum Index of a Valid Split")</f>
        <v>Minimum Index of a Valid Split</v>
      </c>
      <c r="C1725" s="1">
        <v>817</v>
      </c>
      <c r="D1725" s="1">
        <v>47</v>
      </c>
      <c r="E1725" s="3">
        <f t="shared" si="12"/>
        <v>0.94560185185185186</v>
      </c>
      <c r="F1725" s="1" t="s">
        <v>92</v>
      </c>
      <c r="G1725" s="1" t="s">
        <v>24</v>
      </c>
      <c r="H1725" s="1">
        <v>147404</v>
      </c>
      <c r="I1725" s="1">
        <v>195196</v>
      </c>
      <c r="J1725" s="7">
        <v>0.755</v>
      </c>
      <c r="K1725" s="1" t="s">
        <v>21</v>
      </c>
      <c r="L1725" s="1" t="s">
        <v>21</v>
      </c>
      <c r="M1725" s="1" t="s">
        <v>29</v>
      </c>
      <c r="N1725" s="1" t="s">
        <v>22</v>
      </c>
      <c r="O1725" s="1" t="str">
        <f t="shared" ca="1" si="13"/>
        <v>Please solve the LeetCode problem '2780. Minimum Index of a Valid Split'.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26" spans="1:15" x14ac:dyDescent="0.25">
      <c r="A1726" s="1">
        <v>517</v>
      </c>
      <c r="B1726" s="2" t="str">
        <f>HYPERLINK("https://leetcode.com/problems/super-washing-machines/", "Super Washing Machines")</f>
        <v>Super Washing Machines</v>
      </c>
      <c r="C1726" s="1">
        <v>815</v>
      </c>
      <c r="D1726" s="1">
        <v>222</v>
      </c>
      <c r="E1726" s="3">
        <f t="shared" si="12"/>
        <v>0.78592092574734806</v>
      </c>
      <c r="F1726" s="1" t="s">
        <v>96</v>
      </c>
      <c r="G1726" s="1" t="s">
        <v>28</v>
      </c>
      <c r="H1726" s="1">
        <v>38186</v>
      </c>
      <c r="I1726" s="1">
        <v>87492</v>
      </c>
      <c r="J1726" s="7">
        <v>0.436</v>
      </c>
      <c r="K1726" s="1" t="s">
        <v>21</v>
      </c>
      <c r="L1726" s="1" t="s">
        <v>21</v>
      </c>
      <c r="M1726" s="1" t="s">
        <v>29</v>
      </c>
      <c r="N1726" s="1" t="s">
        <v>22</v>
      </c>
      <c r="O1726" s="1" t="str">
        <f t="shared" ca="1" si="13"/>
        <v>Please solve the LeetCode problem '517. Super Washing Machines'.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27" spans="1:15" x14ac:dyDescent="0.25">
      <c r="A1727" s="1">
        <v>610</v>
      </c>
      <c r="B1727" s="2" t="str">
        <f>HYPERLINK("https://leetcode.com/problems/triangle-judgement/", "Triangle Judgement")</f>
        <v>Triangle Judgement</v>
      </c>
      <c r="C1727" s="1">
        <v>815</v>
      </c>
      <c r="D1727" s="1">
        <v>229</v>
      </c>
      <c r="E1727" s="3">
        <f t="shared" si="12"/>
        <v>0.78065134099616862</v>
      </c>
      <c r="F1727" s="1" t="s">
        <v>297</v>
      </c>
      <c r="G1727" s="1" t="s">
        <v>20</v>
      </c>
      <c r="H1727" s="1">
        <v>437698</v>
      </c>
      <c r="I1727" s="1">
        <v>587863</v>
      </c>
      <c r="J1727" s="7">
        <v>0.745</v>
      </c>
      <c r="K1727" s="1" t="s">
        <v>21</v>
      </c>
      <c r="L1727" s="1" t="s">
        <v>21</v>
      </c>
      <c r="M1727" s="1" t="s">
        <v>29</v>
      </c>
      <c r="N1727" s="1" t="s">
        <v>297</v>
      </c>
      <c r="O1727" s="1" t="str">
        <f t="shared" ca="1" si="13"/>
        <v>Please solve the LeetCode problem '610. Triangle Judgement'.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28" spans="1:15" x14ac:dyDescent="0.25">
      <c r="A1728" s="1">
        <v>1668</v>
      </c>
      <c r="B1728" s="2" t="str">
        <f>HYPERLINK("https://leetcode.com/problems/maximum-repeating-substring/", "Maximum Repeating Substring")</f>
        <v>Maximum Repeating Substring</v>
      </c>
      <c r="C1728" s="1">
        <v>815</v>
      </c>
      <c r="D1728" s="1">
        <v>296</v>
      </c>
      <c r="E1728" s="3">
        <f t="shared" si="12"/>
        <v>0.73357335733573359</v>
      </c>
      <c r="F1728" s="1" t="s">
        <v>760</v>
      </c>
      <c r="G1728" s="1" t="s">
        <v>20</v>
      </c>
      <c r="H1728" s="1">
        <v>100395</v>
      </c>
      <c r="I1728" s="1">
        <v>245945</v>
      </c>
      <c r="J1728" s="7">
        <v>0.40799999999999997</v>
      </c>
      <c r="K1728" s="1" t="s">
        <v>21</v>
      </c>
      <c r="L1728" s="1" t="s">
        <v>29</v>
      </c>
      <c r="M1728" s="1" t="s">
        <v>29</v>
      </c>
      <c r="N1728" s="1" t="s">
        <v>22</v>
      </c>
      <c r="O1728" s="1" t="str">
        <f t="shared" ca="1" si="13"/>
        <v>Please solve the LeetCode problem '1668. Maximum Repeating Substring'.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29" spans="1:15" x14ac:dyDescent="0.25">
      <c r="A1729" s="1">
        <v>1589</v>
      </c>
      <c r="B1729" s="2" t="str">
        <f>HYPERLINK("https://leetcode.com/problems/maximum-sum-obtained-of-any-permutation/", "Maximum Sum Obtained of Any Permutation")</f>
        <v>Maximum Sum Obtained of Any Permutation</v>
      </c>
      <c r="C1729" s="1">
        <v>814</v>
      </c>
      <c r="D1729" s="1">
        <v>40</v>
      </c>
      <c r="E1729" s="3">
        <f t="shared" si="12"/>
        <v>0.95316159250585475</v>
      </c>
      <c r="F1729" s="1" t="s">
        <v>755</v>
      </c>
      <c r="G1729" s="1" t="s">
        <v>24</v>
      </c>
      <c r="H1729" s="1">
        <v>27191</v>
      </c>
      <c r="I1729" s="1">
        <v>67850</v>
      </c>
      <c r="J1729" s="7">
        <v>0.40100000000000002</v>
      </c>
      <c r="K1729" s="1" t="s">
        <v>21</v>
      </c>
      <c r="L1729" s="1" t="s">
        <v>29</v>
      </c>
      <c r="M1729" s="1" t="s">
        <v>29</v>
      </c>
      <c r="N1729" s="1" t="s">
        <v>22</v>
      </c>
      <c r="O1729" s="1" t="str">
        <f t="shared" ca="1" si="13"/>
        <v>Please solve the LeetCode problem '1589. Maximum Sum Obtained of Any Permutation'.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30" spans="1:15" x14ac:dyDescent="0.25">
      <c r="A1730" s="1">
        <v>2824</v>
      </c>
      <c r="B1730" s="2" t="str">
        <f>HYPERLINK("https://leetcode.com/problems/count-pairs-whose-sum-is-less-than-target/", "Count Pairs Whose Sum is Less than Target")</f>
        <v>Count Pairs Whose Sum is Less than Target</v>
      </c>
      <c r="C1730" s="1">
        <v>814</v>
      </c>
      <c r="D1730" s="1">
        <v>90</v>
      </c>
      <c r="E1730" s="3">
        <f t="shared" si="12"/>
        <v>0.90044247787610621</v>
      </c>
      <c r="F1730" s="1" t="s">
        <v>277</v>
      </c>
      <c r="G1730" s="1" t="s">
        <v>20</v>
      </c>
      <c r="H1730" s="1">
        <v>249625</v>
      </c>
      <c r="I1730" s="1">
        <v>284788</v>
      </c>
      <c r="J1730" s="7">
        <v>0.877</v>
      </c>
      <c r="K1730" s="1" t="s">
        <v>21</v>
      </c>
      <c r="L1730" s="1" t="s">
        <v>29</v>
      </c>
      <c r="M1730" s="1" t="s">
        <v>29</v>
      </c>
      <c r="N1730" s="1" t="s">
        <v>22</v>
      </c>
      <c r="O1730" s="1" t="str">
        <f t="shared" ca="1" si="13"/>
        <v>Please solve the LeetCode problem '2824. Count Pairs Whose Sum is Less than Target'.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31" spans="1:15" x14ac:dyDescent="0.25">
      <c r="A1731" s="1">
        <v>933</v>
      </c>
      <c r="B1731" s="2" t="str">
        <f>HYPERLINK("https://leetcode.com/problems/number-of-recent-calls/", "Number of Recent Calls")</f>
        <v>Number of Recent Calls</v>
      </c>
      <c r="C1731" s="1">
        <v>813</v>
      </c>
      <c r="D1731" s="1">
        <v>1181</v>
      </c>
      <c r="E1731" s="3">
        <f t="shared" si="12"/>
        <v>0.40772316950852555</v>
      </c>
      <c r="F1731" s="1" t="s">
        <v>759</v>
      </c>
      <c r="G1731" s="1" t="s">
        <v>20</v>
      </c>
      <c r="H1731" s="1">
        <v>487121</v>
      </c>
      <c r="I1731" s="1">
        <v>624267</v>
      </c>
      <c r="J1731" s="7">
        <v>0.78</v>
      </c>
      <c r="K1731" s="1" t="s">
        <v>21</v>
      </c>
      <c r="L1731" s="1" t="s">
        <v>21</v>
      </c>
      <c r="M1731" s="1" t="s">
        <v>29</v>
      </c>
      <c r="N1731" s="1" t="s">
        <v>22</v>
      </c>
      <c r="O1731" s="1" t="str">
        <f t="shared" ca="1" si="13"/>
        <v>Please solve the LeetCode problem '933. Number of Recent Calls'.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32" spans="1:15" x14ac:dyDescent="0.25">
      <c r="A1732" s="1">
        <v>1184</v>
      </c>
      <c r="B1732" s="2" t="str">
        <f>HYPERLINK("https://leetcode.com/problems/distance-between-bus-stops/", "Distance Between Bus Stops")</f>
        <v>Distance Between Bus Stops</v>
      </c>
      <c r="C1732" s="1">
        <v>813</v>
      </c>
      <c r="D1732" s="1">
        <v>95</v>
      </c>
      <c r="E1732" s="3">
        <f t="shared" si="12"/>
        <v>0.89537444933920707</v>
      </c>
      <c r="F1732" s="1" t="s">
        <v>113</v>
      </c>
      <c r="G1732" s="1" t="s">
        <v>20</v>
      </c>
      <c r="H1732" s="1">
        <v>76560</v>
      </c>
      <c r="I1732" s="1">
        <v>138871</v>
      </c>
      <c r="J1732" s="7">
        <v>0.55100000000000005</v>
      </c>
      <c r="K1732" s="1" t="s">
        <v>21</v>
      </c>
      <c r="L1732" s="1" t="s">
        <v>29</v>
      </c>
      <c r="M1732" s="1" t="s">
        <v>29</v>
      </c>
      <c r="N1732" s="1" t="s">
        <v>22</v>
      </c>
      <c r="O1732" s="1" t="str">
        <f t="shared" ca="1" si="13"/>
        <v>Please solve the LeetCode problem '1184. Distance Between Bus Stops'.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33" spans="1:15" x14ac:dyDescent="0.25">
      <c r="A1733" s="1">
        <v>2032</v>
      </c>
      <c r="B1733" s="2" t="str">
        <f>HYPERLINK("https://leetcode.com/problems/two-out-of-three/", "Two Out of Three")</f>
        <v>Two Out of Three</v>
      </c>
      <c r="C1733" s="1">
        <v>812</v>
      </c>
      <c r="D1733" s="1">
        <v>52</v>
      </c>
      <c r="E1733" s="3">
        <f t="shared" si="12"/>
        <v>0.93981481481481477</v>
      </c>
      <c r="F1733" s="1" t="s">
        <v>667</v>
      </c>
      <c r="G1733" s="1" t="s">
        <v>20</v>
      </c>
      <c r="H1733" s="1">
        <v>99136</v>
      </c>
      <c r="I1733" s="1">
        <v>128297</v>
      </c>
      <c r="J1733" s="7">
        <v>0.77300000000000002</v>
      </c>
      <c r="K1733" s="1" t="s">
        <v>21</v>
      </c>
      <c r="L1733" s="1" t="s">
        <v>29</v>
      </c>
      <c r="M1733" s="1" t="s">
        <v>29</v>
      </c>
      <c r="N1733" s="1" t="s">
        <v>22</v>
      </c>
      <c r="O1733" s="1" t="str">
        <f t="shared" ca="1" si="13"/>
        <v>Please solve the LeetCode problem '2032. Two Out of Three'.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34" spans="1:15" x14ac:dyDescent="0.25">
      <c r="A1734" s="1">
        <v>1030</v>
      </c>
      <c r="B1734" s="2" t="str">
        <f>HYPERLINK("https://leetcode.com/problems/matrix-cells-in-distance-order/", "Matrix Cells in Distance Order")</f>
        <v>Matrix Cells in Distance Order</v>
      </c>
      <c r="C1734" s="1">
        <v>811</v>
      </c>
      <c r="D1734" s="1">
        <v>344</v>
      </c>
      <c r="E1734" s="3">
        <f t="shared" si="12"/>
        <v>0.70216450216450221</v>
      </c>
      <c r="F1734" s="1" t="s">
        <v>768</v>
      </c>
      <c r="G1734" s="1" t="s">
        <v>20</v>
      </c>
      <c r="H1734" s="1">
        <v>76220</v>
      </c>
      <c r="I1734" s="1">
        <v>103381</v>
      </c>
      <c r="J1734" s="7">
        <v>0.73699999999999999</v>
      </c>
      <c r="K1734" s="1" t="s">
        <v>21</v>
      </c>
      <c r="L1734" s="1" t="s">
        <v>29</v>
      </c>
      <c r="M1734" s="1" t="s">
        <v>29</v>
      </c>
      <c r="N1734" s="1" t="s">
        <v>22</v>
      </c>
      <c r="O1734" s="1" t="str">
        <f t="shared" ca="1" si="13"/>
        <v>Please solve the LeetCode problem '1030. Matrix Cells in Distance Order'.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35" spans="1:15" x14ac:dyDescent="0.25">
      <c r="A1735" s="1">
        <v>1670</v>
      </c>
      <c r="B1735" s="2" t="str">
        <f>HYPERLINK("https://leetcode.com/problems/design-front-middle-back-queue/", "Design Front Middle Back Queue")</f>
        <v>Design Front Middle Back Queue</v>
      </c>
      <c r="C1735" s="1">
        <v>811</v>
      </c>
      <c r="D1735" s="1">
        <v>114</v>
      </c>
      <c r="E1735" s="3">
        <f t="shared" si="12"/>
        <v>0.87675675675675679</v>
      </c>
      <c r="F1735" s="1" t="s">
        <v>767</v>
      </c>
      <c r="G1735" s="1" t="s">
        <v>24</v>
      </c>
      <c r="H1735" s="1">
        <v>41130</v>
      </c>
      <c r="I1735" s="1">
        <v>72448</v>
      </c>
      <c r="J1735" s="7">
        <v>0.56799999999999995</v>
      </c>
      <c r="K1735" s="1" t="s">
        <v>21</v>
      </c>
      <c r="L1735" s="1" t="s">
        <v>29</v>
      </c>
      <c r="M1735" s="1" t="s">
        <v>29</v>
      </c>
      <c r="N1735" s="1" t="s">
        <v>22</v>
      </c>
      <c r="O1735" s="1" t="str">
        <f t="shared" ca="1" si="13"/>
        <v>Please solve the LeetCode problem '1670. Design Front Middle Back Queue'.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36" spans="1:15" x14ac:dyDescent="0.25">
      <c r="A1736" s="1">
        <v>2322</v>
      </c>
      <c r="B1736" s="2" t="str">
        <f>HYPERLINK("https://leetcode.com/problems/minimum-score-after-removals-on-a-tree/", "Minimum Score After Removals on a Tree")</f>
        <v>Minimum Score After Removals on a Tree</v>
      </c>
      <c r="C1736" s="1">
        <v>809</v>
      </c>
      <c r="D1736" s="1">
        <v>47</v>
      </c>
      <c r="E1736" s="3">
        <f t="shared" si="12"/>
        <v>0.94509345794392519</v>
      </c>
      <c r="F1736" s="1" t="s">
        <v>769</v>
      </c>
      <c r="G1736" s="1" t="s">
        <v>28</v>
      </c>
      <c r="H1736" s="1">
        <v>69116</v>
      </c>
      <c r="I1736" s="1">
        <v>90670</v>
      </c>
      <c r="J1736" s="7">
        <v>0.76200000000000001</v>
      </c>
      <c r="K1736" s="1" t="s">
        <v>21</v>
      </c>
      <c r="L1736" s="1" t="s">
        <v>21</v>
      </c>
      <c r="M1736" s="1" t="s">
        <v>29</v>
      </c>
      <c r="N1736" s="1" t="s">
        <v>22</v>
      </c>
      <c r="O1736" s="1" t="str">
        <f t="shared" ca="1" si="13"/>
        <v>Please solve the LeetCode problem '2322. Minimum Score After Removals on a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37" spans="1:15" x14ac:dyDescent="0.25">
      <c r="A1737" s="1">
        <v>3133</v>
      </c>
      <c r="B1737" s="2" t="str">
        <f>HYPERLINK("https://leetcode.com/problems/minimum-array-end/", "Minimum Array End")</f>
        <v>Minimum Array End</v>
      </c>
      <c r="C1737" s="1">
        <v>809</v>
      </c>
      <c r="D1737" s="1">
        <v>99</v>
      </c>
      <c r="E1737" s="3">
        <f t="shared" si="12"/>
        <v>0.8909691629955947</v>
      </c>
      <c r="F1737" s="1" t="s">
        <v>298</v>
      </c>
      <c r="G1737" s="1" t="s">
        <v>24</v>
      </c>
      <c r="H1737" s="1">
        <v>109064</v>
      </c>
      <c r="I1737" s="1">
        <v>196676</v>
      </c>
      <c r="J1737" s="7">
        <v>0.55500000000000005</v>
      </c>
      <c r="K1737" s="1" t="s">
        <v>21</v>
      </c>
      <c r="L1737" s="1" t="s">
        <v>21</v>
      </c>
      <c r="M1737" s="1" t="s">
        <v>29</v>
      </c>
      <c r="N1737" s="1" t="s">
        <v>22</v>
      </c>
      <c r="O1737" s="1" t="str">
        <f t="shared" ca="1" si="13"/>
        <v>Please solve the LeetCode problem '3133. Minimum Array End'.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38" spans="1:15" x14ac:dyDescent="0.25">
      <c r="A1738" s="1">
        <v>457</v>
      </c>
      <c r="B1738" s="2" t="str">
        <f>HYPERLINK("https://leetcode.com/problems/circular-array-loop/", "Circular Array Loop")</f>
        <v>Circular Array Loop</v>
      </c>
      <c r="C1738" s="1">
        <v>807</v>
      </c>
      <c r="D1738" s="1">
        <v>890</v>
      </c>
      <c r="E1738" s="3">
        <f t="shared" si="12"/>
        <v>0.47554507955215086</v>
      </c>
      <c r="F1738" s="1" t="s">
        <v>757</v>
      </c>
      <c r="G1738" s="1" t="s">
        <v>24</v>
      </c>
      <c r="H1738" s="1">
        <v>103689</v>
      </c>
      <c r="I1738" s="1">
        <v>282120</v>
      </c>
      <c r="J1738" s="7">
        <v>0.36799999999999999</v>
      </c>
      <c r="K1738" s="1" t="s">
        <v>21</v>
      </c>
      <c r="L1738" s="1" t="s">
        <v>29</v>
      </c>
      <c r="M1738" s="1" t="s">
        <v>29</v>
      </c>
      <c r="N1738" s="1" t="s">
        <v>22</v>
      </c>
      <c r="O1738" s="1" t="str">
        <f t="shared" ca="1" si="13"/>
        <v>Please solve the LeetCode problem '457. Circular Array Loop'.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39" spans="1:15" x14ac:dyDescent="0.25">
      <c r="A1739" s="1">
        <v>1850</v>
      </c>
      <c r="B1739" s="2" t="str">
        <f>HYPERLINK("https://leetcode.com/problems/minimum-adjacent-swaps-to-reach-the-kth-smallest-number/", "Minimum Adjacent Swaps to Reach the Kth Smallest Number")</f>
        <v>Minimum Adjacent Swaps to Reach the Kth Smallest Number</v>
      </c>
      <c r="C1739" s="1">
        <v>807</v>
      </c>
      <c r="D1739" s="1">
        <v>118</v>
      </c>
      <c r="E1739" s="3">
        <f t="shared" si="12"/>
        <v>0.8724324324324324</v>
      </c>
      <c r="F1739" s="1" t="s">
        <v>158</v>
      </c>
      <c r="G1739" s="1" t="s">
        <v>24</v>
      </c>
      <c r="H1739" s="1">
        <v>27089</v>
      </c>
      <c r="I1739" s="1">
        <v>37701</v>
      </c>
      <c r="J1739" s="7">
        <v>0.71899999999999997</v>
      </c>
      <c r="K1739" s="1" t="s">
        <v>21</v>
      </c>
      <c r="L1739" s="1" t="s">
        <v>29</v>
      </c>
      <c r="M1739" s="1" t="s">
        <v>29</v>
      </c>
      <c r="N1739" s="1" t="s">
        <v>22</v>
      </c>
      <c r="O1739" s="1" t="str">
        <f t="shared" ca="1" si="13"/>
        <v>Please solve the LeetCode problem '1850. Minimum Adjacent Swaps to Reach the Kth Smallest Number'.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40" spans="1:15" x14ac:dyDescent="0.25">
      <c r="A1740" s="1">
        <v>2129</v>
      </c>
      <c r="B1740" s="2" t="str">
        <f>HYPERLINK("https://leetcode.com/problems/capitalize-the-title/", "Capitalize the Title")</f>
        <v>Capitalize the Title</v>
      </c>
      <c r="C1740" s="1">
        <v>807</v>
      </c>
      <c r="D1740" s="1">
        <v>52</v>
      </c>
      <c r="E1740" s="3">
        <f t="shared" si="12"/>
        <v>0.93946449359720607</v>
      </c>
      <c r="F1740" s="1" t="s">
        <v>146</v>
      </c>
      <c r="G1740" s="1" t="s">
        <v>20</v>
      </c>
      <c r="H1740" s="1">
        <v>90956</v>
      </c>
      <c r="I1740" s="1">
        <v>134589</v>
      </c>
      <c r="J1740" s="7">
        <v>0.67600000000000005</v>
      </c>
      <c r="K1740" s="1" t="s">
        <v>21</v>
      </c>
      <c r="L1740" s="1" t="s">
        <v>29</v>
      </c>
      <c r="M1740" s="1" t="s">
        <v>29</v>
      </c>
      <c r="N1740" s="1" t="s">
        <v>22</v>
      </c>
      <c r="O1740" s="1" t="str">
        <f t="shared" ca="1" si="13"/>
        <v>Please solve the LeetCode problem '2129. Capitalize the Title'.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41" spans="1:15" x14ac:dyDescent="0.25">
      <c r="A1741" s="1">
        <v>2248</v>
      </c>
      <c r="B1741" s="2" t="str">
        <f>HYPERLINK("https://leetcode.com/problems/intersection-of-multiple-arrays/", "Intersection of Multiple Arrays")</f>
        <v>Intersection of Multiple Arrays</v>
      </c>
      <c r="C1741" s="1">
        <v>803</v>
      </c>
      <c r="D1741" s="1">
        <v>44</v>
      </c>
      <c r="E1741" s="3">
        <f t="shared" si="12"/>
        <v>0.94805194805194803</v>
      </c>
      <c r="F1741" s="1" t="s">
        <v>125</v>
      </c>
      <c r="G1741" s="1" t="s">
        <v>20</v>
      </c>
      <c r="H1741" s="1">
        <v>123338</v>
      </c>
      <c r="I1741" s="1">
        <v>179765</v>
      </c>
      <c r="J1741" s="7">
        <v>0.68600000000000005</v>
      </c>
      <c r="K1741" s="1" t="s">
        <v>21</v>
      </c>
      <c r="L1741" s="1" t="s">
        <v>29</v>
      </c>
      <c r="M1741" s="1" t="s">
        <v>29</v>
      </c>
      <c r="N1741" s="1" t="s">
        <v>22</v>
      </c>
      <c r="O1741" s="1" t="str">
        <f t="shared" ca="1" si="13"/>
        <v>Please solve the LeetCode problem '2248. Intersection of Multiple Arrays'.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42" spans="1:15" x14ac:dyDescent="0.25">
      <c r="A1742" s="1">
        <v>2634</v>
      </c>
      <c r="B1742" s="2" t="str">
        <f>HYPERLINK("https://leetcode.com/problems/filter-elements-from-array/", "Filter Elements from Array")</f>
        <v>Filter Elements from Array</v>
      </c>
      <c r="C1742" s="1">
        <v>803</v>
      </c>
      <c r="D1742" s="1">
        <v>107</v>
      </c>
      <c r="E1742" s="3">
        <f t="shared" si="12"/>
        <v>0.88241758241758239</v>
      </c>
      <c r="G1742" s="1" t="s">
        <v>20</v>
      </c>
      <c r="H1742" s="1">
        <v>295708</v>
      </c>
      <c r="I1742" s="1">
        <v>345775</v>
      </c>
      <c r="J1742" s="7">
        <v>0.85499999999999998</v>
      </c>
      <c r="K1742" s="1" t="s">
        <v>21</v>
      </c>
      <c r="L1742" s="1" t="s">
        <v>21</v>
      </c>
      <c r="M1742" s="1" t="s">
        <v>29</v>
      </c>
      <c r="N1742" s="1" t="s">
        <v>555</v>
      </c>
      <c r="O1742" s="1" t="str">
        <f t="shared" ca="1" si="13"/>
        <v>Please solve the LeetCode problem '2634. Filter Elements from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43" spans="1:15" x14ac:dyDescent="0.25">
      <c r="A1743" s="1">
        <v>2683</v>
      </c>
      <c r="B1743" s="2" t="str">
        <f>HYPERLINK("https://leetcode.com/problems/neighboring-bitwise-xor/", "Neighboring Bitwise XOR")</f>
        <v>Neighboring Bitwise XOR</v>
      </c>
      <c r="C1743" s="1">
        <v>803</v>
      </c>
      <c r="D1743" s="1">
        <v>50</v>
      </c>
      <c r="E1743" s="3">
        <f t="shared" si="12"/>
        <v>0.94138335287221575</v>
      </c>
      <c r="F1743" s="1" t="s">
        <v>65</v>
      </c>
      <c r="G1743" s="1" t="s">
        <v>24</v>
      </c>
      <c r="H1743" s="1">
        <v>162345</v>
      </c>
      <c r="I1743" s="1">
        <v>203395</v>
      </c>
      <c r="J1743" s="7">
        <v>0.79800000000000004</v>
      </c>
      <c r="K1743" s="1" t="s">
        <v>21</v>
      </c>
      <c r="L1743" s="1" t="s">
        <v>21</v>
      </c>
      <c r="M1743" s="1" t="s">
        <v>29</v>
      </c>
      <c r="N1743" s="1" t="s">
        <v>22</v>
      </c>
      <c r="O1743" s="1" t="str">
        <f t="shared" ca="1" si="13"/>
        <v>Please solve the LeetCode problem '2683. Neighboring Bitwise XOR'.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44" spans="1:15" x14ac:dyDescent="0.25">
      <c r="A1744" s="1">
        <v>2200</v>
      </c>
      <c r="B1744" s="2" t="str">
        <f>HYPERLINK("https://leetcode.com/problems/find-all-k-distant-indices-in-an-array/", "Find All K-Distant Indices in an Array")</f>
        <v>Find All K-Distant Indices in an Array</v>
      </c>
      <c r="C1744" s="1">
        <v>802</v>
      </c>
      <c r="D1744" s="1">
        <v>136</v>
      </c>
      <c r="E1744" s="3">
        <f t="shared" si="12"/>
        <v>0.85501066098081024</v>
      </c>
      <c r="F1744" s="1" t="s">
        <v>51</v>
      </c>
      <c r="G1744" s="1" t="s">
        <v>20</v>
      </c>
      <c r="H1744" s="1">
        <v>178248</v>
      </c>
      <c r="I1744" s="1">
        <v>230292</v>
      </c>
      <c r="J1744" s="7">
        <v>0.77400000000000002</v>
      </c>
      <c r="K1744" s="1" t="s">
        <v>21</v>
      </c>
      <c r="L1744" s="1" t="s">
        <v>21</v>
      </c>
      <c r="M1744" s="1" t="s">
        <v>29</v>
      </c>
      <c r="N1744" s="1" t="s">
        <v>22</v>
      </c>
      <c r="O1744" s="1" t="str">
        <f t="shared" ca="1" si="13"/>
        <v>Please solve the LeetCode problem '2200. Find All K-Distant Indices in an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45" spans="1:15" x14ac:dyDescent="0.25">
      <c r="A1745" s="1">
        <v>1734</v>
      </c>
      <c r="B1745" s="2" t="str">
        <f>HYPERLINK("https://leetcode.com/problems/decode-xored-permutation/", "Decode XORed Permutation")</f>
        <v>Decode XORed Permutation</v>
      </c>
      <c r="C1745" s="1">
        <v>799</v>
      </c>
      <c r="D1745" s="1">
        <v>35</v>
      </c>
      <c r="E1745" s="3">
        <f t="shared" si="12"/>
        <v>0.95803357314148685</v>
      </c>
      <c r="F1745" s="1" t="s">
        <v>65</v>
      </c>
      <c r="G1745" s="1" t="s">
        <v>24</v>
      </c>
      <c r="H1745" s="1">
        <v>19643</v>
      </c>
      <c r="I1745" s="1">
        <v>29477</v>
      </c>
      <c r="J1745" s="7">
        <v>0.66600000000000004</v>
      </c>
      <c r="K1745" s="1" t="s">
        <v>21</v>
      </c>
      <c r="L1745" s="1" t="s">
        <v>29</v>
      </c>
      <c r="M1745" s="1" t="s">
        <v>29</v>
      </c>
      <c r="N1745" s="1" t="s">
        <v>22</v>
      </c>
      <c r="O1745" s="1" t="str">
        <f t="shared" ca="1" si="13"/>
        <v>Please solve the LeetCode problem '1734. Decode XORed Permutation'.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46" spans="1:15" x14ac:dyDescent="0.25">
      <c r="A1746" s="1">
        <v>1741</v>
      </c>
      <c r="B1746" s="2" t="str">
        <f>HYPERLINK("https://leetcode.com/problems/find-total-time-spent-by-each-employee/", "Find Total Time Spent by Each Employee")</f>
        <v>Find Total Time Spent by Each Employee</v>
      </c>
      <c r="C1746" s="1">
        <v>798</v>
      </c>
      <c r="D1746" s="1">
        <v>24</v>
      </c>
      <c r="E1746" s="3">
        <f t="shared" si="12"/>
        <v>0.97080291970802923</v>
      </c>
      <c r="F1746" s="1" t="s">
        <v>297</v>
      </c>
      <c r="G1746" s="1" t="s">
        <v>20</v>
      </c>
      <c r="H1746" s="1">
        <v>208759</v>
      </c>
      <c r="I1746" s="1">
        <v>241431</v>
      </c>
      <c r="J1746" s="7">
        <v>0.86499999999999999</v>
      </c>
      <c r="K1746" s="1" t="s">
        <v>21</v>
      </c>
      <c r="L1746" s="1" t="s">
        <v>21</v>
      </c>
      <c r="M1746" s="1" t="s">
        <v>29</v>
      </c>
      <c r="N1746" s="1" t="s">
        <v>297</v>
      </c>
      <c r="O1746" s="1" t="str">
        <f t="shared" ca="1" si="13"/>
        <v>Please solve the LeetCode problem '1741. Find Total Time Spent by Each Employee'.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47" spans="1:15" x14ac:dyDescent="0.25">
      <c r="A1747" s="1">
        <v>2535</v>
      </c>
      <c r="B1747" s="2" t="str">
        <f>HYPERLINK("https://leetcode.com/problems/difference-between-element-sum-and-digit-sum-of-an-array/", "Difference Between Element Sum and Digit Sum of an Array")</f>
        <v>Difference Between Element Sum and Digit Sum of an Array</v>
      </c>
      <c r="C1747" s="1">
        <v>797</v>
      </c>
      <c r="D1747" s="1">
        <v>30</v>
      </c>
      <c r="E1747" s="3">
        <f t="shared" si="12"/>
        <v>0.96372430471584036</v>
      </c>
      <c r="F1747" s="1" t="s">
        <v>115</v>
      </c>
      <c r="G1747" s="1" t="s">
        <v>20</v>
      </c>
      <c r="H1747" s="1">
        <v>193000</v>
      </c>
      <c r="I1747" s="1">
        <v>226453</v>
      </c>
      <c r="J1747" s="7">
        <v>0.85199999999999998</v>
      </c>
      <c r="K1747" s="1" t="s">
        <v>21</v>
      </c>
      <c r="L1747" s="1" t="s">
        <v>29</v>
      </c>
      <c r="M1747" s="1" t="s">
        <v>29</v>
      </c>
      <c r="N1747" s="1" t="s">
        <v>22</v>
      </c>
      <c r="O1747" s="1" t="str">
        <f t="shared" ca="1" si="13"/>
        <v>Please solve the LeetCode problem '2535. Difference Between Element Sum and Digit Sum of an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48" spans="1:15" x14ac:dyDescent="0.25">
      <c r="A1748" s="1">
        <v>1399</v>
      </c>
      <c r="B1748" s="2" t="str">
        <f>HYPERLINK("https://leetcode.com/problems/count-largest-group/", "Count Largest Group")</f>
        <v>Count Largest Group</v>
      </c>
      <c r="C1748" s="1">
        <v>796</v>
      </c>
      <c r="D1748" s="1">
        <v>1188</v>
      </c>
      <c r="E1748" s="3">
        <f t="shared" si="12"/>
        <v>0.40120967741935482</v>
      </c>
      <c r="F1748" s="1" t="s">
        <v>557</v>
      </c>
      <c r="G1748" s="1" t="s">
        <v>20</v>
      </c>
      <c r="H1748" s="1">
        <v>182148</v>
      </c>
      <c r="I1748" s="1">
        <v>243721</v>
      </c>
      <c r="J1748" s="7">
        <v>0.747</v>
      </c>
      <c r="K1748" s="1" t="s">
        <v>21</v>
      </c>
      <c r="L1748" s="1" t="s">
        <v>21</v>
      </c>
      <c r="M1748" s="1" t="s">
        <v>29</v>
      </c>
      <c r="N1748" s="1" t="s">
        <v>22</v>
      </c>
      <c r="O1748" s="1" t="str">
        <f t="shared" ca="1" si="13"/>
        <v>Please solve the LeetCode problem '1399. Count Largest Group'.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49" spans="1:15" x14ac:dyDescent="0.25">
      <c r="A1749" s="1">
        <v>2598</v>
      </c>
      <c r="B1749" s="2" t="str">
        <f>HYPERLINK("https://leetcode.com/problems/smallest-missing-non-negative-integer-after-operations/", "Smallest Missing Non-negative Integer After Operations")</f>
        <v>Smallest Missing Non-negative Integer After Operations</v>
      </c>
      <c r="C1749" s="1">
        <v>796</v>
      </c>
      <c r="D1749" s="1">
        <v>174</v>
      </c>
      <c r="E1749" s="3">
        <f t="shared" si="12"/>
        <v>0.8206185567010309</v>
      </c>
      <c r="F1749" s="1" t="s">
        <v>480</v>
      </c>
      <c r="G1749" s="1" t="s">
        <v>24</v>
      </c>
      <c r="H1749" s="1">
        <v>112049</v>
      </c>
      <c r="I1749" s="1">
        <v>200289</v>
      </c>
      <c r="J1749" s="7">
        <v>0.55900000000000005</v>
      </c>
      <c r="K1749" s="1" t="s">
        <v>21</v>
      </c>
      <c r="L1749" s="1" t="s">
        <v>21</v>
      </c>
      <c r="M1749" s="1" t="s">
        <v>29</v>
      </c>
      <c r="N1749" s="1" t="s">
        <v>22</v>
      </c>
      <c r="O1749" s="1" t="str">
        <f t="shared" ca="1" si="13"/>
        <v>Please solve the LeetCode problem '2598. Smallest Missing Non-negative Integer After Operations'.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50" spans="1:15" x14ac:dyDescent="0.25">
      <c r="A1750" s="1">
        <v>1629</v>
      </c>
      <c r="B1750" s="2" t="str">
        <f>HYPERLINK("https://leetcode.com/problems/slowest-key/", "Slowest Key")</f>
        <v>Slowest Key</v>
      </c>
      <c r="C1750" s="1">
        <v>795</v>
      </c>
      <c r="D1750" s="1">
        <v>113</v>
      </c>
      <c r="E1750" s="3">
        <f t="shared" si="12"/>
        <v>0.87555066079295152</v>
      </c>
      <c r="F1750" s="1" t="s">
        <v>369</v>
      </c>
      <c r="G1750" s="1" t="s">
        <v>20</v>
      </c>
      <c r="H1750" s="1">
        <v>114730</v>
      </c>
      <c r="I1750" s="1">
        <v>192904</v>
      </c>
      <c r="J1750" s="7">
        <v>0.59499999999999997</v>
      </c>
      <c r="K1750" s="1" t="s">
        <v>21</v>
      </c>
      <c r="L1750" s="1" t="s">
        <v>21</v>
      </c>
      <c r="M1750" s="1" t="s">
        <v>29</v>
      </c>
      <c r="N1750" s="1" t="s">
        <v>22</v>
      </c>
      <c r="O1750" s="1" t="str">
        <f t="shared" ca="1" si="13"/>
        <v>Please solve the LeetCode problem '1629. Slowest Key'.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51" spans="1:15" x14ac:dyDescent="0.25">
      <c r="A1751" s="1">
        <v>2239</v>
      </c>
      <c r="B1751" s="2" t="str">
        <f>HYPERLINK("https://leetcode.com/problems/find-closest-number-to-zero/", "Find Closest Number to Zero")</f>
        <v>Find Closest Number to Zero</v>
      </c>
      <c r="C1751" s="1">
        <v>794</v>
      </c>
      <c r="D1751" s="1">
        <v>55</v>
      </c>
      <c r="E1751" s="3">
        <f t="shared" si="12"/>
        <v>0.93521790341578326</v>
      </c>
      <c r="F1751" s="1" t="s">
        <v>113</v>
      </c>
      <c r="G1751" s="1" t="s">
        <v>20</v>
      </c>
      <c r="H1751" s="1">
        <v>200367</v>
      </c>
      <c r="I1751" s="1">
        <v>420384</v>
      </c>
      <c r="J1751" s="7">
        <v>0.47699999999999998</v>
      </c>
      <c r="K1751" s="1" t="s">
        <v>21</v>
      </c>
      <c r="L1751" s="1" t="s">
        <v>29</v>
      </c>
      <c r="M1751" s="1" t="s">
        <v>29</v>
      </c>
      <c r="N1751" s="1" t="s">
        <v>22</v>
      </c>
      <c r="O1751" s="1" t="str">
        <f t="shared" ca="1" si="13"/>
        <v>Please solve the LeetCode problem '2239. Find Closest Number to Zero'.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52" spans="1:15" x14ac:dyDescent="0.25">
      <c r="A1752" s="1">
        <v>999</v>
      </c>
      <c r="B1752" s="2" t="str">
        <f>HYPERLINK("https://leetcode.com/problems/available-captures-for-rook/", "Available Captures for Rook")</f>
        <v>Available Captures for Rook</v>
      </c>
      <c r="C1752" s="1">
        <v>793</v>
      </c>
      <c r="D1752" s="1">
        <v>645</v>
      </c>
      <c r="E1752" s="3">
        <f t="shared" si="12"/>
        <v>0.55146036161335188</v>
      </c>
      <c r="F1752" s="1" t="s">
        <v>77</v>
      </c>
      <c r="G1752" s="1" t="s">
        <v>20</v>
      </c>
      <c r="H1752" s="1">
        <v>85768</v>
      </c>
      <c r="I1752" s="1">
        <v>120473</v>
      </c>
      <c r="J1752" s="7">
        <v>0.71199999999999997</v>
      </c>
      <c r="K1752" s="1" t="s">
        <v>21</v>
      </c>
      <c r="L1752" s="1" t="s">
        <v>29</v>
      </c>
      <c r="M1752" s="1" t="s">
        <v>29</v>
      </c>
      <c r="N1752" s="1" t="s">
        <v>22</v>
      </c>
      <c r="O1752" s="1" t="str">
        <f t="shared" ca="1" si="13"/>
        <v>Please solve the LeetCode problem '999. Available Captures for Rook'.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53" spans="1:15" x14ac:dyDescent="0.25">
      <c r="A1753" s="1">
        <v>761</v>
      </c>
      <c r="B1753" s="2" t="str">
        <f>HYPERLINK("https://leetcode.com/problems/special-binary-string/", "Special Binary String")</f>
        <v>Special Binary String</v>
      </c>
      <c r="C1753" s="1">
        <v>791</v>
      </c>
      <c r="D1753" s="1">
        <v>245</v>
      </c>
      <c r="E1753" s="3">
        <f t="shared" si="12"/>
        <v>0.76351351351351349</v>
      </c>
      <c r="F1753" s="1" t="s">
        <v>1373</v>
      </c>
      <c r="G1753" s="1" t="s">
        <v>28</v>
      </c>
      <c r="H1753" s="1">
        <v>29471</v>
      </c>
      <c r="I1753" s="1">
        <v>44713</v>
      </c>
      <c r="J1753" s="7">
        <v>0.65900000000000003</v>
      </c>
      <c r="K1753" s="1" t="s">
        <v>21</v>
      </c>
      <c r="L1753" s="1" t="s">
        <v>21</v>
      </c>
      <c r="M1753" s="1" t="s">
        <v>29</v>
      </c>
      <c r="N1753" s="1" t="s">
        <v>22</v>
      </c>
      <c r="O1753" s="1" t="str">
        <f t="shared" ca="1" si="13"/>
        <v>Please solve the LeetCode problem '761. Special Binary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54" spans="1:15" x14ac:dyDescent="0.25">
      <c r="A1754" s="1">
        <v>2138</v>
      </c>
      <c r="B1754" s="2" t="str">
        <f>HYPERLINK("https://leetcode.com/problems/divide-a-string-into-groups-of-size-k/", "Divide a String Into Groups of Size k")</f>
        <v>Divide a String Into Groups of Size k</v>
      </c>
      <c r="C1754" s="1">
        <v>791</v>
      </c>
      <c r="D1754" s="1">
        <v>31</v>
      </c>
      <c r="E1754" s="3">
        <f t="shared" si="12"/>
        <v>0.96228710462287104</v>
      </c>
      <c r="F1754" s="1" t="s">
        <v>414</v>
      </c>
      <c r="G1754" s="1" t="s">
        <v>20</v>
      </c>
      <c r="H1754" s="1">
        <v>173704</v>
      </c>
      <c r="I1754" s="1">
        <v>225338</v>
      </c>
      <c r="J1754" s="7">
        <v>0.77100000000000002</v>
      </c>
      <c r="K1754" s="1" t="s">
        <v>21</v>
      </c>
      <c r="L1754" s="1" t="s">
        <v>21</v>
      </c>
      <c r="M1754" s="1" t="s">
        <v>29</v>
      </c>
      <c r="N1754" s="1" t="s">
        <v>22</v>
      </c>
      <c r="O1754" s="1" t="str">
        <f t="shared" ca="1" si="13"/>
        <v>Please solve the LeetCode problem '2138. Divide a String Into Groups of Size k'.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55" spans="1:15" x14ac:dyDescent="0.25">
      <c r="A1755" s="1">
        <v>2164</v>
      </c>
      <c r="B1755" s="2" t="str">
        <f>HYPERLINK("https://leetcode.com/problems/sort-even-and-odd-indices-independently/", "Sort Even and Odd Indices Independently")</f>
        <v>Sort Even and Odd Indices Independently</v>
      </c>
      <c r="C1755" s="1">
        <v>791</v>
      </c>
      <c r="D1755" s="1">
        <v>70</v>
      </c>
      <c r="E1755" s="3">
        <f t="shared" si="12"/>
        <v>0.91869918699186992</v>
      </c>
      <c r="F1755" s="1" t="s">
        <v>42</v>
      </c>
      <c r="G1755" s="1" t="s">
        <v>20</v>
      </c>
      <c r="H1755" s="1">
        <v>87566</v>
      </c>
      <c r="I1755" s="1">
        <v>138816</v>
      </c>
      <c r="J1755" s="7">
        <v>0.63100000000000001</v>
      </c>
      <c r="K1755" s="1" t="s">
        <v>21</v>
      </c>
      <c r="L1755" s="1" t="s">
        <v>29</v>
      </c>
      <c r="M1755" s="1" t="s">
        <v>29</v>
      </c>
      <c r="N1755" s="1" t="s">
        <v>22</v>
      </c>
      <c r="O1755" s="1" t="str">
        <f t="shared" ca="1" si="13"/>
        <v>Please solve the LeetCode problem '2164. Sort Even and Odd Indices Independently'.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56" spans="1:15" x14ac:dyDescent="0.25">
      <c r="A1756" s="1">
        <v>2233</v>
      </c>
      <c r="B1756" s="2" t="str">
        <f>HYPERLINK("https://leetcode.com/problems/maximum-product-after-k-increments/", "Maximum Product After K Increments")</f>
        <v>Maximum Product After K Increments</v>
      </c>
      <c r="C1756" s="1">
        <v>787</v>
      </c>
      <c r="D1756" s="1">
        <v>45</v>
      </c>
      <c r="E1756" s="3">
        <f t="shared" si="12"/>
        <v>0.94591346153846156</v>
      </c>
      <c r="F1756" s="1" t="s">
        <v>221</v>
      </c>
      <c r="G1756" s="1" t="s">
        <v>24</v>
      </c>
      <c r="H1756" s="1">
        <v>42807</v>
      </c>
      <c r="I1756" s="1">
        <v>99426</v>
      </c>
      <c r="J1756" s="7">
        <v>0.43099999999999999</v>
      </c>
      <c r="K1756" s="1" t="s">
        <v>21</v>
      </c>
      <c r="L1756" s="1" t="s">
        <v>29</v>
      </c>
      <c r="M1756" s="1" t="s">
        <v>29</v>
      </c>
      <c r="N1756" s="1" t="s">
        <v>22</v>
      </c>
      <c r="O1756" s="1" t="str">
        <f t="shared" ca="1" si="13"/>
        <v>Please solve the LeetCode problem '2233. Maximum Product After K Increments'.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57" spans="1:15" x14ac:dyDescent="0.25">
      <c r="A1757" s="1">
        <v>2396</v>
      </c>
      <c r="B1757" s="2" t="str">
        <f>HYPERLINK("https://leetcode.com/problems/strictly-palindromic-number/", "Strictly Palindromic Number")</f>
        <v>Strictly Palindromic Number</v>
      </c>
      <c r="C1757" s="1">
        <v>787</v>
      </c>
      <c r="D1757" s="1">
        <v>1746</v>
      </c>
      <c r="E1757" s="3">
        <f t="shared" si="12"/>
        <v>0.31069877615475722</v>
      </c>
      <c r="F1757" s="1" t="s">
        <v>766</v>
      </c>
      <c r="G1757" s="1" t="s">
        <v>24</v>
      </c>
      <c r="H1757" s="1">
        <v>163173</v>
      </c>
      <c r="I1757" s="1">
        <v>181456</v>
      </c>
      <c r="J1757" s="7">
        <v>0.89900000000000002</v>
      </c>
      <c r="K1757" s="1" t="s">
        <v>21</v>
      </c>
      <c r="L1757" s="1" t="s">
        <v>29</v>
      </c>
      <c r="M1757" s="1" t="s">
        <v>29</v>
      </c>
      <c r="N1757" s="1" t="s">
        <v>22</v>
      </c>
      <c r="O1757" s="1" t="str">
        <f t="shared" ca="1" si="13"/>
        <v>Please solve the LeetCode problem '2396. Strictly Palindromic Number'.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58" spans="1:15" x14ac:dyDescent="0.25">
      <c r="A1758" s="1">
        <v>1451</v>
      </c>
      <c r="B1758" s="2" t="str">
        <f>HYPERLINK("https://leetcode.com/problems/rearrange-words-in-a-sentence/", "Rearrange Words in a Sentence")</f>
        <v>Rearrange Words in a Sentence</v>
      </c>
      <c r="C1758" s="1">
        <v>786</v>
      </c>
      <c r="D1758" s="1">
        <v>80</v>
      </c>
      <c r="E1758" s="3">
        <f t="shared" si="12"/>
        <v>0.90762124711316394</v>
      </c>
      <c r="F1758" s="1" t="s">
        <v>444</v>
      </c>
      <c r="G1758" s="1" t="s">
        <v>24</v>
      </c>
      <c r="H1758" s="1">
        <v>62999</v>
      </c>
      <c r="I1758" s="1">
        <v>94361</v>
      </c>
      <c r="J1758" s="7">
        <v>0.66800000000000004</v>
      </c>
      <c r="K1758" s="1" t="s">
        <v>21</v>
      </c>
      <c r="L1758" s="1" t="s">
        <v>29</v>
      </c>
      <c r="M1758" s="1" t="s">
        <v>29</v>
      </c>
      <c r="N1758" s="1" t="s">
        <v>22</v>
      </c>
      <c r="O1758" s="1" t="str">
        <f t="shared" ca="1" si="13"/>
        <v>Please solve the LeetCode problem '1451. Rearrange Words in a Sentence'.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59" spans="1:15" x14ac:dyDescent="0.25">
      <c r="A1759" s="1">
        <v>492</v>
      </c>
      <c r="B1759" s="2" t="str">
        <f>HYPERLINK("https://leetcode.com/problems/construct-the-rectangle/", "Construct the Rectangle")</f>
        <v>Construct the Rectangle</v>
      </c>
      <c r="C1759" s="1">
        <v>785</v>
      </c>
      <c r="D1759" s="1">
        <v>395</v>
      </c>
      <c r="E1759" s="3">
        <f t="shared" si="12"/>
        <v>0.6652542372881356</v>
      </c>
      <c r="F1759" s="1" t="s">
        <v>84</v>
      </c>
      <c r="G1759" s="1" t="s">
        <v>20</v>
      </c>
      <c r="H1759" s="1">
        <v>162884</v>
      </c>
      <c r="I1759" s="1">
        <v>259706</v>
      </c>
      <c r="J1759" s="7">
        <v>0.627</v>
      </c>
      <c r="K1759" s="1" t="s">
        <v>21</v>
      </c>
      <c r="L1759" s="1" t="s">
        <v>29</v>
      </c>
      <c r="M1759" s="1" t="s">
        <v>29</v>
      </c>
      <c r="N1759" s="1" t="s">
        <v>22</v>
      </c>
      <c r="O1759" s="1" t="str">
        <f t="shared" ca="1" si="13"/>
        <v>Please solve the LeetCode problem '492. Construct the Rectangle'.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60" spans="1:15" x14ac:dyDescent="0.25">
      <c r="A1760" s="1">
        <v>2119</v>
      </c>
      <c r="B1760" s="2" t="str">
        <f>HYPERLINK("https://leetcode.com/problems/a-number-after-a-double-reversal/", "A Number After a Double Reversal")</f>
        <v>A Number After a Double Reversal</v>
      </c>
      <c r="C1760" s="1">
        <v>785</v>
      </c>
      <c r="D1760" s="1">
        <v>47</v>
      </c>
      <c r="E1760" s="3">
        <f t="shared" si="12"/>
        <v>0.94350961538461542</v>
      </c>
      <c r="F1760" s="1" t="s">
        <v>84</v>
      </c>
      <c r="G1760" s="1" t="s">
        <v>20</v>
      </c>
      <c r="H1760" s="1">
        <v>145415</v>
      </c>
      <c r="I1760" s="1">
        <v>177930</v>
      </c>
      <c r="J1760" s="7">
        <v>0.81699999999999995</v>
      </c>
      <c r="K1760" s="1" t="s">
        <v>21</v>
      </c>
      <c r="L1760" s="1" t="s">
        <v>29</v>
      </c>
      <c r="M1760" s="1" t="s">
        <v>29</v>
      </c>
      <c r="N1760" s="1" t="s">
        <v>22</v>
      </c>
      <c r="O1760" s="1" t="str">
        <f t="shared" ca="1" si="13"/>
        <v>Please solve the LeetCode problem '2119. A Number After a Double Reversal'.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61" spans="1:15" x14ac:dyDescent="0.25">
      <c r="A1761" s="1">
        <v>2423</v>
      </c>
      <c r="B1761" s="2" t="str">
        <f>HYPERLINK("https://leetcode.com/problems/remove-letter-to-equalize-frequency/", "Remove Letter To Equalize Frequency")</f>
        <v>Remove Letter To Equalize Frequency</v>
      </c>
      <c r="C1761" s="1">
        <v>783</v>
      </c>
      <c r="D1761" s="1">
        <v>1347</v>
      </c>
      <c r="E1761" s="3">
        <f t="shared" si="12"/>
        <v>0.36760563380281691</v>
      </c>
      <c r="F1761" s="1" t="s">
        <v>237</v>
      </c>
      <c r="G1761" s="1" t="s">
        <v>20</v>
      </c>
      <c r="H1761" s="1">
        <v>73256</v>
      </c>
      <c r="I1761" s="1">
        <v>383528</v>
      </c>
      <c r="J1761" s="7">
        <v>0.191</v>
      </c>
      <c r="K1761" s="1" t="s">
        <v>21</v>
      </c>
      <c r="L1761" s="1" t="s">
        <v>29</v>
      </c>
      <c r="M1761" s="1" t="s">
        <v>29</v>
      </c>
      <c r="N1761" s="1" t="s">
        <v>22</v>
      </c>
      <c r="O1761" s="1" t="str">
        <f t="shared" ca="1" si="13"/>
        <v>Please solve the LeetCode problem '2423. Remove Letter To Equalize Frequency'.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62" spans="1:15" x14ac:dyDescent="0.25">
      <c r="A1762" s="1">
        <v>788</v>
      </c>
      <c r="B1762" s="2" t="str">
        <f>HYPERLINK("https://leetcode.com/problems/rotated-digits/", "Rotated Digits")</f>
        <v>Rotated Digits</v>
      </c>
      <c r="C1762" s="1">
        <v>782</v>
      </c>
      <c r="D1762" s="1">
        <v>1946</v>
      </c>
      <c r="E1762" s="3">
        <f t="shared" si="12"/>
        <v>0.2866568914956012</v>
      </c>
      <c r="F1762" s="1" t="s">
        <v>250</v>
      </c>
      <c r="G1762" s="1" t="s">
        <v>24</v>
      </c>
      <c r="H1762" s="1">
        <v>127218</v>
      </c>
      <c r="I1762" s="1">
        <v>224256</v>
      </c>
      <c r="J1762" s="7">
        <v>0.56699999999999995</v>
      </c>
      <c r="K1762" s="1" t="s">
        <v>21</v>
      </c>
      <c r="L1762" s="1" t="s">
        <v>21</v>
      </c>
      <c r="M1762" s="1" t="s">
        <v>29</v>
      </c>
      <c r="N1762" s="1" t="s">
        <v>22</v>
      </c>
      <c r="O1762" s="1" t="str">
        <f t="shared" ca="1" si="13"/>
        <v>Please solve the LeetCode problem '788. Rotated Digits'.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63" spans="1:15" x14ac:dyDescent="0.25">
      <c r="A1763" s="1">
        <v>908</v>
      </c>
      <c r="B1763" s="2" t="str">
        <f>HYPERLINK("https://leetcode.com/problems/smallest-range-i/", "Smallest Range I")</f>
        <v>Smallest Range I</v>
      </c>
      <c r="C1763" s="1">
        <v>781</v>
      </c>
      <c r="D1763" s="1">
        <v>2086</v>
      </c>
      <c r="E1763" s="3">
        <f t="shared" si="12"/>
        <v>0.27241018486222535</v>
      </c>
      <c r="F1763" s="1" t="s">
        <v>115</v>
      </c>
      <c r="G1763" s="1" t="s">
        <v>20</v>
      </c>
      <c r="H1763" s="1">
        <v>120155</v>
      </c>
      <c r="I1763" s="1">
        <v>164329</v>
      </c>
      <c r="J1763" s="7">
        <v>0.73099999999999998</v>
      </c>
      <c r="K1763" s="1" t="s">
        <v>21</v>
      </c>
      <c r="L1763" s="1" t="s">
        <v>21</v>
      </c>
      <c r="M1763" s="1" t="s">
        <v>29</v>
      </c>
      <c r="N1763" s="1" t="s">
        <v>22</v>
      </c>
      <c r="O1763" s="1" t="str">
        <f t="shared" ca="1" si="13"/>
        <v>Please solve the LeetCode problem '908. Smallest Range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64" spans="1:15" x14ac:dyDescent="0.25">
      <c r="A1764" s="1">
        <v>1433</v>
      </c>
      <c r="B1764" s="2" t="str">
        <f>HYPERLINK("https://leetcode.com/problems/check-if-a-string-can-break-another-string/", "Check If a String Can Break Another String")</f>
        <v>Check If a String Can Break Another String</v>
      </c>
      <c r="C1764" s="1">
        <v>781</v>
      </c>
      <c r="D1764" s="1">
        <v>155</v>
      </c>
      <c r="E1764" s="3">
        <f t="shared" si="12"/>
        <v>0.83440170940170943</v>
      </c>
      <c r="F1764" s="1" t="s">
        <v>771</v>
      </c>
      <c r="G1764" s="1" t="s">
        <v>24</v>
      </c>
      <c r="H1764" s="1">
        <v>52342</v>
      </c>
      <c r="I1764" s="1">
        <v>73960</v>
      </c>
      <c r="J1764" s="7">
        <v>0.70799999999999996</v>
      </c>
      <c r="K1764" s="1" t="s">
        <v>21</v>
      </c>
      <c r="L1764" s="1" t="s">
        <v>29</v>
      </c>
      <c r="M1764" s="1" t="s">
        <v>29</v>
      </c>
      <c r="N1764" s="1" t="s">
        <v>22</v>
      </c>
      <c r="O1764" s="1" t="str">
        <f t="shared" ca="1" si="13"/>
        <v>Please solve the LeetCode problem '1433. Check If a String Can Break Another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65" spans="1:15" x14ac:dyDescent="0.25">
      <c r="A1765" s="1">
        <v>1646</v>
      </c>
      <c r="B1765" s="2" t="str">
        <f>HYPERLINK("https://leetcode.com/problems/get-maximum-in-generated-array/", "Get Maximum in Generated Array")</f>
        <v>Get Maximum in Generated Array</v>
      </c>
      <c r="C1765" s="1">
        <v>781</v>
      </c>
      <c r="D1765" s="1">
        <v>965</v>
      </c>
      <c r="E1765" s="3">
        <f t="shared" si="12"/>
        <v>0.44730813287514321</v>
      </c>
      <c r="F1765" s="1" t="s">
        <v>306</v>
      </c>
      <c r="G1765" s="1" t="s">
        <v>20</v>
      </c>
      <c r="H1765" s="1">
        <v>122780</v>
      </c>
      <c r="I1765" s="1">
        <v>239176</v>
      </c>
      <c r="J1765" s="7">
        <v>0.51300000000000001</v>
      </c>
      <c r="K1765" s="1" t="s">
        <v>21</v>
      </c>
      <c r="L1765" s="1" t="s">
        <v>21</v>
      </c>
      <c r="M1765" s="1" t="s">
        <v>29</v>
      </c>
      <c r="N1765" s="1" t="s">
        <v>22</v>
      </c>
      <c r="O1765" s="1" t="str">
        <f t="shared" ca="1" si="13"/>
        <v>Please solve the LeetCode problem '1646. Get Maximum in Generated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66" spans="1:15" x14ac:dyDescent="0.25">
      <c r="A1766" s="1">
        <v>1965</v>
      </c>
      <c r="B1766" s="2" t="str">
        <f>HYPERLINK("https://leetcode.com/problems/employees-with-missing-information/", "Employees With Missing Information")</f>
        <v>Employees With Missing Information</v>
      </c>
      <c r="C1766" s="1">
        <v>781</v>
      </c>
      <c r="D1766" s="1">
        <v>40</v>
      </c>
      <c r="E1766" s="3">
        <f t="shared" si="12"/>
        <v>0.95127892813641901</v>
      </c>
      <c r="F1766" s="1" t="s">
        <v>297</v>
      </c>
      <c r="G1766" s="1" t="s">
        <v>20</v>
      </c>
      <c r="H1766" s="1">
        <v>170930</v>
      </c>
      <c r="I1766" s="1">
        <v>234018</v>
      </c>
      <c r="J1766" s="7">
        <v>0.73</v>
      </c>
      <c r="K1766" s="1" t="s">
        <v>21</v>
      </c>
      <c r="L1766" s="1" t="s">
        <v>21</v>
      </c>
      <c r="M1766" s="1" t="s">
        <v>29</v>
      </c>
      <c r="N1766" s="1" t="s">
        <v>297</v>
      </c>
      <c r="O1766" s="1" t="str">
        <f t="shared" ca="1" si="13"/>
        <v>Please solve the LeetCode problem '1965. Employees With Missing Information'.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67" spans="1:15" x14ac:dyDescent="0.25">
      <c r="A1767" s="1">
        <v>3108</v>
      </c>
      <c r="B1767" s="2" t="str">
        <f>HYPERLINK("https://leetcode.com/problems/minimum-cost-walk-in-weighted-graph/", "Minimum Cost Walk in Weighted Graph")</f>
        <v>Minimum Cost Walk in Weighted Graph</v>
      </c>
      <c r="C1767" s="1">
        <v>780</v>
      </c>
      <c r="D1767" s="1">
        <v>43</v>
      </c>
      <c r="E1767" s="3">
        <f t="shared" si="12"/>
        <v>0.94775212636695016</v>
      </c>
      <c r="F1767" s="1" t="s">
        <v>770</v>
      </c>
      <c r="G1767" s="1" t="s">
        <v>28</v>
      </c>
      <c r="H1767" s="1">
        <v>105445</v>
      </c>
      <c r="I1767" s="1">
        <v>154464</v>
      </c>
      <c r="J1767" s="7">
        <v>0.68300000000000005</v>
      </c>
      <c r="K1767" s="1" t="s">
        <v>21</v>
      </c>
      <c r="L1767" s="1" t="s">
        <v>21</v>
      </c>
      <c r="M1767" s="1" t="s">
        <v>29</v>
      </c>
      <c r="N1767" s="1" t="s">
        <v>22</v>
      </c>
      <c r="O1767" s="1" t="str">
        <f t="shared" ca="1" si="13"/>
        <v>Please solve the LeetCode problem '3108. Minimum Cost Walk in Weighted Graph'.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68" spans="1:15" x14ac:dyDescent="0.25">
      <c r="A1768" s="1">
        <v>2678</v>
      </c>
      <c r="B1768" s="2" t="str">
        <f>HYPERLINK("https://leetcode.com/problems/number-of-senior-citizens/", "Number of Senior Citizens")</f>
        <v>Number of Senior Citizens</v>
      </c>
      <c r="C1768" s="1">
        <v>779</v>
      </c>
      <c r="D1768" s="1">
        <v>59</v>
      </c>
      <c r="E1768" s="3">
        <f t="shared" si="12"/>
        <v>0.92959427207637235</v>
      </c>
      <c r="F1768" s="1" t="s">
        <v>369</v>
      </c>
      <c r="G1768" s="1" t="s">
        <v>20</v>
      </c>
      <c r="H1768" s="1">
        <v>295631</v>
      </c>
      <c r="I1768" s="1">
        <v>363739</v>
      </c>
      <c r="J1768" s="7">
        <v>0.81299999999999994</v>
      </c>
      <c r="K1768" s="1" t="s">
        <v>21</v>
      </c>
      <c r="L1768" s="1" t="s">
        <v>21</v>
      </c>
      <c r="M1768" s="1" t="s">
        <v>29</v>
      </c>
      <c r="N1768" s="1" t="s">
        <v>22</v>
      </c>
      <c r="O1768" s="1" t="str">
        <f t="shared" ca="1" si="13"/>
        <v>Please solve the LeetCode problem '2678. Number of Senior Citizens'.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69" spans="1:15" x14ac:dyDescent="0.25">
      <c r="A1769" s="1">
        <v>2654</v>
      </c>
      <c r="B1769" s="2" t="str">
        <f>HYPERLINK("https://leetcode.com/problems/minimum-number-of-operations-to-make-all-array-elements-equal-to-1/", "Minimum Number of Operations to Make All Array Elements Equal to 1")</f>
        <v>Minimum Number of Operations to Make All Array Elements Equal to 1</v>
      </c>
      <c r="C1769" s="1">
        <v>778</v>
      </c>
      <c r="D1769" s="1">
        <v>49</v>
      </c>
      <c r="E1769" s="3">
        <f t="shared" si="12"/>
        <v>0.94074969770253924</v>
      </c>
      <c r="F1769" s="1" t="s">
        <v>640</v>
      </c>
      <c r="G1769" s="1" t="s">
        <v>24</v>
      </c>
      <c r="H1769" s="1">
        <v>86614</v>
      </c>
      <c r="I1769" s="1">
        <v>158545</v>
      </c>
      <c r="J1769" s="7">
        <v>0.54600000000000004</v>
      </c>
      <c r="K1769" s="1" t="s">
        <v>21</v>
      </c>
      <c r="L1769" s="1" t="s">
        <v>21</v>
      </c>
      <c r="M1769" s="1" t="s">
        <v>29</v>
      </c>
      <c r="N1769" s="1" t="s">
        <v>22</v>
      </c>
      <c r="O1769" s="1" t="str">
        <f t="shared" ca="1" si="13"/>
        <v>Please solve the LeetCode problem '2654. Minimum Number of Operations to Make All Array Elements Equal to 1'.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70" spans="1:15" x14ac:dyDescent="0.25">
      <c r="A1770" s="1">
        <v>1974</v>
      </c>
      <c r="B1770" s="2" t="str">
        <f>HYPERLINK("https://leetcode.com/problems/minimum-time-to-type-word-using-special-typewriter/", "Minimum Time to Type Word Using Special Typewriter")</f>
        <v>Minimum Time to Type Word Using Special Typewriter</v>
      </c>
      <c r="C1770" s="1">
        <v>775</v>
      </c>
      <c r="D1770" s="1">
        <v>38</v>
      </c>
      <c r="E1770" s="3">
        <f t="shared" si="12"/>
        <v>0.95325953259532592</v>
      </c>
      <c r="F1770" s="1" t="s">
        <v>424</v>
      </c>
      <c r="G1770" s="1" t="s">
        <v>20</v>
      </c>
      <c r="H1770" s="1">
        <v>64549</v>
      </c>
      <c r="I1770" s="1">
        <v>82450</v>
      </c>
      <c r="J1770" s="7">
        <v>0.78300000000000003</v>
      </c>
      <c r="K1770" s="1" t="s">
        <v>21</v>
      </c>
      <c r="L1770" s="1" t="s">
        <v>29</v>
      </c>
      <c r="M1770" s="1" t="s">
        <v>29</v>
      </c>
      <c r="N1770" s="1" t="s">
        <v>22</v>
      </c>
      <c r="O1770" s="1" t="str">
        <f t="shared" ca="1" si="13"/>
        <v>Please solve the LeetCode problem '1974. Minimum Time to Type Word Using Special Typewriter'.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71" spans="1:15" x14ac:dyDescent="0.25">
      <c r="A1771" s="1">
        <v>2203</v>
      </c>
      <c r="B1771" s="2" t="str">
        <f>HYPERLINK("https://leetcode.com/problems/minimum-weighted-subgraph-with-the-required-paths/", "Minimum Weighted Subgraph With the Required Paths")</f>
        <v>Minimum Weighted Subgraph With the Required Paths</v>
      </c>
      <c r="C1771" s="1">
        <v>774</v>
      </c>
      <c r="D1771" s="1">
        <v>23</v>
      </c>
      <c r="E1771" s="3">
        <f t="shared" si="12"/>
        <v>0.97114178168130494</v>
      </c>
      <c r="F1771" s="1" t="s">
        <v>1374</v>
      </c>
      <c r="G1771" s="1" t="s">
        <v>28</v>
      </c>
      <c r="H1771" s="1">
        <v>20025</v>
      </c>
      <c r="I1771" s="1">
        <v>49456</v>
      </c>
      <c r="J1771" s="7">
        <v>0.40500000000000003</v>
      </c>
      <c r="K1771" s="1" t="s">
        <v>21</v>
      </c>
      <c r="L1771" s="1" t="s">
        <v>29</v>
      </c>
      <c r="M1771" s="1" t="s">
        <v>29</v>
      </c>
      <c r="N1771" s="1" t="s">
        <v>22</v>
      </c>
      <c r="O1771" s="1" t="str">
        <f t="shared" ca="1" si="13"/>
        <v>Please solve the LeetCode problem '2203. Minimum Weighted Subgraph With the Required Paths'.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72" spans="1:15" x14ac:dyDescent="0.25">
      <c r="A1772" s="1">
        <v>1616</v>
      </c>
      <c r="B1772" s="2" t="str">
        <f>HYPERLINK("https://leetcode.com/problems/split-two-strings-to-make-palindrome/", "Split Two Strings to Make Palindrome")</f>
        <v>Split Two Strings to Make Palindrome</v>
      </c>
      <c r="C1772" s="1">
        <v>773</v>
      </c>
      <c r="D1772" s="1">
        <v>259</v>
      </c>
      <c r="E1772" s="3">
        <f t="shared" si="12"/>
        <v>0.74903100775193798</v>
      </c>
      <c r="F1772" s="1" t="s">
        <v>117</v>
      </c>
      <c r="G1772" s="1" t="s">
        <v>24</v>
      </c>
      <c r="H1772" s="1">
        <v>31655</v>
      </c>
      <c r="I1772" s="1">
        <v>98836</v>
      </c>
      <c r="J1772" s="7">
        <v>0.32</v>
      </c>
      <c r="K1772" s="1" t="s">
        <v>21</v>
      </c>
      <c r="L1772" s="1" t="s">
        <v>29</v>
      </c>
      <c r="M1772" s="1" t="s">
        <v>29</v>
      </c>
      <c r="N1772" s="1" t="s">
        <v>22</v>
      </c>
      <c r="O1772" s="1" t="str">
        <f t="shared" ca="1" si="13"/>
        <v>Please solve the LeetCode problem '1616. Split Two Strings to Make Palindrome'.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73" spans="1:15" x14ac:dyDescent="0.25">
      <c r="A1773" s="1">
        <v>3169</v>
      </c>
      <c r="B1773" s="2" t="str">
        <f>HYPERLINK("https://leetcode.com/problems/count-days-without-meetings/", "Count Days Without Meetings")</f>
        <v>Count Days Without Meetings</v>
      </c>
      <c r="C1773" s="1">
        <v>773</v>
      </c>
      <c r="D1773" s="1">
        <v>19</v>
      </c>
      <c r="E1773" s="3">
        <f t="shared" si="12"/>
        <v>0.97601010101010099</v>
      </c>
      <c r="F1773" s="1" t="s">
        <v>42</v>
      </c>
      <c r="G1773" s="1" t="s">
        <v>24</v>
      </c>
      <c r="H1773" s="1">
        <v>180461</v>
      </c>
      <c r="I1773" s="1">
        <v>375676</v>
      </c>
      <c r="J1773" s="7">
        <v>0.48</v>
      </c>
      <c r="K1773" s="1" t="s">
        <v>21</v>
      </c>
      <c r="L1773" s="1" t="s">
        <v>21</v>
      </c>
      <c r="M1773" s="1" t="s">
        <v>29</v>
      </c>
      <c r="N1773" s="1" t="s">
        <v>22</v>
      </c>
      <c r="O1773" s="1" t="str">
        <f t="shared" ca="1" si="13"/>
        <v>Please solve the LeetCode problem '3169. Count Days Without Meetings'.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74" spans="1:15" x14ac:dyDescent="0.25">
      <c r="A1774" s="1">
        <v>762</v>
      </c>
      <c r="B1774" s="2" t="str">
        <f>HYPERLINK("https://leetcode.com/problems/prime-number-of-set-bits-in-binary-representation/", "Prime Number of Set Bits in Binary Representation")</f>
        <v>Prime Number of Set Bits in Binary Representation</v>
      </c>
      <c r="C1774" s="1">
        <v>771</v>
      </c>
      <c r="D1774" s="1">
        <v>514</v>
      </c>
      <c r="E1774" s="3">
        <f t="shared" si="12"/>
        <v>0.6</v>
      </c>
      <c r="F1774" s="1" t="s">
        <v>227</v>
      </c>
      <c r="G1774" s="1" t="s">
        <v>20</v>
      </c>
      <c r="H1774" s="1">
        <v>133610</v>
      </c>
      <c r="I1774" s="1">
        <v>184994</v>
      </c>
      <c r="J1774" s="7">
        <v>0.72199999999999998</v>
      </c>
      <c r="K1774" s="1" t="s">
        <v>21</v>
      </c>
      <c r="L1774" s="1" t="s">
        <v>21</v>
      </c>
      <c r="M1774" s="1" t="s">
        <v>29</v>
      </c>
      <c r="N1774" s="1" t="s">
        <v>22</v>
      </c>
      <c r="O1774" s="1" t="str">
        <f t="shared" ca="1" si="13"/>
        <v>Please solve the LeetCode problem '762. Prime Number of Set Bits in Binary Representation'.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75" spans="1:15" x14ac:dyDescent="0.25">
      <c r="A1775" s="1">
        <v>2818</v>
      </c>
      <c r="B1775" s="2" t="str">
        <f>HYPERLINK("https://leetcode.com/problems/apply-operations-to-maximize-score/", "Apply Operations to Maximize Score")</f>
        <v>Apply Operations to Maximize Score</v>
      </c>
      <c r="C1775" s="1">
        <v>771</v>
      </c>
      <c r="D1775" s="1">
        <v>127</v>
      </c>
      <c r="E1775" s="3">
        <f t="shared" si="12"/>
        <v>0.85857461024498882</v>
      </c>
      <c r="F1775" s="1" t="s">
        <v>773</v>
      </c>
      <c r="G1775" s="1" t="s">
        <v>28</v>
      </c>
      <c r="H1775" s="1">
        <v>75875</v>
      </c>
      <c r="I1775" s="1">
        <v>141221</v>
      </c>
      <c r="J1775" s="7">
        <v>0.53700000000000003</v>
      </c>
      <c r="K1775" s="1" t="s">
        <v>21</v>
      </c>
      <c r="L1775" s="1" t="s">
        <v>21</v>
      </c>
      <c r="M1775" s="1" t="s">
        <v>29</v>
      </c>
      <c r="N1775" s="1" t="s">
        <v>22</v>
      </c>
      <c r="O1775" s="1" t="str">
        <f t="shared" ca="1" si="13"/>
        <v>Please solve the LeetCode problem '2818. Apply Operations to Maximize Score'.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76" spans="1:15" x14ac:dyDescent="0.25">
      <c r="A1776" s="1">
        <v>3016</v>
      </c>
      <c r="B1776" s="2" t="str">
        <f>HYPERLINK("https://leetcode.com/problems/minimum-number-of-pushes-to-type-word-ii/", "Minimum Number of Pushes to Type Word II")</f>
        <v>Minimum Number of Pushes to Type Word II</v>
      </c>
      <c r="C1776" s="1">
        <v>771</v>
      </c>
      <c r="D1776" s="1">
        <v>80</v>
      </c>
      <c r="E1776" s="3">
        <f t="shared" si="12"/>
        <v>0.90599294947121034</v>
      </c>
      <c r="F1776" s="1" t="s">
        <v>772</v>
      </c>
      <c r="G1776" s="1" t="s">
        <v>24</v>
      </c>
      <c r="H1776" s="1">
        <v>185401</v>
      </c>
      <c r="I1776" s="1">
        <v>231906</v>
      </c>
      <c r="J1776" s="7">
        <v>0.79900000000000004</v>
      </c>
      <c r="K1776" s="1" t="s">
        <v>21</v>
      </c>
      <c r="L1776" s="1" t="s">
        <v>21</v>
      </c>
      <c r="M1776" s="1" t="s">
        <v>29</v>
      </c>
      <c r="N1776" s="1" t="s">
        <v>22</v>
      </c>
      <c r="O1776" s="1" t="str">
        <f t="shared" ca="1" si="13"/>
        <v>Please solve the LeetCode problem '3016. Minimum Number of Pushes to Type Word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77" spans="1:15" x14ac:dyDescent="0.25">
      <c r="A1777" s="1">
        <v>2368</v>
      </c>
      <c r="B1777" s="2" t="str">
        <f>HYPERLINK("https://leetcode.com/problems/reachable-nodes-with-restrictions/", "Reachable Nodes With Restrictions")</f>
        <v>Reachable Nodes With Restrictions</v>
      </c>
      <c r="C1777" s="1">
        <v>768</v>
      </c>
      <c r="D1777" s="1">
        <v>33</v>
      </c>
      <c r="E1777" s="3">
        <f t="shared" si="12"/>
        <v>0.95880149812734083</v>
      </c>
      <c r="F1777" s="1" t="s">
        <v>775</v>
      </c>
      <c r="G1777" s="1" t="s">
        <v>24</v>
      </c>
      <c r="H1777" s="1">
        <v>83822</v>
      </c>
      <c r="I1777" s="1">
        <v>139501</v>
      </c>
      <c r="J1777" s="7">
        <v>0.60099999999999998</v>
      </c>
      <c r="K1777" s="1" t="s">
        <v>21</v>
      </c>
      <c r="L1777" s="1" t="s">
        <v>21</v>
      </c>
      <c r="M1777" s="1" t="s">
        <v>29</v>
      </c>
      <c r="N1777" s="1" t="s">
        <v>22</v>
      </c>
      <c r="O1777" s="1" t="str">
        <f t="shared" ca="1" si="13"/>
        <v>Please solve the LeetCode problem '2368. Reachable Nodes With Restrictions'.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78" spans="1:15" x14ac:dyDescent="0.25">
      <c r="A1778" s="1">
        <v>900</v>
      </c>
      <c r="B1778" s="2" t="str">
        <f>HYPERLINK("https://leetcode.com/problems/rle-iterator/", "RLE Iterator")</f>
        <v>RLE Iterator</v>
      </c>
      <c r="C1778" s="1">
        <v>767</v>
      </c>
      <c r="D1778" s="1">
        <v>202</v>
      </c>
      <c r="E1778" s="3">
        <f t="shared" si="12"/>
        <v>0.79153766769865841</v>
      </c>
      <c r="F1778" s="1" t="s">
        <v>776</v>
      </c>
      <c r="G1778" s="1" t="s">
        <v>24</v>
      </c>
      <c r="H1778" s="1">
        <v>86429</v>
      </c>
      <c r="I1778" s="1">
        <v>146112</v>
      </c>
      <c r="J1778" s="7">
        <v>0.59199999999999997</v>
      </c>
      <c r="K1778" s="1" t="s">
        <v>21</v>
      </c>
      <c r="L1778" s="1" t="s">
        <v>21</v>
      </c>
      <c r="M1778" s="1" t="s">
        <v>29</v>
      </c>
      <c r="N1778" s="1" t="s">
        <v>22</v>
      </c>
      <c r="O1778" s="1" t="str">
        <f t="shared" ca="1" si="13"/>
        <v>Please solve the LeetCode problem '900. RLE Iterator'.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79" spans="1:15" x14ac:dyDescent="0.25">
      <c r="A1779" s="1">
        <v>1139</v>
      </c>
      <c r="B1779" s="2" t="str">
        <f>HYPERLINK("https://leetcode.com/problems/largest-1-bordered-square/", "Largest 1-Bordered Square")</f>
        <v>Largest 1-Bordered Square</v>
      </c>
      <c r="C1779" s="1">
        <v>766</v>
      </c>
      <c r="D1779" s="1">
        <v>118</v>
      </c>
      <c r="E1779" s="3">
        <f t="shared" si="12"/>
        <v>0.86651583710407243</v>
      </c>
      <c r="F1779" s="1" t="s">
        <v>94</v>
      </c>
      <c r="G1779" s="1" t="s">
        <v>24</v>
      </c>
      <c r="H1779" s="1">
        <v>32320</v>
      </c>
      <c r="I1779" s="1">
        <v>62312</v>
      </c>
      <c r="J1779" s="7">
        <v>0.51900000000000002</v>
      </c>
      <c r="K1779" s="1" t="s">
        <v>21</v>
      </c>
      <c r="L1779" s="1" t="s">
        <v>29</v>
      </c>
      <c r="M1779" s="1" t="s">
        <v>29</v>
      </c>
      <c r="N1779" s="1" t="s">
        <v>22</v>
      </c>
      <c r="O1779" s="1" t="str">
        <f t="shared" ca="1" si="13"/>
        <v>Please solve the LeetCode problem '1139. Largest 1-Bordered Square'.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80" spans="1:15" x14ac:dyDescent="0.25">
      <c r="A1780" s="1">
        <v>1298</v>
      </c>
      <c r="B1780" s="2" t="str">
        <f>HYPERLINK("https://leetcode.com/problems/maximum-candies-you-can-get-from-boxes/", "Maximum Candies You Can Get from Boxes")</f>
        <v>Maximum Candies You Can Get from Boxes</v>
      </c>
      <c r="C1780" s="1">
        <v>765</v>
      </c>
      <c r="D1780" s="1">
        <v>223</v>
      </c>
      <c r="E1780" s="3">
        <f t="shared" si="12"/>
        <v>0.77429149797570851</v>
      </c>
      <c r="F1780" s="1" t="s">
        <v>774</v>
      </c>
      <c r="G1780" s="1" t="s">
        <v>28</v>
      </c>
      <c r="H1780" s="1">
        <v>103850</v>
      </c>
      <c r="I1780" s="1">
        <v>152770</v>
      </c>
      <c r="J1780" s="7">
        <v>0.68</v>
      </c>
      <c r="K1780" s="1" t="s">
        <v>21</v>
      </c>
      <c r="L1780" s="1" t="s">
        <v>21</v>
      </c>
      <c r="M1780" s="1" t="s">
        <v>29</v>
      </c>
      <c r="N1780" s="1" t="s">
        <v>22</v>
      </c>
      <c r="O1780" s="1" t="str">
        <f t="shared" ca="1" si="13"/>
        <v>Please solve the LeetCode problem '1298. Maximum Candies You Can Get from Boxes'.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81" spans="1:15" x14ac:dyDescent="0.25">
      <c r="A1781" s="1">
        <v>1573</v>
      </c>
      <c r="B1781" s="2" t="str">
        <f>HYPERLINK("https://leetcode.com/problems/number-of-ways-to-split-a-string/", "Number of Ways to Split a String")</f>
        <v>Number of Ways to Split a String</v>
      </c>
      <c r="C1781" s="1">
        <v>764</v>
      </c>
      <c r="D1781" s="1">
        <v>88</v>
      </c>
      <c r="E1781" s="3">
        <f t="shared" si="12"/>
        <v>0.89671361502347413</v>
      </c>
      <c r="F1781" s="1" t="s">
        <v>228</v>
      </c>
      <c r="G1781" s="1" t="s">
        <v>24</v>
      </c>
      <c r="H1781" s="1">
        <v>35331</v>
      </c>
      <c r="I1781" s="1">
        <v>102647</v>
      </c>
      <c r="J1781" s="7">
        <v>0.34399999999999997</v>
      </c>
      <c r="K1781" s="1" t="s">
        <v>21</v>
      </c>
      <c r="L1781" s="1" t="s">
        <v>29</v>
      </c>
      <c r="M1781" s="1" t="s">
        <v>29</v>
      </c>
      <c r="N1781" s="1" t="s">
        <v>22</v>
      </c>
      <c r="O1781" s="1" t="str">
        <f t="shared" ca="1" si="13"/>
        <v>Please solve the LeetCode problem '1573. Number of Ways to Split a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82" spans="1:15" x14ac:dyDescent="0.25">
      <c r="A1782" s="1">
        <v>1050</v>
      </c>
      <c r="B1782" s="2" t="str">
        <f>HYPERLINK("https://leetcode.com/problems/actors-and-directors-who-cooperated-at-least-three-times/", "Actors and Directors Who Cooperated At Least Three Times")</f>
        <v>Actors and Directors Who Cooperated At Least Three Times</v>
      </c>
      <c r="C1782" s="1">
        <v>763</v>
      </c>
      <c r="D1782" s="1">
        <v>56</v>
      </c>
      <c r="E1782" s="3">
        <f t="shared" si="12"/>
        <v>0.93162393162393164</v>
      </c>
      <c r="F1782" s="1" t="s">
        <v>297</v>
      </c>
      <c r="G1782" s="1" t="s">
        <v>20</v>
      </c>
      <c r="H1782" s="1">
        <v>292828</v>
      </c>
      <c r="I1782" s="1">
        <v>413214</v>
      </c>
      <c r="J1782" s="7">
        <v>0.70899999999999996</v>
      </c>
      <c r="K1782" s="1" t="s">
        <v>21</v>
      </c>
      <c r="L1782" s="1" t="s">
        <v>21</v>
      </c>
      <c r="M1782" s="1" t="s">
        <v>29</v>
      </c>
      <c r="N1782" s="1" t="s">
        <v>297</v>
      </c>
      <c r="O1782" s="1" t="str">
        <f t="shared" ca="1" si="13"/>
        <v>Please solve the LeetCode problem '1050. Actors and Directors Who Cooperated At Least Three Times'.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83" spans="1:15" x14ac:dyDescent="0.25">
      <c r="A1783" s="1">
        <v>1713</v>
      </c>
      <c r="B1783" s="2" t="str">
        <f>HYPERLINK("https://leetcode.com/problems/minimum-operations-to-make-a-subsequence/", "Minimum Operations to Make a Subsequence")</f>
        <v>Minimum Operations to Make a Subsequence</v>
      </c>
      <c r="C1783" s="1">
        <v>763</v>
      </c>
      <c r="D1783" s="1">
        <v>15</v>
      </c>
      <c r="E1783" s="3">
        <f t="shared" si="12"/>
        <v>0.98071979434447298</v>
      </c>
      <c r="F1783" s="1" t="s">
        <v>779</v>
      </c>
      <c r="G1783" s="1" t="s">
        <v>28</v>
      </c>
      <c r="H1783" s="1">
        <v>15805</v>
      </c>
      <c r="I1783" s="1">
        <v>31920</v>
      </c>
      <c r="J1783" s="7">
        <v>0.495</v>
      </c>
      <c r="K1783" s="1" t="s">
        <v>21</v>
      </c>
      <c r="L1783" s="1" t="s">
        <v>29</v>
      </c>
      <c r="M1783" s="1" t="s">
        <v>29</v>
      </c>
      <c r="N1783" s="1" t="s">
        <v>22</v>
      </c>
      <c r="O1783" s="1" t="str">
        <f t="shared" ca="1" si="13"/>
        <v>Please solve the LeetCode problem '1713. Minimum Operations to Make a Subsequence'.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84" spans="1:15" x14ac:dyDescent="0.25">
      <c r="A1784" s="1">
        <v>3160</v>
      </c>
      <c r="B1784" s="2" t="str">
        <f>HYPERLINK("https://leetcode.com/problems/find-the-number-of-distinct-colors-among-the-balls/", "Find the Number of Distinct Colors Among the Balls")</f>
        <v>Find the Number of Distinct Colors Among the Balls</v>
      </c>
      <c r="C1784" s="1">
        <v>763</v>
      </c>
      <c r="D1784" s="1">
        <v>94</v>
      </c>
      <c r="E1784" s="3">
        <f t="shared" si="12"/>
        <v>0.89031505250875143</v>
      </c>
      <c r="F1784" s="1" t="s">
        <v>736</v>
      </c>
      <c r="G1784" s="1" t="s">
        <v>24</v>
      </c>
      <c r="H1784" s="1">
        <v>169779</v>
      </c>
      <c r="I1784" s="1">
        <v>313379</v>
      </c>
      <c r="J1784" s="7">
        <v>0.54200000000000004</v>
      </c>
      <c r="K1784" s="1" t="s">
        <v>21</v>
      </c>
      <c r="L1784" s="1" t="s">
        <v>21</v>
      </c>
      <c r="M1784" s="1" t="s">
        <v>29</v>
      </c>
      <c r="N1784" s="1" t="s">
        <v>22</v>
      </c>
      <c r="O1784" s="1" t="str">
        <f t="shared" ca="1" si="13"/>
        <v>Please solve the LeetCode problem '3160. Find the Number of Distinct Colors Among the Balls'.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85" spans="1:15" x14ac:dyDescent="0.25">
      <c r="A1785" s="1">
        <v>2335</v>
      </c>
      <c r="B1785" s="2" t="str">
        <f>HYPERLINK("https://leetcode.com/problems/minimum-amount-of-time-to-fill-cups/", "Minimum Amount of Time to Fill Cups")</f>
        <v>Minimum Amount of Time to Fill Cups</v>
      </c>
      <c r="C1785" s="1">
        <v>762</v>
      </c>
      <c r="D1785" s="1">
        <v>93</v>
      </c>
      <c r="E1785" s="3">
        <f t="shared" si="12"/>
        <v>0.89122807017543859</v>
      </c>
      <c r="F1785" s="1" t="s">
        <v>302</v>
      </c>
      <c r="G1785" s="1" t="s">
        <v>20</v>
      </c>
      <c r="H1785" s="1">
        <v>65589</v>
      </c>
      <c r="I1785" s="1">
        <v>109498</v>
      </c>
      <c r="J1785" s="7">
        <v>0.59899999999999998</v>
      </c>
      <c r="K1785" s="1" t="s">
        <v>21</v>
      </c>
      <c r="L1785" s="1" t="s">
        <v>29</v>
      </c>
      <c r="M1785" s="1" t="s">
        <v>29</v>
      </c>
      <c r="N1785" s="1" t="s">
        <v>22</v>
      </c>
      <c r="O1785" s="1" t="str">
        <f t="shared" ca="1" si="13"/>
        <v>Please solve the LeetCode problem '2335. Minimum Amount of Time to Fill Cups'.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86" spans="1:15" x14ac:dyDescent="0.25">
      <c r="A1786" s="1">
        <v>2490</v>
      </c>
      <c r="B1786" s="2" t="str">
        <f>HYPERLINK("https://leetcode.com/problems/circular-sentence/", "Circular Sentence")</f>
        <v>Circular Sentence</v>
      </c>
      <c r="C1786" s="1">
        <v>761</v>
      </c>
      <c r="D1786" s="1">
        <v>28</v>
      </c>
      <c r="E1786" s="3">
        <f t="shared" si="12"/>
        <v>0.96451204055766793</v>
      </c>
      <c r="F1786" s="1" t="s">
        <v>146</v>
      </c>
      <c r="G1786" s="1" t="s">
        <v>20</v>
      </c>
      <c r="H1786" s="1">
        <v>186919</v>
      </c>
      <c r="I1786" s="1">
        <v>266169</v>
      </c>
      <c r="J1786" s="7">
        <v>0.70199999999999996</v>
      </c>
      <c r="K1786" s="1" t="s">
        <v>21</v>
      </c>
      <c r="L1786" s="1" t="s">
        <v>21</v>
      </c>
      <c r="M1786" s="1" t="s">
        <v>29</v>
      </c>
      <c r="N1786" s="1" t="s">
        <v>22</v>
      </c>
      <c r="O1786" s="1" t="str">
        <f t="shared" ca="1" si="13"/>
        <v>Please solve the LeetCode problem '2490. Circular Sentence'.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87" spans="1:15" x14ac:dyDescent="0.25">
      <c r="A1787" s="1">
        <v>2817</v>
      </c>
      <c r="B1787" s="2" t="str">
        <f>HYPERLINK("https://leetcode.com/problems/minimum-absolute-difference-between-elements-with-constraint/", "Minimum Absolute Difference Between Elements With Constraint")</f>
        <v>Minimum Absolute Difference Between Elements With Constraint</v>
      </c>
      <c r="C1787" s="1">
        <v>760</v>
      </c>
      <c r="D1787" s="1">
        <v>77</v>
      </c>
      <c r="E1787" s="3">
        <f t="shared" si="12"/>
        <v>0.90800477897252085</v>
      </c>
      <c r="F1787" s="1" t="s">
        <v>778</v>
      </c>
      <c r="G1787" s="1" t="s">
        <v>24</v>
      </c>
      <c r="H1787" s="1">
        <v>38870</v>
      </c>
      <c r="I1787" s="1">
        <v>105614</v>
      </c>
      <c r="J1787" s="7">
        <v>0.36799999999999999</v>
      </c>
      <c r="K1787" s="1" t="s">
        <v>21</v>
      </c>
      <c r="L1787" s="1" t="s">
        <v>29</v>
      </c>
      <c r="M1787" s="1" t="s">
        <v>29</v>
      </c>
      <c r="N1787" s="1" t="s">
        <v>22</v>
      </c>
      <c r="O1787" s="1" t="str">
        <f t="shared" ca="1" si="13"/>
        <v>Please solve the LeetCode problem '2817. Minimum Absolute Difference Between Elements With Constraint'.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88" spans="1:15" x14ac:dyDescent="0.25">
      <c r="A1788" s="1">
        <v>1059</v>
      </c>
      <c r="B1788" s="2" t="str">
        <f>HYPERLINK("https://leetcode.com/problems/all-paths-from-source-lead-to-destination/", "All Paths from Source Lead to Destination")</f>
        <v>All Paths from Source Lead to Destination</v>
      </c>
      <c r="C1788" s="1">
        <v>759</v>
      </c>
      <c r="D1788" s="1">
        <v>432</v>
      </c>
      <c r="E1788" s="3">
        <f t="shared" si="12"/>
        <v>0.63727959697732994</v>
      </c>
      <c r="F1788" s="1" t="s">
        <v>649</v>
      </c>
      <c r="G1788" s="1" t="s">
        <v>24</v>
      </c>
      <c r="H1788" s="1">
        <v>73930</v>
      </c>
      <c r="I1788" s="1">
        <v>199648</v>
      </c>
      <c r="J1788" s="7">
        <v>0.37</v>
      </c>
      <c r="K1788" s="1" t="s">
        <v>29</v>
      </c>
      <c r="L1788" s="1" t="s">
        <v>21</v>
      </c>
      <c r="M1788" s="1" t="s">
        <v>21</v>
      </c>
      <c r="N1788" s="1" t="s">
        <v>22</v>
      </c>
      <c r="O1788" s="1" t="str">
        <f t="shared" ca="1" si="13"/>
        <v>Please solve the LeetCode problem '1059. All Paths from Source Lead to Destination'.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89" spans="1:15" x14ac:dyDescent="0.25">
      <c r="A1789" s="1">
        <v>2749</v>
      </c>
      <c r="B1789" s="2" t="str">
        <f>HYPERLINK("https://leetcode.com/problems/minimum-operations-to-make-the-integer-zero/", "Minimum Operations to Make the Integer Zero")</f>
        <v>Minimum Operations to Make the Integer Zero</v>
      </c>
      <c r="C1789" s="1">
        <v>758</v>
      </c>
      <c r="D1789" s="1">
        <v>375</v>
      </c>
      <c r="E1789" s="3">
        <f t="shared" ref="E1789:E2043" si="14">IF(INDEX(C:C, ROW())+INDEX(D:D, ROW())=0, 0, INDEX(C:C, ROW())/(INDEX(C:C, ROW())+INDEX(D:D, ROW())))</f>
        <v>0.6690203000882613</v>
      </c>
      <c r="F1789" s="1" t="s">
        <v>777</v>
      </c>
      <c r="G1789" s="1" t="s">
        <v>24</v>
      </c>
      <c r="H1789" s="1">
        <v>95490</v>
      </c>
      <c r="I1789" s="1">
        <v>164015</v>
      </c>
      <c r="J1789" s="7">
        <v>0.58199999999999996</v>
      </c>
      <c r="K1789" s="1" t="s">
        <v>21</v>
      </c>
      <c r="L1789" s="1" t="s">
        <v>21</v>
      </c>
      <c r="M1789" s="1" t="s">
        <v>29</v>
      </c>
      <c r="N1789" s="1" t="s">
        <v>22</v>
      </c>
      <c r="O1789" s="1" t="str">
        <f t="shared" ref="O1789:O2043" ca="1" si="15"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>Please solve the LeetCode problem '2749. Minimum Operations to Make the Integer Zero'.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90" spans="1:15" x14ac:dyDescent="0.25">
      <c r="A1790" s="1">
        <v>3208</v>
      </c>
      <c r="B1790" s="2" t="str">
        <f>HYPERLINK("https://leetcode.com/problems/alternating-groups-ii/", "Alternating Groups II")</f>
        <v>Alternating Groups II</v>
      </c>
      <c r="C1790" s="1">
        <v>758</v>
      </c>
      <c r="D1790" s="1">
        <v>73</v>
      </c>
      <c r="E1790" s="3">
        <f t="shared" si="14"/>
        <v>0.9121540312876053</v>
      </c>
      <c r="F1790" s="1" t="s">
        <v>295</v>
      </c>
      <c r="G1790" s="1" t="s">
        <v>24</v>
      </c>
      <c r="H1790" s="1">
        <v>157944</v>
      </c>
      <c r="I1790" s="1">
        <v>263842</v>
      </c>
      <c r="J1790" s="7">
        <v>0.59899999999999998</v>
      </c>
      <c r="K1790" s="1" t="s">
        <v>21</v>
      </c>
      <c r="L1790" s="1" t="s">
        <v>21</v>
      </c>
      <c r="M1790" s="1" t="s">
        <v>29</v>
      </c>
      <c r="N1790" s="1" t="s">
        <v>22</v>
      </c>
      <c r="O1790" s="1" t="str">
        <f t="shared" ca="1" si="15"/>
        <v>Please solve the LeetCode problem '3208. Alternating Groups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91" spans="1:15" x14ac:dyDescent="0.25">
      <c r="A1791" s="1">
        <v>722</v>
      </c>
      <c r="B1791" s="2" t="str">
        <f>HYPERLINK("https://leetcode.com/problems/remove-comments/", "Remove Comments")</f>
        <v>Remove Comments</v>
      </c>
      <c r="C1791" s="1">
        <v>756</v>
      </c>
      <c r="D1791" s="1">
        <v>1844</v>
      </c>
      <c r="E1791" s="3">
        <f t="shared" si="14"/>
        <v>0.29076923076923078</v>
      </c>
      <c r="F1791" s="1" t="s">
        <v>369</v>
      </c>
      <c r="G1791" s="1" t="s">
        <v>24</v>
      </c>
      <c r="H1791" s="1">
        <v>84087</v>
      </c>
      <c r="I1791" s="1">
        <v>210638</v>
      </c>
      <c r="J1791" s="7">
        <v>0.39900000000000002</v>
      </c>
      <c r="K1791" s="1" t="s">
        <v>21</v>
      </c>
      <c r="L1791" s="1" t="s">
        <v>21</v>
      </c>
      <c r="M1791" s="1" t="s">
        <v>29</v>
      </c>
      <c r="N1791" s="1" t="s">
        <v>22</v>
      </c>
      <c r="O1791" s="1" t="str">
        <f t="shared" ca="1" si="15"/>
        <v>Please solve the LeetCode problem '722. Remove Comments'.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92" spans="1:15" x14ac:dyDescent="0.25">
      <c r="A1792" s="1">
        <v>3097</v>
      </c>
      <c r="B1792" s="2" t="str">
        <f>HYPERLINK("https://leetcode.com/problems/shortest-subarray-with-or-at-least-k-ii/", "Shortest Subarray With OR at Least K II")</f>
        <v>Shortest Subarray With OR at Least K II</v>
      </c>
      <c r="C1792" s="1">
        <v>756</v>
      </c>
      <c r="D1792" s="1">
        <v>72</v>
      </c>
      <c r="E1792" s="3">
        <f t="shared" si="14"/>
        <v>0.91304347826086951</v>
      </c>
      <c r="F1792" s="1" t="s">
        <v>491</v>
      </c>
      <c r="G1792" s="1" t="s">
        <v>24</v>
      </c>
      <c r="H1792" s="1">
        <v>98515</v>
      </c>
      <c r="I1792" s="1">
        <v>196150</v>
      </c>
      <c r="J1792" s="7">
        <v>0.502</v>
      </c>
      <c r="K1792" s="1" t="s">
        <v>21</v>
      </c>
      <c r="L1792" s="1" t="s">
        <v>21</v>
      </c>
      <c r="M1792" s="1" t="s">
        <v>29</v>
      </c>
      <c r="N1792" s="1" t="s">
        <v>22</v>
      </c>
      <c r="O1792" s="1" t="str">
        <f t="shared" ca="1" si="15"/>
        <v>Please solve the LeetCode problem '3097. Shortest Subarray With OR at Least K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93" spans="1:15" x14ac:dyDescent="0.25">
      <c r="A1793" s="1">
        <v>2626</v>
      </c>
      <c r="B1793" s="2" t="str">
        <f>HYPERLINK("https://leetcode.com/problems/array-reduce-transformation/", "Array Reduce Transformation")</f>
        <v>Array Reduce Transformation</v>
      </c>
      <c r="C1793" s="1">
        <v>754</v>
      </c>
      <c r="D1793" s="1">
        <v>49</v>
      </c>
      <c r="E1793" s="3">
        <f t="shared" si="14"/>
        <v>0.93897882938978827</v>
      </c>
      <c r="G1793" s="1" t="s">
        <v>20</v>
      </c>
      <c r="H1793" s="1">
        <v>278208</v>
      </c>
      <c r="I1793" s="1">
        <v>325602</v>
      </c>
      <c r="J1793" s="7">
        <v>0.85399999999999998</v>
      </c>
      <c r="K1793" s="1" t="s">
        <v>21</v>
      </c>
      <c r="L1793" s="1" t="s">
        <v>21</v>
      </c>
      <c r="M1793" s="1" t="s">
        <v>29</v>
      </c>
      <c r="N1793" s="1" t="s">
        <v>555</v>
      </c>
      <c r="O1793" s="1" t="str">
        <f t="shared" ca="1" si="15"/>
        <v>Please solve the LeetCode problem '2626. Array Reduce Transformation'.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94" spans="1:15" x14ac:dyDescent="0.25">
      <c r="A1794" s="1">
        <v>2831</v>
      </c>
      <c r="B1794" s="2" t="str">
        <f>HYPERLINK("https://leetcode.com/problems/find-the-longest-equal-subarray/", "Find the Longest Equal Subarray")</f>
        <v>Find the Longest Equal Subarray</v>
      </c>
      <c r="C1794" s="1">
        <v>753</v>
      </c>
      <c r="D1794" s="1">
        <v>19</v>
      </c>
      <c r="E1794" s="3">
        <f t="shared" si="14"/>
        <v>0.97538860103626945</v>
      </c>
      <c r="F1794" s="1" t="s">
        <v>503</v>
      </c>
      <c r="G1794" s="1" t="s">
        <v>24</v>
      </c>
      <c r="H1794" s="1">
        <v>29114</v>
      </c>
      <c r="I1794" s="1">
        <v>77859</v>
      </c>
      <c r="J1794" s="7">
        <v>0.374</v>
      </c>
      <c r="K1794" s="1" t="s">
        <v>21</v>
      </c>
      <c r="L1794" s="1" t="s">
        <v>29</v>
      </c>
      <c r="M1794" s="1" t="s">
        <v>29</v>
      </c>
      <c r="N1794" s="1" t="s">
        <v>22</v>
      </c>
      <c r="O1794" s="1" t="str">
        <f t="shared" ca="1" si="15"/>
        <v>Please solve the LeetCode problem '2831. Find the Longest Equal Subarray'.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95" spans="1:15" x14ac:dyDescent="0.25">
      <c r="A1795" s="1">
        <v>537</v>
      </c>
      <c r="B1795" s="2" t="str">
        <f>HYPERLINK("https://leetcode.com/problems/complex-number-multiplication/", "Complex Number Multiplication")</f>
        <v>Complex Number Multiplication</v>
      </c>
      <c r="C1795" s="1">
        <v>752</v>
      </c>
      <c r="D1795" s="1">
        <v>1255</v>
      </c>
      <c r="E1795" s="3">
        <f t="shared" si="14"/>
        <v>0.37468858993522669</v>
      </c>
      <c r="F1795" s="1" t="s">
        <v>178</v>
      </c>
      <c r="G1795" s="1" t="s">
        <v>24</v>
      </c>
      <c r="H1795" s="1">
        <v>110970</v>
      </c>
      <c r="I1795" s="1">
        <v>151809</v>
      </c>
      <c r="J1795" s="7">
        <v>0.73099999999999998</v>
      </c>
      <c r="K1795" s="1" t="s">
        <v>21</v>
      </c>
      <c r="L1795" s="1" t="s">
        <v>21</v>
      </c>
      <c r="M1795" s="1" t="s">
        <v>29</v>
      </c>
      <c r="N1795" s="1" t="s">
        <v>22</v>
      </c>
      <c r="O1795" s="1" t="str">
        <f t="shared" ca="1" si="15"/>
        <v>Please solve the LeetCode problem '537. Complex Number Multiplication'.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96" spans="1:15" x14ac:dyDescent="0.25">
      <c r="A1796" s="1">
        <v>1967</v>
      </c>
      <c r="B1796" s="2" t="str">
        <f>HYPERLINK("https://leetcode.com/problems/number-of-strings-that-appear-as-substrings-in-word/", "Number of Strings That Appear as Substrings in Word")</f>
        <v>Number of Strings That Appear as Substrings in Word</v>
      </c>
      <c r="C1796" s="1">
        <v>752</v>
      </c>
      <c r="D1796" s="1">
        <v>42</v>
      </c>
      <c r="E1796" s="3">
        <f t="shared" si="14"/>
        <v>0.94710327455919396</v>
      </c>
      <c r="F1796" s="1" t="s">
        <v>369</v>
      </c>
      <c r="G1796" s="1" t="s">
        <v>20</v>
      </c>
      <c r="H1796" s="1">
        <v>101962</v>
      </c>
      <c r="I1796" s="1">
        <v>123804</v>
      </c>
      <c r="J1796" s="7">
        <v>0.82399999999999995</v>
      </c>
      <c r="K1796" s="1" t="s">
        <v>21</v>
      </c>
      <c r="L1796" s="1" t="s">
        <v>29</v>
      </c>
      <c r="M1796" s="1" t="s">
        <v>29</v>
      </c>
      <c r="N1796" s="1" t="s">
        <v>22</v>
      </c>
      <c r="O1796" s="1" t="str">
        <f t="shared" ca="1" si="15"/>
        <v>Please solve the LeetCode problem '1967. Number of Strings That Appear as Substrings in Word'.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97" spans="1:15" x14ac:dyDescent="0.25">
      <c r="A1797" s="1">
        <v>1170</v>
      </c>
      <c r="B1797" s="2" t="str">
        <f>HYPERLINK("https://leetcode.com/problems/compare-strings-by-frequency-of-the-smallest-character/", "Compare Strings by Frequency of the Smallest Character")</f>
        <v>Compare Strings by Frequency of the Smallest Character</v>
      </c>
      <c r="C1797" s="1">
        <v>751</v>
      </c>
      <c r="D1797" s="1">
        <v>980</v>
      </c>
      <c r="E1797" s="3">
        <f t="shared" si="14"/>
        <v>0.43385326400924323</v>
      </c>
      <c r="F1797" s="1" t="s">
        <v>780</v>
      </c>
      <c r="G1797" s="1" t="s">
        <v>24</v>
      </c>
      <c r="H1797" s="1">
        <v>91427</v>
      </c>
      <c r="I1797" s="1">
        <v>144793</v>
      </c>
      <c r="J1797" s="7">
        <v>0.63100000000000001</v>
      </c>
      <c r="K1797" s="1" t="s">
        <v>21</v>
      </c>
      <c r="L1797" s="1" t="s">
        <v>29</v>
      </c>
      <c r="M1797" s="1" t="s">
        <v>29</v>
      </c>
      <c r="N1797" s="1" t="s">
        <v>22</v>
      </c>
      <c r="O1797" s="1" t="str">
        <f t="shared" ca="1" si="15"/>
        <v>Please solve the LeetCode problem '1170. Compare Strings by Frequency of the Smallest Character'.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98" spans="1:15" x14ac:dyDescent="0.25">
      <c r="A1798" s="1">
        <v>1866</v>
      </c>
      <c r="B1798" s="2" t="str">
        <f>HYPERLINK("https://leetcode.com/problems/number-of-ways-to-rearrange-sticks-with-k-sticks-visible/", "Number of Ways to Rearrange Sticks With K Sticks Visible")</f>
        <v>Number of Ways to Rearrange Sticks With K Sticks Visible</v>
      </c>
      <c r="C1798" s="1">
        <v>750</v>
      </c>
      <c r="D1798" s="1">
        <v>24</v>
      </c>
      <c r="E1798" s="3">
        <f t="shared" si="14"/>
        <v>0.96899224806201545</v>
      </c>
      <c r="F1798" s="1" t="s">
        <v>70</v>
      </c>
      <c r="G1798" s="1" t="s">
        <v>28</v>
      </c>
      <c r="H1798" s="1">
        <v>20411</v>
      </c>
      <c r="I1798" s="1">
        <v>34141</v>
      </c>
      <c r="J1798" s="7">
        <v>0.59799999999999998</v>
      </c>
      <c r="K1798" s="1" t="s">
        <v>21</v>
      </c>
      <c r="L1798" s="1" t="s">
        <v>29</v>
      </c>
      <c r="M1798" s="1" t="s">
        <v>29</v>
      </c>
      <c r="N1798" s="1" t="s">
        <v>22</v>
      </c>
      <c r="O1798" s="1" t="str">
        <f t="shared" ca="1" si="15"/>
        <v>Please solve the LeetCode problem '1866. Number of Ways to Rearrange Sticks With K Sticks Visible'.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799" spans="1:15" x14ac:dyDescent="0.25">
      <c r="A1799" s="1">
        <v>2623</v>
      </c>
      <c r="B1799" s="2" t="str">
        <f>HYPERLINK("https://leetcode.com/problems/memoize/", "Memoize")</f>
        <v>Memoize</v>
      </c>
      <c r="C1799" s="1">
        <v>750</v>
      </c>
      <c r="D1799" s="1">
        <v>117</v>
      </c>
      <c r="E1799" s="3">
        <f t="shared" si="14"/>
        <v>0.86505190311418689</v>
      </c>
      <c r="G1799" s="1" t="s">
        <v>24</v>
      </c>
      <c r="H1799" s="1">
        <v>176102</v>
      </c>
      <c r="I1799" s="1">
        <v>272365</v>
      </c>
      <c r="J1799" s="7">
        <v>0.64700000000000002</v>
      </c>
      <c r="K1799" s="1" t="s">
        <v>21</v>
      </c>
      <c r="L1799" s="1" t="s">
        <v>21</v>
      </c>
      <c r="M1799" s="1" t="s">
        <v>29</v>
      </c>
      <c r="N1799" s="1" t="s">
        <v>555</v>
      </c>
      <c r="O1799" s="1" t="str">
        <f t="shared" ca="1" si="15"/>
        <v>Please solve the LeetCode problem '2623. Memoize'.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00" spans="1:15" x14ac:dyDescent="0.25">
      <c r="A1800" s="1">
        <v>903</v>
      </c>
      <c r="B1800" s="2" t="str">
        <f>HYPERLINK("https://leetcode.com/problems/valid-permutations-for-di-sequence/", "Valid Permutations for DI Sequence")</f>
        <v>Valid Permutations for DI Sequence</v>
      </c>
      <c r="C1800" s="1">
        <v>749</v>
      </c>
      <c r="D1800" s="1">
        <v>45</v>
      </c>
      <c r="E1800" s="3">
        <f t="shared" si="14"/>
        <v>0.94332493702770781</v>
      </c>
      <c r="F1800" s="1" t="s">
        <v>701</v>
      </c>
      <c r="G1800" s="1" t="s">
        <v>28</v>
      </c>
      <c r="H1800" s="1">
        <v>20045</v>
      </c>
      <c r="I1800" s="1">
        <v>35695</v>
      </c>
      <c r="J1800" s="7">
        <v>0.56200000000000006</v>
      </c>
      <c r="K1800" s="1" t="s">
        <v>21</v>
      </c>
      <c r="L1800" s="1" t="s">
        <v>21</v>
      </c>
      <c r="M1800" s="1" t="s">
        <v>29</v>
      </c>
      <c r="N1800" s="1" t="s">
        <v>22</v>
      </c>
      <c r="O1800" s="1" t="str">
        <f t="shared" ca="1" si="15"/>
        <v>Please solve the LeetCode problem '903. Valid Permutations for DI Sequence'.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01" spans="1:15" x14ac:dyDescent="0.25">
      <c r="A1801" s="1">
        <v>1115</v>
      </c>
      <c r="B1801" s="2" t="str">
        <f>HYPERLINK("https://leetcode.com/problems/print-foobar-alternately/", "Print FooBar Alternately")</f>
        <v>Print FooBar Alternately</v>
      </c>
      <c r="C1801" s="1">
        <v>748</v>
      </c>
      <c r="D1801" s="1">
        <v>60</v>
      </c>
      <c r="E1801" s="3">
        <f t="shared" si="14"/>
        <v>0.92574257425742579</v>
      </c>
      <c r="F1801" s="1" t="s">
        <v>561</v>
      </c>
      <c r="G1801" s="1" t="s">
        <v>24</v>
      </c>
      <c r="H1801" s="1">
        <v>129770</v>
      </c>
      <c r="I1801" s="1">
        <v>181080</v>
      </c>
      <c r="J1801" s="7">
        <v>0.71699999999999997</v>
      </c>
      <c r="K1801" s="1" t="s">
        <v>21</v>
      </c>
      <c r="L1801" s="1" t="s">
        <v>29</v>
      </c>
      <c r="M1801" s="1" t="s">
        <v>29</v>
      </c>
      <c r="N1801" s="1" t="s">
        <v>561</v>
      </c>
      <c r="O1801" s="1" t="str">
        <f t="shared" ca="1" si="15"/>
        <v>Please solve the LeetCode problem '1115. Print FooBar Alternately'.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02" spans="1:15" x14ac:dyDescent="0.25">
      <c r="A1802" s="1">
        <v>2023</v>
      </c>
      <c r="B1802" s="2" t="str">
        <f>HYPERLINK("https://leetcode.com/problems/number-of-pairs-of-strings-with-concatenation-equal-to-target/", "Number of Pairs of Strings With Concatenation Equal to Target")</f>
        <v>Number of Pairs of Strings With Concatenation Equal to Target</v>
      </c>
      <c r="C1802" s="1">
        <v>748</v>
      </c>
      <c r="D1802" s="1">
        <v>56</v>
      </c>
      <c r="E1802" s="3">
        <f t="shared" si="14"/>
        <v>0.93034825870646765</v>
      </c>
      <c r="F1802" s="1" t="s">
        <v>467</v>
      </c>
      <c r="G1802" s="1" t="s">
        <v>24</v>
      </c>
      <c r="H1802" s="1">
        <v>60789</v>
      </c>
      <c r="I1802" s="1">
        <v>80705</v>
      </c>
      <c r="J1802" s="7">
        <v>0.753</v>
      </c>
      <c r="K1802" s="1" t="s">
        <v>21</v>
      </c>
      <c r="L1802" s="1" t="s">
        <v>29</v>
      </c>
      <c r="M1802" s="1" t="s">
        <v>29</v>
      </c>
      <c r="N1802" s="1" t="s">
        <v>22</v>
      </c>
      <c r="O1802" s="1" t="str">
        <f t="shared" ca="1" si="15"/>
        <v>Please solve the LeetCode problem '2023. Number of Pairs of Strings With Concatenation Equal to Target'.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03" spans="1:15" x14ac:dyDescent="0.25">
      <c r="A1803" s="1">
        <v>1080</v>
      </c>
      <c r="B1803" s="2" t="str">
        <f>HYPERLINK("https://leetcode.com/problems/insufficient-nodes-in-root-to-leaf-paths/", "Insufficient Nodes in Root to Leaf Paths")</f>
        <v>Insufficient Nodes in Root to Leaf Paths</v>
      </c>
      <c r="C1803" s="1">
        <v>747</v>
      </c>
      <c r="D1803" s="1">
        <v>738</v>
      </c>
      <c r="E1803" s="3">
        <f t="shared" si="14"/>
        <v>0.50303030303030305</v>
      </c>
      <c r="F1803" s="1" t="s">
        <v>67</v>
      </c>
      <c r="G1803" s="1" t="s">
        <v>24</v>
      </c>
      <c r="H1803" s="1">
        <v>49537</v>
      </c>
      <c r="I1803" s="1">
        <v>90593</v>
      </c>
      <c r="J1803" s="7">
        <v>0.54700000000000004</v>
      </c>
      <c r="K1803" s="1" t="s">
        <v>21</v>
      </c>
      <c r="L1803" s="1" t="s">
        <v>29</v>
      </c>
      <c r="M1803" s="1" t="s">
        <v>29</v>
      </c>
      <c r="N1803" s="1" t="s">
        <v>22</v>
      </c>
      <c r="O1803" s="1" t="str">
        <f t="shared" ca="1" si="15"/>
        <v>Please solve the LeetCode problem '1080. Insufficient Nodes in Root to Leaf Paths'.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04" spans="1:15" x14ac:dyDescent="0.25">
      <c r="A1804" s="1">
        <v>949</v>
      </c>
      <c r="B1804" s="2" t="str">
        <f>HYPERLINK("https://leetcode.com/problems/largest-time-for-given-digits/", "Largest Time for Given Digits")</f>
        <v>Largest Time for Given Digits</v>
      </c>
      <c r="C1804" s="1">
        <v>745</v>
      </c>
      <c r="D1804" s="1">
        <v>1072</v>
      </c>
      <c r="E1804" s="3">
        <f t="shared" si="14"/>
        <v>0.41001651073197576</v>
      </c>
      <c r="F1804" s="1" t="s">
        <v>783</v>
      </c>
      <c r="G1804" s="1" t="s">
        <v>24</v>
      </c>
      <c r="H1804" s="1">
        <v>101752</v>
      </c>
      <c r="I1804" s="1">
        <v>284076</v>
      </c>
      <c r="J1804" s="7">
        <v>0.35799999999999998</v>
      </c>
      <c r="K1804" s="1" t="s">
        <v>21</v>
      </c>
      <c r="L1804" s="1" t="s">
        <v>21</v>
      </c>
      <c r="M1804" s="1" t="s">
        <v>29</v>
      </c>
      <c r="N1804" s="1" t="s">
        <v>22</v>
      </c>
      <c r="O1804" s="1" t="str">
        <f t="shared" ca="1" si="15"/>
        <v>Please solve the LeetCode problem '949. Largest Time for Given Digits'.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05" spans="1:15" x14ac:dyDescent="0.25">
      <c r="A1805" s="1">
        <v>1674</v>
      </c>
      <c r="B1805" s="2" t="str">
        <f>HYPERLINK("https://leetcode.com/problems/minimum-moves-to-make-array-complementary/", "Minimum Moves to Make Array Complementary")</f>
        <v>Minimum Moves to Make Array Complementary</v>
      </c>
      <c r="C1805" s="1">
        <v>744</v>
      </c>
      <c r="D1805" s="1">
        <v>85</v>
      </c>
      <c r="E1805" s="3">
        <f t="shared" si="14"/>
        <v>0.89746682750301565</v>
      </c>
      <c r="F1805" s="1" t="s">
        <v>39</v>
      </c>
      <c r="G1805" s="1" t="s">
        <v>24</v>
      </c>
      <c r="H1805" s="1">
        <v>12653</v>
      </c>
      <c r="I1805" s="1">
        <v>29353</v>
      </c>
      <c r="J1805" s="7">
        <v>0.43099999999999999</v>
      </c>
      <c r="K1805" s="1" t="s">
        <v>21</v>
      </c>
      <c r="L1805" s="1" t="s">
        <v>29</v>
      </c>
      <c r="M1805" s="1" t="s">
        <v>29</v>
      </c>
      <c r="N1805" s="1" t="s">
        <v>22</v>
      </c>
      <c r="O1805" s="1" t="str">
        <f t="shared" ca="1" si="15"/>
        <v>Please solve the LeetCode problem '1674. Minimum Moves to Make Array Complementary'.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06" spans="1:15" x14ac:dyDescent="0.25">
      <c r="A1806" s="1">
        <v>1987</v>
      </c>
      <c r="B1806" s="2" t="str">
        <f>HYPERLINK("https://leetcode.com/problems/number-of-unique-good-subsequences/", "Number of Unique Good Subsequences")</f>
        <v>Number of Unique Good Subsequences</v>
      </c>
      <c r="C1806" s="1">
        <v>743</v>
      </c>
      <c r="D1806" s="1">
        <v>17</v>
      </c>
      <c r="E1806" s="3">
        <f t="shared" si="14"/>
        <v>0.97763157894736841</v>
      </c>
      <c r="F1806" s="1" t="s">
        <v>82</v>
      </c>
      <c r="G1806" s="1" t="s">
        <v>28</v>
      </c>
      <c r="H1806" s="1">
        <v>16428</v>
      </c>
      <c r="I1806" s="1">
        <v>31320</v>
      </c>
      <c r="J1806" s="7">
        <v>0.52500000000000002</v>
      </c>
      <c r="K1806" s="1" t="s">
        <v>21</v>
      </c>
      <c r="L1806" s="1" t="s">
        <v>29</v>
      </c>
      <c r="M1806" s="1" t="s">
        <v>29</v>
      </c>
      <c r="N1806" s="1" t="s">
        <v>22</v>
      </c>
      <c r="O1806" s="1" t="str">
        <f t="shared" ca="1" si="15"/>
        <v>Please solve the LeetCode problem '1987. Number of Unique Good Subsequences'.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07" spans="1:15" x14ac:dyDescent="0.25">
      <c r="A1807" s="1">
        <v>2087</v>
      </c>
      <c r="B1807" s="2" t="str">
        <f>HYPERLINK("https://leetcode.com/problems/minimum-cost-homecoming-of-a-robot-in-a-grid/", "Minimum Cost Homecoming of a Robot in a Grid")</f>
        <v>Minimum Cost Homecoming of a Robot in a Grid</v>
      </c>
      <c r="C1807" s="1">
        <v>743</v>
      </c>
      <c r="D1807" s="1">
        <v>97</v>
      </c>
      <c r="E1807" s="3">
        <f t="shared" si="14"/>
        <v>0.88452380952380949</v>
      </c>
      <c r="F1807" s="1" t="s">
        <v>96</v>
      </c>
      <c r="G1807" s="1" t="s">
        <v>24</v>
      </c>
      <c r="H1807" s="1">
        <v>25954</v>
      </c>
      <c r="I1807" s="1">
        <v>50361</v>
      </c>
      <c r="J1807" s="7">
        <v>0.51500000000000001</v>
      </c>
      <c r="K1807" s="1" t="s">
        <v>21</v>
      </c>
      <c r="L1807" s="1" t="s">
        <v>29</v>
      </c>
      <c r="M1807" s="1" t="s">
        <v>29</v>
      </c>
      <c r="N1807" s="1" t="s">
        <v>22</v>
      </c>
      <c r="O1807" s="1" t="str">
        <f t="shared" ca="1" si="15"/>
        <v>Please solve the LeetCode problem '2087. Minimum Cost Homecoming of a Robot in a Grid'.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08" spans="1:15" x14ac:dyDescent="0.25">
      <c r="A1808" s="1">
        <v>681</v>
      </c>
      <c r="B1808" s="2" t="str">
        <f>HYPERLINK("https://leetcode.com/problems/next-closest-time/", "Next Closest Time")</f>
        <v>Next Closest Time</v>
      </c>
      <c r="C1808" s="1">
        <v>742</v>
      </c>
      <c r="D1808" s="1">
        <v>1078</v>
      </c>
      <c r="E1808" s="3">
        <f t="shared" si="14"/>
        <v>0.40769230769230769</v>
      </c>
      <c r="F1808" s="1" t="s">
        <v>785</v>
      </c>
      <c r="G1808" s="1" t="s">
        <v>24</v>
      </c>
      <c r="H1808" s="1">
        <v>117342</v>
      </c>
      <c r="I1808" s="1">
        <v>249899</v>
      </c>
      <c r="J1808" s="7">
        <v>0.47</v>
      </c>
      <c r="K1808" s="1" t="s">
        <v>29</v>
      </c>
      <c r="L1808" s="1" t="s">
        <v>21</v>
      </c>
      <c r="M1808" s="1" t="s">
        <v>29</v>
      </c>
      <c r="N1808" s="1" t="s">
        <v>22</v>
      </c>
      <c r="O1808" s="1" t="str">
        <f t="shared" ca="1" si="15"/>
        <v>Please solve the LeetCode problem '681. Next Closest Time'.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09" spans="1:15" x14ac:dyDescent="0.25">
      <c r="A1809" s="1">
        <v>1703</v>
      </c>
      <c r="B1809" s="2" t="str">
        <f>HYPERLINK("https://leetcode.com/problems/minimum-adjacent-swaps-for-k-consecutive-ones/", "Minimum Adjacent Swaps for K Consecutive Ones")</f>
        <v>Minimum Adjacent Swaps for K Consecutive Ones</v>
      </c>
      <c r="C1809" s="1">
        <v>742</v>
      </c>
      <c r="D1809" s="1">
        <v>29</v>
      </c>
      <c r="E1809" s="3">
        <f t="shared" si="14"/>
        <v>0.96238651102464334</v>
      </c>
      <c r="F1809" s="1" t="s">
        <v>784</v>
      </c>
      <c r="G1809" s="1" t="s">
        <v>28</v>
      </c>
      <c r="H1809" s="1">
        <v>13842</v>
      </c>
      <c r="I1809" s="1">
        <v>32724</v>
      </c>
      <c r="J1809" s="7">
        <v>0.42299999999999999</v>
      </c>
      <c r="K1809" s="1" t="s">
        <v>21</v>
      </c>
      <c r="L1809" s="1" t="s">
        <v>29</v>
      </c>
      <c r="M1809" s="1" t="s">
        <v>29</v>
      </c>
      <c r="N1809" s="1" t="s">
        <v>22</v>
      </c>
      <c r="O1809" s="1" t="str">
        <f t="shared" ca="1" si="15"/>
        <v>Please solve the LeetCode problem '1703. Minimum Adjacent Swaps for K Consecutive Ones'.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10" spans="1:15" x14ac:dyDescent="0.25">
      <c r="A1810" s="1">
        <v>2454</v>
      </c>
      <c r="B1810" s="2" t="str">
        <f>HYPERLINK("https://leetcode.com/problems/next-greater-element-iv/", "Next Greater Element IV")</f>
        <v>Next Greater Element IV</v>
      </c>
      <c r="C1810" s="1">
        <v>742</v>
      </c>
      <c r="D1810" s="1">
        <v>12</v>
      </c>
      <c r="E1810" s="3">
        <f t="shared" si="14"/>
        <v>0.98408488063660482</v>
      </c>
      <c r="F1810" s="1" t="s">
        <v>781</v>
      </c>
      <c r="G1810" s="1" t="s">
        <v>28</v>
      </c>
      <c r="H1810" s="1">
        <v>17370</v>
      </c>
      <c r="I1810" s="1">
        <v>42160</v>
      </c>
      <c r="J1810" s="7">
        <v>0.41199999999999998</v>
      </c>
      <c r="K1810" s="1" t="s">
        <v>21</v>
      </c>
      <c r="L1810" s="1" t="s">
        <v>29</v>
      </c>
      <c r="M1810" s="1" t="s">
        <v>29</v>
      </c>
      <c r="N1810" s="1" t="s">
        <v>22</v>
      </c>
      <c r="O1810" s="1" t="str">
        <f t="shared" ca="1" si="15"/>
        <v>Please solve the LeetCode problem '2454. Next Greater Element IV'.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11" spans="1:15" x14ac:dyDescent="0.25">
      <c r="A1811" s="1">
        <v>1158</v>
      </c>
      <c r="B1811" s="2" t="str">
        <f>HYPERLINK("https://leetcode.com/problems/market-analysis-i/", "Market Analysis I")</f>
        <v>Market Analysis I</v>
      </c>
      <c r="C1811" s="1">
        <v>740</v>
      </c>
      <c r="D1811" s="1">
        <v>71</v>
      </c>
      <c r="E1811" s="3">
        <f t="shared" si="14"/>
        <v>0.91245376078914919</v>
      </c>
      <c r="F1811" s="1" t="s">
        <v>297</v>
      </c>
      <c r="G1811" s="1" t="s">
        <v>24</v>
      </c>
      <c r="H1811" s="1">
        <v>159875</v>
      </c>
      <c r="I1811" s="1">
        <v>279715</v>
      </c>
      <c r="J1811" s="7">
        <v>0.57199999999999995</v>
      </c>
      <c r="K1811" s="1" t="s">
        <v>21</v>
      </c>
      <c r="L1811" s="1" t="s">
        <v>21</v>
      </c>
      <c r="M1811" s="1" t="s">
        <v>29</v>
      </c>
      <c r="N1811" s="1" t="s">
        <v>297</v>
      </c>
      <c r="O1811" s="1" t="str">
        <f t="shared" ca="1" si="15"/>
        <v>Please solve the LeetCode problem '1158. Market Analysis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12" spans="1:15" x14ac:dyDescent="0.25">
      <c r="A1812" s="1">
        <v>251</v>
      </c>
      <c r="B1812" s="2" t="str">
        <f>HYPERLINK("https://leetcode.com/problems/flatten-2d-vector/", "Flatten 2D Vector")</f>
        <v>Flatten 2D Vector</v>
      </c>
      <c r="C1812" s="1">
        <v>739</v>
      </c>
      <c r="D1812" s="1">
        <v>417</v>
      </c>
      <c r="E1812" s="3">
        <f t="shared" si="14"/>
        <v>0.63927335640138405</v>
      </c>
      <c r="F1812" s="1" t="s">
        <v>787</v>
      </c>
      <c r="G1812" s="1" t="s">
        <v>24</v>
      </c>
      <c r="H1812" s="1">
        <v>144356</v>
      </c>
      <c r="I1812" s="1">
        <v>286358</v>
      </c>
      <c r="J1812" s="7">
        <v>0.504</v>
      </c>
      <c r="K1812" s="1" t="s">
        <v>29</v>
      </c>
      <c r="L1812" s="1" t="s">
        <v>21</v>
      </c>
      <c r="M1812" s="1" t="s">
        <v>29</v>
      </c>
      <c r="N1812" s="1" t="s">
        <v>22</v>
      </c>
      <c r="O1812" s="1" t="str">
        <f t="shared" ca="1" si="15"/>
        <v>Please solve the LeetCode problem '251. Flatten 2D Vector'.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13" spans="1:15" x14ac:dyDescent="0.25">
      <c r="A1813" s="1">
        <v>2039</v>
      </c>
      <c r="B1813" s="2" t="str">
        <f>HYPERLINK("https://leetcode.com/problems/the-time-when-the-network-becomes-idle/", "The Time When the Network Becomes Idle")</f>
        <v>The Time When the Network Becomes Idle</v>
      </c>
      <c r="C1813" s="1">
        <v>738</v>
      </c>
      <c r="D1813" s="1">
        <v>76</v>
      </c>
      <c r="E1813" s="3">
        <f t="shared" si="14"/>
        <v>0.90663390663390664</v>
      </c>
      <c r="F1813" s="1" t="s">
        <v>774</v>
      </c>
      <c r="G1813" s="1" t="s">
        <v>24</v>
      </c>
      <c r="H1813" s="1">
        <v>22579</v>
      </c>
      <c r="I1813" s="1">
        <v>40959</v>
      </c>
      <c r="J1813" s="7">
        <v>0.55100000000000005</v>
      </c>
      <c r="K1813" s="1" t="s">
        <v>21</v>
      </c>
      <c r="L1813" s="1" t="s">
        <v>29</v>
      </c>
      <c r="M1813" s="1" t="s">
        <v>29</v>
      </c>
      <c r="N1813" s="1" t="s">
        <v>22</v>
      </c>
      <c r="O1813" s="1" t="str">
        <f t="shared" ca="1" si="15"/>
        <v>Please solve the LeetCode problem '2039. The Time When the Network Becomes Idle'.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14" spans="1:15" x14ac:dyDescent="0.25">
      <c r="A1814" s="1">
        <v>3186</v>
      </c>
      <c r="B1814" s="2" t="str">
        <f>HYPERLINK("https://leetcode.com/problems/maximum-total-damage-with-spell-casting/", "Maximum Total Damage With Spell Casting")</f>
        <v>Maximum Total Damage With Spell Casting</v>
      </c>
      <c r="C1814" s="1">
        <v>738</v>
      </c>
      <c r="D1814" s="1">
        <v>64</v>
      </c>
      <c r="E1814" s="3">
        <f t="shared" si="14"/>
        <v>0.92019950124688277</v>
      </c>
      <c r="F1814" s="1" t="s">
        <v>782</v>
      </c>
      <c r="G1814" s="1" t="s">
        <v>24</v>
      </c>
      <c r="H1814" s="1">
        <v>111765</v>
      </c>
      <c r="I1814" s="1">
        <v>248376</v>
      </c>
      <c r="J1814" s="7">
        <v>0.45</v>
      </c>
      <c r="K1814" s="1" t="s">
        <v>21</v>
      </c>
      <c r="L1814" s="1" t="s">
        <v>21</v>
      </c>
      <c r="M1814" s="1" t="s">
        <v>29</v>
      </c>
      <c r="N1814" s="1" t="s">
        <v>22</v>
      </c>
      <c r="O1814" s="1" t="str">
        <f t="shared" ca="1" si="15"/>
        <v>Please solve the LeetCode problem '3186. Maximum Total Damage With Spell Casting'.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15" spans="1:15" x14ac:dyDescent="0.25">
      <c r="A1815" s="1">
        <v>2080</v>
      </c>
      <c r="B1815" s="2" t="str">
        <f>HYPERLINK("https://leetcode.com/problems/range-frequency-queries/", "Range Frequency Queries")</f>
        <v>Range Frequency Queries</v>
      </c>
      <c r="C1815" s="1">
        <v>737</v>
      </c>
      <c r="D1815" s="1">
        <v>29</v>
      </c>
      <c r="E1815" s="3">
        <f t="shared" si="14"/>
        <v>0.96214099216710181</v>
      </c>
      <c r="F1815" s="1" t="s">
        <v>786</v>
      </c>
      <c r="G1815" s="1" t="s">
        <v>24</v>
      </c>
      <c r="H1815" s="1">
        <v>31550</v>
      </c>
      <c r="I1815" s="1">
        <v>75721</v>
      </c>
      <c r="J1815" s="7">
        <v>0.41699999999999998</v>
      </c>
      <c r="K1815" s="1" t="s">
        <v>21</v>
      </c>
      <c r="L1815" s="1" t="s">
        <v>29</v>
      </c>
      <c r="M1815" s="1" t="s">
        <v>29</v>
      </c>
      <c r="N1815" s="1" t="s">
        <v>22</v>
      </c>
      <c r="O1815" s="1" t="str">
        <f t="shared" ca="1" si="15"/>
        <v>Please solve the LeetCode problem '2080. Range Frequency Queries'.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16" spans="1:15" x14ac:dyDescent="0.25">
      <c r="A1816" s="1">
        <v>1070</v>
      </c>
      <c r="B1816" s="2" t="str">
        <f>HYPERLINK("https://leetcode.com/problems/product-sales-analysis-iii/", "Product Sales Analysis III")</f>
        <v>Product Sales Analysis III</v>
      </c>
      <c r="C1816" s="1">
        <v>736</v>
      </c>
      <c r="D1816" s="1">
        <v>1115</v>
      </c>
      <c r="E1816" s="3">
        <f t="shared" si="14"/>
        <v>0.39762290653700705</v>
      </c>
      <c r="F1816" s="1" t="s">
        <v>297</v>
      </c>
      <c r="G1816" s="1" t="s">
        <v>24</v>
      </c>
      <c r="H1816" s="1">
        <v>406644</v>
      </c>
      <c r="I1816" s="1">
        <v>894560</v>
      </c>
      <c r="J1816" s="7">
        <v>0.45500000000000002</v>
      </c>
      <c r="K1816" s="1" t="s">
        <v>21</v>
      </c>
      <c r="L1816" s="1" t="s">
        <v>21</v>
      </c>
      <c r="M1816" s="1" t="s">
        <v>29</v>
      </c>
      <c r="N1816" s="1" t="s">
        <v>297</v>
      </c>
      <c r="O1816" s="1" t="str">
        <f t="shared" ca="1" si="15"/>
        <v>Please solve the LeetCode problem '1070. Product Sales Analysis III'.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17" spans="1:15" x14ac:dyDescent="0.25">
      <c r="A1817" s="1">
        <v>2341</v>
      </c>
      <c r="B1817" s="2" t="str">
        <f>HYPERLINK("https://leetcode.com/problems/maximum-number-of-pairs-in-array/", "Maximum Number of Pairs in Array")</f>
        <v>Maximum Number of Pairs in Array</v>
      </c>
      <c r="C1817" s="1">
        <v>736</v>
      </c>
      <c r="D1817" s="1">
        <v>19</v>
      </c>
      <c r="E1817" s="3">
        <f t="shared" si="14"/>
        <v>0.97483443708609274</v>
      </c>
      <c r="F1817" s="1" t="s">
        <v>294</v>
      </c>
      <c r="G1817" s="1" t="s">
        <v>20</v>
      </c>
      <c r="H1817" s="1">
        <v>89241</v>
      </c>
      <c r="I1817" s="1">
        <v>117523</v>
      </c>
      <c r="J1817" s="7">
        <v>0.75900000000000001</v>
      </c>
      <c r="K1817" s="1" t="s">
        <v>21</v>
      </c>
      <c r="L1817" s="1" t="s">
        <v>29</v>
      </c>
      <c r="M1817" s="1" t="s">
        <v>29</v>
      </c>
      <c r="N1817" s="1" t="s">
        <v>22</v>
      </c>
      <c r="O1817" s="1" t="str">
        <f t="shared" ca="1" si="15"/>
        <v>Please solve the LeetCode problem '2341. Maximum Number of Pairs in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18" spans="1:15" x14ac:dyDescent="0.25">
      <c r="A1818" s="1">
        <v>891</v>
      </c>
      <c r="B1818" s="2" t="str">
        <f>HYPERLINK("https://leetcode.com/problems/sum-of-subsequence-widths/", "Sum of Subsequence Widths")</f>
        <v>Sum of Subsequence Widths</v>
      </c>
      <c r="C1818" s="1">
        <v>734</v>
      </c>
      <c r="D1818" s="1">
        <v>172</v>
      </c>
      <c r="E1818" s="3">
        <f t="shared" si="14"/>
        <v>0.8101545253863135</v>
      </c>
      <c r="F1818" s="1" t="s">
        <v>284</v>
      </c>
      <c r="G1818" s="1" t="s">
        <v>28</v>
      </c>
      <c r="H1818" s="1">
        <v>25866</v>
      </c>
      <c r="I1818" s="1">
        <v>64602</v>
      </c>
      <c r="J1818" s="7">
        <v>0.4</v>
      </c>
      <c r="K1818" s="1" t="s">
        <v>21</v>
      </c>
      <c r="L1818" s="1" t="s">
        <v>21</v>
      </c>
      <c r="M1818" s="1" t="s">
        <v>29</v>
      </c>
      <c r="N1818" s="1" t="s">
        <v>22</v>
      </c>
      <c r="O1818" s="1" t="str">
        <f t="shared" ca="1" si="15"/>
        <v>Please solve the LeetCode problem '891. Sum of Subsequence Widths'.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19" spans="1:15" x14ac:dyDescent="0.25">
      <c r="A1819" s="1">
        <v>1407</v>
      </c>
      <c r="B1819" s="2" t="str">
        <f>HYPERLINK("https://leetcode.com/problems/top-travellers/", "Top Travellers")</f>
        <v>Top Travellers</v>
      </c>
      <c r="C1819" s="1">
        <v>734</v>
      </c>
      <c r="D1819" s="1">
        <v>82</v>
      </c>
      <c r="E1819" s="3">
        <f t="shared" si="14"/>
        <v>0.89950980392156865</v>
      </c>
      <c r="F1819" s="1" t="s">
        <v>297</v>
      </c>
      <c r="G1819" s="1" t="s">
        <v>20</v>
      </c>
      <c r="H1819" s="1">
        <v>198309</v>
      </c>
      <c r="I1819" s="1">
        <v>347329</v>
      </c>
      <c r="J1819" s="7">
        <v>0.57099999999999995</v>
      </c>
      <c r="K1819" s="1" t="s">
        <v>21</v>
      </c>
      <c r="L1819" s="1" t="s">
        <v>21</v>
      </c>
      <c r="M1819" s="1" t="s">
        <v>29</v>
      </c>
      <c r="N1819" s="1" t="s">
        <v>297</v>
      </c>
      <c r="O1819" s="1" t="str">
        <f t="shared" ca="1" si="15"/>
        <v>Please solve the LeetCode problem '1407. Top Travellers'.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20" spans="1:15" x14ac:dyDescent="0.25">
      <c r="A1820" s="1">
        <v>2699</v>
      </c>
      <c r="B1820" s="2" t="str">
        <f>HYPERLINK("https://leetcode.com/problems/modify-graph-edge-weights/", "Modify Graph Edge Weights")</f>
        <v>Modify Graph Edge Weights</v>
      </c>
      <c r="C1820" s="1">
        <v>734</v>
      </c>
      <c r="D1820" s="1">
        <v>153</v>
      </c>
      <c r="E1820" s="3">
        <f t="shared" si="14"/>
        <v>0.82750845546786922</v>
      </c>
      <c r="F1820" s="1" t="s">
        <v>737</v>
      </c>
      <c r="G1820" s="1" t="s">
        <v>28</v>
      </c>
      <c r="H1820" s="1">
        <v>67156</v>
      </c>
      <c r="I1820" s="1">
        <v>120547</v>
      </c>
      <c r="J1820" s="7">
        <v>0.55700000000000005</v>
      </c>
      <c r="K1820" s="1" t="s">
        <v>21</v>
      </c>
      <c r="L1820" s="1" t="s">
        <v>21</v>
      </c>
      <c r="M1820" s="1" t="s">
        <v>29</v>
      </c>
      <c r="N1820" s="1" t="s">
        <v>22</v>
      </c>
      <c r="O1820" s="1" t="str">
        <f t="shared" ca="1" si="15"/>
        <v>Please solve the LeetCode problem '2699. Modify Graph Edge Weights'.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21" spans="1:15" x14ac:dyDescent="0.25">
      <c r="A1821" s="1">
        <v>651</v>
      </c>
      <c r="B1821" s="2" t="str">
        <f>HYPERLINK("https://leetcode.com/problems/4-keys-keyboard/", "4 Keys Keyboard")</f>
        <v>4 Keys Keyboard</v>
      </c>
      <c r="C1821" s="1">
        <v>733</v>
      </c>
      <c r="D1821" s="1">
        <v>93</v>
      </c>
      <c r="E1821" s="3">
        <f t="shared" si="14"/>
        <v>0.88740920096852305</v>
      </c>
      <c r="F1821" s="1" t="s">
        <v>250</v>
      </c>
      <c r="G1821" s="1" t="s">
        <v>24</v>
      </c>
      <c r="H1821" s="1">
        <v>33322</v>
      </c>
      <c r="I1821" s="1">
        <v>59530</v>
      </c>
      <c r="J1821" s="7">
        <v>0.56000000000000005</v>
      </c>
      <c r="K1821" s="1" t="s">
        <v>29</v>
      </c>
      <c r="L1821" s="1" t="s">
        <v>21</v>
      </c>
      <c r="M1821" s="1" t="s">
        <v>29</v>
      </c>
      <c r="N1821" s="1" t="s">
        <v>22</v>
      </c>
      <c r="O1821" s="1" t="str">
        <f t="shared" ca="1" si="15"/>
        <v>Please solve the LeetCode problem '651. 4 Keys Keyboard'.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22" spans="1:15" x14ac:dyDescent="0.25">
      <c r="A1822" s="1">
        <v>2261</v>
      </c>
      <c r="B1822" s="2" t="str">
        <f>HYPERLINK("https://leetcode.com/problems/k-divisible-elements-subarrays/", "K Divisible Elements Subarrays")</f>
        <v>K Divisible Elements Subarrays</v>
      </c>
      <c r="C1822" s="1">
        <v>733</v>
      </c>
      <c r="D1822" s="1">
        <v>162</v>
      </c>
      <c r="E1822" s="3">
        <f t="shared" si="14"/>
        <v>0.8189944134078212</v>
      </c>
      <c r="F1822" s="1" t="s">
        <v>788</v>
      </c>
      <c r="G1822" s="1" t="s">
        <v>24</v>
      </c>
      <c r="H1822" s="1">
        <v>47716</v>
      </c>
      <c r="I1822" s="1">
        <v>87316</v>
      </c>
      <c r="J1822" s="7">
        <v>0.54600000000000004</v>
      </c>
      <c r="K1822" s="1" t="s">
        <v>21</v>
      </c>
      <c r="L1822" s="1" t="s">
        <v>29</v>
      </c>
      <c r="M1822" s="1" t="s">
        <v>29</v>
      </c>
      <c r="N1822" s="1" t="s">
        <v>22</v>
      </c>
      <c r="O1822" s="1" t="str">
        <f t="shared" ca="1" si="15"/>
        <v>Please solve the LeetCode problem '2261. K Divisible Elements Subarrays'.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23" spans="1:15" x14ac:dyDescent="0.25">
      <c r="A1823" s="1">
        <v>1729</v>
      </c>
      <c r="B1823" s="2" t="str">
        <f>HYPERLINK("https://leetcode.com/problems/find-followers-count/", "Find Followers Count")</f>
        <v>Find Followers Count</v>
      </c>
      <c r="C1823" s="1">
        <v>731</v>
      </c>
      <c r="D1823" s="1">
        <v>47</v>
      </c>
      <c r="E1823" s="3">
        <f t="shared" si="14"/>
        <v>0.93958868894601544</v>
      </c>
      <c r="F1823" s="1" t="s">
        <v>297</v>
      </c>
      <c r="G1823" s="1" t="s">
        <v>20</v>
      </c>
      <c r="H1823" s="1">
        <v>439193</v>
      </c>
      <c r="I1823" s="1">
        <v>631916</v>
      </c>
      <c r="J1823" s="7">
        <v>0.69499999999999995</v>
      </c>
      <c r="K1823" s="1" t="s">
        <v>21</v>
      </c>
      <c r="L1823" s="1" t="s">
        <v>21</v>
      </c>
      <c r="M1823" s="1" t="s">
        <v>29</v>
      </c>
      <c r="N1823" s="1" t="s">
        <v>297</v>
      </c>
      <c r="O1823" s="1" t="str">
        <f t="shared" ca="1" si="15"/>
        <v>Please solve the LeetCode problem '1729. Find Followers Count'.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24" spans="1:15" x14ac:dyDescent="0.25">
      <c r="A1824" s="1">
        <v>1774</v>
      </c>
      <c r="B1824" s="2" t="str">
        <f>HYPERLINK("https://leetcode.com/problems/closest-dessert-cost/", "Closest Dessert Cost")</f>
        <v>Closest Dessert Cost</v>
      </c>
      <c r="C1824" s="1">
        <v>731</v>
      </c>
      <c r="D1824" s="1">
        <v>94</v>
      </c>
      <c r="E1824" s="3">
        <f t="shared" si="14"/>
        <v>0.8860606060606061</v>
      </c>
      <c r="F1824" s="1" t="s">
        <v>106</v>
      </c>
      <c r="G1824" s="1" t="s">
        <v>24</v>
      </c>
      <c r="H1824" s="1">
        <v>37683</v>
      </c>
      <c r="I1824" s="1">
        <v>77998</v>
      </c>
      <c r="J1824" s="7">
        <v>0.48299999999999998</v>
      </c>
      <c r="K1824" s="1" t="s">
        <v>21</v>
      </c>
      <c r="L1824" s="1" t="s">
        <v>29</v>
      </c>
      <c r="M1824" s="1" t="s">
        <v>29</v>
      </c>
      <c r="N1824" s="1" t="s">
        <v>22</v>
      </c>
      <c r="O1824" s="1" t="str">
        <f t="shared" ca="1" si="15"/>
        <v>Please solve the LeetCode problem '1774. Closest Dessert Cost'.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25" spans="1:15" x14ac:dyDescent="0.25">
      <c r="A1825" s="1">
        <v>2442</v>
      </c>
      <c r="B1825" s="2" t="str">
        <f>HYPERLINK("https://leetcode.com/problems/count-number-of-distinct-integers-after-reverse-operations/", "Count Number of Distinct Integers After Reverse Operations")</f>
        <v>Count Number of Distinct Integers After Reverse Operations</v>
      </c>
      <c r="C1825" s="1">
        <v>731</v>
      </c>
      <c r="D1825" s="1">
        <v>60</v>
      </c>
      <c r="E1825" s="3">
        <f t="shared" si="14"/>
        <v>0.92414664981036665</v>
      </c>
      <c r="F1825" s="1" t="s">
        <v>233</v>
      </c>
      <c r="G1825" s="1" t="s">
        <v>24</v>
      </c>
      <c r="H1825" s="1">
        <v>95858</v>
      </c>
      <c r="I1825" s="1">
        <v>118154</v>
      </c>
      <c r="J1825" s="7">
        <v>0.81100000000000005</v>
      </c>
      <c r="K1825" s="1" t="s">
        <v>21</v>
      </c>
      <c r="L1825" s="1" t="s">
        <v>29</v>
      </c>
      <c r="M1825" s="1" t="s">
        <v>29</v>
      </c>
      <c r="N1825" s="1" t="s">
        <v>22</v>
      </c>
      <c r="O1825" s="1" t="str">
        <f t="shared" ca="1" si="15"/>
        <v>Please solve the LeetCode problem '2442. Count Number of Distinct Integers After Reverse Operations'.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26" spans="1:15" x14ac:dyDescent="0.25">
      <c r="A1826" s="1">
        <v>2653</v>
      </c>
      <c r="B1826" s="2" t="str">
        <f>HYPERLINK("https://leetcode.com/problems/sliding-subarray-beauty/", "Sliding Subarray Beauty")</f>
        <v>Sliding Subarray Beauty</v>
      </c>
      <c r="C1826" s="1">
        <v>731</v>
      </c>
      <c r="D1826" s="1">
        <v>139</v>
      </c>
      <c r="E1826" s="3">
        <f t="shared" si="14"/>
        <v>0.84022988505747132</v>
      </c>
      <c r="F1826" s="1" t="s">
        <v>185</v>
      </c>
      <c r="G1826" s="1" t="s">
        <v>24</v>
      </c>
      <c r="H1826" s="1">
        <v>32059</v>
      </c>
      <c r="I1826" s="1">
        <v>89102</v>
      </c>
      <c r="J1826" s="7">
        <v>0.36</v>
      </c>
      <c r="K1826" s="1" t="s">
        <v>21</v>
      </c>
      <c r="L1826" s="1" t="s">
        <v>29</v>
      </c>
      <c r="M1826" s="1" t="s">
        <v>29</v>
      </c>
      <c r="N1826" s="1" t="s">
        <v>22</v>
      </c>
      <c r="O1826" s="1" t="str">
        <f t="shared" ca="1" si="15"/>
        <v>Please solve the LeetCode problem '2653. Sliding Subarray Beauty'.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27" spans="1:15" x14ac:dyDescent="0.25">
      <c r="A1827" s="1">
        <v>1925</v>
      </c>
      <c r="B1827" s="2" t="str">
        <f>HYPERLINK("https://leetcode.com/problems/count-square-sum-triples/", "Count Square Sum Triples")</f>
        <v>Count Square Sum Triples</v>
      </c>
      <c r="C1827" s="1">
        <v>730</v>
      </c>
      <c r="D1827" s="1">
        <v>64</v>
      </c>
      <c r="E1827" s="3">
        <f t="shared" si="14"/>
        <v>0.91939546599496225</v>
      </c>
      <c r="F1827" s="1" t="s">
        <v>602</v>
      </c>
      <c r="G1827" s="1" t="s">
        <v>20</v>
      </c>
      <c r="H1827" s="1">
        <v>180960</v>
      </c>
      <c r="I1827" s="1">
        <v>234585</v>
      </c>
      <c r="J1827" s="7">
        <v>0.77100000000000002</v>
      </c>
      <c r="K1827" s="1" t="s">
        <v>21</v>
      </c>
      <c r="L1827" s="1" t="s">
        <v>21</v>
      </c>
      <c r="M1827" s="1" t="s">
        <v>29</v>
      </c>
      <c r="N1827" s="1" t="s">
        <v>22</v>
      </c>
      <c r="O1827" s="1" t="str">
        <f t="shared" ca="1" si="15"/>
        <v>Please solve the LeetCode problem '1925. Count Square Sum Triples'.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28" spans="1:15" x14ac:dyDescent="0.25">
      <c r="A1828" s="1">
        <v>2469</v>
      </c>
      <c r="B1828" s="2" t="str">
        <f>HYPERLINK("https://leetcode.com/problems/convert-the-temperature/", "Convert the Temperature")</f>
        <v>Convert the Temperature</v>
      </c>
      <c r="C1828" s="1">
        <v>730</v>
      </c>
      <c r="D1828" s="1">
        <v>369</v>
      </c>
      <c r="E1828" s="3">
        <f t="shared" si="14"/>
        <v>0.66424021838034575</v>
      </c>
      <c r="F1828" s="1" t="s">
        <v>84</v>
      </c>
      <c r="G1828" s="1" t="s">
        <v>20</v>
      </c>
      <c r="H1828" s="1">
        <v>284752</v>
      </c>
      <c r="I1828" s="1">
        <v>315505</v>
      </c>
      <c r="J1828" s="7">
        <v>0.90300000000000002</v>
      </c>
      <c r="K1828" s="1" t="s">
        <v>21</v>
      </c>
      <c r="L1828" s="1" t="s">
        <v>29</v>
      </c>
      <c r="M1828" s="1" t="s">
        <v>29</v>
      </c>
      <c r="N1828" s="1" t="s">
        <v>22</v>
      </c>
      <c r="O1828" s="1" t="str">
        <f t="shared" ca="1" si="15"/>
        <v>Please solve the LeetCode problem '2469. Convert the Temperature'.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29" spans="1:15" x14ac:dyDescent="0.25">
      <c r="A1829" s="1">
        <v>2718</v>
      </c>
      <c r="B1829" s="2" t="str">
        <f>HYPERLINK("https://leetcode.com/problems/sum-of-matrix-after-queries/", "Sum of Matrix After Queries")</f>
        <v>Sum of Matrix After Queries</v>
      </c>
      <c r="C1829" s="1">
        <v>730</v>
      </c>
      <c r="D1829" s="1">
        <v>26</v>
      </c>
      <c r="E1829" s="3">
        <f t="shared" si="14"/>
        <v>0.96560846560846558</v>
      </c>
      <c r="F1829" s="1" t="s">
        <v>19</v>
      </c>
      <c r="G1829" s="1" t="s">
        <v>24</v>
      </c>
      <c r="H1829" s="1">
        <v>24440</v>
      </c>
      <c r="I1829" s="1">
        <v>76934</v>
      </c>
      <c r="J1829" s="7">
        <v>0.318</v>
      </c>
      <c r="K1829" s="1" t="s">
        <v>21</v>
      </c>
      <c r="L1829" s="1" t="s">
        <v>29</v>
      </c>
      <c r="M1829" s="1" t="s">
        <v>29</v>
      </c>
      <c r="N1829" s="1" t="s">
        <v>22</v>
      </c>
      <c r="O1829" s="1" t="str">
        <f t="shared" ca="1" si="15"/>
        <v>Please solve the LeetCode problem '2718. Sum of Matrix After Queries'.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30" spans="1:15" x14ac:dyDescent="0.25">
      <c r="A1830" s="1">
        <v>1062</v>
      </c>
      <c r="B1830" s="2" t="str">
        <f>HYPERLINK("https://leetcode.com/problems/longest-repeating-substring/", "Longest Repeating Substring")</f>
        <v>Longest Repeating Substring</v>
      </c>
      <c r="C1830" s="1">
        <v>729</v>
      </c>
      <c r="D1830" s="1">
        <v>76</v>
      </c>
      <c r="E1830" s="3">
        <f t="shared" si="14"/>
        <v>0.90559006211180126</v>
      </c>
      <c r="F1830" s="1" t="s">
        <v>789</v>
      </c>
      <c r="G1830" s="1" t="s">
        <v>24</v>
      </c>
      <c r="H1830" s="1">
        <v>57173</v>
      </c>
      <c r="I1830" s="1">
        <v>90235</v>
      </c>
      <c r="J1830" s="7">
        <v>0.63400000000000001</v>
      </c>
      <c r="K1830" s="1" t="s">
        <v>29</v>
      </c>
      <c r="L1830" s="1" t="s">
        <v>21</v>
      </c>
      <c r="M1830" s="1" t="s">
        <v>29</v>
      </c>
      <c r="N1830" s="1" t="s">
        <v>22</v>
      </c>
      <c r="O1830" s="1" t="str">
        <f t="shared" ca="1" si="15"/>
        <v>Please solve the LeetCode problem '1062. Longest Repeating Substring'.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31" spans="1:15" x14ac:dyDescent="0.25">
      <c r="A1831" s="1">
        <v>2545</v>
      </c>
      <c r="B1831" s="2" t="str">
        <f>HYPERLINK("https://leetcode.com/problems/sort-the-students-by-their-kth-score/", "Sort the Students by Their Kth Score")</f>
        <v>Sort the Students by Their Kth Score</v>
      </c>
      <c r="C1831" s="1">
        <v>728</v>
      </c>
      <c r="D1831" s="1">
        <v>53</v>
      </c>
      <c r="E1831" s="3">
        <f t="shared" si="14"/>
        <v>0.93213828425096035</v>
      </c>
      <c r="F1831" s="1" t="s">
        <v>343</v>
      </c>
      <c r="G1831" s="1" t="s">
        <v>24</v>
      </c>
      <c r="H1831" s="1">
        <v>86013</v>
      </c>
      <c r="I1831" s="1">
        <v>100034</v>
      </c>
      <c r="J1831" s="7">
        <v>0.86</v>
      </c>
      <c r="K1831" s="1" t="s">
        <v>21</v>
      </c>
      <c r="L1831" s="1" t="s">
        <v>29</v>
      </c>
      <c r="M1831" s="1" t="s">
        <v>29</v>
      </c>
      <c r="N1831" s="1" t="s">
        <v>22</v>
      </c>
      <c r="O1831" s="1" t="str">
        <f t="shared" ca="1" si="15"/>
        <v>Please solve the LeetCode problem '2545. Sort the Students by Their Kth Score'.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32" spans="1:15" x14ac:dyDescent="0.25">
      <c r="A1832" s="1">
        <v>484</v>
      </c>
      <c r="B1832" s="2" t="str">
        <f>HYPERLINK("https://leetcode.com/problems/find-permutation/", "Find Permutation")</f>
        <v>Find Permutation</v>
      </c>
      <c r="C1832" s="1">
        <v>726</v>
      </c>
      <c r="D1832" s="1">
        <v>151</v>
      </c>
      <c r="E1832" s="3">
        <f t="shared" si="14"/>
        <v>0.82782212086659068</v>
      </c>
      <c r="F1832" s="1" t="s">
        <v>791</v>
      </c>
      <c r="G1832" s="1" t="s">
        <v>24</v>
      </c>
      <c r="H1832" s="1">
        <v>42924</v>
      </c>
      <c r="I1832" s="1">
        <v>64151</v>
      </c>
      <c r="J1832" s="7">
        <v>0.66900000000000004</v>
      </c>
      <c r="K1832" s="1" t="s">
        <v>29</v>
      </c>
      <c r="L1832" s="1" t="s">
        <v>21</v>
      </c>
      <c r="M1832" s="1" t="s">
        <v>29</v>
      </c>
      <c r="N1832" s="1" t="s">
        <v>22</v>
      </c>
      <c r="O1832" s="1" t="str">
        <f t="shared" ca="1" si="15"/>
        <v>Please solve the LeetCode problem '484. Find Permutation'.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33" spans="1:15" x14ac:dyDescent="0.25">
      <c r="A1833" s="1">
        <v>2111</v>
      </c>
      <c r="B1833" s="2" t="str">
        <f>HYPERLINK("https://leetcode.com/problems/minimum-operations-to-make-the-array-k-increasing/", "Minimum Operations to Make the Array K-Increasing")</f>
        <v>Minimum Operations to Make the Array K-Increasing</v>
      </c>
      <c r="C1833" s="1">
        <v>726</v>
      </c>
      <c r="D1833" s="1">
        <v>15</v>
      </c>
      <c r="E1833" s="3">
        <f t="shared" si="14"/>
        <v>0.97975708502024295</v>
      </c>
      <c r="F1833" s="1" t="s">
        <v>35</v>
      </c>
      <c r="G1833" s="1" t="s">
        <v>28</v>
      </c>
      <c r="H1833" s="1">
        <v>15607</v>
      </c>
      <c r="I1833" s="1">
        <v>38968</v>
      </c>
      <c r="J1833" s="7">
        <v>0.40100000000000002</v>
      </c>
      <c r="K1833" s="1" t="s">
        <v>21</v>
      </c>
      <c r="L1833" s="1" t="s">
        <v>29</v>
      </c>
      <c r="M1833" s="1" t="s">
        <v>29</v>
      </c>
      <c r="N1833" s="1" t="s">
        <v>22</v>
      </c>
      <c r="O1833" s="1" t="str">
        <f t="shared" ca="1" si="15"/>
        <v>Please solve the LeetCode problem '2111. Minimum Operations to Make the Array K-Increasing'.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34" spans="1:15" x14ac:dyDescent="0.25">
      <c r="A1834" s="1">
        <v>2177</v>
      </c>
      <c r="B1834" s="2" t="str">
        <f>HYPERLINK("https://leetcode.com/problems/find-three-consecutive-integers-that-sum-to-a-given-number/", "Find Three Consecutive Integers That Sum to a Given Number")</f>
        <v>Find Three Consecutive Integers That Sum to a Given Number</v>
      </c>
      <c r="C1834" s="1">
        <v>724</v>
      </c>
      <c r="D1834" s="1">
        <v>233</v>
      </c>
      <c r="E1834" s="3">
        <f t="shared" si="14"/>
        <v>0.75653082549634276</v>
      </c>
      <c r="F1834" s="1" t="s">
        <v>465</v>
      </c>
      <c r="G1834" s="1" t="s">
        <v>24</v>
      </c>
      <c r="H1834" s="1">
        <v>63335</v>
      </c>
      <c r="I1834" s="1">
        <v>97136</v>
      </c>
      <c r="J1834" s="7">
        <v>0.65200000000000002</v>
      </c>
      <c r="K1834" s="1" t="s">
        <v>21</v>
      </c>
      <c r="L1834" s="1" t="s">
        <v>29</v>
      </c>
      <c r="M1834" s="1" t="s">
        <v>29</v>
      </c>
      <c r="N1834" s="1" t="s">
        <v>22</v>
      </c>
      <c r="O1834" s="1" t="str">
        <f t="shared" ca="1" si="15"/>
        <v>Please solve the LeetCode problem '2177. Find Three Consecutive Integers That Sum to a Given Number'.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35" spans="1:15" x14ac:dyDescent="0.25">
      <c r="A1835" s="1">
        <v>3223</v>
      </c>
      <c r="B1835" s="2" t="str">
        <f>HYPERLINK("https://leetcode.com/problems/minimum-length-of-string-after-operations/", "Minimum Length of String After Operations")</f>
        <v>Minimum Length of String After Operations</v>
      </c>
      <c r="C1835" s="1">
        <v>724</v>
      </c>
      <c r="D1835" s="1">
        <v>53</v>
      </c>
      <c r="E1835" s="3">
        <f t="shared" si="14"/>
        <v>0.93178893178893174</v>
      </c>
      <c r="F1835" s="1" t="s">
        <v>237</v>
      </c>
      <c r="G1835" s="1" t="s">
        <v>24</v>
      </c>
      <c r="H1835" s="1">
        <v>193412</v>
      </c>
      <c r="I1835" s="1">
        <v>257823</v>
      </c>
      <c r="J1835" s="7">
        <v>0.75</v>
      </c>
      <c r="K1835" s="1" t="s">
        <v>21</v>
      </c>
      <c r="L1835" s="1" t="s">
        <v>21</v>
      </c>
      <c r="M1835" s="1" t="s">
        <v>29</v>
      </c>
      <c r="N1835" s="1" t="s">
        <v>22</v>
      </c>
      <c r="O1835" s="1" t="str">
        <f t="shared" ca="1" si="15"/>
        <v>Please solve the LeetCode problem '3223. Minimum Length of String After Operations'.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36" spans="1:15" x14ac:dyDescent="0.25">
      <c r="A1836" s="1">
        <v>1471</v>
      </c>
      <c r="B1836" s="2" t="str">
        <f>HYPERLINK("https://leetcode.com/problems/the-k-strongest-values-in-an-array/", "The k Strongest Values in an Array")</f>
        <v>The k Strongest Values in an Array</v>
      </c>
      <c r="C1836" s="1">
        <v>721</v>
      </c>
      <c r="D1836" s="1">
        <v>165</v>
      </c>
      <c r="E1836" s="3">
        <f t="shared" si="14"/>
        <v>0.81376975169300225</v>
      </c>
      <c r="F1836" s="1" t="s">
        <v>31</v>
      </c>
      <c r="G1836" s="1" t="s">
        <v>24</v>
      </c>
      <c r="H1836" s="1">
        <v>46126</v>
      </c>
      <c r="I1836" s="1">
        <v>73816</v>
      </c>
      <c r="J1836" s="7">
        <v>0.625</v>
      </c>
      <c r="K1836" s="1" t="s">
        <v>21</v>
      </c>
      <c r="L1836" s="1" t="s">
        <v>29</v>
      </c>
      <c r="M1836" s="1" t="s">
        <v>29</v>
      </c>
      <c r="N1836" s="1" t="s">
        <v>22</v>
      </c>
      <c r="O1836" s="1" t="str">
        <f t="shared" ca="1" si="15"/>
        <v>Please solve the LeetCode problem '1471. The k Strongest Values in an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37" spans="1:15" x14ac:dyDescent="0.25">
      <c r="A1837" s="1">
        <v>2135</v>
      </c>
      <c r="B1837" s="2" t="str">
        <f>HYPERLINK("https://leetcode.com/problems/count-words-obtained-after-adding-a-letter/", "Count Words Obtained After Adding a Letter")</f>
        <v>Count Words Obtained After Adding a Letter</v>
      </c>
      <c r="C1837" s="1">
        <v>721</v>
      </c>
      <c r="D1837" s="1">
        <v>167</v>
      </c>
      <c r="E1837" s="3">
        <f t="shared" si="14"/>
        <v>0.81193693693693691</v>
      </c>
      <c r="F1837" s="1" t="s">
        <v>793</v>
      </c>
      <c r="G1837" s="1" t="s">
        <v>24</v>
      </c>
      <c r="H1837" s="1">
        <v>40540</v>
      </c>
      <c r="I1837" s="1">
        <v>92430</v>
      </c>
      <c r="J1837" s="7">
        <v>0.439</v>
      </c>
      <c r="K1837" s="1" t="s">
        <v>21</v>
      </c>
      <c r="L1837" s="1" t="s">
        <v>29</v>
      </c>
      <c r="M1837" s="1" t="s">
        <v>29</v>
      </c>
      <c r="N1837" s="1" t="s">
        <v>22</v>
      </c>
      <c r="O1837" s="1" t="str">
        <f t="shared" ca="1" si="15"/>
        <v>Please solve the LeetCode problem '2135. Count Words Obtained After Adding a Letter'.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38" spans="1:15" x14ac:dyDescent="0.25">
      <c r="A1838" s="1">
        <v>2269</v>
      </c>
      <c r="B1838" s="2" t="str">
        <f>HYPERLINK("https://leetcode.com/problems/find-the-k-beauty-of-a-number/", "Find the K-Beauty of a Number")</f>
        <v>Find the K-Beauty of a Number</v>
      </c>
      <c r="C1838" s="1">
        <v>721</v>
      </c>
      <c r="D1838" s="1">
        <v>47</v>
      </c>
      <c r="E1838" s="3">
        <f t="shared" si="14"/>
        <v>0.93880208333333337</v>
      </c>
      <c r="F1838" s="1" t="s">
        <v>790</v>
      </c>
      <c r="G1838" s="1" t="s">
        <v>20</v>
      </c>
      <c r="H1838" s="1">
        <v>86046</v>
      </c>
      <c r="I1838" s="1">
        <v>137223</v>
      </c>
      <c r="J1838" s="7">
        <v>0.627</v>
      </c>
      <c r="K1838" s="1" t="s">
        <v>21</v>
      </c>
      <c r="L1838" s="1" t="s">
        <v>29</v>
      </c>
      <c r="M1838" s="1" t="s">
        <v>29</v>
      </c>
      <c r="N1838" s="1" t="s">
        <v>22</v>
      </c>
      <c r="O1838" s="1" t="str">
        <f t="shared" ca="1" si="15"/>
        <v>Please solve the LeetCode problem '2269. Find the K-Beauty of a Number'.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39" spans="1:15" x14ac:dyDescent="0.25">
      <c r="A1839" s="1">
        <v>2981</v>
      </c>
      <c r="B1839" s="2" t="str">
        <f>HYPERLINK("https://leetcode.com/problems/find-longest-special-substring-that-occurs-thrice-i/", "Find Longest Special Substring That Occurs Thrice I")</f>
        <v>Find Longest Special Substring That Occurs Thrice I</v>
      </c>
      <c r="C1839" s="1">
        <v>721</v>
      </c>
      <c r="D1839" s="1">
        <v>74</v>
      </c>
      <c r="E1839" s="3">
        <f t="shared" si="14"/>
        <v>0.90691823899371071</v>
      </c>
      <c r="F1839" s="1" t="s">
        <v>792</v>
      </c>
      <c r="G1839" s="1" t="s">
        <v>24</v>
      </c>
      <c r="H1839" s="1">
        <v>130408</v>
      </c>
      <c r="I1839" s="1">
        <v>210736</v>
      </c>
      <c r="J1839" s="7">
        <v>0.61899999999999999</v>
      </c>
      <c r="K1839" s="1" t="s">
        <v>21</v>
      </c>
      <c r="L1839" s="1" t="s">
        <v>21</v>
      </c>
      <c r="M1839" s="1" t="s">
        <v>29</v>
      </c>
      <c r="N1839" s="1" t="s">
        <v>22</v>
      </c>
      <c r="O1839" s="1" t="str">
        <f t="shared" ca="1" si="15"/>
        <v>Please solve the LeetCode problem '2981. Find Longest Special Substring That Occurs Thrice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40" spans="1:15" x14ac:dyDescent="0.25">
      <c r="A1840" s="1">
        <v>1730</v>
      </c>
      <c r="B1840" s="2" t="str">
        <f>HYPERLINK("https://leetcode.com/problems/shortest-path-to-get-food/", "Shortest Path to Get Food")</f>
        <v>Shortest Path to Get Food</v>
      </c>
      <c r="C1840" s="1">
        <v>720</v>
      </c>
      <c r="D1840" s="1">
        <v>41</v>
      </c>
      <c r="E1840" s="3">
        <f t="shared" si="14"/>
        <v>0.94612352168199743</v>
      </c>
      <c r="F1840" s="1" t="s">
        <v>86</v>
      </c>
      <c r="G1840" s="1" t="s">
        <v>24</v>
      </c>
      <c r="H1840" s="1">
        <v>81859</v>
      </c>
      <c r="I1840" s="1">
        <v>143521</v>
      </c>
      <c r="J1840" s="7">
        <v>0.56999999999999995</v>
      </c>
      <c r="K1840" s="1" t="s">
        <v>29</v>
      </c>
      <c r="L1840" s="1" t="s">
        <v>21</v>
      </c>
      <c r="M1840" s="1" t="s">
        <v>29</v>
      </c>
      <c r="N1840" s="1" t="s">
        <v>22</v>
      </c>
      <c r="O1840" s="1" t="str">
        <f t="shared" ca="1" si="15"/>
        <v>Please solve the LeetCode problem '1730. Shortest Path to Get Food'.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41" spans="1:15" x14ac:dyDescent="0.25">
      <c r="A1841" s="1">
        <v>1240</v>
      </c>
      <c r="B1841" s="2" t="str">
        <f>HYPERLINK("https://leetcode.com/problems/tiling-a-rectangle-with-the-fewest-squares/", "Tiling a Rectangle with the Fewest Squares")</f>
        <v>Tiling a Rectangle with the Fewest Squares</v>
      </c>
      <c r="C1841" s="1">
        <v>719</v>
      </c>
      <c r="D1841" s="1">
        <v>582</v>
      </c>
      <c r="E1841" s="3">
        <f t="shared" si="14"/>
        <v>0.55265180630284394</v>
      </c>
      <c r="F1841" s="1" t="s">
        <v>159</v>
      </c>
      <c r="G1841" s="1" t="s">
        <v>28</v>
      </c>
      <c r="H1841" s="1">
        <v>27063</v>
      </c>
      <c r="I1841" s="1">
        <v>49406</v>
      </c>
      <c r="J1841" s="7">
        <v>0.54800000000000004</v>
      </c>
      <c r="K1841" s="1" t="s">
        <v>21</v>
      </c>
      <c r="L1841" s="1" t="s">
        <v>29</v>
      </c>
      <c r="M1841" s="1" t="s">
        <v>29</v>
      </c>
      <c r="N1841" s="1" t="s">
        <v>22</v>
      </c>
      <c r="O1841" s="1" t="str">
        <f t="shared" ca="1" si="15"/>
        <v>Please solve the LeetCode problem '1240. Tiling a Rectangle with the Fewest Squares'.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42" spans="1:15" x14ac:dyDescent="0.25">
      <c r="A1842" s="1">
        <v>1449</v>
      </c>
      <c r="B1842" s="2" t="str">
        <f>HYPERLINK("https://leetcode.com/problems/form-largest-integer-with-digits-that-add-up-to-target/", "Form Largest Integer With Digits That Add up to Target")</f>
        <v>Form Largest Integer With Digits That Add up to Target</v>
      </c>
      <c r="C1842" s="1">
        <v>719</v>
      </c>
      <c r="D1842" s="1">
        <v>20</v>
      </c>
      <c r="E1842" s="3">
        <f t="shared" si="14"/>
        <v>0.97293640054127195</v>
      </c>
      <c r="F1842" s="1" t="s">
        <v>30</v>
      </c>
      <c r="G1842" s="1" t="s">
        <v>28</v>
      </c>
      <c r="H1842" s="1">
        <v>22617</v>
      </c>
      <c r="I1842" s="1">
        <v>45798</v>
      </c>
      <c r="J1842" s="7">
        <v>0.49399999999999999</v>
      </c>
      <c r="K1842" s="1" t="s">
        <v>21</v>
      </c>
      <c r="L1842" s="1" t="s">
        <v>29</v>
      </c>
      <c r="M1842" s="1" t="s">
        <v>29</v>
      </c>
      <c r="N1842" s="1" t="s">
        <v>22</v>
      </c>
      <c r="O1842" s="1" t="str">
        <f t="shared" ca="1" si="15"/>
        <v>Please solve the LeetCode problem '1449. Form Largest Integer With Digits That Add up to Target'.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43" spans="1:15" x14ac:dyDescent="0.25">
      <c r="A1843" s="1">
        <v>1206</v>
      </c>
      <c r="B1843" s="2" t="str">
        <f>HYPERLINK("https://leetcode.com/problems/design-skiplist/", "Design Skiplist")</f>
        <v>Design Skiplist</v>
      </c>
      <c r="C1843" s="1">
        <v>717</v>
      </c>
      <c r="D1843" s="1">
        <v>107</v>
      </c>
      <c r="E1843" s="3">
        <f t="shared" si="14"/>
        <v>0.87014563106796117</v>
      </c>
      <c r="F1843" s="1" t="s">
        <v>375</v>
      </c>
      <c r="G1843" s="1" t="s">
        <v>28</v>
      </c>
      <c r="H1843" s="1">
        <v>32586</v>
      </c>
      <c r="I1843" s="1">
        <v>55323</v>
      </c>
      <c r="J1843" s="7">
        <v>0.58899999999999997</v>
      </c>
      <c r="K1843" s="1" t="s">
        <v>21</v>
      </c>
      <c r="L1843" s="1" t="s">
        <v>29</v>
      </c>
      <c r="M1843" s="1" t="s">
        <v>29</v>
      </c>
      <c r="N1843" s="1" t="s">
        <v>22</v>
      </c>
      <c r="O1843" s="1" t="str">
        <f t="shared" ca="1" si="15"/>
        <v>Please solve the LeetCode problem '1206. Design Skiplist'.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44" spans="1:15" x14ac:dyDescent="0.25">
      <c r="A1844" s="1">
        <v>2065</v>
      </c>
      <c r="B1844" s="2" t="str">
        <f>HYPERLINK("https://leetcode.com/problems/maximum-path-quality-of-a-graph/", "Maximum Path Quality of a Graph")</f>
        <v>Maximum Path Quality of a Graph</v>
      </c>
      <c r="C1844" s="1">
        <v>715</v>
      </c>
      <c r="D1844" s="1">
        <v>53</v>
      </c>
      <c r="E1844" s="3">
        <f t="shared" si="14"/>
        <v>0.93098958333333337</v>
      </c>
      <c r="F1844" s="1" t="s">
        <v>794</v>
      </c>
      <c r="G1844" s="1" t="s">
        <v>28</v>
      </c>
      <c r="H1844" s="1">
        <v>31338</v>
      </c>
      <c r="I1844" s="1">
        <v>51181</v>
      </c>
      <c r="J1844" s="7">
        <v>0.61199999999999999</v>
      </c>
      <c r="K1844" s="1" t="s">
        <v>21</v>
      </c>
      <c r="L1844" s="1" t="s">
        <v>29</v>
      </c>
      <c r="M1844" s="1" t="s">
        <v>29</v>
      </c>
      <c r="N1844" s="1" t="s">
        <v>22</v>
      </c>
      <c r="O1844" s="1" t="str">
        <f t="shared" ca="1" si="15"/>
        <v>Please solve the LeetCode problem '2065. Maximum Path Quality of a Graph'.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45" spans="1:15" x14ac:dyDescent="0.25">
      <c r="A1845" s="1">
        <v>1733</v>
      </c>
      <c r="B1845" s="2" t="str">
        <f>HYPERLINK("https://leetcode.com/problems/minimum-number-of-people-to-teach/", "Minimum Number of People to Teach")</f>
        <v>Minimum Number of People to Teach</v>
      </c>
      <c r="C1845" s="1">
        <v>713</v>
      </c>
      <c r="D1845" s="1">
        <v>557</v>
      </c>
      <c r="E1845" s="3">
        <f t="shared" si="14"/>
        <v>0.56141732283464563</v>
      </c>
      <c r="F1845" s="1" t="s">
        <v>368</v>
      </c>
      <c r="G1845" s="1" t="s">
        <v>24</v>
      </c>
      <c r="H1845" s="1">
        <v>97739</v>
      </c>
      <c r="I1845" s="1">
        <v>144464</v>
      </c>
      <c r="J1845" s="7">
        <v>0.67700000000000005</v>
      </c>
      <c r="K1845" s="1" t="s">
        <v>21</v>
      </c>
      <c r="L1845" s="1" t="s">
        <v>21</v>
      </c>
      <c r="M1845" s="1" t="s">
        <v>29</v>
      </c>
      <c r="N1845" s="1" t="s">
        <v>22</v>
      </c>
      <c r="O1845" s="1" t="str">
        <f t="shared" ca="1" si="15"/>
        <v>Please solve the LeetCode problem '1733. Minimum Number of People to Teach'.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46" spans="1:15" x14ac:dyDescent="0.25">
      <c r="A1846" s="1">
        <v>1879</v>
      </c>
      <c r="B1846" s="2" t="str">
        <f>HYPERLINK("https://leetcode.com/problems/minimum-xor-sum-of-two-arrays/", "Minimum XOR Sum of Two Arrays")</f>
        <v>Minimum XOR Sum of Two Arrays</v>
      </c>
      <c r="C1846" s="1">
        <v>713</v>
      </c>
      <c r="D1846" s="1">
        <v>13</v>
      </c>
      <c r="E1846" s="3">
        <f t="shared" si="14"/>
        <v>0.98209366391184572</v>
      </c>
      <c r="F1846" s="1" t="s">
        <v>1359</v>
      </c>
      <c r="G1846" s="1" t="s">
        <v>28</v>
      </c>
      <c r="H1846" s="1">
        <v>19414</v>
      </c>
      <c r="I1846" s="1">
        <v>38625</v>
      </c>
      <c r="J1846" s="7">
        <v>0.503</v>
      </c>
      <c r="K1846" s="1" t="s">
        <v>21</v>
      </c>
      <c r="L1846" s="1" t="s">
        <v>29</v>
      </c>
      <c r="M1846" s="1" t="s">
        <v>29</v>
      </c>
      <c r="N1846" s="1" t="s">
        <v>22</v>
      </c>
      <c r="O1846" s="1" t="str">
        <f t="shared" ca="1" si="15"/>
        <v>Please solve the LeetCode problem '1879. Minimum XOR Sum of Two Arrays'.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47" spans="1:15" x14ac:dyDescent="0.25">
      <c r="A1847" s="1">
        <v>2356</v>
      </c>
      <c r="B1847" s="2" t="str">
        <f>HYPERLINK("https://leetcode.com/problems/number-of-unique-subjects-taught-by-each-teacher/", "Number of Unique Subjects Taught by Each Teacher")</f>
        <v>Number of Unique Subjects Taught by Each Teacher</v>
      </c>
      <c r="C1847" s="1">
        <v>713</v>
      </c>
      <c r="D1847" s="1">
        <v>52</v>
      </c>
      <c r="E1847" s="3">
        <f t="shared" si="14"/>
        <v>0.93202614379084969</v>
      </c>
      <c r="F1847" s="1" t="s">
        <v>297</v>
      </c>
      <c r="G1847" s="1" t="s">
        <v>20</v>
      </c>
      <c r="H1847" s="1">
        <v>478738</v>
      </c>
      <c r="I1847" s="1">
        <v>536236</v>
      </c>
      <c r="J1847" s="7">
        <v>0.89300000000000002</v>
      </c>
      <c r="K1847" s="1" t="s">
        <v>21</v>
      </c>
      <c r="L1847" s="1" t="s">
        <v>21</v>
      </c>
      <c r="M1847" s="1" t="s">
        <v>29</v>
      </c>
      <c r="N1847" s="1" t="s">
        <v>297</v>
      </c>
      <c r="O1847" s="1" t="str">
        <f t="shared" ca="1" si="15"/>
        <v>Please solve the LeetCode problem '2356. Number of Unique Subjects Taught by Each Teacher'.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48" spans="1:15" x14ac:dyDescent="0.25">
      <c r="A1848" s="1">
        <v>2358</v>
      </c>
      <c r="B1848" s="2" t="str">
        <f>HYPERLINK("https://leetcode.com/problems/maximum-number-of-groups-entering-a-competition/", "Maximum Number of Groups Entering a Competition")</f>
        <v>Maximum Number of Groups Entering a Competition</v>
      </c>
      <c r="C1848" s="1">
        <v>713</v>
      </c>
      <c r="D1848" s="1">
        <v>120</v>
      </c>
      <c r="E1848" s="3">
        <f t="shared" si="14"/>
        <v>0.85594237695078035</v>
      </c>
      <c r="F1848" s="1" t="s">
        <v>795</v>
      </c>
      <c r="G1848" s="1" t="s">
        <v>24</v>
      </c>
      <c r="H1848" s="1">
        <v>44253</v>
      </c>
      <c r="I1848" s="1">
        <v>64649</v>
      </c>
      <c r="J1848" s="7">
        <v>0.68500000000000005</v>
      </c>
      <c r="K1848" s="1" t="s">
        <v>21</v>
      </c>
      <c r="L1848" s="1" t="s">
        <v>29</v>
      </c>
      <c r="M1848" s="1" t="s">
        <v>29</v>
      </c>
      <c r="N1848" s="1" t="s">
        <v>22</v>
      </c>
      <c r="O1848" s="1" t="str">
        <f t="shared" ca="1" si="15"/>
        <v>Please solve the LeetCode problem '2358. Maximum Number of Groups Entering a Competition'.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49" spans="1:15" x14ac:dyDescent="0.25">
      <c r="A1849" s="1">
        <v>2830</v>
      </c>
      <c r="B1849" s="2" t="str">
        <f>HYPERLINK("https://leetcode.com/problems/maximize-the-profit-as-the-salesman/", "Maximize the Profit as the Salesman")</f>
        <v>Maximize the Profit as the Salesman</v>
      </c>
      <c r="C1849" s="1">
        <v>713</v>
      </c>
      <c r="D1849" s="1">
        <v>22</v>
      </c>
      <c r="E1849" s="3">
        <f t="shared" si="14"/>
        <v>0.97006802721088436</v>
      </c>
      <c r="F1849" s="1" t="s">
        <v>612</v>
      </c>
      <c r="G1849" s="1" t="s">
        <v>24</v>
      </c>
      <c r="H1849" s="1">
        <v>26358</v>
      </c>
      <c r="I1849" s="1">
        <v>69546</v>
      </c>
      <c r="J1849" s="7">
        <v>0.379</v>
      </c>
      <c r="K1849" s="1" t="s">
        <v>21</v>
      </c>
      <c r="L1849" s="1" t="s">
        <v>29</v>
      </c>
      <c r="M1849" s="1" t="s">
        <v>29</v>
      </c>
      <c r="N1849" s="1" t="s">
        <v>22</v>
      </c>
      <c r="O1849" s="1" t="str">
        <f t="shared" ca="1" si="15"/>
        <v>Please solve the LeetCode problem '2830. Maximize the Profit as the Salesman'.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50" spans="1:15" x14ac:dyDescent="0.25">
      <c r="A1850" s="1">
        <v>320</v>
      </c>
      <c r="B1850" s="2" t="str">
        <f>HYPERLINK("https://leetcode.com/problems/generalized-abbreviation/", "Generalized Abbreviation")</f>
        <v>Generalized Abbreviation</v>
      </c>
      <c r="C1850" s="1">
        <v>712</v>
      </c>
      <c r="D1850" s="1">
        <v>232</v>
      </c>
      <c r="E1850" s="3">
        <f t="shared" si="14"/>
        <v>0.75423728813559321</v>
      </c>
      <c r="F1850" s="1" t="s">
        <v>267</v>
      </c>
      <c r="G1850" s="1" t="s">
        <v>24</v>
      </c>
      <c r="H1850" s="1">
        <v>75401</v>
      </c>
      <c r="I1850" s="1">
        <v>125019</v>
      </c>
      <c r="J1850" s="7">
        <v>0.60299999999999998</v>
      </c>
      <c r="K1850" s="1" t="s">
        <v>29</v>
      </c>
      <c r="L1850" s="1" t="s">
        <v>21</v>
      </c>
      <c r="M1850" s="1" t="s">
        <v>29</v>
      </c>
      <c r="N1850" s="1" t="s">
        <v>22</v>
      </c>
      <c r="O1850" s="1" t="str">
        <f t="shared" ca="1" si="15"/>
        <v>Please solve the LeetCode problem '320. Generalized Abbreviation'.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51" spans="1:15" x14ac:dyDescent="0.25">
      <c r="A1851" s="1">
        <v>774</v>
      </c>
      <c r="B1851" s="2" t="str">
        <f>HYPERLINK("https://leetcode.com/problems/minimize-max-distance-to-gas-station/", "Minimize Max Distance to Gas Station")</f>
        <v>Minimize Max Distance to Gas Station</v>
      </c>
      <c r="C1851" s="1">
        <v>710</v>
      </c>
      <c r="D1851" s="1">
        <v>104</v>
      </c>
      <c r="E1851" s="3">
        <f t="shared" si="14"/>
        <v>0.87223587223587229</v>
      </c>
      <c r="F1851" s="1" t="s">
        <v>35</v>
      </c>
      <c r="G1851" s="1" t="s">
        <v>28</v>
      </c>
      <c r="H1851" s="1">
        <v>36921</v>
      </c>
      <c r="I1851" s="1">
        <v>68625</v>
      </c>
      <c r="J1851" s="7">
        <v>0.53800000000000003</v>
      </c>
      <c r="K1851" s="1" t="s">
        <v>29</v>
      </c>
      <c r="L1851" s="1" t="s">
        <v>21</v>
      </c>
      <c r="M1851" s="1" t="s">
        <v>29</v>
      </c>
      <c r="N1851" s="1" t="s">
        <v>22</v>
      </c>
      <c r="O1851" s="1" t="str">
        <f t="shared" ca="1" si="15"/>
        <v>Please solve the LeetCode problem '774. Minimize Max Distance to Gas Station'.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52" spans="1:15" x14ac:dyDescent="0.25">
      <c r="A1852" s="1">
        <v>170</v>
      </c>
      <c r="B1852" s="2" t="str">
        <f>HYPERLINK("https://leetcode.com/problems/two-sum-iii-data-structure-design/", "Two Sum III - Data structure design")</f>
        <v>Two Sum III - Data structure design</v>
      </c>
      <c r="C1852" s="1">
        <v>709</v>
      </c>
      <c r="D1852" s="1">
        <v>463</v>
      </c>
      <c r="E1852" s="3">
        <f t="shared" si="14"/>
        <v>0.6049488054607508</v>
      </c>
      <c r="F1852" s="1" t="s">
        <v>797</v>
      </c>
      <c r="G1852" s="1" t="s">
        <v>20</v>
      </c>
      <c r="H1852" s="1">
        <v>179839</v>
      </c>
      <c r="I1852" s="1">
        <v>460328</v>
      </c>
      <c r="J1852" s="7">
        <v>0.39100000000000001</v>
      </c>
      <c r="K1852" s="1" t="s">
        <v>29</v>
      </c>
      <c r="L1852" s="1" t="s">
        <v>21</v>
      </c>
      <c r="M1852" s="1" t="s">
        <v>29</v>
      </c>
      <c r="N1852" s="1" t="s">
        <v>22</v>
      </c>
      <c r="O1852" s="1" t="str">
        <f t="shared" ca="1" si="15"/>
        <v>Please solve the LeetCode problem '170. Two Sum III - Data structure design'.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53" spans="1:15" x14ac:dyDescent="0.25">
      <c r="A1853" s="1">
        <v>281</v>
      </c>
      <c r="B1853" s="2" t="str">
        <f>HYPERLINK("https://leetcode.com/problems/zigzag-iterator/", "Zigzag Iterator")</f>
        <v>Zigzag Iterator</v>
      </c>
      <c r="C1853" s="1">
        <v>708</v>
      </c>
      <c r="D1853" s="1">
        <v>43</v>
      </c>
      <c r="E1853" s="3">
        <f t="shared" si="14"/>
        <v>0.94274300932090549</v>
      </c>
      <c r="F1853" s="1" t="s">
        <v>799</v>
      </c>
      <c r="G1853" s="1" t="s">
        <v>24</v>
      </c>
      <c r="H1853" s="1">
        <v>110457</v>
      </c>
      <c r="I1853" s="1">
        <v>166394</v>
      </c>
      <c r="J1853" s="7">
        <v>0.66400000000000003</v>
      </c>
      <c r="K1853" s="1" t="s">
        <v>29</v>
      </c>
      <c r="L1853" s="1" t="s">
        <v>21</v>
      </c>
      <c r="M1853" s="1" t="s">
        <v>29</v>
      </c>
      <c r="N1853" s="1" t="s">
        <v>22</v>
      </c>
      <c r="O1853" s="1" t="str">
        <f t="shared" ca="1" si="15"/>
        <v>Please solve the LeetCode problem '281. Zigzag Iterator'.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54" spans="1:15" x14ac:dyDescent="0.25">
      <c r="A1854" s="1">
        <v>928</v>
      </c>
      <c r="B1854" s="2" t="str">
        <f>HYPERLINK("https://leetcode.com/problems/minimize-malware-spread-ii/", "Minimize Malware Spread II")</f>
        <v>Minimize Malware Spread II</v>
      </c>
      <c r="C1854" s="1">
        <v>708</v>
      </c>
      <c r="D1854" s="1">
        <v>91</v>
      </c>
      <c r="E1854" s="3">
        <f t="shared" si="14"/>
        <v>0.88610763454317898</v>
      </c>
      <c r="F1854" s="1" t="s">
        <v>680</v>
      </c>
      <c r="G1854" s="1" t="s">
        <v>28</v>
      </c>
      <c r="H1854" s="1">
        <v>29333</v>
      </c>
      <c r="I1854" s="1">
        <v>64528</v>
      </c>
      <c r="J1854" s="7">
        <v>0.45500000000000002</v>
      </c>
      <c r="K1854" s="1" t="s">
        <v>21</v>
      </c>
      <c r="L1854" s="1" t="s">
        <v>21</v>
      </c>
      <c r="M1854" s="1" t="s">
        <v>29</v>
      </c>
      <c r="N1854" s="1" t="s">
        <v>22</v>
      </c>
      <c r="O1854" s="1" t="str">
        <f t="shared" ca="1" si="15"/>
        <v>Please solve the LeetCode problem '928. Minimize Malware Spread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55" spans="1:15" x14ac:dyDescent="0.25">
      <c r="A1855" s="1">
        <v>1036</v>
      </c>
      <c r="B1855" s="2" t="str">
        <f>HYPERLINK("https://leetcode.com/problems/escape-a-large-maze/", "Escape a Large Maze")</f>
        <v>Escape a Large Maze</v>
      </c>
      <c r="C1855" s="1">
        <v>708</v>
      </c>
      <c r="D1855" s="1">
        <v>173</v>
      </c>
      <c r="E1855" s="3">
        <f t="shared" si="14"/>
        <v>0.80363223609534618</v>
      </c>
      <c r="F1855" s="1" t="s">
        <v>798</v>
      </c>
      <c r="G1855" s="1" t="s">
        <v>28</v>
      </c>
      <c r="H1855" s="1">
        <v>27616</v>
      </c>
      <c r="I1855" s="1">
        <v>76236</v>
      </c>
      <c r="J1855" s="7">
        <v>0.36199999999999999</v>
      </c>
      <c r="K1855" s="1" t="s">
        <v>21</v>
      </c>
      <c r="L1855" s="1" t="s">
        <v>29</v>
      </c>
      <c r="M1855" s="1" t="s">
        <v>29</v>
      </c>
      <c r="N1855" s="1" t="s">
        <v>22</v>
      </c>
      <c r="O1855" s="1" t="str">
        <f t="shared" ca="1" si="15"/>
        <v>Please solve the LeetCode problem '1036. Escape a Large Maze'.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56" spans="1:15" x14ac:dyDescent="0.25">
      <c r="A1856" s="1">
        <v>1147</v>
      </c>
      <c r="B1856" s="2" t="str">
        <f>HYPERLINK("https://leetcode.com/problems/longest-chunked-palindrome-decomposition/", "Longest Chunked Palindrome Decomposition")</f>
        <v>Longest Chunked Palindrome Decomposition</v>
      </c>
      <c r="C1856" s="1">
        <v>706</v>
      </c>
      <c r="D1856" s="1">
        <v>35</v>
      </c>
      <c r="E1856" s="3">
        <f t="shared" si="14"/>
        <v>0.95276653171390013</v>
      </c>
      <c r="F1856" s="1" t="s">
        <v>800</v>
      </c>
      <c r="G1856" s="1" t="s">
        <v>28</v>
      </c>
      <c r="H1856" s="1">
        <v>30456</v>
      </c>
      <c r="I1856" s="1">
        <v>51580</v>
      </c>
      <c r="J1856" s="7">
        <v>0.59</v>
      </c>
      <c r="K1856" s="1" t="s">
        <v>21</v>
      </c>
      <c r="L1856" s="1" t="s">
        <v>29</v>
      </c>
      <c r="M1856" s="1" t="s">
        <v>29</v>
      </c>
      <c r="N1856" s="1" t="s">
        <v>22</v>
      </c>
      <c r="O1856" s="1" t="str">
        <f t="shared" ca="1" si="15"/>
        <v>Please solve the LeetCode problem '1147. Longest Chunked Palindrome Decomposition'.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57" spans="1:15" x14ac:dyDescent="0.25">
      <c r="A1857" s="1">
        <v>360</v>
      </c>
      <c r="B1857" s="2" t="str">
        <f>HYPERLINK("https://leetcode.com/problems/sort-transformed-array/", "Sort Transformed Array")</f>
        <v>Sort Transformed Array</v>
      </c>
      <c r="C1857" s="1">
        <v>703</v>
      </c>
      <c r="D1857" s="1">
        <v>218</v>
      </c>
      <c r="E1857" s="3">
        <f t="shared" si="14"/>
        <v>0.76330076004343106</v>
      </c>
      <c r="F1857" s="1" t="s">
        <v>803</v>
      </c>
      <c r="G1857" s="1" t="s">
        <v>24</v>
      </c>
      <c r="H1857" s="1">
        <v>74687</v>
      </c>
      <c r="I1857" s="1">
        <v>129379</v>
      </c>
      <c r="J1857" s="7">
        <v>0.57699999999999996</v>
      </c>
      <c r="K1857" s="1" t="s">
        <v>29</v>
      </c>
      <c r="L1857" s="1" t="s">
        <v>21</v>
      </c>
      <c r="M1857" s="1" t="s">
        <v>29</v>
      </c>
      <c r="N1857" s="1" t="s">
        <v>22</v>
      </c>
      <c r="O1857" s="1" t="str">
        <f t="shared" ca="1" si="15"/>
        <v>Please solve the LeetCode problem '360. Sort Transformed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58" spans="1:15" x14ac:dyDescent="0.25">
      <c r="A1858" s="1">
        <v>2500</v>
      </c>
      <c r="B1858" s="2" t="str">
        <f>HYPERLINK("https://leetcode.com/problems/delete-greatest-value-in-each-row/", "Delete Greatest Value in Each Row")</f>
        <v>Delete Greatest Value in Each Row</v>
      </c>
      <c r="C1858" s="1">
        <v>702</v>
      </c>
      <c r="D1858" s="1">
        <v>53</v>
      </c>
      <c r="E1858" s="3">
        <f t="shared" si="14"/>
        <v>0.92980132450331121</v>
      </c>
      <c r="F1858" s="1" t="s">
        <v>801</v>
      </c>
      <c r="G1858" s="1" t="s">
        <v>20</v>
      </c>
      <c r="H1858" s="1">
        <v>88775</v>
      </c>
      <c r="I1858" s="1">
        <v>111426</v>
      </c>
      <c r="J1858" s="7">
        <v>0.79700000000000004</v>
      </c>
      <c r="K1858" s="1" t="s">
        <v>21</v>
      </c>
      <c r="L1858" s="1" t="s">
        <v>29</v>
      </c>
      <c r="M1858" s="1" t="s">
        <v>29</v>
      </c>
      <c r="N1858" s="1" t="s">
        <v>22</v>
      </c>
      <c r="O1858" s="1" t="str">
        <f t="shared" ca="1" si="15"/>
        <v>Please solve the LeetCode problem '2500. Delete Greatest Value in Each Row'.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59" spans="1:15" x14ac:dyDescent="0.25">
      <c r="A1859" s="1">
        <v>2621</v>
      </c>
      <c r="B1859" s="2" t="str">
        <f>HYPERLINK("https://leetcode.com/problems/sleep/", "Sleep")</f>
        <v>Sleep</v>
      </c>
      <c r="C1859" s="1">
        <v>702</v>
      </c>
      <c r="D1859" s="1">
        <v>61</v>
      </c>
      <c r="E1859" s="3">
        <f t="shared" si="14"/>
        <v>0.92005242463958059</v>
      </c>
      <c r="G1859" s="1" t="s">
        <v>20</v>
      </c>
      <c r="H1859" s="1">
        <v>238032</v>
      </c>
      <c r="I1859" s="1">
        <v>272336</v>
      </c>
      <c r="J1859" s="7">
        <v>0.874</v>
      </c>
      <c r="K1859" s="1" t="s">
        <v>21</v>
      </c>
      <c r="L1859" s="1" t="s">
        <v>21</v>
      </c>
      <c r="M1859" s="1" t="s">
        <v>29</v>
      </c>
      <c r="N1859" s="1" t="s">
        <v>555</v>
      </c>
      <c r="O1859" s="1" t="str">
        <f t="shared" ca="1" si="15"/>
        <v>Please solve the LeetCode problem '2621. Sleep'.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60" spans="1:15" x14ac:dyDescent="0.25">
      <c r="A1860" s="1">
        <v>3011</v>
      </c>
      <c r="B1860" s="2" t="str">
        <f>HYPERLINK("https://leetcode.com/problems/find-if-array-can-be-sorted/", "Find if Array Can Be Sorted")</f>
        <v>Find if Array Can Be Sorted</v>
      </c>
      <c r="C1860" s="1">
        <v>702</v>
      </c>
      <c r="D1860" s="1">
        <v>62</v>
      </c>
      <c r="E1860" s="3">
        <f t="shared" si="14"/>
        <v>0.91884816753926701</v>
      </c>
      <c r="F1860" s="1" t="s">
        <v>802</v>
      </c>
      <c r="G1860" s="1" t="s">
        <v>24</v>
      </c>
      <c r="H1860" s="1">
        <v>148489</v>
      </c>
      <c r="I1860" s="1">
        <v>223358</v>
      </c>
      <c r="J1860" s="7">
        <v>0.66500000000000004</v>
      </c>
      <c r="K1860" s="1" t="s">
        <v>21</v>
      </c>
      <c r="L1860" s="1" t="s">
        <v>21</v>
      </c>
      <c r="M1860" s="1" t="s">
        <v>29</v>
      </c>
      <c r="N1860" s="1" t="s">
        <v>22</v>
      </c>
      <c r="O1860" s="1" t="str">
        <f t="shared" ca="1" si="15"/>
        <v>Please solve the LeetCode problem '3011. Find if Array Can Be Sorted'.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61" spans="1:15" x14ac:dyDescent="0.25">
      <c r="A1861" s="1">
        <v>2150</v>
      </c>
      <c r="B1861" s="2" t="str">
        <f>HYPERLINK("https://leetcode.com/problems/find-all-lonely-numbers-in-the-array/", "Find All Lonely Numbers in the Array")</f>
        <v>Find All Lonely Numbers in the Array</v>
      </c>
      <c r="C1861" s="1">
        <v>701</v>
      </c>
      <c r="D1861" s="1">
        <v>67</v>
      </c>
      <c r="E1861" s="3">
        <f t="shared" si="14"/>
        <v>0.91276041666666663</v>
      </c>
      <c r="F1861" s="1" t="s">
        <v>294</v>
      </c>
      <c r="G1861" s="1" t="s">
        <v>24</v>
      </c>
      <c r="H1861" s="1">
        <v>67476</v>
      </c>
      <c r="I1861" s="1">
        <v>107952</v>
      </c>
      <c r="J1861" s="7">
        <v>0.625</v>
      </c>
      <c r="K1861" s="1" t="s">
        <v>21</v>
      </c>
      <c r="L1861" s="1" t="s">
        <v>29</v>
      </c>
      <c r="M1861" s="1" t="s">
        <v>29</v>
      </c>
      <c r="N1861" s="1" t="s">
        <v>22</v>
      </c>
      <c r="O1861" s="1" t="str">
        <f t="shared" ca="1" si="15"/>
        <v>Please solve the LeetCode problem '2150. Find All Lonely Numbers in the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62" spans="1:15" x14ac:dyDescent="0.25">
      <c r="A1862" s="1">
        <v>2167</v>
      </c>
      <c r="B1862" s="2" t="str">
        <f>HYPERLINK("https://leetcode.com/problems/minimum-time-to-remove-all-cars-containing-illegal-goods/", "Minimum Time to Remove All Cars Containing Illegal Goods")</f>
        <v>Minimum Time to Remove All Cars Containing Illegal Goods</v>
      </c>
      <c r="C1862" s="1">
        <v>701</v>
      </c>
      <c r="D1862" s="1">
        <v>17</v>
      </c>
      <c r="E1862" s="3">
        <f t="shared" si="14"/>
        <v>0.9763231197771588</v>
      </c>
      <c r="F1862" s="1" t="s">
        <v>82</v>
      </c>
      <c r="G1862" s="1" t="s">
        <v>28</v>
      </c>
      <c r="H1862" s="1">
        <v>15007</v>
      </c>
      <c r="I1862" s="1">
        <v>35795</v>
      </c>
      <c r="J1862" s="7">
        <v>0.41899999999999998</v>
      </c>
      <c r="K1862" s="1" t="s">
        <v>21</v>
      </c>
      <c r="L1862" s="1" t="s">
        <v>29</v>
      </c>
      <c r="M1862" s="1" t="s">
        <v>29</v>
      </c>
      <c r="N1862" s="1" t="s">
        <v>22</v>
      </c>
      <c r="O1862" s="1" t="str">
        <f t="shared" ca="1" si="15"/>
        <v>Please solve the LeetCode problem '2167. Minimum Time to Remove All Cars Containing Illegal Goods'.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63" spans="1:15" x14ac:dyDescent="0.25">
      <c r="A1863" s="1">
        <v>2180</v>
      </c>
      <c r="B1863" s="2" t="str">
        <f>HYPERLINK("https://leetcode.com/problems/count-integers-with-even-digit-sum/", "Count Integers With Even Digit Sum")</f>
        <v>Count Integers With Even Digit Sum</v>
      </c>
      <c r="C1863" s="1">
        <v>701</v>
      </c>
      <c r="D1863" s="1">
        <v>40</v>
      </c>
      <c r="E1863" s="3">
        <f t="shared" si="14"/>
        <v>0.94601889338731449</v>
      </c>
      <c r="F1863" s="1" t="s">
        <v>465</v>
      </c>
      <c r="G1863" s="1" t="s">
        <v>20</v>
      </c>
      <c r="H1863" s="1">
        <v>91371</v>
      </c>
      <c r="I1863" s="1">
        <v>131348</v>
      </c>
      <c r="J1863" s="7">
        <v>0.69599999999999995</v>
      </c>
      <c r="K1863" s="1" t="s">
        <v>21</v>
      </c>
      <c r="L1863" s="1" t="s">
        <v>29</v>
      </c>
      <c r="M1863" s="1" t="s">
        <v>29</v>
      </c>
      <c r="N1863" s="1" t="s">
        <v>22</v>
      </c>
      <c r="O1863" s="1" t="str">
        <f t="shared" ca="1" si="15"/>
        <v>Please solve the LeetCode problem '2180. Count Integers With Even Digit Sum'.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64" spans="1:15" x14ac:dyDescent="0.25">
      <c r="A1864" s="1">
        <v>2148</v>
      </c>
      <c r="B1864" s="2" t="str">
        <f>HYPERLINK("https://leetcode.com/problems/count-elements-with-strictly-smaller-and-greater-elements/", "Count Elements With Strictly Smaller and Greater Elements ")</f>
        <v xml:space="preserve">Count Elements With Strictly Smaller and Greater Elements </v>
      </c>
      <c r="C1864" s="1">
        <v>698</v>
      </c>
      <c r="D1864" s="1">
        <v>44</v>
      </c>
      <c r="E1864" s="3">
        <f t="shared" si="14"/>
        <v>0.94070080862533689</v>
      </c>
      <c r="F1864" s="1" t="s">
        <v>796</v>
      </c>
      <c r="G1864" s="1" t="s">
        <v>20</v>
      </c>
      <c r="H1864" s="1">
        <v>76340</v>
      </c>
      <c r="I1864" s="1">
        <v>128043</v>
      </c>
      <c r="J1864" s="7">
        <v>0.59599999999999997</v>
      </c>
      <c r="K1864" s="1" t="s">
        <v>21</v>
      </c>
      <c r="L1864" s="1" t="s">
        <v>29</v>
      </c>
      <c r="M1864" s="1" t="s">
        <v>29</v>
      </c>
      <c r="N1864" s="1" t="s">
        <v>22</v>
      </c>
      <c r="O1864" s="1" t="str">
        <f t="shared" ca="1" si="15"/>
        <v>Please solve the LeetCode problem '2148. Count Elements With Strictly Smaller and Greater Elements 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65" spans="1:15" x14ac:dyDescent="0.25">
      <c r="A1865" s="1">
        <v>1907</v>
      </c>
      <c r="B1865" s="2" t="str">
        <f>HYPERLINK("https://leetcode.com/problems/count-salary-categories/", "Count Salary Categories")</f>
        <v>Count Salary Categories</v>
      </c>
      <c r="C1865" s="1">
        <v>697</v>
      </c>
      <c r="D1865" s="1">
        <v>111</v>
      </c>
      <c r="E1865" s="3">
        <f t="shared" si="14"/>
        <v>0.86262376237623761</v>
      </c>
      <c r="F1865" s="1" t="s">
        <v>297</v>
      </c>
      <c r="G1865" s="1" t="s">
        <v>24</v>
      </c>
      <c r="H1865" s="1">
        <v>277548</v>
      </c>
      <c r="I1865" s="1">
        <v>434660</v>
      </c>
      <c r="J1865" s="7">
        <v>0.63900000000000001</v>
      </c>
      <c r="K1865" s="1" t="s">
        <v>21</v>
      </c>
      <c r="L1865" s="1" t="s">
        <v>21</v>
      </c>
      <c r="M1865" s="1" t="s">
        <v>29</v>
      </c>
      <c r="N1865" s="1" t="s">
        <v>297</v>
      </c>
      <c r="O1865" s="1" t="str">
        <f t="shared" ca="1" si="15"/>
        <v>Please solve the LeetCode problem '1907. Count Salary Categories'.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66" spans="1:15" x14ac:dyDescent="0.25">
      <c r="A1866" s="1">
        <v>1995</v>
      </c>
      <c r="B1866" s="2" t="str">
        <f>HYPERLINK("https://leetcode.com/problems/count-special-quadruplets/", "Count Special Quadruplets")</f>
        <v>Count Special Quadruplets</v>
      </c>
      <c r="C1866" s="1">
        <v>697</v>
      </c>
      <c r="D1866" s="1">
        <v>243</v>
      </c>
      <c r="E1866" s="3">
        <f t="shared" si="14"/>
        <v>0.74148936170212765</v>
      </c>
      <c r="F1866" s="1" t="s">
        <v>804</v>
      </c>
      <c r="G1866" s="1" t="s">
        <v>20</v>
      </c>
      <c r="H1866" s="1">
        <v>59953</v>
      </c>
      <c r="I1866" s="1">
        <v>93434</v>
      </c>
      <c r="J1866" s="7">
        <v>0.64200000000000002</v>
      </c>
      <c r="K1866" s="1" t="s">
        <v>21</v>
      </c>
      <c r="L1866" s="1" t="s">
        <v>29</v>
      </c>
      <c r="M1866" s="1" t="s">
        <v>29</v>
      </c>
      <c r="N1866" s="1" t="s">
        <v>22</v>
      </c>
      <c r="O1866" s="1" t="str">
        <f t="shared" ca="1" si="15"/>
        <v>Please solve the LeetCode problem '1995. Count Special Quadruplets'.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67" spans="1:15" x14ac:dyDescent="0.25">
      <c r="A1867" s="1">
        <v>1644</v>
      </c>
      <c r="B1867" s="2" t="str">
        <f>HYPERLINK("https://leetcode.com/problems/lowest-common-ancestor-of-a-binary-tree-ii/", "Lowest Common Ancestor of a Binary Tree II")</f>
        <v>Lowest Common Ancestor of a Binary Tree II</v>
      </c>
      <c r="C1867" s="1">
        <v>695</v>
      </c>
      <c r="D1867" s="1">
        <v>42</v>
      </c>
      <c r="E1867" s="3">
        <f t="shared" si="14"/>
        <v>0.94301221166892812</v>
      </c>
      <c r="F1867" s="1" t="s">
        <v>67</v>
      </c>
      <c r="G1867" s="1" t="s">
        <v>24</v>
      </c>
      <c r="H1867" s="1">
        <v>118551</v>
      </c>
      <c r="I1867" s="1">
        <v>170845</v>
      </c>
      <c r="J1867" s="7">
        <v>0.69399999999999995</v>
      </c>
      <c r="K1867" s="1" t="s">
        <v>29</v>
      </c>
      <c r="L1867" s="1" t="s">
        <v>21</v>
      </c>
      <c r="M1867" s="1" t="s">
        <v>29</v>
      </c>
      <c r="N1867" s="1" t="s">
        <v>22</v>
      </c>
      <c r="O1867" s="1" t="str">
        <f t="shared" ca="1" si="15"/>
        <v>Please solve the LeetCode problem '1644. Lowest Common Ancestor of a Binary Tree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68" spans="1:15" x14ac:dyDescent="0.25">
      <c r="A1868" s="1">
        <v>1563</v>
      </c>
      <c r="B1868" s="2" t="str">
        <f>HYPERLINK("https://leetcode.com/problems/stone-game-v/", "Stone Game V")</f>
        <v>Stone Game V</v>
      </c>
      <c r="C1868" s="1">
        <v>694</v>
      </c>
      <c r="D1868" s="1">
        <v>90</v>
      </c>
      <c r="E1868" s="3">
        <f t="shared" si="14"/>
        <v>0.88520408163265307</v>
      </c>
      <c r="F1868" s="1" t="s">
        <v>349</v>
      </c>
      <c r="G1868" s="1" t="s">
        <v>28</v>
      </c>
      <c r="H1868" s="1">
        <v>25511</v>
      </c>
      <c r="I1868" s="1">
        <v>61458</v>
      </c>
      <c r="J1868" s="7">
        <v>0.41499999999999998</v>
      </c>
      <c r="K1868" s="1" t="s">
        <v>21</v>
      </c>
      <c r="L1868" s="1" t="s">
        <v>29</v>
      </c>
      <c r="M1868" s="1" t="s">
        <v>29</v>
      </c>
      <c r="N1868" s="1" t="s">
        <v>22</v>
      </c>
      <c r="O1868" s="1" t="str">
        <f t="shared" ca="1" si="15"/>
        <v>Please solve the LeetCode problem '1563. Stone Game V'.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69" spans="1:15" x14ac:dyDescent="0.25">
      <c r="A1869" s="1">
        <v>2662</v>
      </c>
      <c r="B1869" s="2" t="str">
        <f>HYPERLINK("https://leetcode.com/problems/minimum-cost-of-a-path-with-special-roads/", "Minimum Cost of a Path With Special Roads")</f>
        <v>Minimum Cost of a Path With Special Roads</v>
      </c>
      <c r="C1869" s="1">
        <v>692</v>
      </c>
      <c r="D1869" s="1">
        <v>92</v>
      </c>
      <c r="E1869" s="3">
        <f t="shared" si="14"/>
        <v>0.88265306122448983</v>
      </c>
      <c r="F1869" s="1" t="s">
        <v>318</v>
      </c>
      <c r="G1869" s="1" t="s">
        <v>24</v>
      </c>
      <c r="H1869" s="1">
        <v>18918</v>
      </c>
      <c r="I1869" s="1">
        <v>44752</v>
      </c>
      <c r="J1869" s="7">
        <v>0.42299999999999999</v>
      </c>
      <c r="K1869" s="1" t="s">
        <v>21</v>
      </c>
      <c r="L1869" s="1" t="s">
        <v>29</v>
      </c>
      <c r="M1869" s="1" t="s">
        <v>29</v>
      </c>
      <c r="N1869" s="1" t="s">
        <v>22</v>
      </c>
      <c r="O1869" s="1" t="str">
        <f t="shared" ca="1" si="15"/>
        <v>Please solve the LeetCode problem '2662. Minimum Cost of a Path With Special Roads'.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70" spans="1:15" x14ac:dyDescent="0.25">
      <c r="A1870" s="1">
        <v>3203</v>
      </c>
      <c r="B1870" s="2" t="str">
        <f>HYPERLINK("https://leetcode.com/problems/find-minimum-diameter-after-merging-two-trees/", "Find Minimum Diameter After Merging Two Trees")</f>
        <v>Find Minimum Diameter After Merging Two Trees</v>
      </c>
      <c r="C1870" s="1">
        <v>692</v>
      </c>
      <c r="D1870" s="1">
        <v>39</v>
      </c>
      <c r="E1870" s="3">
        <f t="shared" si="14"/>
        <v>0.94664842681258554</v>
      </c>
      <c r="F1870" s="1" t="s">
        <v>455</v>
      </c>
      <c r="G1870" s="1" t="s">
        <v>28</v>
      </c>
      <c r="H1870" s="1">
        <v>77692</v>
      </c>
      <c r="I1870" s="1">
        <v>136022</v>
      </c>
      <c r="J1870" s="7">
        <v>0.57099999999999995</v>
      </c>
      <c r="K1870" s="1" t="s">
        <v>21</v>
      </c>
      <c r="L1870" s="1" t="s">
        <v>21</v>
      </c>
      <c r="M1870" s="1" t="s">
        <v>29</v>
      </c>
      <c r="N1870" s="1" t="s">
        <v>22</v>
      </c>
      <c r="O1870" s="1" t="str">
        <f t="shared" ca="1" si="15"/>
        <v>Please solve the LeetCode problem '3203. Find Minimum Diameter After Merging Two Trees'.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71" spans="1:15" x14ac:dyDescent="0.25">
      <c r="A1871" s="1">
        <v>1591</v>
      </c>
      <c r="B1871" s="2" t="str">
        <f>HYPERLINK("https://leetcode.com/problems/strange-printer-ii/", "Strange Printer II")</f>
        <v>Strange Printer II</v>
      </c>
      <c r="C1871" s="1">
        <v>691</v>
      </c>
      <c r="D1871" s="1">
        <v>23</v>
      </c>
      <c r="E1871" s="3">
        <f t="shared" si="14"/>
        <v>0.96778711484593838</v>
      </c>
      <c r="F1871" s="1" t="s">
        <v>588</v>
      </c>
      <c r="G1871" s="1" t="s">
        <v>28</v>
      </c>
      <c r="H1871" s="1">
        <v>15789</v>
      </c>
      <c r="I1871" s="1">
        <v>26115</v>
      </c>
      <c r="J1871" s="7">
        <v>0.60499999999999998</v>
      </c>
      <c r="K1871" s="1" t="s">
        <v>21</v>
      </c>
      <c r="L1871" s="1" t="s">
        <v>29</v>
      </c>
      <c r="M1871" s="1" t="s">
        <v>29</v>
      </c>
      <c r="N1871" s="1" t="s">
        <v>22</v>
      </c>
      <c r="O1871" s="1" t="str">
        <f t="shared" ca="1" si="15"/>
        <v>Please solve the LeetCode problem '1591. Strange Printer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72" spans="1:15" x14ac:dyDescent="0.25">
      <c r="A1872" s="1">
        <v>868</v>
      </c>
      <c r="B1872" s="2" t="str">
        <f>HYPERLINK("https://leetcode.com/problems/binary-gap/", "Binary Gap")</f>
        <v>Binary Gap</v>
      </c>
      <c r="C1872" s="1">
        <v>690</v>
      </c>
      <c r="D1872" s="1">
        <v>673</v>
      </c>
      <c r="E1872" s="3">
        <f t="shared" si="14"/>
        <v>0.50623624358033747</v>
      </c>
      <c r="F1872" s="1" t="s">
        <v>298</v>
      </c>
      <c r="G1872" s="1" t="s">
        <v>20</v>
      </c>
      <c r="H1872" s="1">
        <v>105601</v>
      </c>
      <c r="I1872" s="1">
        <v>160959</v>
      </c>
      <c r="J1872" s="7">
        <v>0.65600000000000003</v>
      </c>
      <c r="K1872" s="1" t="s">
        <v>21</v>
      </c>
      <c r="L1872" s="1" t="s">
        <v>21</v>
      </c>
      <c r="M1872" s="1" t="s">
        <v>29</v>
      </c>
      <c r="N1872" s="1" t="s">
        <v>22</v>
      </c>
      <c r="O1872" s="1" t="str">
        <f t="shared" ca="1" si="15"/>
        <v>Please solve the LeetCode problem '868. Binary Gap'.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73" spans="1:15" x14ac:dyDescent="0.25">
      <c r="A1873" s="1">
        <v>1953</v>
      </c>
      <c r="B1873" s="2" t="str">
        <f>HYPERLINK("https://leetcode.com/problems/maximum-number-of-weeks-for-which-you-can-work/", "Maximum Number of Weeks for Which You Can Work")</f>
        <v>Maximum Number of Weeks for Which You Can Work</v>
      </c>
      <c r="C1873" s="1">
        <v>690</v>
      </c>
      <c r="D1873" s="1">
        <v>163</v>
      </c>
      <c r="E1873" s="3">
        <f t="shared" si="14"/>
        <v>0.80890973036342317</v>
      </c>
      <c r="F1873" s="1" t="s">
        <v>96</v>
      </c>
      <c r="G1873" s="1" t="s">
        <v>24</v>
      </c>
      <c r="H1873" s="1">
        <v>29875</v>
      </c>
      <c r="I1873" s="1">
        <v>70860</v>
      </c>
      <c r="J1873" s="7">
        <v>0.42199999999999999</v>
      </c>
      <c r="K1873" s="1" t="s">
        <v>21</v>
      </c>
      <c r="L1873" s="1" t="s">
        <v>29</v>
      </c>
      <c r="M1873" s="1" t="s">
        <v>29</v>
      </c>
      <c r="N1873" s="1" t="s">
        <v>22</v>
      </c>
      <c r="O1873" s="1" t="str">
        <f t="shared" ca="1" si="15"/>
        <v>Please solve the LeetCode problem '1953. Maximum Number of Weeks for Which You Can Work'.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74" spans="1:15" x14ac:dyDescent="0.25">
      <c r="A1874" s="1">
        <v>1649</v>
      </c>
      <c r="B1874" s="2" t="str">
        <f>HYPERLINK("https://leetcode.com/problems/create-sorted-array-through-instructions/", "Create Sorted Array through Instructions")</f>
        <v>Create Sorted Array through Instructions</v>
      </c>
      <c r="C1874" s="1">
        <v>688</v>
      </c>
      <c r="D1874" s="1">
        <v>81</v>
      </c>
      <c r="E1874" s="3">
        <f t="shared" si="14"/>
        <v>0.89466840052015606</v>
      </c>
      <c r="F1874" s="1" t="s">
        <v>147</v>
      </c>
      <c r="G1874" s="1" t="s">
        <v>28</v>
      </c>
      <c r="H1874" s="1">
        <v>31364</v>
      </c>
      <c r="I1874" s="1">
        <v>76260</v>
      </c>
      <c r="J1874" s="7">
        <v>0.41099999999999998</v>
      </c>
      <c r="K1874" s="1" t="s">
        <v>21</v>
      </c>
      <c r="L1874" s="1" t="s">
        <v>21</v>
      </c>
      <c r="M1874" s="1" t="s">
        <v>29</v>
      </c>
      <c r="N1874" s="1" t="s">
        <v>22</v>
      </c>
      <c r="O1874" s="1" t="str">
        <f t="shared" ca="1" si="15"/>
        <v>Please solve the LeetCode problem '1649. Create Sorted Array through Instructions'.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75" spans="1:15" x14ac:dyDescent="0.25">
      <c r="A1875" s="1">
        <v>1625</v>
      </c>
      <c r="B1875" s="2" t="str">
        <f>HYPERLINK("https://leetcode.com/problems/lexicographically-smallest-string-after-applying-operations/", "Lexicographically Smallest String After Applying Operations")</f>
        <v>Lexicographically Smallest String After Applying Operations</v>
      </c>
      <c r="C1875" s="1">
        <v>687</v>
      </c>
      <c r="D1875" s="1">
        <v>320</v>
      </c>
      <c r="E1875" s="3">
        <f t="shared" si="14"/>
        <v>0.68222442899702085</v>
      </c>
      <c r="F1875" s="1" t="s">
        <v>807</v>
      </c>
      <c r="G1875" s="1" t="s">
        <v>24</v>
      </c>
      <c r="H1875" s="1">
        <v>84509</v>
      </c>
      <c r="I1875" s="1">
        <v>106434</v>
      </c>
      <c r="J1875" s="7">
        <v>0.79400000000000004</v>
      </c>
      <c r="K1875" s="1" t="s">
        <v>21</v>
      </c>
      <c r="L1875" s="1" t="s">
        <v>21</v>
      </c>
      <c r="M1875" s="1" t="s">
        <v>29</v>
      </c>
      <c r="N1875" s="1" t="s">
        <v>22</v>
      </c>
      <c r="O1875" s="1" t="str">
        <f t="shared" ca="1" si="15"/>
        <v>Please solve the LeetCode problem '1625. Lexicographically Smallest String After Applying Operations'.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76" spans="1:15" x14ac:dyDescent="0.25">
      <c r="A1876" s="1">
        <v>2873</v>
      </c>
      <c r="B1876" s="2" t="str">
        <f>HYPERLINK("https://leetcode.com/problems/maximum-value-of-an-ordered-triplet-i/", "Maximum Value of an Ordered Triplet I")</f>
        <v>Maximum Value of an Ordered Triplet I</v>
      </c>
      <c r="C1876" s="1">
        <v>687</v>
      </c>
      <c r="D1876" s="1">
        <v>39</v>
      </c>
      <c r="E1876" s="3">
        <f t="shared" si="14"/>
        <v>0.94628099173553715</v>
      </c>
      <c r="F1876" s="1" t="s">
        <v>113</v>
      </c>
      <c r="G1876" s="1" t="s">
        <v>20</v>
      </c>
      <c r="H1876" s="1">
        <v>203303</v>
      </c>
      <c r="I1876" s="1">
        <v>349456</v>
      </c>
      <c r="J1876" s="7">
        <v>0.58199999999999996</v>
      </c>
      <c r="K1876" s="1" t="s">
        <v>21</v>
      </c>
      <c r="L1876" s="1" t="s">
        <v>21</v>
      </c>
      <c r="M1876" s="1" t="s">
        <v>29</v>
      </c>
      <c r="N1876" s="1" t="s">
        <v>22</v>
      </c>
      <c r="O1876" s="1" t="str">
        <f t="shared" ca="1" si="15"/>
        <v>Please solve the LeetCode problem '2873. Maximum Value of an Ordered Triplet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77" spans="1:15" x14ac:dyDescent="0.25">
      <c r="A1877" s="1">
        <v>2231</v>
      </c>
      <c r="B1877" s="2" t="str">
        <f>HYPERLINK("https://leetcode.com/problems/largest-number-after-digit-swaps-by-parity/", "Largest Number After Digit Swaps by Parity")</f>
        <v>Largest Number After Digit Swaps by Parity</v>
      </c>
      <c r="C1877" s="1">
        <v>686</v>
      </c>
      <c r="D1877" s="1">
        <v>311</v>
      </c>
      <c r="E1877" s="3">
        <f t="shared" si="14"/>
        <v>0.68806419257773321</v>
      </c>
      <c r="F1877" s="1" t="s">
        <v>805</v>
      </c>
      <c r="G1877" s="1" t="s">
        <v>20</v>
      </c>
      <c r="H1877" s="1">
        <v>63724</v>
      </c>
      <c r="I1877" s="1">
        <v>98385</v>
      </c>
      <c r="J1877" s="7">
        <v>0.64800000000000002</v>
      </c>
      <c r="K1877" s="1" t="s">
        <v>21</v>
      </c>
      <c r="L1877" s="1" t="s">
        <v>29</v>
      </c>
      <c r="M1877" s="1" t="s">
        <v>29</v>
      </c>
      <c r="N1877" s="1" t="s">
        <v>22</v>
      </c>
      <c r="O1877" s="1" t="str">
        <f t="shared" ca="1" si="15"/>
        <v>Please solve the LeetCode problem '2231. Largest Number After Digit Swaps by Parity'.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78" spans="1:15" x14ac:dyDescent="0.25">
      <c r="A1878" s="1">
        <v>3362</v>
      </c>
      <c r="B1878" s="2" t="str">
        <f>HYPERLINK("https://leetcode.com/problems/zero-array-transformation-iii/", "Zero Array Transformation III")</f>
        <v>Zero Array Transformation III</v>
      </c>
      <c r="C1878" s="1">
        <v>686</v>
      </c>
      <c r="D1878" s="1">
        <v>125</v>
      </c>
      <c r="E1878" s="3">
        <f t="shared" si="14"/>
        <v>0.84586929716399506</v>
      </c>
      <c r="F1878" s="1" t="s">
        <v>806</v>
      </c>
      <c r="G1878" s="1" t="s">
        <v>24</v>
      </c>
      <c r="H1878" s="1">
        <v>76111</v>
      </c>
      <c r="I1878" s="1">
        <v>138605</v>
      </c>
      <c r="J1878" s="7">
        <v>0.54900000000000004</v>
      </c>
      <c r="K1878" s="1" t="s">
        <v>21</v>
      </c>
      <c r="L1878" s="1" t="s">
        <v>21</v>
      </c>
      <c r="M1878" s="1" t="s">
        <v>29</v>
      </c>
      <c r="N1878" s="1" t="s">
        <v>22</v>
      </c>
      <c r="O1878" s="1" t="str">
        <f t="shared" ca="1" si="15"/>
        <v>Please solve the LeetCode problem '3362. Zero Array Transformation III'.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79" spans="1:15" x14ac:dyDescent="0.25">
      <c r="A1879" s="1">
        <v>1566</v>
      </c>
      <c r="B1879" s="2" t="str">
        <f>HYPERLINK("https://leetcode.com/problems/detect-pattern-of-length-m-repeated-k-or-more-times/", "Detect Pattern of Length M Repeated K or More Times")</f>
        <v>Detect Pattern of Length M Repeated K or More Times</v>
      </c>
      <c r="C1879" s="1">
        <v>685</v>
      </c>
      <c r="D1879" s="1">
        <v>147</v>
      </c>
      <c r="E1879" s="3">
        <f t="shared" si="14"/>
        <v>0.82331730769230771</v>
      </c>
      <c r="F1879" s="1" t="s">
        <v>654</v>
      </c>
      <c r="G1879" s="1" t="s">
        <v>20</v>
      </c>
      <c r="H1879" s="1">
        <v>44761</v>
      </c>
      <c r="I1879" s="1">
        <v>102435</v>
      </c>
      <c r="J1879" s="7">
        <v>0.437</v>
      </c>
      <c r="K1879" s="1" t="s">
        <v>21</v>
      </c>
      <c r="L1879" s="1" t="s">
        <v>29</v>
      </c>
      <c r="M1879" s="1" t="s">
        <v>29</v>
      </c>
      <c r="N1879" s="1" t="s">
        <v>22</v>
      </c>
      <c r="O1879" s="1" t="str">
        <f t="shared" ca="1" si="15"/>
        <v>Please solve the LeetCode problem '1566. Detect Pattern of Length M Repeated K or More Times'.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80" spans="1:15" x14ac:dyDescent="0.25">
      <c r="A1880" s="1">
        <v>2042</v>
      </c>
      <c r="B1880" s="2" t="str">
        <f>HYPERLINK("https://leetcode.com/problems/check-if-numbers-are-ascending-in-a-sentence/", "Check if Numbers Are Ascending in a Sentence")</f>
        <v>Check if Numbers Are Ascending in a Sentence</v>
      </c>
      <c r="C1880" s="1">
        <v>685</v>
      </c>
      <c r="D1880" s="1">
        <v>23</v>
      </c>
      <c r="E1880" s="3">
        <f t="shared" si="14"/>
        <v>0.96751412429378536</v>
      </c>
      <c r="F1880" s="1" t="s">
        <v>146</v>
      </c>
      <c r="G1880" s="1" t="s">
        <v>20</v>
      </c>
      <c r="H1880" s="1">
        <v>82628</v>
      </c>
      <c r="I1880" s="1">
        <v>113722</v>
      </c>
      <c r="J1880" s="7">
        <v>0.72699999999999998</v>
      </c>
      <c r="K1880" s="1" t="s">
        <v>21</v>
      </c>
      <c r="L1880" s="1" t="s">
        <v>29</v>
      </c>
      <c r="M1880" s="1" t="s">
        <v>29</v>
      </c>
      <c r="N1880" s="1" t="s">
        <v>22</v>
      </c>
      <c r="O1880" s="1" t="str">
        <f t="shared" ca="1" si="15"/>
        <v>Please solve the LeetCode problem '2042. Check if Numbers Are Ascending in a Sentence'.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81" spans="1:15" x14ac:dyDescent="0.25">
      <c r="A1881" s="1">
        <v>2438</v>
      </c>
      <c r="B1881" s="2" t="str">
        <f>HYPERLINK("https://leetcode.com/problems/range-product-queries-of-powers/", "Range Product Queries of Powers")</f>
        <v>Range Product Queries of Powers</v>
      </c>
      <c r="C1881" s="1">
        <v>685</v>
      </c>
      <c r="D1881" s="1">
        <v>151</v>
      </c>
      <c r="E1881" s="3">
        <f t="shared" si="14"/>
        <v>0.81937799043062198</v>
      </c>
      <c r="F1881" s="1" t="s">
        <v>489</v>
      </c>
      <c r="G1881" s="1" t="s">
        <v>24</v>
      </c>
      <c r="H1881" s="1">
        <v>117611</v>
      </c>
      <c r="I1881" s="1">
        <v>191485</v>
      </c>
      <c r="J1881" s="7">
        <v>0.61399999999999999</v>
      </c>
      <c r="K1881" s="1" t="s">
        <v>21</v>
      </c>
      <c r="L1881" s="1" t="s">
        <v>21</v>
      </c>
      <c r="M1881" s="1" t="s">
        <v>29</v>
      </c>
      <c r="N1881" s="1" t="s">
        <v>22</v>
      </c>
      <c r="O1881" s="1" t="str">
        <f t="shared" ca="1" si="15"/>
        <v>Please solve the LeetCode problem '2438. Range Product Queries of Powers'.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82" spans="1:15" x14ac:dyDescent="0.25">
      <c r="A1882" s="1">
        <v>1517</v>
      </c>
      <c r="B1882" s="2" t="str">
        <f>HYPERLINK("https://leetcode.com/problems/find-users-with-valid-e-mails/", "Find Users With Valid E-Mails")</f>
        <v>Find Users With Valid E-Mails</v>
      </c>
      <c r="C1882" s="1">
        <v>682</v>
      </c>
      <c r="D1882" s="1">
        <v>307</v>
      </c>
      <c r="E1882" s="3">
        <f t="shared" si="14"/>
        <v>0.6895854398382204</v>
      </c>
      <c r="F1882" s="1" t="s">
        <v>297</v>
      </c>
      <c r="G1882" s="1" t="s">
        <v>20</v>
      </c>
      <c r="H1882" s="1">
        <v>268571</v>
      </c>
      <c r="I1882" s="1">
        <v>722500</v>
      </c>
      <c r="J1882" s="7">
        <v>0.372</v>
      </c>
      <c r="K1882" s="1" t="s">
        <v>21</v>
      </c>
      <c r="L1882" s="1" t="s">
        <v>21</v>
      </c>
      <c r="M1882" s="1" t="s">
        <v>29</v>
      </c>
      <c r="N1882" s="1" t="s">
        <v>297</v>
      </c>
      <c r="O1882" s="1" t="str">
        <f t="shared" ca="1" si="15"/>
        <v>Please solve the LeetCode problem '1517. Find Users With Valid E-Mails'.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83" spans="1:15" x14ac:dyDescent="0.25">
      <c r="A1883" s="1">
        <v>3174</v>
      </c>
      <c r="B1883" s="2" t="str">
        <f>HYPERLINK("https://leetcode.com/problems/clear-digits/", "Clear Digits")</f>
        <v>Clear Digits</v>
      </c>
      <c r="C1883" s="1">
        <v>681</v>
      </c>
      <c r="D1883" s="1">
        <v>26</v>
      </c>
      <c r="E1883" s="3">
        <f t="shared" si="14"/>
        <v>0.96322489391796318</v>
      </c>
      <c r="F1883" s="1" t="s">
        <v>365</v>
      </c>
      <c r="G1883" s="1" t="s">
        <v>20</v>
      </c>
      <c r="H1883" s="1">
        <v>270812</v>
      </c>
      <c r="I1883" s="1">
        <v>327762</v>
      </c>
      <c r="J1883" s="7">
        <v>0.82599999999999996</v>
      </c>
      <c r="K1883" s="1" t="s">
        <v>21</v>
      </c>
      <c r="L1883" s="1" t="s">
        <v>21</v>
      </c>
      <c r="M1883" s="1" t="s">
        <v>29</v>
      </c>
      <c r="N1883" s="1" t="s">
        <v>22</v>
      </c>
      <c r="O1883" s="1" t="str">
        <f t="shared" ca="1" si="15"/>
        <v>Please solve the LeetCode problem '3174. Clear Digits'.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84" spans="1:15" x14ac:dyDescent="0.25">
      <c r="A1884" s="1">
        <v>2012</v>
      </c>
      <c r="B1884" s="2" t="str">
        <f>HYPERLINK("https://leetcode.com/problems/sum-of-beauty-in-the-array/", "Sum of Beauty in the Array")</f>
        <v>Sum of Beauty in the Array</v>
      </c>
      <c r="C1884" s="1">
        <v>680</v>
      </c>
      <c r="D1884" s="1">
        <v>76</v>
      </c>
      <c r="E1884" s="3">
        <f t="shared" si="14"/>
        <v>0.89947089947089942</v>
      </c>
      <c r="F1884" s="1" t="s">
        <v>113</v>
      </c>
      <c r="G1884" s="1" t="s">
        <v>24</v>
      </c>
      <c r="H1884" s="1">
        <v>31622</v>
      </c>
      <c r="I1884" s="1">
        <v>62107</v>
      </c>
      <c r="J1884" s="7">
        <v>0.50900000000000001</v>
      </c>
      <c r="K1884" s="1" t="s">
        <v>21</v>
      </c>
      <c r="L1884" s="1" t="s">
        <v>29</v>
      </c>
      <c r="M1884" s="1" t="s">
        <v>29</v>
      </c>
      <c r="N1884" s="1" t="s">
        <v>22</v>
      </c>
      <c r="O1884" s="1" t="str">
        <f t="shared" ca="1" si="15"/>
        <v>Please solve the LeetCode problem '2012. Sum of Beauty in the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85" spans="1:15" x14ac:dyDescent="0.25">
      <c r="A1885" s="1">
        <v>2165</v>
      </c>
      <c r="B1885" s="2" t="str">
        <f>HYPERLINK("https://leetcode.com/problems/smallest-value-of-the-rearranged-number/", "Smallest Value of the Rearranged Number")</f>
        <v>Smallest Value of the Rearranged Number</v>
      </c>
      <c r="C1885" s="1">
        <v>680</v>
      </c>
      <c r="D1885" s="1">
        <v>26</v>
      </c>
      <c r="E1885" s="3">
        <f t="shared" si="14"/>
        <v>0.96317280453257792</v>
      </c>
      <c r="F1885" s="1" t="s">
        <v>808</v>
      </c>
      <c r="G1885" s="1" t="s">
        <v>24</v>
      </c>
      <c r="H1885" s="1">
        <v>46688</v>
      </c>
      <c r="I1885" s="1">
        <v>87578</v>
      </c>
      <c r="J1885" s="7">
        <v>0.53300000000000003</v>
      </c>
      <c r="K1885" s="1" t="s">
        <v>21</v>
      </c>
      <c r="L1885" s="1" t="s">
        <v>29</v>
      </c>
      <c r="M1885" s="1" t="s">
        <v>29</v>
      </c>
      <c r="N1885" s="1" t="s">
        <v>22</v>
      </c>
      <c r="O1885" s="1" t="str">
        <f t="shared" ca="1" si="15"/>
        <v>Please solve the LeetCode problem '2165. Smallest Value of the Rearranged Number'.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86" spans="1:15" x14ac:dyDescent="0.25">
      <c r="A1886" s="1">
        <v>2295</v>
      </c>
      <c r="B1886" s="2" t="str">
        <f>HYPERLINK("https://leetcode.com/problems/replace-elements-in-an-array/", "Replace Elements in an Array")</f>
        <v>Replace Elements in an Array</v>
      </c>
      <c r="C1886" s="1">
        <v>678</v>
      </c>
      <c r="D1886" s="1">
        <v>39</v>
      </c>
      <c r="E1886" s="3">
        <f t="shared" si="14"/>
        <v>0.94560669456066948</v>
      </c>
      <c r="F1886" s="1" t="s">
        <v>736</v>
      </c>
      <c r="G1886" s="1" t="s">
        <v>24</v>
      </c>
      <c r="H1886" s="1">
        <v>46101</v>
      </c>
      <c r="I1886" s="1">
        <v>77474</v>
      </c>
      <c r="J1886" s="7">
        <v>0.59499999999999997</v>
      </c>
      <c r="K1886" s="1" t="s">
        <v>21</v>
      </c>
      <c r="L1886" s="1" t="s">
        <v>29</v>
      </c>
      <c r="M1886" s="1" t="s">
        <v>29</v>
      </c>
      <c r="N1886" s="1" t="s">
        <v>22</v>
      </c>
      <c r="O1886" s="1" t="str">
        <f t="shared" ca="1" si="15"/>
        <v>Please solve the LeetCode problem '2295. Replace Elements in an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87" spans="1:15" x14ac:dyDescent="0.25">
      <c r="A1887" s="1">
        <v>2942</v>
      </c>
      <c r="B1887" s="2" t="str">
        <f>HYPERLINK("https://leetcode.com/problems/find-words-containing-character/", "Find Words Containing Character")</f>
        <v>Find Words Containing Character</v>
      </c>
      <c r="C1887" s="1">
        <v>678</v>
      </c>
      <c r="D1887" s="1">
        <v>53</v>
      </c>
      <c r="E1887" s="3">
        <f t="shared" si="14"/>
        <v>0.9274965800273598</v>
      </c>
      <c r="F1887" s="1" t="s">
        <v>369</v>
      </c>
      <c r="G1887" s="1" t="s">
        <v>20</v>
      </c>
      <c r="H1887" s="1">
        <v>375055</v>
      </c>
      <c r="I1887" s="1">
        <v>414902</v>
      </c>
      <c r="J1887" s="7">
        <v>0.90400000000000003</v>
      </c>
      <c r="K1887" s="1" t="s">
        <v>21</v>
      </c>
      <c r="L1887" s="1" t="s">
        <v>21</v>
      </c>
      <c r="M1887" s="1" t="s">
        <v>29</v>
      </c>
      <c r="N1887" s="1" t="s">
        <v>22</v>
      </c>
      <c r="O1887" s="1" t="str">
        <f t="shared" ca="1" si="15"/>
        <v>Please solve the LeetCode problem '2942. Find Words Containing Character'.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88" spans="1:15" x14ac:dyDescent="0.25">
      <c r="A1888" s="1">
        <v>1562</v>
      </c>
      <c r="B1888" s="2" t="str">
        <f>HYPERLINK("https://leetcode.com/problems/find-latest-group-of-size-m/", "Find Latest Group of Size M")</f>
        <v>Find Latest Group of Size M</v>
      </c>
      <c r="C1888" s="1">
        <v>677</v>
      </c>
      <c r="D1888" s="1">
        <v>144</v>
      </c>
      <c r="E1888" s="3">
        <f t="shared" si="14"/>
        <v>0.82460414129110837</v>
      </c>
      <c r="F1888" s="1" t="s">
        <v>809</v>
      </c>
      <c r="G1888" s="1" t="s">
        <v>24</v>
      </c>
      <c r="H1888" s="1">
        <v>21671</v>
      </c>
      <c r="I1888" s="1">
        <v>49654</v>
      </c>
      <c r="J1888" s="7">
        <v>0.436</v>
      </c>
      <c r="K1888" s="1" t="s">
        <v>21</v>
      </c>
      <c r="L1888" s="1" t="s">
        <v>29</v>
      </c>
      <c r="M1888" s="1" t="s">
        <v>29</v>
      </c>
      <c r="N1888" s="1" t="s">
        <v>22</v>
      </c>
      <c r="O1888" s="1" t="str">
        <f t="shared" ca="1" si="15"/>
        <v>Please solve the LeetCode problem '1562. Find Latest Group of Size 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89" spans="1:15" x14ac:dyDescent="0.25">
      <c r="A1889" s="1">
        <v>2315</v>
      </c>
      <c r="B1889" s="2" t="str">
        <f>HYPERLINK("https://leetcode.com/problems/count-asterisks/", "Count Asterisks")</f>
        <v>Count Asterisks</v>
      </c>
      <c r="C1889" s="1">
        <v>677</v>
      </c>
      <c r="D1889" s="1">
        <v>118</v>
      </c>
      <c r="E1889" s="3">
        <f t="shared" si="14"/>
        <v>0.85157232704402519</v>
      </c>
      <c r="F1889" s="1" t="s">
        <v>146</v>
      </c>
      <c r="G1889" s="1" t="s">
        <v>20</v>
      </c>
      <c r="H1889" s="1">
        <v>94343</v>
      </c>
      <c r="I1889" s="1">
        <v>113397</v>
      </c>
      <c r="J1889" s="7">
        <v>0.83199999999999996</v>
      </c>
      <c r="K1889" s="1" t="s">
        <v>21</v>
      </c>
      <c r="L1889" s="1" t="s">
        <v>29</v>
      </c>
      <c r="M1889" s="1" t="s">
        <v>29</v>
      </c>
      <c r="N1889" s="1" t="s">
        <v>22</v>
      </c>
      <c r="O1889" s="1" t="str">
        <f t="shared" ca="1" si="15"/>
        <v>Please solve the LeetCode problem '2315. Count Asterisks'.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90" spans="1:15" x14ac:dyDescent="0.25">
      <c r="A1890" s="1">
        <v>2914</v>
      </c>
      <c r="B1890" s="2" t="str">
        <f>HYPERLINK("https://leetcode.com/problems/minimum-number-of-changes-to-make-binary-string-beautiful/", "Minimum Number of Changes to Make Binary String Beautiful")</f>
        <v>Minimum Number of Changes to Make Binary String Beautiful</v>
      </c>
      <c r="C1890" s="1">
        <v>676</v>
      </c>
      <c r="D1890" s="1">
        <v>117</v>
      </c>
      <c r="E1890" s="3">
        <f t="shared" si="14"/>
        <v>0.85245901639344257</v>
      </c>
      <c r="F1890" s="1" t="s">
        <v>146</v>
      </c>
      <c r="G1890" s="1" t="s">
        <v>24</v>
      </c>
      <c r="H1890" s="1">
        <v>163268</v>
      </c>
      <c r="I1890" s="1">
        <v>213653</v>
      </c>
      <c r="J1890" s="7">
        <v>0.76400000000000001</v>
      </c>
      <c r="K1890" s="1" t="s">
        <v>21</v>
      </c>
      <c r="L1890" s="1" t="s">
        <v>21</v>
      </c>
      <c r="M1890" s="1" t="s">
        <v>29</v>
      </c>
      <c r="N1890" s="1" t="s">
        <v>22</v>
      </c>
      <c r="O1890" s="1" t="str">
        <f t="shared" ca="1" si="15"/>
        <v>Please solve the LeetCode problem '2914. Minimum Number of Changes to Make Binary String Beautiful'.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91" spans="1:15" x14ac:dyDescent="0.25">
      <c r="A1891" s="1">
        <v>1131</v>
      </c>
      <c r="B1891" s="2" t="str">
        <f>HYPERLINK("https://leetcode.com/problems/maximum-of-absolute-value-expression/", "Maximum of Absolute Value Expression")</f>
        <v>Maximum of Absolute Value Expression</v>
      </c>
      <c r="C1891" s="1">
        <v>675</v>
      </c>
      <c r="D1891" s="1">
        <v>418</v>
      </c>
      <c r="E1891" s="3">
        <f t="shared" si="14"/>
        <v>0.6175663311985361</v>
      </c>
      <c r="F1891" s="1" t="s">
        <v>115</v>
      </c>
      <c r="G1891" s="1" t="s">
        <v>24</v>
      </c>
      <c r="H1891" s="1">
        <v>29852</v>
      </c>
      <c r="I1891" s="1">
        <v>61464</v>
      </c>
      <c r="J1891" s="7">
        <v>0.48599999999999999</v>
      </c>
      <c r="K1891" s="1" t="s">
        <v>21</v>
      </c>
      <c r="L1891" s="1" t="s">
        <v>29</v>
      </c>
      <c r="M1891" s="1" t="s">
        <v>29</v>
      </c>
      <c r="N1891" s="1" t="s">
        <v>22</v>
      </c>
      <c r="O1891" s="1" t="str">
        <f t="shared" ca="1" si="15"/>
        <v>Please solve the LeetCode problem '1131. Maximum of Absolute Value Expression'.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92" spans="1:15" x14ac:dyDescent="0.25">
      <c r="A1892" s="1">
        <v>3085</v>
      </c>
      <c r="B1892" s="2" t="str">
        <f>HYPERLINK("https://leetcode.com/problems/minimum-deletions-to-make-string-k-special/", "Minimum Deletions to Make String K-Special")</f>
        <v>Minimum Deletions to Make String K-Special</v>
      </c>
      <c r="C1892" s="1">
        <v>675</v>
      </c>
      <c r="D1892" s="1">
        <v>53</v>
      </c>
      <c r="E1892" s="3">
        <f t="shared" si="14"/>
        <v>0.92719780219780223</v>
      </c>
      <c r="F1892" s="1" t="s">
        <v>772</v>
      </c>
      <c r="G1892" s="1" t="s">
        <v>24</v>
      </c>
      <c r="H1892" s="1">
        <v>109931</v>
      </c>
      <c r="I1892" s="1">
        <v>163669</v>
      </c>
      <c r="J1892" s="7">
        <v>0.67200000000000004</v>
      </c>
      <c r="K1892" s="1" t="s">
        <v>21</v>
      </c>
      <c r="L1892" s="1" t="s">
        <v>21</v>
      </c>
      <c r="M1892" s="1" t="s">
        <v>29</v>
      </c>
      <c r="N1892" s="1" t="s">
        <v>22</v>
      </c>
      <c r="O1892" s="1" t="str">
        <f t="shared" ca="1" si="15"/>
        <v>Please solve the LeetCode problem '3085. Minimum Deletions to Make String K-Special'.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93" spans="1:15" x14ac:dyDescent="0.25">
      <c r="A1893" s="1">
        <v>699</v>
      </c>
      <c r="B1893" s="2" t="str">
        <f>HYPERLINK("https://leetcode.com/problems/falling-squares/", "Falling Squares")</f>
        <v>Falling Squares</v>
      </c>
      <c r="C1893" s="1">
        <v>674</v>
      </c>
      <c r="D1893" s="1">
        <v>76</v>
      </c>
      <c r="E1893" s="3">
        <f t="shared" si="14"/>
        <v>0.89866666666666661</v>
      </c>
      <c r="F1893" s="1" t="s">
        <v>810</v>
      </c>
      <c r="G1893" s="1" t="s">
        <v>28</v>
      </c>
      <c r="H1893" s="1">
        <v>34901</v>
      </c>
      <c r="I1893" s="1">
        <v>73982</v>
      </c>
      <c r="J1893" s="7">
        <v>0.47199999999999998</v>
      </c>
      <c r="K1893" s="1" t="s">
        <v>21</v>
      </c>
      <c r="L1893" s="1" t="s">
        <v>21</v>
      </c>
      <c r="M1893" s="1" t="s">
        <v>29</v>
      </c>
      <c r="N1893" s="1" t="s">
        <v>22</v>
      </c>
      <c r="O1893" s="1" t="str">
        <f t="shared" ca="1" si="15"/>
        <v>Please solve the LeetCode problem '699. Falling Squares'.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94" spans="1:15" x14ac:dyDescent="0.25">
      <c r="A1894" s="1">
        <v>2059</v>
      </c>
      <c r="B1894" s="2" t="str">
        <f>HYPERLINK("https://leetcode.com/problems/minimum-operations-to-convert-number/", "Minimum Operations to Convert Number")</f>
        <v>Minimum Operations to Convert Number</v>
      </c>
      <c r="C1894" s="1">
        <v>673</v>
      </c>
      <c r="D1894" s="1">
        <v>34</v>
      </c>
      <c r="E1894" s="3">
        <f t="shared" si="14"/>
        <v>0.95190947666195191</v>
      </c>
      <c r="F1894" s="1" t="s">
        <v>811</v>
      </c>
      <c r="G1894" s="1" t="s">
        <v>24</v>
      </c>
      <c r="H1894" s="1">
        <v>21168</v>
      </c>
      <c r="I1894" s="1">
        <v>41215</v>
      </c>
      <c r="J1894" s="7">
        <v>0.51400000000000001</v>
      </c>
      <c r="K1894" s="1" t="s">
        <v>21</v>
      </c>
      <c r="L1894" s="1" t="s">
        <v>29</v>
      </c>
      <c r="M1894" s="1" t="s">
        <v>29</v>
      </c>
      <c r="N1894" s="1" t="s">
        <v>22</v>
      </c>
      <c r="O1894" s="1" t="str">
        <f t="shared" ca="1" si="15"/>
        <v>Please solve the LeetCode problem '2059. Minimum Operations to Convert Number'.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95" spans="1:15" x14ac:dyDescent="0.25">
      <c r="A1895" s="1">
        <v>2283</v>
      </c>
      <c r="B1895" s="2" t="str">
        <f>HYPERLINK("https://leetcode.com/problems/check-if-number-has-equal-digit-count-and-digit-value/", "Check if Number Has Equal Digit Count and Digit Value")</f>
        <v>Check if Number Has Equal Digit Count and Digit Value</v>
      </c>
      <c r="C1895" s="1">
        <v>672</v>
      </c>
      <c r="D1895" s="1">
        <v>100</v>
      </c>
      <c r="E1895" s="3">
        <f t="shared" si="14"/>
        <v>0.8704663212435233</v>
      </c>
      <c r="F1895" s="1" t="s">
        <v>237</v>
      </c>
      <c r="G1895" s="1" t="s">
        <v>20</v>
      </c>
      <c r="H1895" s="1">
        <v>81778</v>
      </c>
      <c r="I1895" s="1">
        <v>112026</v>
      </c>
      <c r="J1895" s="7">
        <v>0.73</v>
      </c>
      <c r="K1895" s="1" t="s">
        <v>21</v>
      </c>
      <c r="L1895" s="1" t="s">
        <v>29</v>
      </c>
      <c r="M1895" s="1" t="s">
        <v>29</v>
      </c>
      <c r="N1895" s="1" t="s">
        <v>22</v>
      </c>
      <c r="O1895" s="1" t="str">
        <f t="shared" ca="1" si="15"/>
        <v>Please solve the LeetCode problem '2283. Check if Number Has Equal Digit Count and Digit Value'.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96" spans="1:15" x14ac:dyDescent="0.25">
      <c r="A1896" s="1">
        <v>2611</v>
      </c>
      <c r="B1896" s="2" t="str">
        <f>HYPERLINK("https://leetcode.com/problems/mice-and-cheese/", "Mice and Cheese")</f>
        <v>Mice and Cheese</v>
      </c>
      <c r="C1896" s="1">
        <v>672</v>
      </c>
      <c r="D1896" s="1">
        <v>73</v>
      </c>
      <c r="E1896" s="3">
        <f t="shared" si="14"/>
        <v>0.90201342281879193</v>
      </c>
      <c r="F1896" s="1" t="s">
        <v>302</v>
      </c>
      <c r="G1896" s="1" t="s">
        <v>24</v>
      </c>
      <c r="H1896" s="1">
        <v>36791</v>
      </c>
      <c r="I1896" s="1">
        <v>76492</v>
      </c>
      <c r="J1896" s="7">
        <v>0.48099999999999998</v>
      </c>
      <c r="K1896" s="1" t="s">
        <v>21</v>
      </c>
      <c r="L1896" s="1" t="s">
        <v>29</v>
      </c>
      <c r="M1896" s="1" t="s">
        <v>29</v>
      </c>
      <c r="N1896" s="1" t="s">
        <v>22</v>
      </c>
      <c r="O1896" s="1" t="str">
        <f t="shared" ca="1" si="15"/>
        <v>Please solve the LeetCode problem '2611. Mice and Cheese'.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97" spans="1:15" x14ac:dyDescent="0.25">
      <c r="A1897" s="1">
        <v>2208</v>
      </c>
      <c r="B1897" s="2" t="str">
        <f>HYPERLINK("https://leetcode.com/problems/minimum-operations-to-halve-array-sum/", "Minimum Operations to Halve Array Sum")</f>
        <v>Minimum Operations to Halve Array Sum</v>
      </c>
      <c r="C1897" s="1">
        <v>670</v>
      </c>
      <c r="D1897" s="1">
        <v>31</v>
      </c>
      <c r="E1897" s="3">
        <f t="shared" si="14"/>
        <v>0.9557774607703281</v>
      </c>
      <c r="F1897" s="1" t="s">
        <v>221</v>
      </c>
      <c r="G1897" s="1" t="s">
        <v>24</v>
      </c>
      <c r="H1897" s="1">
        <v>51596</v>
      </c>
      <c r="I1897" s="1">
        <v>103546</v>
      </c>
      <c r="J1897" s="7">
        <v>0.498</v>
      </c>
      <c r="K1897" s="1" t="s">
        <v>21</v>
      </c>
      <c r="L1897" s="1" t="s">
        <v>29</v>
      </c>
      <c r="M1897" s="1" t="s">
        <v>29</v>
      </c>
      <c r="N1897" s="1" t="s">
        <v>22</v>
      </c>
      <c r="O1897" s="1" t="str">
        <f t="shared" ca="1" si="15"/>
        <v>Please solve the LeetCode problem '2208. Minimum Operations to Halve Array Sum'.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98" spans="1:15" x14ac:dyDescent="0.25">
      <c r="A1898" s="1">
        <v>2420</v>
      </c>
      <c r="B1898" s="2" t="str">
        <f>HYPERLINK("https://leetcode.com/problems/find-all-good-indices/", "Find All Good Indices")</f>
        <v>Find All Good Indices</v>
      </c>
      <c r="C1898" s="1">
        <v>670</v>
      </c>
      <c r="D1898" s="1">
        <v>39</v>
      </c>
      <c r="E1898" s="3">
        <f t="shared" si="14"/>
        <v>0.94499294781382226</v>
      </c>
      <c r="F1898" s="1" t="s">
        <v>407</v>
      </c>
      <c r="G1898" s="1" t="s">
        <v>24</v>
      </c>
      <c r="H1898" s="1">
        <v>31200</v>
      </c>
      <c r="I1898" s="1">
        <v>76867</v>
      </c>
      <c r="J1898" s="7">
        <v>0.40600000000000003</v>
      </c>
      <c r="K1898" s="1" t="s">
        <v>21</v>
      </c>
      <c r="L1898" s="1" t="s">
        <v>29</v>
      </c>
      <c r="M1898" s="1" t="s">
        <v>29</v>
      </c>
      <c r="N1898" s="1" t="s">
        <v>22</v>
      </c>
      <c r="O1898" s="1" t="str">
        <f t="shared" ca="1" si="15"/>
        <v>Please solve the LeetCode problem '2420. Find All Good Indices'.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899" spans="1:15" x14ac:dyDescent="0.25">
      <c r="A1899" s="1">
        <v>2427</v>
      </c>
      <c r="B1899" s="2" t="str">
        <f>HYPERLINK("https://leetcode.com/problems/number-of-common-factors/", "Number of Common Factors")</f>
        <v>Number of Common Factors</v>
      </c>
      <c r="C1899" s="1">
        <v>670</v>
      </c>
      <c r="D1899" s="1">
        <v>13</v>
      </c>
      <c r="E1899" s="3">
        <f t="shared" si="14"/>
        <v>0.98096632503660319</v>
      </c>
      <c r="F1899" s="1" t="s">
        <v>812</v>
      </c>
      <c r="G1899" s="1" t="s">
        <v>20</v>
      </c>
      <c r="H1899" s="1">
        <v>148344</v>
      </c>
      <c r="I1899" s="1">
        <v>185836</v>
      </c>
      <c r="J1899" s="7">
        <v>0.79800000000000004</v>
      </c>
      <c r="K1899" s="1" t="s">
        <v>21</v>
      </c>
      <c r="L1899" s="1" t="s">
        <v>29</v>
      </c>
      <c r="M1899" s="1" t="s">
        <v>29</v>
      </c>
      <c r="N1899" s="1" t="s">
        <v>22</v>
      </c>
      <c r="O1899" s="1" t="str">
        <f t="shared" ca="1" si="15"/>
        <v>Please solve the LeetCode problem '2427. Number of Common Factors'.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00" spans="1:15" x14ac:dyDescent="0.25">
      <c r="A1900" s="1">
        <v>1606</v>
      </c>
      <c r="B1900" s="2" t="str">
        <f>HYPERLINK("https://leetcode.com/problems/find-servers-that-handled-most-number-of-requests/", "Find Servers That Handled Most Number of Requests")</f>
        <v>Find Servers That Handled Most Number of Requests</v>
      </c>
      <c r="C1900" s="1">
        <v>669</v>
      </c>
      <c r="D1900" s="1">
        <v>29</v>
      </c>
      <c r="E1900" s="3">
        <f t="shared" si="14"/>
        <v>0.95845272206303722</v>
      </c>
      <c r="F1900" s="1" t="s">
        <v>813</v>
      </c>
      <c r="G1900" s="1" t="s">
        <v>28</v>
      </c>
      <c r="H1900" s="1">
        <v>27597</v>
      </c>
      <c r="I1900" s="1">
        <v>61087</v>
      </c>
      <c r="J1900" s="7">
        <v>0.45200000000000001</v>
      </c>
      <c r="K1900" s="1" t="s">
        <v>21</v>
      </c>
      <c r="L1900" s="1" t="s">
        <v>21</v>
      </c>
      <c r="M1900" s="1" t="s">
        <v>29</v>
      </c>
      <c r="N1900" s="1" t="s">
        <v>22</v>
      </c>
      <c r="O1900" s="1" t="str">
        <f t="shared" ca="1" si="15"/>
        <v>Please solve the LeetCode problem '1606. Find Servers That Handled Most Number of Requests'.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01" spans="1:15" x14ac:dyDescent="0.25">
      <c r="A1901" s="1">
        <v>1893</v>
      </c>
      <c r="B1901" s="2" t="str">
        <f>HYPERLINK("https://leetcode.com/problems/check-if-all-the-integers-in-a-range-are-covered/", "Check if All the Integers in a Range Are Covered")</f>
        <v>Check if All the Integers in a Range Are Covered</v>
      </c>
      <c r="C1901" s="1">
        <v>669</v>
      </c>
      <c r="D1901" s="1">
        <v>127</v>
      </c>
      <c r="E1901" s="3">
        <f t="shared" si="14"/>
        <v>0.84045226130653261</v>
      </c>
      <c r="F1901" s="1" t="s">
        <v>39</v>
      </c>
      <c r="G1901" s="1" t="s">
        <v>20</v>
      </c>
      <c r="H1901" s="1">
        <v>64284</v>
      </c>
      <c r="I1901" s="1">
        <v>126549</v>
      </c>
      <c r="J1901" s="7">
        <v>0.50800000000000001</v>
      </c>
      <c r="K1901" s="1" t="s">
        <v>21</v>
      </c>
      <c r="L1901" s="1" t="s">
        <v>29</v>
      </c>
      <c r="M1901" s="1" t="s">
        <v>29</v>
      </c>
      <c r="N1901" s="1" t="s">
        <v>22</v>
      </c>
      <c r="O1901" s="1" t="str">
        <f t="shared" ca="1" si="15"/>
        <v>Please solve the LeetCode problem '1893. Check if All the Integers in a Range Are Covered'.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02" spans="1:15" x14ac:dyDescent="0.25">
      <c r="A1902" s="1">
        <v>2144</v>
      </c>
      <c r="B1902" s="2" t="str">
        <f>HYPERLINK("https://leetcode.com/problems/minimum-cost-of-buying-candies-with-discount/", "Minimum Cost of Buying Candies With Discount")</f>
        <v>Minimum Cost of Buying Candies With Discount</v>
      </c>
      <c r="C1902" s="1">
        <v>669</v>
      </c>
      <c r="D1902" s="1">
        <v>25</v>
      </c>
      <c r="E1902" s="3">
        <f t="shared" si="14"/>
        <v>0.96397694524495681</v>
      </c>
      <c r="F1902" s="1" t="s">
        <v>169</v>
      </c>
      <c r="G1902" s="1" t="s">
        <v>20</v>
      </c>
      <c r="H1902" s="1">
        <v>74924</v>
      </c>
      <c r="I1902" s="1">
        <v>119531</v>
      </c>
      <c r="J1902" s="7">
        <v>0.627</v>
      </c>
      <c r="K1902" s="1" t="s">
        <v>21</v>
      </c>
      <c r="L1902" s="1" t="s">
        <v>29</v>
      </c>
      <c r="M1902" s="1" t="s">
        <v>29</v>
      </c>
      <c r="N1902" s="1" t="s">
        <v>22</v>
      </c>
      <c r="O1902" s="1" t="str">
        <f t="shared" ca="1" si="15"/>
        <v>Please solve the LeetCode problem '2144. Minimum Cost of Buying Candies With Discount'.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03" spans="1:15" x14ac:dyDescent="0.25">
      <c r="A1903" s="1">
        <v>3381</v>
      </c>
      <c r="B1903" s="2" t="str">
        <f>HYPERLINK("https://leetcode.com/problems/maximum-subarray-sum-with-length-divisible-by-k/", "Maximum Subarray Sum With Length Divisible by K")</f>
        <v>Maximum Subarray Sum With Length Divisible by K</v>
      </c>
      <c r="C1903" s="1">
        <v>668</v>
      </c>
      <c r="D1903" s="1">
        <v>38</v>
      </c>
      <c r="E1903" s="3">
        <f t="shared" si="14"/>
        <v>0.94617563739376775</v>
      </c>
      <c r="F1903" s="1" t="s">
        <v>39</v>
      </c>
      <c r="G1903" s="1" t="s">
        <v>24</v>
      </c>
      <c r="H1903" s="1">
        <v>84123</v>
      </c>
      <c r="I1903" s="1">
        <v>169494</v>
      </c>
      <c r="J1903" s="7">
        <v>0.496</v>
      </c>
      <c r="K1903" s="1" t="s">
        <v>21</v>
      </c>
      <c r="L1903" s="1" t="s">
        <v>21</v>
      </c>
      <c r="M1903" s="1" t="s">
        <v>29</v>
      </c>
      <c r="N1903" s="1" t="s">
        <v>22</v>
      </c>
      <c r="O1903" s="1" t="str">
        <f t="shared" ca="1" si="15"/>
        <v>Please solve the LeetCode problem '3381. Maximum Subarray Sum With Length Divisible by K'.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04" spans="1:15" x14ac:dyDescent="0.25">
      <c r="A1904" s="1">
        <v>2333</v>
      </c>
      <c r="B1904" s="2" t="str">
        <f>HYPERLINK("https://leetcode.com/problems/minimum-sum-of-squared-difference/", "Minimum Sum of Squared Difference")</f>
        <v>Minimum Sum of Squared Difference</v>
      </c>
      <c r="C1904" s="1">
        <v>667</v>
      </c>
      <c r="D1904" s="1">
        <v>51</v>
      </c>
      <c r="E1904" s="3">
        <f t="shared" si="14"/>
        <v>0.92896935933147629</v>
      </c>
      <c r="F1904" s="1" t="s">
        <v>814</v>
      </c>
      <c r="G1904" s="1" t="s">
        <v>24</v>
      </c>
      <c r="H1904" s="1">
        <v>18464</v>
      </c>
      <c r="I1904" s="1">
        <v>69274</v>
      </c>
      <c r="J1904" s="7">
        <v>0.26700000000000002</v>
      </c>
      <c r="K1904" s="1" t="s">
        <v>21</v>
      </c>
      <c r="L1904" s="1" t="s">
        <v>29</v>
      </c>
      <c r="M1904" s="1" t="s">
        <v>29</v>
      </c>
      <c r="N1904" s="1" t="s">
        <v>22</v>
      </c>
      <c r="O1904" s="1" t="str">
        <f t="shared" ca="1" si="15"/>
        <v>Please solve the LeetCode problem '2333. Minimum Sum of Squared Difference'.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05" spans="1:15" x14ac:dyDescent="0.25">
      <c r="A1905" s="1">
        <v>2350</v>
      </c>
      <c r="B1905" s="2" t="str">
        <f>HYPERLINK("https://leetcode.com/problems/shortest-impossible-sequence-of-rolls/", "Shortest Impossible Sequence of Rolls")</f>
        <v>Shortest Impossible Sequence of Rolls</v>
      </c>
      <c r="C1905" s="1">
        <v>667</v>
      </c>
      <c r="D1905" s="1">
        <v>51</v>
      </c>
      <c r="E1905" s="3">
        <f t="shared" si="14"/>
        <v>0.92896935933147629</v>
      </c>
      <c r="F1905" s="1" t="s">
        <v>368</v>
      </c>
      <c r="G1905" s="1" t="s">
        <v>28</v>
      </c>
      <c r="H1905" s="1">
        <v>18646</v>
      </c>
      <c r="I1905" s="1">
        <v>26939</v>
      </c>
      <c r="J1905" s="7">
        <v>0.69199999999999995</v>
      </c>
      <c r="K1905" s="1" t="s">
        <v>21</v>
      </c>
      <c r="L1905" s="1" t="s">
        <v>29</v>
      </c>
      <c r="M1905" s="1" t="s">
        <v>29</v>
      </c>
      <c r="N1905" s="1" t="s">
        <v>22</v>
      </c>
      <c r="O1905" s="1" t="str">
        <f t="shared" ca="1" si="15"/>
        <v>Please solve the LeetCode problem '2350. Shortest Impossible Sequence of Rolls'.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06" spans="1:15" x14ac:dyDescent="0.25">
      <c r="A1906" s="1">
        <v>1195</v>
      </c>
      <c r="B1906" s="2" t="str">
        <f>HYPERLINK("https://leetcode.com/problems/fizz-buzz-multithreaded/", "Fizz Buzz Multithreaded")</f>
        <v>Fizz Buzz Multithreaded</v>
      </c>
      <c r="C1906" s="1">
        <v>666</v>
      </c>
      <c r="D1906" s="1">
        <v>437</v>
      </c>
      <c r="E1906" s="3">
        <f t="shared" si="14"/>
        <v>0.60380779691749775</v>
      </c>
      <c r="F1906" s="1" t="s">
        <v>561</v>
      </c>
      <c r="G1906" s="1" t="s">
        <v>24</v>
      </c>
      <c r="H1906" s="1">
        <v>72248</v>
      </c>
      <c r="I1906" s="1">
        <v>96941</v>
      </c>
      <c r="J1906" s="7">
        <v>0.745</v>
      </c>
      <c r="K1906" s="1" t="s">
        <v>21</v>
      </c>
      <c r="L1906" s="1" t="s">
        <v>29</v>
      </c>
      <c r="M1906" s="1" t="s">
        <v>29</v>
      </c>
      <c r="N1906" s="1" t="s">
        <v>561</v>
      </c>
      <c r="O1906" s="1" t="str">
        <f t="shared" ca="1" si="15"/>
        <v>Please solve the LeetCode problem '1195. Fizz Buzz Multithreaded'.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07" spans="1:15" x14ac:dyDescent="0.25">
      <c r="A1907" s="1">
        <v>1476</v>
      </c>
      <c r="B1907" s="2" t="str">
        <f>HYPERLINK("https://leetcode.com/problems/subrectangle-queries/", "Subrectangle Queries")</f>
        <v>Subrectangle Queries</v>
      </c>
      <c r="C1907" s="1">
        <v>665</v>
      </c>
      <c r="D1907" s="1">
        <v>1460</v>
      </c>
      <c r="E1907" s="3">
        <f t="shared" si="14"/>
        <v>0.31294117647058822</v>
      </c>
      <c r="F1907" s="1" t="s">
        <v>815</v>
      </c>
      <c r="G1907" s="1" t="s">
        <v>24</v>
      </c>
      <c r="H1907" s="1">
        <v>125685</v>
      </c>
      <c r="I1907" s="1">
        <v>145807</v>
      </c>
      <c r="J1907" s="7">
        <v>0.86199999999999999</v>
      </c>
      <c r="K1907" s="1" t="s">
        <v>21</v>
      </c>
      <c r="L1907" s="1" t="s">
        <v>29</v>
      </c>
      <c r="M1907" s="1" t="s">
        <v>29</v>
      </c>
      <c r="N1907" s="1" t="s">
        <v>22</v>
      </c>
      <c r="O1907" s="1" t="str">
        <f t="shared" ca="1" si="15"/>
        <v>Please solve the LeetCode problem '1476. Subrectangle Queries'.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08" spans="1:15" x14ac:dyDescent="0.25">
      <c r="A1908" s="1">
        <v>2384</v>
      </c>
      <c r="B1908" s="2" t="str">
        <f>HYPERLINK("https://leetcode.com/problems/largest-palindromic-number/", "Largest Palindromic Number")</f>
        <v>Largest Palindromic Number</v>
      </c>
      <c r="C1908" s="1">
        <v>665</v>
      </c>
      <c r="D1908" s="1">
        <v>237</v>
      </c>
      <c r="E1908" s="3">
        <f t="shared" si="14"/>
        <v>0.7372505543237251</v>
      </c>
      <c r="F1908" s="1" t="s">
        <v>539</v>
      </c>
      <c r="G1908" s="1" t="s">
        <v>24</v>
      </c>
      <c r="H1908" s="1">
        <v>52288</v>
      </c>
      <c r="I1908" s="1">
        <v>141400</v>
      </c>
      <c r="J1908" s="7">
        <v>0.37</v>
      </c>
      <c r="K1908" s="1" t="s">
        <v>21</v>
      </c>
      <c r="L1908" s="1" t="s">
        <v>29</v>
      </c>
      <c r="M1908" s="1" t="s">
        <v>29</v>
      </c>
      <c r="N1908" s="1" t="s">
        <v>22</v>
      </c>
      <c r="O1908" s="1" t="str">
        <f t="shared" ca="1" si="15"/>
        <v>Please solve the LeetCode problem '2384. Largest Palindromic Number'.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09" spans="1:15" x14ac:dyDescent="0.25">
      <c r="A1909" s="1">
        <v>3254</v>
      </c>
      <c r="B1909" s="2" t="str">
        <f>HYPERLINK("https://leetcode.com/problems/find-the-power-of-k-size-subarrays-i/", "Find the Power of K-Size Subarrays I")</f>
        <v>Find the Power of K-Size Subarrays I</v>
      </c>
      <c r="C1909" s="1">
        <v>663</v>
      </c>
      <c r="D1909" s="1">
        <v>56</v>
      </c>
      <c r="E1909" s="3">
        <f t="shared" si="14"/>
        <v>0.92211404728789981</v>
      </c>
      <c r="F1909" s="1" t="s">
        <v>295</v>
      </c>
      <c r="G1909" s="1" t="s">
        <v>24</v>
      </c>
      <c r="H1909" s="1">
        <v>151231</v>
      </c>
      <c r="I1909" s="1">
        <v>243070</v>
      </c>
      <c r="J1909" s="7">
        <v>0.622</v>
      </c>
      <c r="K1909" s="1" t="s">
        <v>21</v>
      </c>
      <c r="L1909" s="1" t="s">
        <v>21</v>
      </c>
      <c r="M1909" s="1" t="s">
        <v>29</v>
      </c>
      <c r="N1909" s="1" t="s">
        <v>22</v>
      </c>
      <c r="O1909" s="1" t="str">
        <f t="shared" ca="1" si="15"/>
        <v>Please solve the LeetCode problem '3254. Find the Power of K-Size Subarrays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10" spans="1:15" x14ac:dyDescent="0.25">
      <c r="A1910" s="1">
        <v>2673</v>
      </c>
      <c r="B1910" s="2" t="str">
        <f>HYPERLINK("https://leetcode.com/problems/make-costs-of-paths-equal-in-a-binary-tree/", "Make Costs of Paths Equal in a Binary Tree")</f>
        <v>Make Costs of Paths Equal in a Binary Tree</v>
      </c>
      <c r="C1910" s="1">
        <v>662</v>
      </c>
      <c r="D1910" s="1">
        <v>16</v>
      </c>
      <c r="E1910" s="3">
        <f t="shared" si="14"/>
        <v>0.97640117994100295</v>
      </c>
      <c r="F1910" s="1" t="s">
        <v>816</v>
      </c>
      <c r="G1910" s="1" t="s">
        <v>24</v>
      </c>
      <c r="H1910" s="1">
        <v>23294</v>
      </c>
      <c r="I1910" s="1">
        <v>40108</v>
      </c>
      <c r="J1910" s="7">
        <v>0.58099999999999996</v>
      </c>
      <c r="K1910" s="1" t="s">
        <v>21</v>
      </c>
      <c r="L1910" s="1" t="s">
        <v>29</v>
      </c>
      <c r="M1910" s="1" t="s">
        <v>29</v>
      </c>
      <c r="N1910" s="1" t="s">
        <v>22</v>
      </c>
      <c r="O1910" s="1" t="str">
        <f t="shared" ca="1" si="15"/>
        <v>Please solve the LeetCode problem '2673. Make Costs of Paths Equal in a Binary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11" spans="1:15" x14ac:dyDescent="0.25">
      <c r="A1911" s="1">
        <v>3191</v>
      </c>
      <c r="B1911" s="2" t="str">
        <f>HYPERLINK("https://leetcode.com/problems/minimum-operations-to-make-binary-array-elements-equal-to-one-i/", "Minimum Operations to Make Binary Array Elements Equal to One I")</f>
        <v>Minimum Operations to Make Binary Array Elements Equal to One I</v>
      </c>
      <c r="C1911" s="1">
        <v>662</v>
      </c>
      <c r="D1911" s="1">
        <v>35</v>
      </c>
      <c r="E1911" s="3">
        <f t="shared" si="14"/>
        <v>0.94978479196556675</v>
      </c>
      <c r="F1911" s="1" t="s">
        <v>497</v>
      </c>
      <c r="G1911" s="1" t="s">
        <v>24</v>
      </c>
      <c r="H1911" s="1">
        <v>206166</v>
      </c>
      <c r="I1911" s="1">
        <v>256317</v>
      </c>
      <c r="J1911" s="7">
        <v>0.80400000000000005</v>
      </c>
      <c r="K1911" s="1" t="s">
        <v>21</v>
      </c>
      <c r="L1911" s="1" t="s">
        <v>21</v>
      </c>
      <c r="M1911" s="1" t="s">
        <v>29</v>
      </c>
      <c r="N1911" s="1" t="s">
        <v>22</v>
      </c>
      <c r="O1911" s="1" t="str">
        <f t="shared" ca="1" si="15"/>
        <v>Please solve the LeetCode problem '3191. Minimum Operations to Make Binary Array Elements Equal to One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12" spans="1:15" x14ac:dyDescent="0.25">
      <c r="A1912" s="1">
        <v>1087</v>
      </c>
      <c r="B1912" s="2" t="str">
        <f>HYPERLINK("https://leetcode.com/problems/brace-expansion/", "Brace Expansion")</f>
        <v>Brace Expansion</v>
      </c>
      <c r="C1912" s="1">
        <v>661</v>
      </c>
      <c r="D1912" s="1">
        <v>57</v>
      </c>
      <c r="E1912" s="3">
        <f t="shared" si="14"/>
        <v>0.92061281337047352</v>
      </c>
      <c r="F1912" s="1" t="s">
        <v>817</v>
      </c>
      <c r="G1912" s="1" t="s">
        <v>24</v>
      </c>
      <c r="H1912" s="1">
        <v>63682</v>
      </c>
      <c r="I1912" s="1">
        <v>95445</v>
      </c>
      <c r="J1912" s="7">
        <v>0.66700000000000004</v>
      </c>
      <c r="K1912" s="1" t="s">
        <v>29</v>
      </c>
      <c r="L1912" s="1" t="s">
        <v>21</v>
      </c>
      <c r="M1912" s="1" t="s">
        <v>29</v>
      </c>
      <c r="N1912" s="1" t="s">
        <v>22</v>
      </c>
      <c r="O1912" s="1" t="str">
        <f t="shared" ca="1" si="15"/>
        <v>Please solve the LeetCode problem '1087. Brace Expansion'.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13" spans="1:15" x14ac:dyDescent="0.25">
      <c r="A1913" s="1">
        <v>806</v>
      </c>
      <c r="B1913" s="2" t="str">
        <f>HYPERLINK("https://leetcode.com/problems/number-of-lines-to-write-string/", "Number of Lines To Write String")</f>
        <v>Number of Lines To Write String</v>
      </c>
      <c r="C1913" s="1">
        <v>660</v>
      </c>
      <c r="D1913" s="1">
        <v>1353</v>
      </c>
      <c r="E1913" s="3">
        <f t="shared" si="14"/>
        <v>0.32786885245901637</v>
      </c>
      <c r="F1913" s="1" t="s">
        <v>369</v>
      </c>
      <c r="G1913" s="1" t="s">
        <v>20</v>
      </c>
      <c r="H1913" s="1">
        <v>109221</v>
      </c>
      <c r="I1913" s="1">
        <v>151878</v>
      </c>
      <c r="J1913" s="7">
        <v>0.71899999999999997</v>
      </c>
      <c r="K1913" s="1" t="s">
        <v>21</v>
      </c>
      <c r="L1913" s="1" t="s">
        <v>21</v>
      </c>
      <c r="M1913" s="1" t="s">
        <v>29</v>
      </c>
      <c r="N1913" s="1" t="s">
        <v>22</v>
      </c>
      <c r="O1913" s="1" t="str">
        <f t="shared" ca="1" si="15"/>
        <v>Please solve the LeetCode problem '806. Number of Lines To Write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14" spans="1:15" x14ac:dyDescent="0.25">
      <c r="A1914" s="1">
        <v>1805</v>
      </c>
      <c r="B1914" s="2" t="str">
        <f>HYPERLINK("https://leetcode.com/problems/number-of-different-integers-in-a-string/", "Number of Different Integers in a String")</f>
        <v>Number of Different Integers in a String</v>
      </c>
      <c r="C1914" s="1">
        <v>660</v>
      </c>
      <c r="D1914" s="1">
        <v>106</v>
      </c>
      <c r="E1914" s="3">
        <f t="shared" si="14"/>
        <v>0.86161879895561355</v>
      </c>
      <c r="F1914" s="1" t="s">
        <v>131</v>
      </c>
      <c r="G1914" s="1" t="s">
        <v>20</v>
      </c>
      <c r="H1914" s="1">
        <v>62329</v>
      </c>
      <c r="I1914" s="1">
        <v>156174</v>
      </c>
      <c r="J1914" s="7">
        <v>0.39900000000000002</v>
      </c>
      <c r="K1914" s="1" t="s">
        <v>21</v>
      </c>
      <c r="L1914" s="1" t="s">
        <v>29</v>
      </c>
      <c r="M1914" s="1" t="s">
        <v>29</v>
      </c>
      <c r="N1914" s="1" t="s">
        <v>22</v>
      </c>
      <c r="O1914" s="1" t="str">
        <f t="shared" ca="1" si="15"/>
        <v>Please solve the LeetCode problem '1805. Number of Different Integers in a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15" spans="1:15" x14ac:dyDescent="0.25">
      <c r="A1915" s="1">
        <v>2217</v>
      </c>
      <c r="B1915" s="2" t="str">
        <f>HYPERLINK("https://leetcode.com/problems/find-palindrome-with-fixed-length/", "Find Palindrome With Fixed Length")</f>
        <v>Find Palindrome With Fixed Length</v>
      </c>
      <c r="C1915" s="1">
        <v>660</v>
      </c>
      <c r="D1915" s="1">
        <v>296</v>
      </c>
      <c r="E1915" s="3">
        <f t="shared" si="14"/>
        <v>0.69037656903765687</v>
      </c>
      <c r="F1915" s="1" t="s">
        <v>115</v>
      </c>
      <c r="G1915" s="1" t="s">
        <v>24</v>
      </c>
      <c r="H1915" s="1">
        <v>27031</v>
      </c>
      <c r="I1915" s="1">
        <v>71518</v>
      </c>
      <c r="J1915" s="7">
        <v>0.378</v>
      </c>
      <c r="K1915" s="1" t="s">
        <v>21</v>
      </c>
      <c r="L1915" s="1" t="s">
        <v>29</v>
      </c>
      <c r="M1915" s="1" t="s">
        <v>29</v>
      </c>
      <c r="N1915" s="1" t="s">
        <v>22</v>
      </c>
      <c r="O1915" s="1" t="str">
        <f t="shared" ca="1" si="15"/>
        <v>Please solve the LeetCode problem '2217. Find Palindrome With Fixed Length'.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16" spans="1:15" x14ac:dyDescent="0.25">
      <c r="A1916" s="1">
        <v>2894</v>
      </c>
      <c r="B1916" s="2" t="str">
        <f>HYPERLINK("https://leetcode.com/problems/divisible-and-non-divisible-sums-difference/", "Divisible and Non-divisible Sums Difference")</f>
        <v>Divisible and Non-divisible Sums Difference</v>
      </c>
      <c r="C1916" s="1">
        <v>660</v>
      </c>
      <c r="D1916" s="1">
        <v>36</v>
      </c>
      <c r="E1916" s="3">
        <f t="shared" si="14"/>
        <v>0.94827586206896552</v>
      </c>
      <c r="F1916" s="1" t="s">
        <v>84</v>
      </c>
      <c r="G1916" s="1" t="s">
        <v>20</v>
      </c>
      <c r="H1916" s="1">
        <v>309118</v>
      </c>
      <c r="I1916" s="1">
        <v>339585</v>
      </c>
      <c r="J1916" s="7">
        <v>0.91</v>
      </c>
      <c r="K1916" s="1" t="s">
        <v>21</v>
      </c>
      <c r="L1916" s="1" t="s">
        <v>21</v>
      </c>
      <c r="M1916" s="1" t="s">
        <v>29</v>
      </c>
      <c r="N1916" s="1" t="s">
        <v>22</v>
      </c>
      <c r="O1916" s="1" t="str">
        <f t="shared" ca="1" si="15"/>
        <v>Please solve the LeetCode problem '2894. Divisible and Non-divisible Sums Difference'.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17" spans="1:15" x14ac:dyDescent="0.25">
      <c r="A1917" s="1">
        <v>603</v>
      </c>
      <c r="B1917" s="2" t="str">
        <f>HYPERLINK("https://leetcode.com/problems/consecutive-available-seats/", "Consecutive Available Seats")</f>
        <v>Consecutive Available Seats</v>
      </c>
      <c r="C1917" s="1">
        <v>659</v>
      </c>
      <c r="D1917" s="1">
        <v>80</v>
      </c>
      <c r="E1917" s="3">
        <f t="shared" si="14"/>
        <v>0.89174560216508791</v>
      </c>
      <c r="F1917" s="1" t="s">
        <v>297</v>
      </c>
      <c r="G1917" s="1" t="s">
        <v>20</v>
      </c>
      <c r="H1917" s="1">
        <v>101367</v>
      </c>
      <c r="I1917" s="1">
        <v>155707</v>
      </c>
      <c r="J1917" s="7">
        <v>0.65100000000000002</v>
      </c>
      <c r="K1917" s="1" t="s">
        <v>29</v>
      </c>
      <c r="L1917" s="1" t="s">
        <v>21</v>
      </c>
      <c r="M1917" s="1" t="s">
        <v>29</v>
      </c>
      <c r="N1917" s="1" t="s">
        <v>297</v>
      </c>
      <c r="O1917" s="1" t="str">
        <f t="shared" ca="1" si="15"/>
        <v>Please solve the LeetCode problem '603. Consecutive Available Seats'.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18" spans="1:15" x14ac:dyDescent="0.25">
      <c r="A1918" s="1">
        <v>2076</v>
      </c>
      <c r="B1918" s="2" t="str">
        <f>HYPERLINK("https://leetcode.com/problems/process-restricted-friend-requests/", "Process Restricted Friend Requests")</f>
        <v>Process Restricted Friend Requests</v>
      </c>
      <c r="C1918" s="1">
        <v>659</v>
      </c>
      <c r="D1918" s="1">
        <v>16</v>
      </c>
      <c r="E1918" s="3">
        <f t="shared" si="14"/>
        <v>0.97629629629629633</v>
      </c>
      <c r="F1918" s="1" t="s">
        <v>404</v>
      </c>
      <c r="G1918" s="1" t="s">
        <v>28</v>
      </c>
      <c r="H1918" s="1">
        <v>23123</v>
      </c>
      <c r="I1918" s="1">
        <v>39303</v>
      </c>
      <c r="J1918" s="7">
        <v>0.58799999999999997</v>
      </c>
      <c r="K1918" s="1" t="s">
        <v>21</v>
      </c>
      <c r="L1918" s="1" t="s">
        <v>29</v>
      </c>
      <c r="M1918" s="1" t="s">
        <v>29</v>
      </c>
      <c r="N1918" s="1" t="s">
        <v>22</v>
      </c>
      <c r="O1918" s="1" t="str">
        <f t="shared" ca="1" si="15"/>
        <v>Please solve the LeetCode problem '2076. Process Restricted Friend Requests'.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19" spans="1:15" x14ac:dyDescent="0.25">
      <c r="A1919" s="1">
        <v>753</v>
      </c>
      <c r="B1919" s="2" t="str">
        <f>HYPERLINK("https://leetcode.com/problems/cracking-the-safe/", "Cracking the Safe")</f>
        <v>Cracking the Safe</v>
      </c>
      <c r="C1919" s="1">
        <v>658</v>
      </c>
      <c r="D1919" s="1">
        <v>129</v>
      </c>
      <c r="E1919" s="3">
        <f t="shared" si="14"/>
        <v>0.83608640406607371</v>
      </c>
      <c r="F1919" s="1" t="s">
        <v>1352</v>
      </c>
      <c r="G1919" s="1" t="s">
        <v>28</v>
      </c>
      <c r="H1919" s="1">
        <v>69757</v>
      </c>
      <c r="I1919" s="1">
        <v>119585</v>
      </c>
      <c r="J1919" s="7">
        <v>0.58299999999999996</v>
      </c>
      <c r="K1919" s="1" t="s">
        <v>21</v>
      </c>
      <c r="L1919" s="1" t="s">
        <v>21</v>
      </c>
      <c r="M1919" s="1" t="s">
        <v>29</v>
      </c>
      <c r="N1919" s="1" t="s">
        <v>22</v>
      </c>
      <c r="O1919" s="1" t="str">
        <f t="shared" ca="1" si="15"/>
        <v>Please solve the LeetCode problem '753. Cracking the Safe'.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20" spans="1:15" x14ac:dyDescent="0.25">
      <c r="A1920" s="1">
        <v>1157</v>
      </c>
      <c r="B1920" s="2" t="str">
        <f>HYPERLINK("https://leetcode.com/problems/online-majority-element-in-subarray/", "Online Majority Element In Subarray")</f>
        <v>Online Majority Element In Subarray</v>
      </c>
      <c r="C1920" s="1">
        <v>658</v>
      </c>
      <c r="D1920" s="1">
        <v>65</v>
      </c>
      <c r="E1920" s="3">
        <f t="shared" si="14"/>
        <v>0.91009681881051174</v>
      </c>
      <c r="F1920" s="1" t="s">
        <v>819</v>
      </c>
      <c r="G1920" s="1" t="s">
        <v>28</v>
      </c>
      <c r="H1920" s="1">
        <v>20576</v>
      </c>
      <c r="I1920" s="1">
        <v>51488</v>
      </c>
      <c r="J1920" s="7">
        <v>0.4</v>
      </c>
      <c r="K1920" s="1" t="s">
        <v>21</v>
      </c>
      <c r="L1920" s="1" t="s">
        <v>29</v>
      </c>
      <c r="M1920" s="1" t="s">
        <v>29</v>
      </c>
      <c r="N1920" s="1" t="s">
        <v>22</v>
      </c>
      <c r="O1920" s="1" t="str">
        <f t="shared" ca="1" si="15"/>
        <v>Please solve the LeetCode problem '1157. Online Majority Element In Subarray'.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21" spans="1:15" x14ac:dyDescent="0.25">
      <c r="A1921" s="1">
        <v>1227</v>
      </c>
      <c r="B1921" s="2" t="str">
        <f>HYPERLINK("https://leetcode.com/problems/airplane-seat-assignment-probability/", "Airplane Seat Assignment Probability")</f>
        <v>Airplane Seat Assignment Probability</v>
      </c>
      <c r="C1921" s="1">
        <v>658</v>
      </c>
      <c r="D1921" s="1">
        <v>987</v>
      </c>
      <c r="E1921" s="3">
        <f t="shared" si="14"/>
        <v>0.4</v>
      </c>
      <c r="F1921" s="1" t="s">
        <v>820</v>
      </c>
      <c r="G1921" s="1" t="s">
        <v>24</v>
      </c>
      <c r="H1921" s="1">
        <v>54928</v>
      </c>
      <c r="I1921" s="1">
        <v>81815</v>
      </c>
      <c r="J1921" s="7">
        <v>0.67100000000000004</v>
      </c>
      <c r="K1921" s="1" t="s">
        <v>21</v>
      </c>
      <c r="L1921" s="1" t="s">
        <v>29</v>
      </c>
      <c r="M1921" s="1" t="s">
        <v>29</v>
      </c>
      <c r="N1921" s="1" t="s">
        <v>22</v>
      </c>
      <c r="O1921" s="1" t="str">
        <f t="shared" ca="1" si="15"/>
        <v>Please solve the LeetCode problem '1227. Airplane Seat Assignment Probability'.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22" spans="1:15" x14ac:dyDescent="0.25">
      <c r="A1922" s="1">
        <v>1968</v>
      </c>
      <c r="B1922" s="2" t="str">
        <f>HYPERLINK("https://leetcode.com/problems/array-with-elements-not-equal-to-average-of-neighbors/", "Array With Elements Not Equal to Average of Neighbors")</f>
        <v>Array With Elements Not Equal to Average of Neighbors</v>
      </c>
      <c r="C1922" s="1">
        <v>658</v>
      </c>
      <c r="D1922" s="1">
        <v>58</v>
      </c>
      <c r="E1922" s="3">
        <f t="shared" si="14"/>
        <v>0.91899441340782118</v>
      </c>
      <c r="F1922" s="1" t="s">
        <v>169</v>
      </c>
      <c r="G1922" s="1" t="s">
        <v>24</v>
      </c>
      <c r="H1922" s="1">
        <v>48297</v>
      </c>
      <c r="I1922" s="1">
        <v>95596</v>
      </c>
      <c r="J1922" s="7">
        <v>0.505</v>
      </c>
      <c r="K1922" s="1" t="s">
        <v>21</v>
      </c>
      <c r="L1922" s="1" t="s">
        <v>29</v>
      </c>
      <c r="M1922" s="1" t="s">
        <v>29</v>
      </c>
      <c r="N1922" s="1" t="s">
        <v>22</v>
      </c>
      <c r="O1922" s="1" t="str">
        <f t="shared" ca="1" si="15"/>
        <v>Please solve the LeetCode problem '1968. Array With Elements Not Equal to Average of Neighbors'.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23" spans="1:15" x14ac:dyDescent="0.25">
      <c r="A1923" s="1">
        <v>1163</v>
      </c>
      <c r="B1923" s="2" t="str">
        <f>HYPERLINK("https://leetcode.com/problems/last-substring-in-lexicographical-order/", "Last Substring in Lexicographical Order")</f>
        <v>Last Substring in Lexicographical Order</v>
      </c>
      <c r="C1923" s="1">
        <v>657</v>
      </c>
      <c r="D1923" s="1">
        <v>458</v>
      </c>
      <c r="E1923" s="3">
        <f t="shared" si="14"/>
        <v>0.58923766816143497</v>
      </c>
      <c r="F1923" s="1" t="s">
        <v>117</v>
      </c>
      <c r="G1923" s="1" t="s">
        <v>28</v>
      </c>
      <c r="H1923" s="1">
        <v>41891</v>
      </c>
      <c r="I1923" s="1">
        <v>120305</v>
      </c>
      <c r="J1923" s="7">
        <v>0.34799999999999998</v>
      </c>
      <c r="K1923" s="1" t="s">
        <v>21</v>
      </c>
      <c r="L1923" s="1" t="s">
        <v>29</v>
      </c>
      <c r="M1923" s="1" t="s">
        <v>29</v>
      </c>
      <c r="N1923" s="1" t="s">
        <v>22</v>
      </c>
      <c r="O1923" s="1" t="str">
        <f t="shared" ca="1" si="15"/>
        <v>Please solve the LeetCode problem '1163. Last Substring in Lexicographical Order'.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24" spans="1:15" x14ac:dyDescent="0.25">
      <c r="A1924" s="1">
        <v>2520</v>
      </c>
      <c r="B1924" s="2" t="str">
        <f>HYPERLINK("https://leetcode.com/problems/count-the-digits-that-divide-a-number/", "Count the Digits That Divide a Number")</f>
        <v>Count the Digits That Divide a Number</v>
      </c>
      <c r="C1924" s="1">
        <v>653</v>
      </c>
      <c r="D1924" s="1">
        <v>41</v>
      </c>
      <c r="E1924" s="3">
        <f t="shared" si="14"/>
        <v>0.94092219020172907</v>
      </c>
      <c r="F1924" s="1" t="s">
        <v>84</v>
      </c>
      <c r="G1924" s="1" t="s">
        <v>20</v>
      </c>
      <c r="H1924" s="1">
        <v>155759</v>
      </c>
      <c r="I1924" s="1">
        <v>181402</v>
      </c>
      <c r="J1924" s="7">
        <v>0.85899999999999999</v>
      </c>
      <c r="K1924" s="1" t="s">
        <v>21</v>
      </c>
      <c r="L1924" s="1" t="s">
        <v>29</v>
      </c>
      <c r="M1924" s="1" t="s">
        <v>29</v>
      </c>
      <c r="N1924" s="1" t="s">
        <v>22</v>
      </c>
      <c r="O1924" s="1" t="str">
        <f t="shared" ca="1" si="15"/>
        <v>Please solve the LeetCode problem '2520. Count the Digits That Divide a Number'.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25" spans="1:15" x14ac:dyDescent="0.25">
      <c r="A1925" s="1">
        <v>3105</v>
      </c>
      <c r="B1925" s="2" t="str">
        <f>HYPERLINK("https://leetcode.com/problems/longest-strictly-increasing-or-strictly-decreasing-subarray/", "Longest Strictly Increasing or Strictly Decreasing Subarray")</f>
        <v>Longest Strictly Increasing or Strictly Decreasing Subarray</v>
      </c>
      <c r="C1925" s="1">
        <v>652</v>
      </c>
      <c r="D1925" s="1">
        <v>33</v>
      </c>
      <c r="E1925" s="3">
        <f t="shared" si="14"/>
        <v>0.95182481751824821</v>
      </c>
      <c r="F1925" s="1" t="s">
        <v>113</v>
      </c>
      <c r="G1925" s="1" t="s">
        <v>20</v>
      </c>
      <c r="H1925" s="1">
        <v>215690</v>
      </c>
      <c r="I1925" s="1">
        <v>332137</v>
      </c>
      <c r="J1925" s="7">
        <v>0.64900000000000002</v>
      </c>
      <c r="K1925" s="1" t="s">
        <v>21</v>
      </c>
      <c r="L1925" s="1" t="s">
        <v>21</v>
      </c>
      <c r="M1925" s="1" t="s">
        <v>29</v>
      </c>
      <c r="N1925" s="1" t="s">
        <v>22</v>
      </c>
      <c r="O1925" s="1" t="str">
        <f t="shared" ca="1" si="15"/>
        <v>Please solve the LeetCode problem '3105. Longest Strictly Increasing or Strictly Decreasing Subarray'.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26" spans="1:15" x14ac:dyDescent="0.25">
      <c r="A1926" s="1">
        <v>1742</v>
      </c>
      <c r="B1926" s="2" t="str">
        <f>HYPERLINK("https://leetcode.com/problems/maximum-number-of-balls-in-a-box/", "Maximum Number of Balls in a Box")</f>
        <v>Maximum Number of Balls in a Box</v>
      </c>
      <c r="C1926" s="1">
        <v>648</v>
      </c>
      <c r="D1926" s="1">
        <v>169</v>
      </c>
      <c r="E1926" s="3">
        <f t="shared" si="14"/>
        <v>0.79314565483476129</v>
      </c>
      <c r="F1926" s="1" t="s">
        <v>822</v>
      </c>
      <c r="G1926" s="1" t="s">
        <v>20</v>
      </c>
      <c r="H1926" s="1">
        <v>82131</v>
      </c>
      <c r="I1926" s="1">
        <v>110049</v>
      </c>
      <c r="J1926" s="7">
        <v>0.746</v>
      </c>
      <c r="K1926" s="1" t="s">
        <v>21</v>
      </c>
      <c r="L1926" s="1" t="s">
        <v>29</v>
      </c>
      <c r="M1926" s="1" t="s">
        <v>29</v>
      </c>
      <c r="N1926" s="1" t="s">
        <v>22</v>
      </c>
      <c r="O1926" s="1" t="str">
        <f t="shared" ca="1" si="15"/>
        <v>Please solve the LeetCode problem '1742. Maximum Number of Balls in a Box'.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27" spans="1:15" x14ac:dyDescent="0.25">
      <c r="A1927" s="1">
        <v>2202</v>
      </c>
      <c r="B1927" s="2" t="str">
        <f>HYPERLINK("https://leetcode.com/problems/maximize-the-topmost-element-after-k-moves/", "Maximize the Topmost Element After K Moves")</f>
        <v>Maximize the Topmost Element After K Moves</v>
      </c>
      <c r="C1927" s="1">
        <v>648</v>
      </c>
      <c r="D1927" s="1">
        <v>333</v>
      </c>
      <c r="E1927" s="3">
        <f t="shared" si="14"/>
        <v>0.66055045871559637</v>
      </c>
      <c r="F1927" s="1" t="s">
        <v>96</v>
      </c>
      <c r="G1927" s="1" t="s">
        <v>24</v>
      </c>
      <c r="H1927" s="1">
        <v>37170</v>
      </c>
      <c r="I1927" s="1">
        <v>155491</v>
      </c>
      <c r="J1927" s="7">
        <v>0.23899999999999999</v>
      </c>
      <c r="K1927" s="1" t="s">
        <v>21</v>
      </c>
      <c r="L1927" s="1" t="s">
        <v>29</v>
      </c>
      <c r="M1927" s="1" t="s">
        <v>29</v>
      </c>
      <c r="N1927" s="1" t="s">
        <v>22</v>
      </c>
      <c r="O1927" s="1" t="str">
        <f t="shared" ca="1" si="15"/>
        <v>Please solve the LeetCode problem '2202. Maximize the Topmost Element After K Moves'.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28" spans="1:15" x14ac:dyDescent="0.25">
      <c r="A1928" s="1">
        <v>1001</v>
      </c>
      <c r="B1928" s="2" t="str">
        <f>HYPERLINK("https://leetcode.com/problems/grid-illumination/", "Grid Illumination")</f>
        <v>Grid Illumination</v>
      </c>
      <c r="C1928" s="1">
        <v>647</v>
      </c>
      <c r="D1928" s="1">
        <v>161</v>
      </c>
      <c r="E1928" s="3">
        <f t="shared" si="14"/>
        <v>0.80074257425742579</v>
      </c>
      <c r="F1928" s="1" t="s">
        <v>19</v>
      </c>
      <c r="G1928" s="1" t="s">
        <v>28</v>
      </c>
      <c r="H1928" s="1">
        <v>26404</v>
      </c>
      <c r="I1928" s="1">
        <v>67871</v>
      </c>
      <c r="J1928" s="7">
        <v>0.38900000000000001</v>
      </c>
      <c r="K1928" s="1" t="s">
        <v>21</v>
      </c>
      <c r="L1928" s="1" t="s">
        <v>29</v>
      </c>
      <c r="M1928" s="1" t="s">
        <v>29</v>
      </c>
      <c r="N1928" s="1" t="s">
        <v>22</v>
      </c>
      <c r="O1928" s="1" t="str">
        <f t="shared" ca="1" si="15"/>
        <v>Please solve the LeetCode problem '1001. Grid Illumination'.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29" spans="1:15" x14ac:dyDescent="0.25">
      <c r="A1929" s="1">
        <v>3202</v>
      </c>
      <c r="B1929" s="2" t="str">
        <f>HYPERLINK("https://leetcode.com/problems/find-the-maximum-length-of-valid-subsequence-ii/", "Find the Maximum Length of Valid Subsequence II")</f>
        <v>Find the Maximum Length of Valid Subsequence II</v>
      </c>
      <c r="C1929" s="1">
        <v>647</v>
      </c>
      <c r="D1929" s="1">
        <v>54</v>
      </c>
      <c r="E1929" s="3">
        <f t="shared" si="14"/>
        <v>0.92296718972895864</v>
      </c>
      <c r="F1929" s="1" t="s">
        <v>30</v>
      </c>
      <c r="G1929" s="1" t="s">
        <v>24</v>
      </c>
      <c r="H1929" s="1">
        <v>101328</v>
      </c>
      <c r="I1929" s="1">
        <v>176980</v>
      </c>
      <c r="J1929" s="7">
        <v>0.57299999999999995</v>
      </c>
      <c r="K1929" s="1" t="s">
        <v>21</v>
      </c>
      <c r="L1929" s="1" t="s">
        <v>21</v>
      </c>
      <c r="M1929" s="1" t="s">
        <v>29</v>
      </c>
      <c r="N1929" s="1" t="s">
        <v>22</v>
      </c>
      <c r="O1929" s="1" t="str">
        <f t="shared" ca="1" si="15"/>
        <v>Please solve the LeetCode problem '3202. Find the Maximum Length of Valid Subsequence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30" spans="1:15" x14ac:dyDescent="0.25">
      <c r="A1930" s="1">
        <v>1932</v>
      </c>
      <c r="B1930" s="2" t="str">
        <f>HYPERLINK("https://leetcode.com/problems/merge-bsts-to-create-single-bst/", "Merge BSTs to Create Single BST")</f>
        <v>Merge BSTs to Create Single BST</v>
      </c>
      <c r="C1930" s="1">
        <v>645</v>
      </c>
      <c r="D1930" s="1">
        <v>47</v>
      </c>
      <c r="E1930" s="3">
        <f t="shared" si="14"/>
        <v>0.93208092485549132</v>
      </c>
      <c r="F1930" s="1" t="s">
        <v>1375</v>
      </c>
      <c r="G1930" s="1" t="s">
        <v>28</v>
      </c>
      <c r="H1930" s="1">
        <v>14585</v>
      </c>
      <c r="I1930" s="1">
        <v>38877</v>
      </c>
      <c r="J1930" s="7">
        <v>0.375</v>
      </c>
      <c r="K1930" s="1" t="s">
        <v>21</v>
      </c>
      <c r="L1930" s="1" t="s">
        <v>29</v>
      </c>
      <c r="M1930" s="1" t="s">
        <v>29</v>
      </c>
      <c r="N1930" s="1" t="s">
        <v>22</v>
      </c>
      <c r="O1930" s="1" t="str">
        <f t="shared" ca="1" si="15"/>
        <v>Please solve the LeetCode problem '1932. Merge BSTs to Create Single BST'.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31" spans="1:15" x14ac:dyDescent="0.25">
      <c r="A1931" s="1">
        <v>3453</v>
      </c>
      <c r="B1931" s="2" t="str">
        <f>HYPERLINK("https://leetcode.com/problems/separate-squares-i/", "Separate Squares I")</f>
        <v>Separate Squares I</v>
      </c>
      <c r="C1931" s="1">
        <v>645</v>
      </c>
      <c r="D1931" s="1">
        <v>118</v>
      </c>
      <c r="E1931" s="3">
        <f t="shared" si="14"/>
        <v>0.84534731323722145</v>
      </c>
      <c r="F1931" s="1" t="s">
        <v>35</v>
      </c>
      <c r="G1931" s="1" t="s">
        <v>24</v>
      </c>
      <c r="H1931" s="1">
        <v>120428</v>
      </c>
      <c r="I1931" s="1">
        <v>207555</v>
      </c>
      <c r="J1931" s="7">
        <v>0.57999999999999996</v>
      </c>
      <c r="K1931" s="1" t="s">
        <v>21</v>
      </c>
      <c r="L1931" s="1" t="s">
        <v>21</v>
      </c>
      <c r="M1931" s="1" t="s">
        <v>29</v>
      </c>
      <c r="N1931" s="1" t="s">
        <v>22</v>
      </c>
      <c r="O1931" s="1" t="str">
        <f t="shared" ca="1" si="15"/>
        <v>Please solve the LeetCode problem '3453. Separate Squares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32" spans="1:15" x14ac:dyDescent="0.25">
      <c r="A1932" s="1">
        <v>1558</v>
      </c>
      <c r="B1932" s="2" t="str">
        <f>HYPERLINK("https://leetcode.com/problems/minimum-numbers-of-function-calls-to-make-target-array/", "Minimum Numbers of Function Calls to Make Target Array")</f>
        <v>Minimum Numbers of Function Calls to Make Target Array</v>
      </c>
      <c r="C1932" s="1">
        <v>644</v>
      </c>
      <c r="D1932" s="1">
        <v>38</v>
      </c>
      <c r="E1932" s="3">
        <f t="shared" si="14"/>
        <v>0.94428152492668627</v>
      </c>
      <c r="F1932" s="1" t="s">
        <v>824</v>
      </c>
      <c r="G1932" s="1" t="s">
        <v>24</v>
      </c>
      <c r="H1932" s="1">
        <v>25447</v>
      </c>
      <c r="I1932" s="1">
        <v>40531</v>
      </c>
      <c r="J1932" s="7">
        <v>0.628</v>
      </c>
      <c r="K1932" s="1" t="s">
        <v>21</v>
      </c>
      <c r="L1932" s="1" t="s">
        <v>29</v>
      </c>
      <c r="M1932" s="1" t="s">
        <v>29</v>
      </c>
      <c r="N1932" s="1" t="s">
        <v>22</v>
      </c>
      <c r="O1932" s="1" t="str">
        <f t="shared" ca="1" si="15"/>
        <v>Please solve the LeetCode problem '1558. Minimum Numbers of Function Calls to Make Target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33" spans="1:15" x14ac:dyDescent="0.25">
      <c r="A1933" s="1">
        <v>2194</v>
      </c>
      <c r="B1933" s="2" t="str">
        <f>HYPERLINK("https://leetcode.com/problems/cells-in-a-range-on-an-excel-sheet/", "Cells in a Range on an Excel Sheet")</f>
        <v>Cells in a Range on an Excel Sheet</v>
      </c>
      <c r="C1933" s="1">
        <v>643</v>
      </c>
      <c r="D1933" s="1">
        <v>100</v>
      </c>
      <c r="E1933" s="3">
        <f t="shared" si="14"/>
        <v>0.86541049798115743</v>
      </c>
      <c r="F1933" s="1" t="s">
        <v>146</v>
      </c>
      <c r="G1933" s="1" t="s">
        <v>20</v>
      </c>
      <c r="H1933" s="1">
        <v>84858</v>
      </c>
      <c r="I1933" s="1">
        <v>100875</v>
      </c>
      <c r="J1933" s="7">
        <v>0.84099999999999997</v>
      </c>
      <c r="K1933" s="1" t="s">
        <v>21</v>
      </c>
      <c r="L1933" s="1" t="s">
        <v>29</v>
      </c>
      <c r="M1933" s="1" t="s">
        <v>29</v>
      </c>
      <c r="N1933" s="1" t="s">
        <v>22</v>
      </c>
      <c r="O1933" s="1" t="str">
        <f t="shared" ca="1" si="15"/>
        <v>Please solve the LeetCode problem '2194. Cells in a Range on an Excel Sheet'.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34" spans="1:15" x14ac:dyDescent="0.25">
      <c r="A1934" s="1">
        <v>2843</v>
      </c>
      <c r="B1934" s="2" t="str">
        <f>HYPERLINK("https://leetcode.com/problems/count-symmetric-integers/", "  Count Symmetric Integers")</f>
        <v xml:space="preserve">  Count Symmetric Integers</v>
      </c>
      <c r="C1934" s="1">
        <v>643</v>
      </c>
      <c r="D1934" s="1">
        <v>65</v>
      </c>
      <c r="E1934" s="3">
        <f t="shared" si="14"/>
        <v>0.90819209039548021</v>
      </c>
      <c r="F1934" s="1" t="s">
        <v>602</v>
      </c>
      <c r="G1934" s="1" t="s">
        <v>20</v>
      </c>
      <c r="H1934" s="1">
        <v>193383</v>
      </c>
      <c r="I1934" s="1">
        <v>232754</v>
      </c>
      <c r="J1934" s="7">
        <v>0.83099999999999996</v>
      </c>
      <c r="K1934" s="1" t="s">
        <v>21</v>
      </c>
      <c r="L1934" s="1" t="s">
        <v>21</v>
      </c>
      <c r="M1934" s="1" t="s">
        <v>29</v>
      </c>
      <c r="N1934" s="1" t="s">
        <v>22</v>
      </c>
      <c r="O1934" s="1" t="str">
        <f t="shared" ca="1" si="15"/>
        <v>Please solve the LeetCode problem '2843.   Count Symmetric Integers'.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35" spans="1:15" x14ac:dyDescent="0.25">
      <c r="A1935" s="1">
        <v>1522</v>
      </c>
      <c r="B1935" s="2" t="str">
        <f>HYPERLINK("https://leetcode.com/problems/diameter-of-n-ary-tree/", "Diameter of N-Ary Tree")</f>
        <v>Diameter of N-Ary Tree</v>
      </c>
      <c r="C1935" s="1">
        <v>641</v>
      </c>
      <c r="D1935" s="1">
        <v>9</v>
      </c>
      <c r="E1935" s="3">
        <f t="shared" si="14"/>
        <v>0.98615384615384616</v>
      </c>
      <c r="F1935" s="1" t="s">
        <v>726</v>
      </c>
      <c r="G1935" s="1" t="s">
        <v>24</v>
      </c>
      <c r="H1935" s="1">
        <v>60842</v>
      </c>
      <c r="I1935" s="1">
        <v>80680</v>
      </c>
      <c r="J1935" s="7">
        <v>0.754</v>
      </c>
      <c r="K1935" s="1" t="s">
        <v>29</v>
      </c>
      <c r="L1935" s="1" t="s">
        <v>21</v>
      </c>
      <c r="M1935" s="1" t="s">
        <v>29</v>
      </c>
      <c r="N1935" s="1" t="s">
        <v>22</v>
      </c>
      <c r="O1935" s="1" t="str">
        <f t="shared" ca="1" si="15"/>
        <v>Please solve the LeetCode problem '1522. Diameter of N-Ary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36" spans="1:15" x14ac:dyDescent="0.25">
      <c r="A1936" s="1">
        <v>2296</v>
      </c>
      <c r="B1936" s="2" t="str">
        <f>HYPERLINK("https://leetcode.com/problems/design-a-text-editor/", "Design a Text Editor")</f>
        <v>Design a Text Editor</v>
      </c>
      <c r="C1936" s="1">
        <v>641</v>
      </c>
      <c r="D1936" s="1">
        <v>228</v>
      </c>
      <c r="E1936" s="3">
        <f t="shared" si="14"/>
        <v>0.73762945914844646</v>
      </c>
      <c r="F1936" s="1" t="s">
        <v>823</v>
      </c>
      <c r="G1936" s="1" t="s">
        <v>28</v>
      </c>
      <c r="H1936" s="1">
        <v>39615</v>
      </c>
      <c r="I1936" s="1">
        <v>79863</v>
      </c>
      <c r="J1936" s="7">
        <v>0.496</v>
      </c>
      <c r="K1936" s="1" t="s">
        <v>21</v>
      </c>
      <c r="L1936" s="1" t="s">
        <v>29</v>
      </c>
      <c r="M1936" s="1" t="s">
        <v>29</v>
      </c>
      <c r="N1936" s="1" t="s">
        <v>22</v>
      </c>
      <c r="O1936" s="1" t="str">
        <f t="shared" ca="1" si="15"/>
        <v>Please solve the LeetCode problem '2296. Design a Text Editor'.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37" spans="1:15" x14ac:dyDescent="0.25">
      <c r="A1937" s="1">
        <v>2488</v>
      </c>
      <c r="B1937" s="2" t="str">
        <f>HYPERLINK("https://leetcode.com/problems/count-subarrays-with-median-k/", "Count Subarrays With Median K")</f>
        <v>Count Subarrays With Median K</v>
      </c>
      <c r="C1937" s="1">
        <v>641</v>
      </c>
      <c r="D1937" s="1">
        <v>17</v>
      </c>
      <c r="E1937" s="3">
        <f t="shared" si="14"/>
        <v>0.97416413373860178</v>
      </c>
      <c r="F1937" s="1" t="s">
        <v>39</v>
      </c>
      <c r="G1937" s="1" t="s">
        <v>28</v>
      </c>
      <c r="H1937" s="1">
        <v>18383</v>
      </c>
      <c r="I1937" s="1">
        <v>38948</v>
      </c>
      <c r="J1937" s="7">
        <v>0.47199999999999998</v>
      </c>
      <c r="K1937" s="1" t="s">
        <v>21</v>
      </c>
      <c r="L1937" s="1" t="s">
        <v>29</v>
      </c>
      <c r="M1937" s="1" t="s">
        <v>29</v>
      </c>
      <c r="N1937" s="1" t="s">
        <v>22</v>
      </c>
      <c r="O1937" s="1" t="str">
        <f t="shared" ca="1" si="15"/>
        <v>Please solve the LeetCode problem '2488. Count Subarrays With Median K'.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38" spans="1:15" x14ac:dyDescent="0.25">
      <c r="A1938" s="1">
        <v>2771</v>
      </c>
      <c r="B1938" s="2" t="str">
        <f>HYPERLINK("https://leetcode.com/problems/longest-non-decreasing-subarray-from-two-arrays/", "Longest Non-decreasing Subarray From Two Arrays")</f>
        <v>Longest Non-decreasing Subarray From Two Arrays</v>
      </c>
      <c r="C1938" s="1">
        <v>641</v>
      </c>
      <c r="D1938" s="1">
        <v>24</v>
      </c>
      <c r="E1938" s="3">
        <f t="shared" si="14"/>
        <v>0.96390977443609027</v>
      </c>
      <c r="F1938" s="1" t="s">
        <v>30</v>
      </c>
      <c r="G1938" s="1" t="s">
        <v>24</v>
      </c>
      <c r="H1938" s="1">
        <v>35260</v>
      </c>
      <c r="I1938" s="1">
        <v>114107</v>
      </c>
      <c r="J1938" s="7">
        <v>0.309</v>
      </c>
      <c r="K1938" s="1" t="s">
        <v>21</v>
      </c>
      <c r="L1938" s="1" t="s">
        <v>29</v>
      </c>
      <c r="M1938" s="1" t="s">
        <v>29</v>
      </c>
      <c r="N1938" s="1" t="s">
        <v>22</v>
      </c>
      <c r="O1938" s="1" t="str">
        <f t="shared" ca="1" si="15"/>
        <v>Please solve the LeetCode problem '2771. Longest Non-decreasing Subarray From Two Arrays'.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39" spans="1:15" x14ac:dyDescent="0.25">
      <c r="A1939" s="1">
        <v>644</v>
      </c>
      <c r="B1939" s="2" t="str">
        <f>HYPERLINK("https://leetcode.com/problems/maximum-average-subarray-ii/", "Maximum Average Subarray II")</f>
        <v>Maximum Average Subarray II</v>
      </c>
      <c r="C1939" s="1">
        <v>637</v>
      </c>
      <c r="D1939" s="1">
        <v>73</v>
      </c>
      <c r="E1939" s="3">
        <f t="shared" si="14"/>
        <v>0.89718309859154932</v>
      </c>
      <c r="F1939" s="1" t="s">
        <v>710</v>
      </c>
      <c r="G1939" s="1" t="s">
        <v>28</v>
      </c>
      <c r="H1939" s="1">
        <v>22802</v>
      </c>
      <c r="I1939" s="1">
        <v>60552</v>
      </c>
      <c r="J1939" s="7">
        <v>0.377</v>
      </c>
      <c r="K1939" s="1" t="s">
        <v>29</v>
      </c>
      <c r="L1939" s="1" t="s">
        <v>21</v>
      </c>
      <c r="M1939" s="1" t="s">
        <v>21</v>
      </c>
      <c r="N1939" s="1" t="s">
        <v>22</v>
      </c>
      <c r="O1939" s="1" t="str">
        <f t="shared" ca="1" si="15"/>
        <v>Please solve the LeetCode problem '644. Maximum Average Subarray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40" spans="1:15" x14ac:dyDescent="0.25">
      <c r="A1940" s="1">
        <v>2317</v>
      </c>
      <c r="B1940" s="2" t="str">
        <f>HYPERLINK("https://leetcode.com/problems/maximum-xor-after-operations/", "Maximum XOR After Operations ")</f>
        <v xml:space="preserve">Maximum XOR After Operations </v>
      </c>
      <c r="C1940" s="1">
        <v>637</v>
      </c>
      <c r="D1940" s="1">
        <v>169</v>
      </c>
      <c r="E1940" s="3">
        <f t="shared" si="14"/>
        <v>0.79032258064516125</v>
      </c>
      <c r="F1940" s="1" t="s">
        <v>456</v>
      </c>
      <c r="G1940" s="1" t="s">
        <v>24</v>
      </c>
      <c r="H1940" s="1">
        <v>30941</v>
      </c>
      <c r="I1940" s="1">
        <v>38781</v>
      </c>
      <c r="J1940" s="7">
        <v>0.79800000000000004</v>
      </c>
      <c r="K1940" s="1" t="s">
        <v>21</v>
      </c>
      <c r="L1940" s="1" t="s">
        <v>29</v>
      </c>
      <c r="M1940" s="1" t="s">
        <v>29</v>
      </c>
      <c r="N1940" s="1" t="s">
        <v>22</v>
      </c>
      <c r="O1940" s="1" t="str">
        <f t="shared" ca="1" si="15"/>
        <v>Please solve the LeetCode problem '2317. Maximum XOR After Operations 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41" spans="1:15" x14ac:dyDescent="0.25">
      <c r="A1941" s="1">
        <v>2320</v>
      </c>
      <c r="B1941" s="2" t="str">
        <f>HYPERLINK("https://leetcode.com/problems/count-number-of-ways-to-place-houses/", "Count Number of Ways to Place Houses")</f>
        <v>Count Number of Ways to Place Houses</v>
      </c>
      <c r="C1941" s="1">
        <v>637</v>
      </c>
      <c r="D1941" s="1">
        <v>202</v>
      </c>
      <c r="E1941" s="3">
        <f t="shared" si="14"/>
        <v>0.75923718712753274</v>
      </c>
      <c r="F1941" s="1" t="s">
        <v>251</v>
      </c>
      <c r="G1941" s="1" t="s">
        <v>24</v>
      </c>
      <c r="H1941" s="1">
        <v>35064</v>
      </c>
      <c r="I1941" s="1">
        <v>80356</v>
      </c>
      <c r="J1941" s="7">
        <v>0.436</v>
      </c>
      <c r="K1941" s="1" t="s">
        <v>21</v>
      </c>
      <c r="L1941" s="1" t="s">
        <v>29</v>
      </c>
      <c r="M1941" s="1" t="s">
        <v>29</v>
      </c>
      <c r="N1941" s="1" t="s">
        <v>22</v>
      </c>
      <c r="O1941" s="1" t="str">
        <f t="shared" ca="1" si="15"/>
        <v>Please solve the LeetCode problem '2320. Count Number of Ways to Place Houses'.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42" spans="1:15" x14ac:dyDescent="0.25">
      <c r="A1942" s="1">
        <v>3201</v>
      </c>
      <c r="B1942" s="2" t="str">
        <f>HYPERLINK("https://leetcode.com/problems/find-the-maximum-length-of-valid-subsequence-i/", "Find the Maximum Length of Valid Subsequence I")</f>
        <v>Find the Maximum Length of Valid Subsequence I</v>
      </c>
      <c r="C1942" s="1">
        <v>637</v>
      </c>
      <c r="D1942" s="1">
        <v>56</v>
      </c>
      <c r="E1942" s="3">
        <f t="shared" si="14"/>
        <v>0.91919191919191923</v>
      </c>
      <c r="F1942" s="1" t="s">
        <v>30</v>
      </c>
      <c r="G1942" s="1" t="s">
        <v>24</v>
      </c>
      <c r="H1942" s="1">
        <v>141307</v>
      </c>
      <c r="I1942" s="1">
        <v>257470</v>
      </c>
      <c r="J1942" s="7">
        <v>0.54900000000000004</v>
      </c>
      <c r="K1942" s="1" t="s">
        <v>21</v>
      </c>
      <c r="L1942" s="1" t="s">
        <v>21</v>
      </c>
      <c r="M1942" s="1" t="s">
        <v>29</v>
      </c>
      <c r="N1942" s="1" t="s">
        <v>22</v>
      </c>
      <c r="O1942" s="1" t="str">
        <f t="shared" ca="1" si="15"/>
        <v>Please solve the LeetCode problem '3201. Find the Maximum Length of Valid Subsequence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43" spans="1:15" x14ac:dyDescent="0.25">
      <c r="A1943" s="1">
        <v>883</v>
      </c>
      <c r="B1943" s="2" t="str">
        <f>HYPERLINK("https://leetcode.com/problems/projection-area-of-3d-shapes/", "Projection Area of 3D Shapes")</f>
        <v>Projection Area of 3D Shapes</v>
      </c>
      <c r="C1943" s="1">
        <v>636</v>
      </c>
      <c r="D1943" s="1">
        <v>1447</v>
      </c>
      <c r="E1943" s="3">
        <f t="shared" si="14"/>
        <v>0.30532885261641862</v>
      </c>
      <c r="F1943" s="1" t="s">
        <v>826</v>
      </c>
      <c r="G1943" s="1" t="s">
        <v>20</v>
      </c>
      <c r="H1943" s="1">
        <v>72600</v>
      </c>
      <c r="I1943" s="1">
        <v>96388</v>
      </c>
      <c r="J1943" s="7">
        <v>0.753</v>
      </c>
      <c r="K1943" s="1" t="s">
        <v>21</v>
      </c>
      <c r="L1943" s="1" t="s">
        <v>21</v>
      </c>
      <c r="M1943" s="1" t="s">
        <v>29</v>
      </c>
      <c r="N1943" s="1" t="s">
        <v>22</v>
      </c>
      <c r="O1943" s="1" t="str">
        <f t="shared" ca="1" si="15"/>
        <v>Please solve the LeetCode problem '883. Projection Area of 3D Shapes'.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44" spans="1:15" x14ac:dyDescent="0.25">
      <c r="A1944" s="1">
        <v>3439</v>
      </c>
      <c r="B1944" s="2" t="str">
        <f>HYPERLINK("https://leetcode.com/problems/reschedule-meetings-for-maximum-free-time-i/", "Reschedule Meetings for Maximum Free Time I")</f>
        <v>Reschedule Meetings for Maximum Free Time I</v>
      </c>
      <c r="C1944" s="1">
        <v>636</v>
      </c>
      <c r="D1944" s="1">
        <v>52</v>
      </c>
      <c r="E1944" s="3">
        <f t="shared" si="14"/>
        <v>0.92441860465116277</v>
      </c>
      <c r="F1944" s="1" t="s">
        <v>828</v>
      </c>
      <c r="G1944" s="1" t="s">
        <v>24</v>
      </c>
      <c r="H1944" s="1">
        <v>108078</v>
      </c>
      <c r="I1944" s="1">
        <v>200462</v>
      </c>
      <c r="J1944" s="7">
        <v>0.53900000000000003</v>
      </c>
      <c r="K1944" s="1" t="s">
        <v>21</v>
      </c>
      <c r="L1944" s="1" t="s">
        <v>21</v>
      </c>
      <c r="M1944" s="1" t="s">
        <v>29</v>
      </c>
      <c r="N1944" s="1" t="s">
        <v>22</v>
      </c>
      <c r="O1944" s="1" t="str">
        <f t="shared" ca="1" si="15"/>
        <v>Please solve the LeetCode problem '3439. Reschedule Meetings for Maximum Free Time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45" spans="1:15" x14ac:dyDescent="0.25">
      <c r="A1945" s="1">
        <v>1166</v>
      </c>
      <c r="B1945" s="2" t="str">
        <f>HYPERLINK("https://leetcode.com/problems/design-file-system/", "Design File System")</f>
        <v>Design File System</v>
      </c>
      <c r="C1945" s="1">
        <v>634</v>
      </c>
      <c r="D1945" s="1">
        <v>79</v>
      </c>
      <c r="E1945" s="3">
        <f t="shared" si="14"/>
        <v>0.8892005610098177</v>
      </c>
      <c r="F1945" s="1" t="s">
        <v>105</v>
      </c>
      <c r="G1945" s="1" t="s">
        <v>24</v>
      </c>
      <c r="H1945" s="1">
        <v>87522</v>
      </c>
      <c r="I1945" s="1">
        <v>134534</v>
      </c>
      <c r="J1945" s="7">
        <v>0.65100000000000002</v>
      </c>
      <c r="K1945" s="1" t="s">
        <v>29</v>
      </c>
      <c r="L1945" s="1" t="s">
        <v>21</v>
      </c>
      <c r="M1945" s="1" t="s">
        <v>29</v>
      </c>
      <c r="N1945" s="1" t="s">
        <v>22</v>
      </c>
      <c r="O1945" s="1" t="str">
        <f t="shared" ca="1" si="15"/>
        <v>Please solve the LeetCode problem '1166. Design File System'.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46" spans="1:15" x14ac:dyDescent="0.25">
      <c r="A1946" s="1">
        <v>2556</v>
      </c>
      <c r="B1946" s="2" t="str">
        <f>HYPERLINK("https://leetcode.com/problems/disconnect-path-in-a-binary-matrix-by-at-most-one-flip/", "Disconnect Path in a Binary Matrix by at Most One Flip")</f>
        <v>Disconnect Path in a Binary Matrix by at Most One Flip</v>
      </c>
      <c r="C1946" s="1">
        <v>633</v>
      </c>
      <c r="D1946" s="1">
        <v>33</v>
      </c>
      <c r="E1946" s="3">
        <f t="shared" si="14"/>
        <v>0.9504504504504504</v>
      </c>
      <c r="F1946" s="1" t="s">
        <v>827</v>
      </c>
      <c r="G1946" s="1" t="s">
        <v>24</v>
      </c>
      <c r="H1946" s="1">
        <v>18426</v>
      </c>
      <c r="I1946" s="1">
        <v>66533</v>
      </c>
      <c r="J1946" s="7">
        <v>0.27700000000000002</v>
      </c>
      <c r="K1946" s="1" t="s">
        <v>21</v>
      </c>
      <c r="L1946" s="1" t="s">
        <v>29</v>
      </c>
      <c r="M1946" s="1" t="s">
        <v>29</v>
      </c>
      <c r="N1946" s="1" t="s">
        <v>22</v>
      </c>
      <c r="O1946" s="1" t="str">
        <f t="shared" ca="1" si="15"/>
        <v>Please solve the LeetCode problem '2556. Disconnect Path in a Binary Matrix by at Most One Flip'.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47" spans="1:15" x14ac:dyDescent="0.25">
      <c r="A1947" s="1">
        <v>750</v>
      </c>
      <c r="B1947" s="2" t="str">
        <f>HYPERLINK("https://leetcode.com/problems/number-of-corner-rectangles/", "Number Of Corner Rectangles")</f>
        <v>Number Of Corner Rectangles</v>
      </c>
      <c r="C1947" s="1">
        <v>632</v>
      </c>
      <c r="D1947" s="1">
        <v>92</v>
      </c>
      <c r="E1947" s="3">
        <f t="shared" si="14"/>
        <v>0.8729281767955801</v>
      </c>
      <c r="F1947" s="1" t="s">
        <v>829</v>
      </c>
      <c r="G1947" s="1" t="s">
        <v>24</v>
      </c>
      <c r="H1947" s="1">
        <v>40158</v>
      </c>
      <c r="I1947" s="1">
        <v>59185</v>
      </c>
      <c r="J1947" s="7">
        <v>0.67900000000000005</v>
      </c>
      <c r="K1947" s="1" t="s">
        <v>29</v>
      </c>
      <c r="L1947" s="1" t="s">
        <v>21</v>
      </c>
      <c r="M1947" s="1" t="s">
        <v>29</v>
      </c>
      <c r="N1947" s="1" t="s">
        <v>22</v>
      </c>
      <c r="O1947" s="1" t="str">
        <f t="shared" ca="1" si="15"/>
        <v>Please solve the LeetCode problem '750. Number Of Corner Rectangles'.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48" spans="1:15" x14ac:dyDescent="0.25">
      <c r="A1948" s="1">
        <v>1403</v>
      </c>
      <c r="B1948" s="2" t="str">
        <f>HYPERLINK("https://leetcode.com/problems/minimum-subsequence-in-non-increasing-order/", "Minimum Subsequence in Non-Increasing Order")</f>
        <v>Minimum Subsequence in Non-Increasing Order</v>
      </c>
      <c r="C1948" s="1">
        <v>632</v>
      </c>
      <c r="D1948" s="1">
        <v>512</v>
      </c>
      <c r="E1948" s="3">
        <f t="shared" si="14"/>
        <v>0.55244755244755239</v>
      </c>
      <c r="F1948" s="1" t="s">
        <v>169</v>
      </c>
      <c r="G1948" s="1" t="s">
        <v>20</v>
      </c>
      <c r="H1948" s="1">
        <v>89174</v>
      </c>
      <c r="I1948" s="1">
        <v>121344</v>
      </c>
      <c r="J1948" s="7">
        <v>0.73499999999999999</v>
      </c>
      <c r="K1948" s="1" t="s">
        <v>21</v>
      </c>
      <c r="L1948" s="1" t="s">
        <v>29</v>
      </c>
      <c r="M1948" s="1" t="s">
        <v>29</v>
      </c>
      <c r="N1948" s="1" t="s">
        <v>22</v>
      </c>
      <c r="O1948" s="1" t="str">
        <f t="shared" ca="1" si="15"/>
        <v>Please solve the LeetCode problem '1403. Minimum Subsequence in Non-Increasing Order'.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49" spans="1:15" x14ac:dyDescent="0.25">
      <c r="A1949" s="1">
        <v>3304</v>
      </c>
      <c r="B1949" s="2" t="str">
        <f>HYPERLINK("https://leetcode.com/problems/find-the-k-th-character-in-string-game-i/", "Find the K-th Character in String Game I")</f>
        <v>Find the K-th Character in String Game I</v>
      </c>
      <c r="C1949" s="1">
        <v>632</v>
      </c>
      <c r="D1949" s="1">
        <v>135</v>
      </c>
      <c r="E1949" s="3">
        <f t="shared" si="14"/>
        <v>0.82398956975228166</v>
      </c>
      <c r="F1949" s="1" t="s">
        <v>825</v>
      </c>
      <c r="G1949" s="1" t="s">
        <v>20</v>
      </c>
      <c r="H1949" s="1">
        <v>208335</v>
      </c>
      <c r="I1949" s="1">
        <v>255200</v>
      </c>
      <c r="J1949" s="7">
        <v>0.81599999999999995</v>
      </c>
      <c r="K1949" s="1" t="s">
        <v>21</v>
      </c>
      <c r="L1949" s="1" t="s">
        <v>21</v>
      </c>
      <c r="M1949" s="1" t="s">
        <v>29</v>
      </c>
      <c r="N1949" s="1" t="s">
        <v>22</v>
      </c>
      <c r="O1949" s="1" t="str">
        <f t="shared" ca="1" si="15"/>
        <v>Please solve the LeetCode problem '3304. Find the K-th Character in String Game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50" spans="1:15" x14ac:dyDescent="0.25">
      <c r="A1950" s="1">
        <v>246</v>
      </c>
      <c r="B1950" s="2" t="str">
        <f>HYPERLINK("https://leetcode.com/problems/strobogrammatic-number/", "Strobogrammatic Number")</f>
        <v>Strobogrammatic Number</v>
      </c>
      <c r="C1950" s="1">
        <v>631</v>
      </c>
      <c r="D1950" s="1">
        <v>1050</v>
      </c>
      <c r="E1950" s="3">
        <f t="shared" si="14"/>
        <v>0.37537180249851276</v>
      </c>
      <c r="F1950" s="1" t="s">
        <v>832</v>
      </c>
      <c r="G1950" s="1" t="s">
        <v>20</v>
      </c>
      <c r="H1950" s="1">
        <v>209517</v>
      </c>
      <c r="I1950" s="1">
        <v>440432</v>
      </c>
      <c r="J1950" s="7">
        <v>0.47599999999999998</v>
      </c>
      <c r="K1950" s="1" t="s">
        <v>29</v>
      </c>
      <c r="L1950" s="1" t="s">
        <v>21</v>
      </c>
      <c r="M1950" s="1" t="s">
        <v>21</v>
      </c>
      <c r="N1950" s="1" t="s">
        <v>22</v>
      </c>
      <c r="O1950" s="1" t="str">
        <f t="shared" ca="1" si="15"/>
        <v>Please solve the LeetCode problem '246. Strobogrammatic Number'.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51" spans="1:15" x14ac:dyDescent="0.25">
      <c r="A1951" s="1">
        <v>471</v>
      </c>
      <c r="B1951" s="2" t="str">
        <f>HYPERLINK("https://leetcode.com/problems/encode-string-with-shortest-length/", "Encode String with Shortest Length")</f>
        <v>Encode String with Shortest Length</v>
      </c>
      <c r="C1951" s="1">
        <v>631</v>
      </c>
      <c r="D1951" s="1">
        <v>55</v>
      </c>
      <c r="E1951" s="3">
        <f t="shared" si="14"/>
        <v>0.91982507288629733</v>
      </c>
      <c r="F1951" s="1" t="s">
        <v>82</v>
      </c>
      <c r="G1951" s="1" t="s">
        <v>28</v>
      </c>
      <c r="H1951" s="1">
        <v>31969</v>
      </c>
      <c r="I1951" s="1">
        <v>63243</v>
      </c>
      <c r="J1951" s="7">
        <v>0.505</v>
      </c>
      <c r="K1951" s="1" t="s">
        <v>29</v>
      </c>
      <c r="L1951" s="1" t="s">
        <v>29</v>
      </c>
      <c r="M1951" s="1" t="s">
        <v>29</v>
      </c>
      <c r="N1951" s="1" t="s">
        <v>22</v>
      </c>
      <c r="O1951" s="1" t="str">
        <f t="shared" ca="1" si="15"/>
        <v>Please solve the LeetCode problem '471. Encode String with Shortest Length'.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52" spans="1:15" x14ac:dyDescent="0.25">
      <c r="A1952" s="1">
        <v>3066</v>
      </c>
      <c r="B1952" s="2" t="str">
        <f>HYPERLINK("https://leetcode.com/problems/minimum-operations-to-exceed-threshold-value-ii/", "Minimum Operations to Exceed Threshold Value II")</f>
        <v>Minimum Operations to Exceed Threshold Value II</v>
      </c>
      <c r="C1952" s="1">
        <v>629</v>
      </c>
      <c r="D1952" s="1">
        <v>70</v>
      </c>
      <c r="E1952" s="3">
        <f t="shared" si="14"/>
        <v>0.89985693848354797</v>
      </c>
      <c r="F1952" s="1" t="s">
        <v>751</v>
      </c>
      <c r="G1952" s="1" t="s">
        <v>24</v>
      </c>
      <c r="H1952" s="1">
        <v>188754</v>
      </c>
      <c r="I1952" s="1">
        <v>412104</v>
      </c>
      <c r="J1952" s="7">
        <v>0.45800000000000002</v>
      </c>
      <c r="K1952" s="1" t="s">
        <v>21</v>
      </c>
      <c r="L1952" s="1" t="s">
        <v>21</v>
      </c>
      <c r="M1952" s="1" t="s">
        <v>29</v>
      </c>
      <c r="N1952" s="1" t="s">
        <v>22</v>
      </c>
      <c r="O1952" s="1" t="str">
        <f t="shared" ca="1" si="15"/>
        <v>Please solve the LeetCode problem '3066. Minimum Operations to Exceed Threshold Value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53" spans="1:15" x14ac:dyDescent="0.25">
      <c r="A1953" s="1">
        <v>3163</v>
      </c>
      <c r="B1953" s="2" t="str">
        <f>HYPERLINK("https://leetcode.com/problems/string-compression-iii/", "String Compression III")</f>
        <v>String Compression III</v>
      </c>
      <c r="C1953" s="1">
        <v>629</v>
      </c>
      <c r="D1953" s="1">
        <v>54</v>
      </c>
      <c r="E1953" s="3">
        <f t="shared" si="14"/>
        <v>0.92093704245973651</v>
      </c>
      <c r="F1953" s="1" t="s">
        <v>146</v>
      </c>
      <c r="G1953" s="1" t="s">
        <v>24</v>
      </c>
      <c r="H1953" s="1">
        <v>199578</v>
      </c>
      <c r="I1953" s="1">
        <v>297927</v>
      </c>
      <c r="J1953" s="7">
        <v>0.67</v>
      </c>
      <c r="K1953" s="1" t="s">
        <v>21</v>
      </c>
      <c r="L1953" s="1" t="s">
        <v>21</v>
      </c>
      <c r="M1953" s="1" t="s">
        <v>29</v>
      </c>
      <c r="N1953" s="1" t="s">
        <v>22</v>
      </c>
      <c r="O1953" s="1" t="str">
        <f t="shared" ca="1" si="15"/>
        <v>Please solve the LeetCode problem '3163. String Compression III'.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54" spans="1:15" x14ac:dyDescent="0.25">
      <c r="A1954" s="1">
        <v>3243</v>
      </c>
      <c r="B1954" s="2" t="str">
        <f>HYPERLINK("https://leetcode.com/problems/shortest-distance-after-road-addition-queries-i/", "Shortest Distance After Road Addition Queries I")</f>
        <v>Shortest Distance After Road Addition Queries I</v>
      </c>
      <c r="C1954" s="1">
        <v>629</v>
      </c>
      <c r="D1954" s="1">
        <v>29</v>
      </c>
      <c r="E1954" s="3">
        <f t="shared" si="14"/>
        <v>0.95592705167173253</v>
      </c>
      <c r="F1954" s="1" t="s">
        <v>774</v>
      </c>
      <c r="G1954" s="1" t="s">
        <v>24</v>
      </c>
      <c r="H1954" s="1">
        <v>115350</v>
      </c>
      <c r="I1954" s="1">
        <v>186506</v>
      </c>
      <c r="J1954" s="7">
        <v>0.61799999999999999</v>
      </c>
      <c r="K1954" s="1" t="s">
        <v>21</v>
      </c>
      <c r="L1954" s="1" t="s">
        <v>21</v>
      </c>
      <c r="M1954" s="1" t="s">
        <v>29</v>
      </c>
      <c r="N1954" s="1" t="s">
        <v>22</v>
      </c>
      <c r="O1954" s="1" t="str">
        <f t="shared" ca="1" si="15"/>
        <v>Please solve the LeetCode problem '3243. Shortest Distance After Road Addition Queries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55" spans="1:15" x14ac:dyDescent="0.25">
      <c r="A1955" s="1">
        <v>294</v>
      </c>
      <c r="B1955" s="2" t="str">
        <f>HYPERLINK("https://leetcode.com/problems/flip-game-ii/", "Flip Game II")</f>
        <v>Flip Game II</v>
      </c>
      <c r="C1955" s="1">
        <v>628</v>
      </c>
      <c r="D1955" s="1">
        <v>67</v>
      </c>
      <c r="E1955" s="3">
        <f t="shared" si="14"/>
        <v>0.90359712230215827</v>
      </c>
      <c r="F1955" s="1" t="s">
        <v>834</v>
      </c>
      <c r="G1955" s="1" t="s">
        <v>24</v>
      </c>
      <c r="H1955" s="1">
        <v>75325</v>
      </c>
      <c r="I1955" s="1">
        <v>144158</v>
      </c>
      <c r="J1955" s="7">
        <v>0.52300000000000002</v>
      </c>
      <c r="K1955" s="1" t="s">
        <v>29</v>
      </c>
      <c r="L1955" s="1" t="s">
        <v>29</v>
      </c>
      <c r="M1955" s="1" t="s">
        <v>29</v>
      </c>
      <c r="N1955" s="1" t="s">
        <v>22</v>
      </c>
      <c r="O1955" s="1" t="str">
        <f t="shared" ca="1" si="15"/>
        <v>Please solve the LeetCode problem '294. Flip Game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56" spans="1:15" x14ac:dyDescent="0.25">
      <c r="A1956" s="1">
        <v>1363</v>
      </c>
      <c r="B1956" s="2" t="str">
        <f>HYPERLINK("https://leetcode.com/problems/largest-multiple-of-three/", "Largest Multiple of Three")</f>
        <v>Largest Multiple of Three</v>
      </c>
      <c r="C1956" s="1">
        <v>628</v>
      </c>
      <c r="D1956" s="1">
        <v>91</v>
      </c>
      <c r="E1956" s="3">
        <f t="shared" si="14"/>
        <v>0.87343532684283731</v>
      </c>
      <c r="F1956" s="1" t="s">
        <v>835</v>
      </c>
      <c r="G1956" s="1" t="s">
        <v>28</v>
      </c>
      <c r="H1956" s="1">
        <v>25631</v>
      </c>
      <c r="I1956" s="1">
        <v>77468</v>
      </c>
      <c r="J1956" s="7">
        <v>0.33100000000000002</v>
      </c>
      <c r="K1956" s="1" t="s">
        <v>21</v>
      </c>
      <c r="L1956" s="1" t="s">
        <v>29</v>
      </c>
      <c r="M1956" s="1" t="s">
        <v>29</v>
      </c>
      <c r="N1956" s="1" t="s">
        <v>22</v>
      </c>
      <c r="O1956" s="1" t="str">
        <f t="shared" ca="1" si="15"/>
        <v>Please solve the LeetCode problem '1363. Largest Multiple of Three'.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57" spans="1:15" x14ac:dyDescent="0.25">
      <c r="A1957" s="1">
        <v>1891</v>
      </c>
      <c r="B1957" s="2" t="str">
        <f>HYPERLINK("https://leetcode.com/problems/cutting-ribbons/", "Cutting Ribbons")</f>
        <v>Cutting Ribbons</v>
      </c>
      <c r="C1957" s="1">
        <v>628</v>
      </c>
      <c r="D1957" s="1">
        <v>70</v>
      </c>
      <c r="E1957" s="3">
        <f t="shared" si="14"/>
        <v>0.89971346704871058</v>
      </c>
      <c r="F1957" s="1" t="s">
        <v>35</v>
      </c>
      <c r="G1957" s="1" t="s">
        <v>24</v>
      </c>
      <c r="H1957" s="1">
        <v>87040</v>
      </c>
      <c r="I1957" s="1">
        <v>164310</v>
      </c>
      <c r="J1957" s="7">
        <v>0.53</v>
      </c>
      <c r="K1957" s="1" t="s">
        <v>29</v>
      </c>
      <c r="L1957" s="1" t="s">
        <v>21</v>
      </c>
      <c r="M1957" s="1" t="s">
        <v>29</v>
      </c>
      <c r="N1957" s="1" t="s">
        <v>22</v>
      </c>
      <c r="O1957" s="1" t="str">
        <f t="shared" ca="1" si="15"/>
        <v>Please solve the LeetCode problem '1891. Cutting Ribbons'.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58" spans="1:15" x14ac:dyDescent="0.25">
      <c r="A1958" s="1">
        <v>1982</v>
      </c>
      <c r="B1958" s="2" t="str">
        <f>HYPERLINK("https://leetcode.com/problems/find-array-given-subset-sums/", "Find Array Given Subset Sums")</f>
        <v>Find Array Given Subset Sums</v>
      </c>
      <c r="C1958" s="1">
        <v>628</v>
      </c>
      <c r="D1958" s="1">
        <v>44</v>
      </c>
      <c r="E1958" s="3">
        <f t="shared" si="14"/>
        <v>0.93452380952380953</v>
      </c>
      <c r="F1958" s="1" t="s">
        <v>830</v>
      </c>
      <c r="G1958" s="1" t="s">
        <v>28</v>
      </c>
      <c r="H1958" s="1">
        <v>7498</v>
      </c>
      <c r="I1958" s="1">
        <v>15234</v>
      </c>
      <c r="J1958" s="7">
        <v>0.49199999999999999</v>
      </c>
      <c r="K1958" s="1" t="s">
        <v>21</v>
      </c>
      <c r="L1958" s="1" t="s">
        <v>29</v>
      </c>
      <c r="M1958" s="1" t="s">
        <v>29</v>
      </c>
      <c r="N1958" s="1" t="s">
        <v>22</v>
      </c>
      <c r="O1958" s="1" t="str">
        <f t="shared" ca="1" si="15"/>
        <v>Please solve the LeetCode problem '1982. Find Array Given Subset Sums'.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59" spans="1:15" x14ac:dyDescent="0.25">
      <c r="A1959" s="1">
        <v>2043</v>
      </c>
      <c r="B1959" s="2" t="str">
        <f>HYPERLINK("https://leetcode.com/problems/simple-bank-system/", "Simple Bank System")</f>
        <v>Simple Bank System</v>
      </c>
      <c r="C1959" s="1">
        <v>626</v>
      </c>
      <c r="D1959" s="1">
        <v>316</v>
      </c>
      <c r="E1959" s="3">
        <f t="shared" si="14"/>
        <v>0.66454352441613584</v>
      </c>
      <c r="F1959" s="1" t="s">
        <v>833</v>
      </c>
      <c r="G1959" s="1" t="s">
        <v>24</v>
      </c>
      <c r="H1959" s="1">
        <v>168738</v>
      </c>
      <c r="I1959" s="1">
        <v>241245</v>
      </c>
      <c r="J1959" s="7">
        <v>0.69899999999999995</v>
      </c>
      <c r="K1959" s="1" t="s">
        <v>21</v>
      </c>
      <c r="L1959" s="1" t="s">
        <v>21</v>
      </c>
      <c r="M1959" s="1" t="s">
        <v>29</v>
      </c>
      <c r="N1959" s="1" t="s">
        <v>22</v>
      </c>
      <c r="O1959" s="1" t="str">
        <f t="shared" ca="1" si="15"/>
        <v>Please solve the LeetCode problem '2043. Simple Bank System'.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60" spans="1:15" x14ac:dyDescent="0.25">
      <c r="A1960" s="1">
        <v>2713</v>
      </c>
      <c r="B1960" s="2" t="str">
        <f>HYPERLINK("https://leetcode.com/problems/maximum-strictly-increasing-cells-in-a-matrix/", "Maximum Strictly Increasing Cells in a Matrix")</f>
        <v>Maximum Strictly Increasing Cells in a Matrix</v>
      </c>
      <c r="C1960" s="1">
        <v>625</v>
      </c>
      <c r="D1960" s="1">
        <v>22</v>
      </c>
      <c r="E1960" s="3">
        <f t="shared" si="14"/>
        <v>0.96599690880989186</v>
      </c>
      <c r="F1960" s="1" t="s">
        <v>836</v>
      </c>
      <c r="G1960" s="1" t="s">
        <v>28</v>
      </c>
      <c r="H1960" s="1">
        <v>16234</v>
      </c>
      <c r="I1960" s="1">
        <v>51973</v>
      </c>
      <c r="J1960" s="7">
        <v>0.312</v>
      </c>
      <c r="K1960" s="1" t="s">
        <v>21</v>
      </c>
      <c r="L1960" s="1" t="s">
        <v>29</v>
      </c>
      <c r="M1960" s="1" t="s">
        <v>29</v>
      </c>
      <c r="N1960" s="1" t="s">
        <v>22</v>
      </c>
      <c r="O1960" s="1" t="str">
        <f t="shared" ca="1" si="15"/>
        <v>Please solve the LeetCode problem '2713. Maximum Strictly Increasing Cells in a Matrix'.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61" spans="1:15" x14ac:dyDescent="0.25">
      <c r="A1961" s="1">
        <v>1952</v>
      </c>
      <c r="B1961" s="2" t="str">
        <f>HYPERLINK("https://leetcode.com/problems/three-divisors/", "Three Divisors")</f>
        <v>Three Divisors</v>
      </c>
      <c r="C1961" s="1">
        <v>624</v>
      </c>
      <c r="D1961" s="1">
        <v>35</v>
      </c>
      <c r="E1961" s="3">
        <f t="shared" si="14"/>
        <v>0.94688922610015169</v>
      </c>
      <c r="F1961" s="1" t="s">
        <v>812</v>
      </c>
      <c r="G1961" s="1" t="s">
        <v>20</v>
      </c>
      <c r="H1961" s="1">
        <v>127151</v>
      </c>
      <c r="I1961" s="1">
        <v>199585</v>
      </c>
      <c r="J1961" s="7">
        <v>0.63700000000000001</v>
      </c>
      <c r="K1961" s="1" t="s">
        <v>21</v>
      </c>
      <c r="L1961" s="1" t="s">
        <v>29</v>
      </c>
      <c r="M1961" s="1" t="s">
        <v>29</v>
      </c>
      <c r="N1961" s="1" t="s">
        <v>22</v>
      </c>
      <c r="O1961" s="1" t="str">
        <f t="shared" ca="1" si="15"/>
        <v>Please solve the LeetCode problem '1952. Three Divisors'.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62" spans="1:15" x14ac:dyDescent="0.25">
      <c r="A1962" s="1">
        <v>2376</v>
      </c>
      <c r="B1962" s="2" t="str">
        <f>HYPERLINK("https://leetcode.com/problems/count-special-integers/", "Count Special Integers")</f>
        <v>Count Special Integers</v>
      </c>
      <c r="C1962" s="1">
        <v>624</v>
      </c>
      <c r="D1962" s="1">
        <v>35</v>
      </c>
      <c r="E1962" s="3">
        <f t="shared" si="14"/>
        <v>0.94688922610015169</v>
      </c>
      <c r="F1962" s="1" t="s">
        <v>250</v>
      </c>
      <c r="G1962" s="1" t="s">
        <v>28</v>
      </c>
      <c r="H1962" s="1">
        <v>16395</v>
      </c>
      <c r="I1962" s="1">
        <v>39502</v>
      </c>
      <c r="J1962" s="7">
        <v>0.41499999999999998</v>
      </c>
      <c r="K1962" s="1" t="s">
        <v>21</v>
      </c>
      <c r="L1962" s="1" t="s">
        <v>29</v>
      </c>
      <c r="M1962" s="1" t="s">
        <v>29</v>
      </c>
      <c r="N1962" s="1" t="s">
        <v>22</v>
      </c>
      <c r="O1962" s="1" t="str">
        <f t="shared" ca="1" si="15"/>
        <v>Please solve the LeetCode problem '2376. Count Special Integers'.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63" spans="1:15" x14ac:dyDescent="0.25">
      <c r="A1963" s="1">
        <v>3234</v>
      </c>
      <c r="B1963" s="2" t="str">
        <f>HYPERLINK("https://leetcode.com/problems/count-the-number-of-substrings-with-dominant-ones/", "Count the Number of Substrings With Dominant Ones")</f>
        <v>Count the Number of Substrings With Dominant Ones</v>
      </c>
      <c r="C1963" s="1">
        <v>624</v>
      </c>
      <c r="D1963" s="1">
        <v>168</v>
      </c>
      <c r="E1963" s="3">
        <f t="shared" si="14"/>
        <v>0.78787878787878785</v>
      </c>
      <c r="F1963" s="1" t="s">
        <v>831</v>
      </c>
      <c r="G1963" s="1" t="s">
        <v>24</v>
      </c>
      <c r="H1963" s="1">
        <v>63908</v>
      </c>
      <c r="I1963" s="1">
        <v>151427</v>
      </c>
      <c r="J1963" s="7">
        <v>0.42199999999999999</v>
      </c>
      <c r="K1963" s="1" t="s">
        <v>21</v>
      </c>
      <c r="L1963" s="1" t="s">
        <v>21</v>
      </c>
      <c r="M1963" s="1" t="s">
        <v>29</v>
      </c>
      <c r="N1963" s="1" t="s">
        <v>22</v>
      </c>
      <c r="O1963" s="1" t="str">
        <f t="shared" ca="1" si="15"/>
        <v>Please solve the LeetCode problem '3234. Count the Number of Substrings With Dominant Ones'.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64" spans="1:15" x14ac:dyDescent="0.25">
      <c r="A1964" s="1">
        <v>748</v>
      </c>
      <c r="B1964" s="2" t="str">
        <f>HYPERLINK("https://leetcode.com/problems/shortest-completing-word/", "Shortest Completing Word")</f>
        <v>Shortest Completing Word</v>
      </c>
      <c r="C1964" s="1">
        <v>623</v>
      </c>
      <c r="D1964" s="1">
        <v>1130</v>
      </c>
      <c r="E1964" s="3">
        <f t="shared" si="14"/>
        <v>0.35539075869937248</v>
      </c>
      <c r="F1964" s="1" t="s">
        <v>258</v>
      </c>
      <c r="G1964" s="1" t="s">
        <v>20</v>
      </c>
      <c r="H1964" s="1">
        <v>104908</v>
      </c>
      <c r="I1964" s="1">
        <v>167760</v>
      </c>
      <c r="J1964" s="7">
        <v>0.625</v>
      </c>
      <c r="K1964" s="1" t="s">
        <v>21</v>
      </c>
      <c r="L1964" s="1" t="s">
        <v>21</v>
      </c>
      <c r="M1964" s="1" t="s">
        <v>29</v>
      </c>
      <c r="N1964" s="1" t="s">
        <v>22</v>
      </c>
      <c r="O1964" s="1" t="str">
        <f t="shared" ca="1" si="15"/>
        <v>Please solve the LeetCode problem '748. Shortest Completing Word'.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65" spans="1:15" x14ac:dyDescent="0.25">
      <c r="A1965" s="1">
        <v>760</v>
      </c>
      <c r="B1965" s="2" t="str">
        <f>HYPERLINK("https://leetcode.com/problems/find-anagram-mappings/", "Find Anagram Mappings")</f>
        <v>Find Anagram Mappings</v>
      </c>
      <c r="C1965" s="1">
        <v>623</v>
      </c>
      <c r="D1965" s="1">
        <v>233</v>
      </c>
      <c r="E1965" s="3">
        <f t="shared" si="14"/>
        <v>0.72780373831775702</v>
      </c>
      <c r="F1965" s="1" t="s">
        <v>19</v>
      </c>
      <c r="G1965" s="1" t="s">
        <v>20</v>
      </c>
      <c r="H1965" s="1">
        <v>111143</v>
      </c>
      <c r="I1965" s="1">
        <v>132375</v>
      </c>
      <c r="J1965" s="7">
        <v>0.84</v>
      </c>
      <c r="K1965" s="1" t="s">
        <v>29</v>
      </c>
      <c r="L1965" s="1" t="s">
        <v>21</v>
      </c>
      <c r="M1965" s="1" t="s">
        <v>21</v>
      </c>
      <c r="N1965" s="1" t="s">
        <v>22</v>
      </c>
      <c r="O1965" s="1" t="str">
        <f t="shared" ca="1" si="15"/>
        <v>Please solve the LeetCode problem '760. Find Anagram Mappings'.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66" spans="1:15" x14ac:dyDescent="0.25">
      <c r="A1966" s="1">
        <v>1835</v>
      </c>
      <c r="B1966" s="2" t="str">
        <f>HYPERLINK("https://leetcode.com/problems/find-xor-sum-of-all-pairs-bitwise-and/", "Find XOR Sum of All Pairs Bitwise AND")</f>
        <v>Find XOR Sum of All Pairs Bitwise AND</v>
      </c>
      <c r="C1966" s="1">
        <v>623</v>
      </c>
      <c r="D1966" s="1">
        <v>51</v>
      </c>
      <c r="E1966" s="3">
        <f t="shared" si="14"/>
        <v>0.92433234421364985</v>
      </c>
      <c r="F1966" s="1" t="s">
        <v>456</v>
      </c>
      <c r="G1966" s="1" t="s">
        <v>28</v>
      </c>
      <c r="H1966" s="1">
        <v>25478</v>
      </c>
      <c r="I1966" s="1">
        <v>40941</v>
      </c>
      <c r="J1966" s="7">
        <v>0.622</v>
      </c>
      <c r="K1966" s="1" t="s">
        <v>21</v>
      </c>
      <c r="L1966" s="1" t="s">
        <v>29</v>
      </c>
      <c r="M1966" s="1" t="s">
        <v>29</v>
      </c>
      <c r="N1966" s="1" t="s">
        <v>22</v>
      </c>
      <c r="O1966" s="1" t="str">
        <f t="shared" ca="1" si="15"/>
        <v>Please solve the LeetCode problem '1835. Find XOR Sum of All Pairs Bitwise AND'.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67" spans="1:15" x14ac:dyDescent="0.25">
      <c r="A1967" s="1">
        <v>1725</v>
      </c>
      <c r="B1967" s="2" t="str">
        <f>HYPERLINK("https://leetcode.com/problems/number-of-rectangles-that-can-form-the-largest-square/", "Number Of Rectangles That Can Form The Largest Square")</f>
        <v>Number Of Rectangles That Can Form The Largest Square</v>
      </c>
      <c r="C1967" s="1">
        <v>622</v>
      </c>
      <c r="D1967" s="1">
        <v>75</v>
      </c>
      <c r="E1967" s="3">
        <f t="shared" si="14"/>
        <v>0.8923959827833573</v>
      </c>
      <c r="F1967" s="1" t="s">
        <v>113</v>
      </c>
      <c r="G1967" s="1" t="s">
        <v>20</v>
      </c>
      <c r="H1967" s="1">
        <v>84996</v>
      </c>
      <c r="I1967" s="1">
        <v>107191</v>
      </c>
      <c r="J1967" s="7">
        <v>0.79300000000000004</v>
      </c>
      <c r="K1967" s="1" t="s">
        <v>21</v>
      </c>
      <c r="L1967" s="1" t="s">
        <v>29</v>
      </c>
      <c r="M1967" s="1" t="s">
        <v>29</v>
      </c>
      <c r="N1967" s="1" t="s">
        <v>22</v>
      </c>
      <c r="O1967" s="1" t="str">
        <f t="shared" ca="1" si="15"/>
        <v>Please solve the LeetCode problem '1725. Number Of Rectangles That Can Form The Largest Square'.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68" spans="1:15" x14ac:dyDescent="0.25">
      <c r="A1968" s="1">
        <v>1693</v>
      </c>
      <c r="B1968" s="2" t="str">
        <f>HYPERLINK("https://leetcode.com/problems/daily-leads-and-partners/", "Daily Leads and Partners")</f>
        <v>Daily Leads and Partners</v>
      </c>
      <c r="C1968" s="1">
        <v>621</v>
      </c>
      <c r="D1968" s="1">
        <v>35</v>
      </c>
      <c r="E1968" s="3">
        <f t="shared" si="14"/>
        <v>0.94664634146341464</v>
      </c>
      <c r="F1968" s="1" t="s">
        <v>297</v>
      </c>
      <c r="G1968" s="1" t="s">
        <v>20</v>
      </c>
      <c r="H1968" s="1">
        <v>195641</v>
      </c>
      <c r="I1968" s="1">
        <v>225744</v>
      </c>
      <c r="J1968" s="7">
        <v>0.86699999999999999</v>
      </c>
      <c r="K1968" s="1" t="s">
        <v>21</v>
      </c>
      <c r="L1968" s="1" t="s">
        <v>21</v>
      </c>
      <c r="M1968" s="1" t="s">
        <v>29</v>
      </c>
      <c r="N1968" s="1" t="s">
        <v>297</v>
      </c>
      <c r="O1968" s="1" t="str">
        <f t="shared" ca="1" si="15"/>
        <v>Please solve the LeetCode problem '1693. Daily Leads and Partners'.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69" spans="1:15" x14ac:dyDescent="0.25">
      <c r="A1969" s="1">
        <v>3394</v>
      </c>
      <c r="B1969" s="2" t="str">
        <f>HYPERLINK("https://leetcode.com/problems/check-if-grid-can-be-cut-into-sections/", "Check if Grid can be Cut into Sections")</f>
        <v>Check if Grid can be Cut into Sections</v>
      </c>
      <c r="C1969" s="1">
        <v>621</v>
      </c>
      <c r="D1969" s="1">
        <v>37</v>
      </c>
      <c r="E1969" s="3">
        <f t="shared" si="14"/>
        <v>0.94376899696048633</v>
      </c>
      <c r="F1969" s="1" t="s">
        <v>42</v>
      </c>
      <c r="G1969" s="1" t="s">
        <v>24</v>
      </c>
      <c r="H1969" s="1">
        <v>112596</v>
      </c>
      <c r="I1969" s="1">
        <v>164925</v>
      </c>
      <c r="J1969" s="7">
        <v>0.68300000000000005</v>
      </c>
      <c r="K1969" s="1" t="s">
        <v>21</v>
      </c>
      <c r="L1969" s="1" t="s">
        <v>21</v>
      </c>
      <c r="M1969" s="1" t="s">
        <v>29</v>
      </c>
      <c r="N1969" s="1" t="s">
        <v>22</v>
      </c>
      <c r="O1969" s="1" t="str">
        <f t="shared" ca="1" si="15"/>
        <v>Please solve the LeetCode problem '3394. Check if Grid can be Cut into Sections'.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70" spans="1:15" x14ac:dyDescent="0.25">
      <c r="A1970" s="1">
        <v>1610</v>
      </c>
      <c r="B1970" s="2" t="str">
        <f>HYPERLINK("https://leetcode.com/problems/maximum-number-of-visible-points/", "Maximum Number of Visible Points")</f>
        <v>Maximum Number of Visible Points</v>
      </c>
      <c r="C1970" s="1">
        <v>620</v>
      </c>
      <c r="D1970" s="1">
        <v>766</v>
      </c>
      <c r="E1970" s="3">
        <f t="shared" si="14"/>
        <v>0.44733044733044736</v>
      </c>
      <c r="F1970" s="1" t="s">
        <v>837</v>
      </c>
      <c r="G1970" s="1" t="s">
        <v>28</v>
      </c>
      <c r="H1970" s="1">
        <v>51379</v>
      </c>
      <c r="I1970" s="1">
        <v>135701</v>
      </c>
      <c r="J1970" s="7">
        <v>0.379</v>
      </c>
      <c r="K1970" s="1" t="s">
        <v>21</v>
      </c>
      <c r="L1970" s="1" t="s">
        <v>29</v>
      </c>
      <c r="M1970" s="1" t="s">
        <v>29</v>
      </c>
      <c r="N1970" s="1" t="s">
        <v>22</v>
      </c>
      <c r="O1970" s="1" t="str">
        <f t="shared" ca="1" si="15"/>
        <v>Please solve the LeetCode problem '1610. Maximum Number of Visible Points'.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71" spans="1:15" x14ac:dyDescent="0.25">
      <c r="A1971" s="1">
        <v>2997</v>
      </c>
      <c r="B1971" s="2" t="str">
        <f>HYPERLINK("https://leetcode.com/problems/minimum-number-of-operations-to-make-array-xor-equal-to-k/", "Minimum Number of Operations to Make Array XOR Equal to K")</f>
        <v>Minimum Number of Operations to Make Array XOR Equal to K</v>
      </c>
      <c r="C1971" s="1">
        <v>619</v>
      </c>
      <c r="D1971" s="1">
        <v>60</v>
      </c>
      <c r="E1971" s="3">
        <f t="shared" si="14"/>
        <v>0.91163475699558172</v>
      </c>
      <c r="F1971" s="1" t="s">
        <v>65</v>
      </c>
      <c r="G1971" s="1" t="s">
        <v>24</v>
      </c>
      <c r="H1971" s="1">
        <v>121926</v>
      </c>
      <c r="I1971" s="1">
        <v>142691</v>
      </c>
      <c r="J1971" s="7">
        <v>0.85399999999999998</v>
      </c>
      <c r="K1971" s="1" t="s">
        <v>21</v>
      </c>
      <c r="L1971" s="1" t="s">
        <v>21</v>
      </c>
      <c r="M1971" s="1" t="s">
        <v>29</v>
      </c>
      <c r="N1971" s="1" t="s">
        <v>22</v>
      </c>
      <c r="O1971" s="1" t="str">
        <f t="shared" ca="1" si="15"/>
        <v>Please solve the LeetCode problem '2997. Minimum Number of Operations to Make Array XOR Equal to K'.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72" spans="1:15" x14ac:dyDescent="0.25">
      <c r="A1972" s="1">
        <v>1417</v>
      </c>
      <c r="B1972" s="2" t="str">
        <f>HYPERLINK("https://leetcode.com/problems/reformat-the-string/", "Reformat The String")</f>
        <v>Reformat The String</v>
      </c>
      <c r="C1972" s="1">
        <v>618</v>
      </c>
      <c r="D1972" s="1">
        <v>109</v>
      </c>
      <c r="E1972" s="3">
        <f t="shared" si="14"/>
        <v>0.85006877579092155</v>
      </c>
      <c r="F1972" s="1" t="s">
        <v>146</v>
      </c>
      <c r="G1972" s="1" t="s">
        <v>20</v>
      </c>
      <c r="H1972" s="1">
        <v>70426</v>
      </c>
      <c r="I1972" s="1">
        <v>135135</v>
      </c>
      <c r="J1972" s="7">
        <v>0.52100000000000002</v>
      </c>
      <c r="K1972" s="1" t="s">
        <v>21</v>
      </c>
      <c r="L1972" s="1" t="s">
        <v>29</v>
      </c>
      <c r="M1972" s="1" t="s">
        <v>29</v>
      </c>
      <c r="N1972" s="1" t="s">
        <v>22</v>
      </c>
      <c r="O1972" s="1" t="str">
        <f t="shared" ca="1" si="15"/>
        <v>Please solve the LeetCode problem '1417. Reformat The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73" spans="1:15" x14ac:dyDescent="0.25">
      <c r="A1973" s="1">
        <v>1864</v>
      </c>
      <c r="B1973" s="2" t="str">
        <f>HYPERLINK("https://leetcode.com/problems/minimum-number-of-swaps-to-make-the-binary-string-alternating/", "Minimum Number of Swaps to Make the Binary String Alternating")</f>
        <v>Minimum Number of Swaps to Make the Binary String Alternating</v>
      </c>
      <c r="C1973" s="1">
        <v>618</v>
      </c>
      <c r="D1973" s="1">
        <v>38</v>
      </c>
      <c r="E1973" s="3">
        <f t="shared" si="14"/>
        <v>0.94207317073170727</v>
      </c>
      <c r="F1973" s="1" t="s">
        <v>424</v>
      </c>
      <c r="G1973" s="1" t="s">
        <v>24</v>
      </c>
      <c r="H1973" s="1">
        <v>34841</v>
      </c>
      <c r="I1973" s="1">
        <v>79584</v>
      </c>
      <c r="J1973" s="7">
        <v>0.438</v>
      </c>
      <c r="K1973" s="1" t="s">
        <v>21</v>
      </c>
      <c r="L1973" s="1" t="s">
        <v>29</v>
      </c>
      <c r="M1973" s="1" t="s">
        <v>29</v>
      </c>
      <c r="N1973" s="1" t="s">
        <v>22</v>
      </c>
      <c r="O1973" s="1" t="str">
        <f t="shared" ca="1" si="15"/>
        <v>Please solve the LeetCode problem '1864. Minimum Number of Swaps to Make the Binary String Alternating'.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74" spans="1:15" x14ac:dyDescent="0.25">
      <c r="A1974" s="1">
        <v>2276</v>
      </c>
      <c r="B1974" s="2" t="str">
        <f>HYPERLINK("https://leetcode.com/problems/count-integers-in-intervals/", "Count Integers in Intervals")</f>
        <v>Count Integers in Intervals</v>
      </c>
      <c r="C1974" s="1">
        <v>618</v>
      </c>
      <c r="D1974" s="1">
        <v>64</v>
      </c>
      <c r="E1974" s="3">
        <f t="shared" si="14"/>
        <v>0.90615835777126097</v>
      </c>
      <c r="F1974" s="1" t="s">
        <v>562</v>
      </c>
      <c r="G1974" s="1" t="s">
        <v>28</v>
      </c>
      <c r="H1974" s="1">
        <v>28003</v>
      </c>
      <c r="I1974" s="1">
        <v>78775</v>
      </c>
      <c r="J1974" s="7">
        <v>0.35499999999999998</v>
      </c>
      <c r="K1974" s="1" t="s">
        <v>21</v>
      </c>
      <c r="L1974" s="1" t="s">
        <v>29</v>
      </c>
      <c r="M1974" s="1" t="s">
        <v>29</v>
      </c>
      <c r="N1974" s="1" t="s">
        <v>22</v>
      </c>
      <c r="O1974" s="1" t="str">
        <f t="shared" ca="1" si="15"/>
        <v>Please solve the LeetCode problem '2276. Count Integers in Intervals'.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75" spans="1:15" x14ac:dyDescent="0.25">
      <c r="A1975" s="1">
        <v>2608</v>
      </c>
      <c r="B1975" s="2" t="str">
        <f>HYPERLINK("https://leetcode.com/problems/shortest-cycle-in-a-graph/", "Shortest Cycle in a Graph")</f>
        <v>Shortest Cycle in a Graph</v>
      </c>
      <c r="C1975" s="1">
        <v>618</v>
      </c>
      <c r="D1975" s="1">
        <v>19</v>
      </c>
      <c r="E1975" s="3">
        <f t="shared" si="14"/>
        <v>0.97017268445839877</v>
      </c>
      <c r="F1975" s="1" t="s">
        <v>331</v>
      </c>
      <c r="G1975" s="1" t="s">
        <v>28</v>
      </c>
      <c r="H1975" s="1">
        <v>28915</v>
      </c>
      <c r="I1975" s="1">
        <v>74401</v>
      </c>
      <c r="J1975" s="7">
        <v>0.38900000000000001</v>
      </c>
      <c r="K1975" s="1" t="s">
        <v>21</v>
      </c>
      <c r="L1975" s="1" t="s">
        <v>29</v>
      </c>
      <c r="M1975" s="1" t="s">
        <v>29</v>
      </c>
      <c r="N1975" s="1" t="s">
        <v>22</v>
      </c>
      <c r="O1975" s="1" t="str">
        <f t="shared" ca="1" si="15"/>
        <v>Please solve the LeetCode problem '2608. Shortest Cycle in a Graph'.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76" spans="1:15" x14ac:dyDescent="0.25">
      <c r="A1976" s="1">
        <v>2365</v>
      </c>
      <c r="B1976" s="2" t="str">
        <f>HYPERLINK("https://leetcode.com/problems/task-scheduler-ii/", "Task Scheduler II")</f>
        <v>Task Scheduler II</v>
      </c>
      <c r="C1976" s="1">
        <v>617</v>
      </c>
      <c r="D1976" s="1">
        <v>73</v>
      </c>
      <c r="E1976" s="3">
        <f t="shared" si="14"/>
        <v>0.89420289855072466</v>
      </c>
      <c r="F1976" s="1" t="s">
        <v>736</v>
      </c>
      <c r="G1976" s="1" t="s">
        <v>24</v>
      </c>
      <c r="H1976" s="1">
        <v>55595</v>
      </c>
      <c r="I1976" s="1">
        <v>101833</v>
      </c>
      <c r="J1976" s="7">
        <v>0.54600000000000004</v>
      </c>
      <c r="K1976" s="1" t="s">
        <v>21</v>
      </c>
      <c r="L1976" s="1" t="s">
        <v>29</v>
      </c>
      <c r="M1976" s="1" t="s">
        <v>29</v>
      </c>
      <c r="N1976" s="1" t="s">
        <v>22</v>
      </c>
      <c r="O1976" s="1" t="str">
        <f t="shared" ca="1" si="15"/>
        <v>Please solve the LeetCode problem '2365. Task Scheduler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77" spans="1:15" x14ac:dyDescent="0.25">
      <c r="A1977" s="1">
        <v>1213</v>
      </c>
      <c r="B1977" s="2" t="str">
        <f>HYPERLINK("https://leetcode.com/problems/intersection-of-three-sorted-arrays/", "Intersection of Three Sorted Arrays")</f>
        <v>Intersection of Three Sorted Arrays</v>
      </c>
      <c r="C1977" s="1">
        <v>616</v>
      </c>
      <c r="D1977" s="1">
        <v>26</v>
      </c>
      <c r="E1977" s="3">
        <f t="shared" si="14"/>
        <v>0.95950155763239875</v>
      </c>
      <c r="F1977" s="1" t="s">
        <v>840</v>
      </c>
      <c r="G1977" s="1" t="s">
        <v>20</v>
      </c>
      <c r="H1977" s="1">
        <v>102313</v>
      </c>
      <c r="I1977" s="1">
        <v>127860</v>
      </c>
      <c r="J1977" s="7">
        <v>0.8</v>
      </c>
      <c r="K1977" s="1" t="s">
        <v>29</v>
      </c>
      <c r="L1977" s="1" t="s">
        <v>21</v>
      </c>
      <c r="M1977" s="1" t="s">
        <v>29</v>
      </c>
      <c r="N1977" s="1" t="s">
        <v>22</v>
      </c>
      <c r="O1977" s="1" t="str">
        <f t="shared" ca="1" si="15"/>
        <v>Please solve the LeetCode problem '1213. Intersection of Three Sorted Arrays'.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78" spans="1:15" x14ac:dyDescent="0.25">
      <c r="A1978" s="1">
        <v>1948</v>
      </c>
      <c r="B1978" s="2" t="str">
        <f>HYPERLINK("https://leetcode.com/problems/delete-duplicate-folders-in-system/", "Delete Duplicate Folders in System")</f>
        <v>Delete Duplicate Folders in System</v>
      </c>
      <c r="C1978" s="1">
        <v>616</v>
      </c>
      <c r="D1978" s="1">
        <v>141</v>
      </c>
      <c r="E1978" s="3">
        <f t="shared" si="14"/>
        <v>0.81373844121532368</v>
      </c>
      <c r="F1978" s="1" t="s">
        <v>839</v>
      </c>
      <c r="G1978" s="1" t="s">
        <v>28</v>
      </c>
      <c r="H1978" s="1">
        <v>67438</v>
      </c>
      <c r="I1978" s="1">
        <v>86686</v>
      </c>
      <c r="J1978" s="7">
        <v>0.77800000000000002</v>
      </c>
      <c r="K1978" s="1" t="s">
        <v>21</v>
      </c>
      <c r="L1978" s="1" t="s">
        <v>21</v>
      </c>
      <c r="M1978" s="1" t="s">
        <v>29</v>
      </c>
      <c r="N1978" s="1" t="s">
        <v>22</v>
      </c>
      <c r="O1978" s="1" t="str">
        <f t="shared" ca="1" si="15"/>
        <v>Please solve the LeetCode problem '1948. Delete Duplicate Folders in System'.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79" spans="1:15" x14ac:dyDescent="0.25">
      <c r="A1979" s="1">
        <v>2354</v>
      </c>
      <c r="B1979" s="2" t="str">
        <f>HYPERLINK("https://leetcode.com/problems/number-of-excellent-pairs/", "Number of Excellent Pairs")</f>
        <v>Number of Excellent Pairs</v>
      </c>
      <c r="C1979" s="1">
        <v>616</v>
      </c>
      <c r="D1979" s="1">
        <v>25</v>
      </c>
      <c r="E1979" s="3">
        <f t="shared" si="14"/>
        <v>0.96099843993759748</v>
      </c>
      <c r="F1979" s="1" t="s">
        <v>838</v>
      </c>
      <c r="G1979" s="1" t="s">
        <v>28</v>
      </c>
      <c r="H1979" s="1">
        <v>18158</v>
      </c>
      <c r="I1979" s="1">
        <v>37158</v>
      </c>
      <c r="J1979" s="7">
        <v>0.48899999999999999</v>
      </c>
      <c r="K1979" s="1" t="s">
        <v>21</v>
      </c>
      <c r="L1979" s="1" t="s">
        <v>29</v>
      </c>
      <c r="M1979" s="1" t="s">
        <v>29</v>
      </c>
      <c r="N1979" s="1" t="s">
        <v>22</v>
      </c>
      <c r="O1979" s="1" t="str">
        <f t="shared" ca="1" si="15"/>
        <v>Please solve the LeetCode problem '2354. Number of Excellent Pairs'.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80" spans="1:15" x14ac:dyDescent="0.25">
      <c r="A1980" s="1">
        <v>1665</v>
      </c>
      <c r="B1980" s="2" t="str">
        <f>HYPERLINK("https://leetcode.com/problems/minimum-initial-energy-to-finish-tasks/", "Minimum Initial Energy to Finish Tasks")</f>
        <v>Minimum Initial Energy to Finish Tasks</v>
      </c>
      <c r="C1980" s="1">
        <v>614</v>
      </c>
      <c r="D1980" s="1">
        <v>40</v>
      </c>
      <c r="E1980" s="3">
        <f t="shared" si="14"/>
        <v>0.9388379204892966</v>
      </c>
      <c r="F1980" s="1" t="s">
        <v>169</v>
      </c>
      <c r="G1980" s="1" t="s">
        <v>28</v>
      </c>
      <c r="H1980" s="1">
        <v>22743</v>
      </c>
      <c r="I1980" s="1">
        <v>37542</v>
      </c>
      <c r="J1980" s="7">
        <v>0.60599999999999998</v>
      </c>
      <c r="K1980" s="1" t="s">
        <v>21</v>
      </c>
      <c r="L1980" s="1" t="s">
        <v>29</v>
      </c>
      <c r="M1980" s="1" t="s">
        <v>29</v>
      </c>
      <c r="N1980" s="1" t="s">
        <v>22</v>
      </c>
      <c r="O1980" s="1" t="str">
        <f t="shared" ca="1" si="15"/>
        <v>Please solve the LeetCode problem '1665. Minimum Initial Energy to Finish Tasks'.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81" spans="1:15" x14ac:dyDescent="0.25">
      <c r="A1981" s="1">
        <v>2943</v>
      </c>
      <c r="B1981" s="2" t="str">
        <f>HYPERLINK("https://leetcode.com/problems/maximize-area-of-square-hole-in-grid/", "Maximize Area of Square Hole in Grid")</f>
        <v>Maximize Area of Square Hole in Grid</v>
      </c>
      <c r="C1981" s="1">
        <v>614</v>
      </c>
      <c r="D1981" s="1">
        <v>275</v>
      </c>
      <c r="E1981" s="3">
        <f t="shared" si="14"/>
        <v>0.69066366704161974</v>
      </c>
      <c r="F1981" s="1" t="s">
        <v>42</v>
      </c>
      <c r="G1981" s="1" t="s">
        <v>24</v>
      </c>
      <c r="H1981" s="1">
        <v>94663</v>
      </c>
      <c r="I1981" s="1">
        <v>152901</v>
      </c>
      <c r="J1981" s="7">
        <v>0.61899999999999999</v>
      </c>
      <c r="K1981" s="1" t="s">
        <v>21</v>
      </c>
      <c r="L1981" s="1" t="s">
        <v>21</v>
      </c>
      <c r="M1981" s="1" t="s">
        <v>29</v>
      </c>
      <c r="N1981" s="1" t="s">
        <v>22</v>
      </c>
      <c r="O1981" s="1" t="str">
        <f t="shared" ca="1" si="15"/>
        <v>Please solve the LeetCode problem '2943. Maximize Area of Square Hole in Grid'.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82" spans="1:15" x14ac:dyDescent="0.25">
      <c r="A1982" s="1">
        <v>2170</v>
      </c>
      <c r="B1982" s="2" t="str">
        <f>HYPERLINK("https://leetcode.com/problems/minimum-operations-to-make-the-array-alternating/", "Minimum Operations to Make the Array Alternating")</f>
        <v>Minimum Operations to Make the Array Alternating</v>
      </c>
      <c r="C1982" s="1">
        <v>612</v>
      </c>
      <c r="D1982" s="1">
        <v>344</v>
      </c>
      <c r="E1982" s="3">
        <f t="shared" si="14"/>
        <v>0.64016736401673635</v>
      </c>
      <c r="F1982" s="1" t="s">
        <v>389</v>
      </c>
      <c r="G1982" s="1" t="s">
        <v>24</v>
      </c>
      <c r="H1982" s="1">
        <v>28792</v>
      </c>
      <c r="I1982" s="1">
        <v>81912</v>
      </c>
      <c r="J1982" s="7">
        <v>0.35099999999999998</v>
      </c>
      <c r="K1982" s="1" t="s">
        <v>21</v>
      </c>
      <c r="L1982" s="1" t="s">
        <v>29</v>
      </c>
      <c r="M1982" s="1" t="s">
        <v>29</v>
      </c>
      <c r="N1982" s="1" t="s">
        <v>22</v>
      </c>
      <c r="O1982" s="1" t="str">
        <f t="shared" ca="1" si="15"/>
        <v>Please solve the LeetCode problem '2170. Minimum Operations to Make the Array Alternating'.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83" spans="1:15" x14ac:dyDescent="0.25">
      <c r="A1983" s="1">
        <v>2166</v>
      </c>
      <c r="B1983" s="2" t="str">
        <f>HYPERLINK("https://leetcode.com/problems/design-bitset/", "Design Bitset")</f>
        <v>Design Bitset</v>
      </c>
      <c r="C1983" s="1">
        <v>611</v>
      </c>
      <c r="D1983" s="1">
        <v>49</v>
      </c>
      <c r="E1983" s="3">
        <f t="shared" si="14"/>
        <v>0.92575757575757578</v>
      </c>
      <c r="F1983" s="1" t="s">
        <v>843</v>
      </c>
      <c r="G1983" s="1" t="s">
        <v>24</v>
      </c>
      <c r="H1983" s="1">
        <v>27569</v>
      </c>
      <c r="I1983" s="1">
        <v>84962</v>
      </c>
      <c r="J1983" s="7">
        <v>0.32400000000000001</v>
      </c>
      <c r="K1983" s="1" t="s">
        <v>21</v>
      </c>
      <c r="L1983" s="1" t="s">
        <v>29</v>
      </c>
      <c r="M1983" s="1" t="s">
        <v>29</v>
      </c>
      <c r="N1983" s="1" t="s">
        <v>22</v>
      </c>
      <c r="O1983" s="1" t="str">
        <f t="shared" ca="1" si="15"/>
        <v>Please solve the LeetCode problem '2166. Design Bitset'.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84" spans="1:15" x14ac:dyDescent="0.25">
      <c r="A1984" s="1">
        <v>2334</v>
      </c>
      <c r="B1984" s="2" t="str">
        <f>HYPERLINK("https://leetcode.com/problems/subarray-with-elements-greater-than-varying-threshold/", "Subarray With Elements Greater Than Varying Threshold")</f>
        <v>Subarray With Elements Greater Than Varying Threshold</v>
      </c>
      <c r="C1984" s="1">
        <v>611</v>
      </c>
      <c r="D1984" s="1">
        <v>11</v>
      </c>
      <c r="E1984" s="3">
        <f t="shared" si="14"/>
        <v>0.98231511254019288</v>
      </c>
      <c r="F1984" s="1" t="s">
        <v>845</v>
      </c>
      <c r="G1984" s="1" t="s">
        <v>28</v>
      </c>
      <c r="H1984" s="1">
        <v>17331</v>
      </c>
      <c r="I1984" s="1">
        <v>38432</v>
      </c>
      <c r="J1984" s="7">
        <v>0.45100000000000001</v>
      </c>
      <c r="K1984" s="1" t="s">
        <v>21</v>
      </c>
      <c r="L1984" s="1" t="s">
        <v>29</v>
      </c>
      <c r="M1984" s="1" t="s">
        <v>29</v>
      </c>
      <c r="N1984" s="1" t="s">
        <v>22</v>
      </c>
      <c r="O1984" s="1" t="str">
        <f t="shared" ca="1" si="15"/>
        <v>Please solve the LeetCode problem '2334. Subarray With Elements Greater Than Varying Threshold'.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85" spans="1:15" x14ac:dyDescent="0.25">
      <c r="A1985" s="1">
        <v>2781</v>
      </c>
      <c r="B1985" s="2" t="str">
        <f>HYPERLINK("https://leetcode.com/problems/length-of-the-longest-valid-substring/", "Length of the Longest Valid Substring")</f>
        <v>Length of the Longest Valid Substring</v>
      </c>
      <c r="C1985" s="1">
        <v>610</v>
      </c>
      <c r="D1985" s="1">
        <v>32</v>
      </c>
      <c r="E1985" s="3">
        <f t="shared" si="14"/>
        <v>0.95015576323987538</v>
      </c>
      <c r="F1985" s="1" t="s">
        <v>842</v>
      </c>
      <c r="G1985" s="1" t="s">
        <v>28</v>
      </c>
      <c r="H1985" s="1">
        <v>38003</v>
      </c>
      <c r="I1985" s="1">
        <v>99663</v>
      </c>
      <c r="J1985" s="7">
        <v>0.38100000000000001</v>
      </c>
      <c r="K1985" s="1" t="s">
        <v>21</v>
      </c>
      <c r="L1985" s="1" t="s">
        <v>29</v>
      </c>
      <c r="M1985" s="1" t="s">
        <v>29</v>
      </c>
      <c r="N1985" s="1" t="s">
        <v>22</v>
      </c>
      <c r="O1985" s="1" t="str">
        <f t="shared" ca="1" si="15"/>
        <v>Please solve the LeetCode problem '2781. Length of the Longest Valid Substring'.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86" spans="1:15" x14ac:dyDescent="0.25">
      <c r="A1986" s="1">
        <v>3335</v>
      </c>
      <c r="B1986" s="2" t="str">
        <f>HYPERLINK("https://leetcode.com/problems/total-characters-in-string-after-transformations-i/", "Total Characters in String After Transformations I")</f>
        <v>Total Characters in String After Transformations I</v>
      </c>
      <c r="C1986" s="1">
        <v>610</v>
      </c>
      <c r="D1986" s="1">
        <v>46</v>
      </c>
      <c r="E1986" s="3">
        <f t="shared" si="14"/>
        <v>0.92987804878048785</v>
      </c>
      <c r="F1986" s="1" t="s">
        <v>844</v>
      </c>
      <c r="G1986" s="1" t="s">
        <v>24</v>
      </c>
      <c r="H1986" s="1">
        <v>116377</v>
      </c>
      <c r="I1986" s="1">
        <v>254662</v>
      </c>
      <c r="J1986" s="7">
        <v>0.45700000000000002</v>
      </c>
      <c r="K1986" s="1" t="s">
        <v>21</v>
      </c>
      <c r="L1986" s="1" t="s">
        <v>21</v>
      </c>
      <c r="M1986" s="1" t="s">
        <v>29</v>
      </c>
      <c r="N1986" s="1" t="s">
        <v>22</v>
      </c>
      <c r="O1986" s="1" t="str">
        <f t="shared" ca="1" si="15"/>
        <v>Please solve the LeetCode problem '3335. Total Characters in String After Transformations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87" spans="1:15" x14ac:dyDescent="0.25">
      <c r="A1987" s="1">
        <v>2571</v>
      </c>
      <c r="B1987" s="2" t="str">
        <f>HYPERLINK("https://leetcode.com/problems/minimum-operations-to-reduce-an-integer-to-0/", "Minimum Operations to Reduce an Integer to 0")</f>
        <v>Minimum Operations to Reduce an Integer to 0</v>
      </c>
      <c r="C1987" s="1">
        <v>609</v>
      </c>
      <c r="D1987" s="1">
        <v>197</v>
      </c>
      <c r="E1987" s="3">
        <f t="shared" si="14"/>
        <v>0.75558312655086846</v>
      </c>
      <c r="F1987" s="1" t="s">
        <v>841</v>
      </c>
      <c r="G1987" s="1" t="s">
        <v>24</v>
      </c>
      <c r="H1987" s="1">
        <v>48119</v>
      </c>
      <c r="I1987" s="1">
        <v>79583</v>
      </c>
      <c r="J1987" s="7">
        <v>0.60499999999999998</v>
      </c>
      <c r="K1987" s="1" t="s">
        <v>21</v>
      </c>
      <c r="L1987" s="1" t="s">
        <v>29</v>
      </c>
      <c r="M1987" s="1" t="s">
        <v>29</v>
      </c>
      <c r="N1987" s="1" t="s">
        <v>22</v>
      </c>
      <c r="O1987" s="1" t="str">
        <f t="shared" ca="1" si="15"/>
        <v>Please solve the LeetCode problem '2571. Minimum Operations to Reduce an Integer to 0'.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88" spans="1:15" x14ac:dyDescent="0.25">
      <c r="A1988" s="1">
        <v>1754</v>
      </c>
      <c r="B1988" s="2" t="str">
        <f>HYPERLINK("https://leetcode.com/problems/largest-merge-of-two-strings/", "Largest Merge Of Two Strings")</f>
        <v>Largest Merge Of Two Strings</v>
      </c>
      <c r="C1988" s="1">
        <v>608</v>
      </c>
      <c r="D1988" s="1">
        <v>87</v>
      </c>
      <c r="E1988" s="3">
        <f t="shared" si="14"/>
        <v>0.87482014388489204</v>
      </c>
      <c r="F1988" s="1" t="s">
        <v>158</v>
      </c>
      <c r="G1988" s="1" t="s">
        <v>24</v>
      </c>
      <c r="H1988" s="1">
        <v>33473</v>
      </c>
      <c r="I1988" s="1">
        <v>62997</v>
      </c>
      <c r="J1988" s="7">
        <v>0.53100000000000003</v>
      </c>
      <c r="K1988" s="1" t="s">
        <v>21</v>
      </c>
      <c r="L1988" s="1" t="s">
        <v>29</v>
      </c>
      <c r="M1988" s="1" t="s">
        <v>29</v>
      </c>
      <c r="N1988" s="1" t="s">
        <v>22</v>
      </c>
      <c r="O1988" s="1" t="str">
        <f t="shared" ca="1" si="15"/>
        <v>Please solve the LeetCode problem '1754. Largest Merge Of Two Strings'.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89" spans="1:15" x14ac:dyDescent="0.25">
      <c r="A1989" s="1">
        <v>2395</v>
      </c>
      <c r="B1989" s="2" t="str">
        <f>HYPERLINK("https://leetcode.com/problems/find-subarrays-with-equal-sum/", "Find Subarrays With Equal Sum")</f>
        <v>Find Subarrays With Equal Sum</v>
      </c>
      <c r="C1989" s="1">
        <v>608</v>
      </c>
      <c r="D1989" s="1">
        <v>33</v>
      </c>
      <c r="E1989" s="3">
        <f t="shared" si="14"/>
        <v>0.94851794071762874</v>
      </c>
      <c r="F1989" s="1" t="s">
        <v>19</v>
      </c>
      <c r="G1989" s="1" t="s">
        <v>20</v>
      </c>
      <c r="H1989" s="1">
        <v>70232</v>
      </c>
      <c r="I1989" s="1">
        <v>105142</v>
      </c>
      <c r="J1989" s="7">
        <v>0.66800000000000004</v>
      </c>
      <c r="K1989" s="1" t="s">
        <v>21</v>
      </c>
      <c r="L1989" s="1" t="s">
        <v>29</v>
      </c>
      <c r="M1989" s="1" t="s">
        <v>29</v>
      </c>
      <c r="N1989" s="1" t="s">
        <v>22</v>
      </c>
      <c r="O1989" s="1" t="str">
        <f t="shared" ca="1" si="15"/>
        <v>Please solve the LeetCode problem '2395. Find Subarrays With Equal Sum'.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90" spans="1:15" x14ac:dyDescent="0.25">
      <c r="A1990" s="1">
        <v>2453</v>
      </c>
      <c r="B1990" s="2" t="str">
        <f>HYPERLINK("https://leetcode.com/problems/destroy-sequential-targets/", "Destroy Sequential Targets")</f>
        <v>Destroy Sequential Targets</v>
      </c>
      <c r="C1990" s="1">
        <v>608</v>
      </c>
      <c r="D1990" s="1">
        <v>34</v>
      </c>
      <c r="E1990" s="3">
        <f t="shared" si="14"/>
        <v>0.9470404984423676</v>
      </c>
      <c r="F1990" s="1" t="s">
        <v>294</v>
      </c>
      <c r="G1990" s="1" t="s">
        <v>24</v>
      </c>
      <c r="H1990" s="1">
        <v>22680</v>
      </c>
      <c r="I1990" s="1">
        <v>54605</v>
      </c>
      <c r="J1990" s="7">
        <v>0.41499999999999998</v>
      </c>
      <c r="K1990" s="1" t="s">
        <v>21</v>
      </c>
      <c r="L1990" s="1" t="s">
        <v>29</v>
      </c>
      <c r="M1990" s="1" t="s">
        <v>29</v>
      </c>
      <c r="N1990" s="1" t="s">
        <v>22</v>
      </c>
      <c r="O1990" s="1" t="str">
        <f t="shared" ca="1" si="15"/>
        <v>Please solve the LeetCode problem '2453. Destroy Sequential Targets'.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91" spans="1:15" x14ac:dyDescent="0.25">
      <c r="A1991" s="1">
        <v>2531</v>
      </c>
      <c r="B1991" s="2" t="str">
        <f>HYPERLINK("https://leetcode.com/problems/make-number-of-distinct-characters-equal/", "Make Number of Distinct Characters Equal")</f>
        <v>Make Number of Distinct Characters Equal</v>
      </c>
      <c r="C1991" s="1">
        <v>608</v>
      </c>
      <c r="D1991" s="1">
        <v>159</v>
      </c>
      <c r="E1991" s="3">
        <f t="shared" si="14"/>
        <v>0.79269882659713164</v>
      </c>
      <c r="F1991" s="1" t="s">
        <v>237</v>
      </c>
      <c r="G1991" s="1" t="s">
        <v>24</v>
      </c>
      <c r="H1991" s="1">
        <v>23495</v>
      </c>
      <c r="I1991" s="1">
        <v>85794</v>
      </c>
      <c r="J1991" s="7">
        <v>0.27400000000000002</v>
      </c>
      <c r="K1991" s="1" t="s">
        <v>21</v>
      </c>
      <c r="L1991" s="1" t="s">
        <v>29</v>
      </c>
      <c r="M1991" s="1" t="s">
        <v>29</v>
      </c>
      <c r="N1991" s="1" t="s">
        <v>22</v>
      </c>
      <c r="O1991" s="1" t="str">
        <f t="shared" ca="1" si="15"/>
        <v>Please solve the LeetCode problem '2531. Make Number of Distinct Characters Equal'.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92" spans="1:15" x14ac:dyDescent="0.25">
      <c r="A1992" s="1">
        <v>2566</v>
      </c>
      <c r="B1992" s="2" t="str">
        <f>HYPERLINK("https://leetcode.com/problems/maximum-difference-by-remapping-a-digit/", "Maximum Difference by Remapping a Digit")</f>
        <v>Maximum Difference by Remapping a Digit</v>
      </c>
      <c r="C1992" s="1">
        <v>608</v>
      </c>
      <c r="D1992" s="1">
        <v>75</v>
      </c>
      <c r="E1992" s="3">
        <f t="shared" si="14"/>
        <v>0.89019033674963399</v>
      </c>
      <c r="F1992" s="1" t="s">
        <v>296</v>
      </c>
      <c r="G1992" s="1" t="s">
        <v>20</v>
      </c>
      <c r="H1992" s="1">
        <v>132154</v>
      </c>
      <c r="I1992" s="1">
        <v>173680</v>
      </c>
      <c r="J1992" s="7">
        <v>0.76100000000000001</v>
      </c>
      <c r="K1992" s="1" t="s">
        <v>21</v>
      </c>
      <c r="L1992" s="1" t="s">
        <v>21</v>
      </c>
      <c r="M1992" s="1" t="s">
        <v>29</v>
      </c>
      <c r="N1992" s="1" t="s">
        <v>22</v>
      </c>
      <c r="O1992" s="1" t="str">
        <f t="shared" ca="1" si="15"/>
        <v>Please solve the LeetCode problem '2566. Maximum Difference by Remapping a Digit'.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93" spans="1:15" x14ac:dyDescent="0.25">
      <c r="A1993" s="1">
        <v>444</v>
      </c>
      <c r="B1993" s="2" t="str">
        <f>HYPERLINK("https://leetcode.com/problems/sequence-reconstruction/", "Sequence Reconstruction")</f>
        <v>Sequence Reconstruction</v>
      </c>
      <c r="C1993" s="1">
        <v>607</v>
      </c>
      <c r="D1993" s="1">
        <v>1546</v>
      </c>
      <c r="E1993" s="3">
        <f t="shared" si="14"/>
        <v>0.28193218764514633</v>
      </c>
      <c r="F1993" s="1" t="s">
        <v>847</v>
      </c>
      <c r="G1993" s="1" t="s">
        <v>24</v>
      </c>
      <c r="H1993" s="1">
        <v>63583</v>
      </c>
      <c r="I1993" s="1">
        <v>209954</v>
      </c>
      <c r="J1993" s="7">
        <v>0.30299999999999999</v>
      </c>
      <c r="K1993" s="1" t="s">
        <v>29</v>
      </c>
      <c r="L1993" s="1" t="s">
        <v>29</v>
      </c>
      <c r="M1993" s="1" t="s">
        <v>29</v>
      </c>
      <c r="N1993" s="1" t="s">
        <v>22</v>
      </c>
      <c r="O1993" s="1" t="str">
        <f t="shared" ca="1" si="15"/>
        <v>Please solve the LeetCode problem '444. Sequence Reconstruction'.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94" spans="1:15" x14ac:dyDescent="0.25">
      <c r="A1994" s="1">
        <v>892</v>
      </c>
      <c r="B1994" s="2" t="str">
        <f>HYPERLINK("https://leetcode.com/problems/surface-area-of-3d-shapes/", "Surface Area of 3D Shapes")</f>
        <v>Surface Area of 3D Shapes</v>
      </c>
      <c r="C1994" s="1">
        <v>607</v>
      </c>
      <c r="D1994" s="1">
        <v>761</v>
      </c>
      <c r="E1994" s="3">
        <f t="shared" si="14"/>
        <v>0.44371345029239767</v>
      </c>
      <c r="F1994" s="1" t="s">
        <v>826</v>
      </c>
      <c r="G1994" s="1" t="s">
        <v>20</v>
      </c>
      <c r="H1994" s="1">
        <v>54679</v>
      </c>
      <c r="I1994" s="1">
        <v>77906</v>
      </c>
      <c r="J1994" s="7">
        <v>0.70199999999999996</v>
      </c>
      <c r="K1994" s="1" t="s">
        <v>21</v>
      </c>
      <c r="L1994" s="1" t="s">
        <v>21</v>
      </c>
      <c r="M1994" s="1" t="s">
        <v>29</v>
      </c>
      <c r="N1994" s="1" t="s">
        <v>22</v>
      </c>
      <c r="O1994" s="1" t="str">
        <f t="shared" ca="1" si="15"/>
        <v>Please solve the LeetCode problem '892. Surface Area of 3D Shapes'.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95" spans="1:15" x14ac:dyDescent="0.25">
      <c r="A1995" s="1">
        <v>1100</v>
      </c>
      <c r="B1995" s="2" t="str">
        <f>HYPERLINK("https://leetcode.com/problems/find-k-length-substrings-with-no-repeated-characters/", "Find K-Length Substrings With No Repeated Characters")</f>
        <v>Find K-Length Substrings With No Repeated Characters</v>
      </c>
      <c r="C1995" s="1">
        <v>606</v>
      </c>
      <c r="D1995" s="1">
        <v>11</v>
      </c>
      <c r="E1995" s="3">
        <f t="shared" si="14"/>
        <v>0.98217179902755269</v>
      </c>
      <c r="F1995" s="1" t="s">
        <v>23</v>
      </c>
      <c r="G1995" s="1" t="s">
        <v>24</v>
      </c>
      <c r="H1995" s="1">
        <v>55358</v>
      </c>
      <c r="I1995" s="1">
        <v>72450</v>
      </c>
      <c r="J1995" s="7">
        <v>0.76400000000000001</v>
      </c>
      <c r="K1995" s="1" t="s">
        <v>29</v>
      </c>
      <c r="L1995" s="1" t="s">
        <v>21</v>
      </c>
      <c r="M1995" s="1" t="s">
        <v>29</v>
      </c>
      <c r="N1995" s="1" t="s">
        <v>22</v>
      </c>
      <c r="O1995" s="1" t="str">
        <f t="shared" ca="1" si="15"/>
        <v>Please solve the LeetCode problem '1100. Find K-Length Substrings With No Repeated Characters'.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96" spans="1:15" x14ac:dyDescent="0.25">
      <c r="A1996" s="1">
        <v>1198</v>
      </c>
      <c r="B1996" s="2" t="str">
        <f>HYPERLINK("https://leetcode.com/problems/find-smallest-common-element-in-all-rows/", "Find Smallest Common Element in All Rows")</f>
        <v>Find Smallest Common Element in All Rows</v>
      </c>
      <c r="C1996" s="1">
        <v>606</v>
      </c>
      <c r="D1996" s="1">
        <v>34</v>
      </c>
      <c r="E1996" s="3">
        <f t="shared" si="14"/>
        <v>0.94687500000000002</v>
      </c>
      <c r="F1996" s="1" t="s">
        <v>850</v>
      </c>
      <c r="G1996" s="1" t="s">
        <v>24</v>
      </c>
      <c r="H1996" s="1">
        <v>54764</v>
      </c>
      <c r="I1996" s="1">
        <v>71328</v>
      </c>
      <c r="J1996" s="7">
        <v>0.76800000000000002</v>
      </c>
      <c r="K1996" s="1" t="s">
        <v>29</v>
      </c>
      <c r="L1996" s="1" t="s">
        <v>21</v>
      </c>
      <c r="M1996" s="1" t="s">
        <v>21</v>
      </c>
      <c r="N1996" s="1" t="s">
        <v>22</v>
      </c>
      <c r="O1996" s="1" t="str">
        <f t="shared" ca="1" si="15"/>
        <v>Please solve the LeetCode problem '1198. Find Smallest Common Element in All Rows'.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97" spans="1:15" x14ac:dyDescent="0.25">
      <c r="A1997" s="1">
        <v>1627</v>
      </c>
      <c r="B1997" s="2" t="str">
        <f>HYPERLINK("https://leetcode.com/problems/graph-connectivity-with-threshold/", "Graph Connectivity With Threshold")</f>
        <v>Graph Connectivity With Threshold</v>
      </c>
      <c r="C1997" s="1">
        <v>606</v>
      </c>
      <c r="D1997" s="1">
        <v>34</v>
      </c>
      <c r="E1997" s="3">
        <f t="shared" si="14"/>
        <v>0.94687500000000002</v>
      </c>
      <c r="F1997" s="1" t="s">
        <v>749</v>
      </c>
      <c r="G1997" s="1" t="s">
        <v>28</v>
      </c>
      <c r="H1997" s="1">
        <v>22901</v>
      </c>
      <c r="I1997" s="1">
        <v>46618</v>
      </c>
      <c r="J1997" s="7">
        <v>0.49099999999999999</v>
      </c>
      <c r="K1997" s="1" t="s">
        <v>21</v>
      </c>
      <c r="L1997" s="1" t="s">
        <v>29</v>
      </c>
      <c r="M1997" s="1" t="s">
        <v>29</v>
      </c>
      <c r="N1997" s="1" t="s">
        <v>22</v>
      </c>
      <c r="O1997" s="1" t="str">
        <f t="shared" ca="1" si="15"/>
        <v>Please solve the LeetCode problem '1627. Graph Connectivity With Threshold'.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98" spans="1:15" x14ac:dyDescent="0.25">
      <c r="A1998" s="1">
        <v>1880</v>
      </c>
      <c r="B1998" s="2" t="str">
        <f>HYPERLINK("https://leetcode.com/problems/check-if-word-equals-summation-of-two-words/", "Check if Word Equals Summation of Two Words")</f>
        <v>Check if Word Equals Summation of Two Words</v>
      </c>
      <c r="C1998" s="1">
        <v>606</v>
      </c>
      <c r="D1998" s="1">
        <v>42</v>
      </c>
      <c r="E1998" s="3">
        <f t="shared" si="14"/>
        <v>0.93518518518518523</v>
      </c>
      <c r="F1998" s="1" t="s">
        <v>146</v>
      </c>
      <c r="G1998" s="1" t="s">
        <v>20</v>
      </c>
      <c r="H1998" s="1">
        <v>81177</v>
      </c>
      <c r="I1998" s="1">
        <v>108085</v>
      </c>
      <c r="J1998" s="7">
        <v>0.751</v>
      </c>
      <c r="K1998" s="1" t="s">
        <v>21</v>
      </c>
      <c r="L1998" s="1" t="s">
        <v>29</v>
      </c>
      <c r="M1998" s="1" t="s">
        <v>29</v>
      </c>
      <c r="N1998" s="1" t="s">
        <v>22</v>
      </c>
      <c r="O1998" s="1" t="str">
        <f t="shared" ca="1" si="15"/>
        <v>Please solve the LeetCode problem '1880. Check if Word Equals Summation of Two Words'.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1999" spans="1:15" x14ac:dyDescent="0.25">
      <c r="A1999" s="1">
        <v>2363</v>
      </c>
      <c r="B1999" s="2" t="str">
        <f>HYPERLINK("https://leetcode.com/problems/merge-similar-items/", "Merge Similar Items")</f>
        <v>Merge Similar Items</v>
      </c>
      <c r="C1999" s="1">
        <v>606</v>
      </c>
      <c r="D1999" s="1">
        <v>30</v>
      </c>
      <c r="E1999" s="3">
        <f t="shared" si="14"/>
        <v>0.95283018867924529</v>
      </c>
      <c r="F1999" s="1" t="s">
        <v>848</v>
      </c>
      <c r="G1999" s="1" t="s">
        <v>20</v>
      </c>
      <c r="H1999" s="1">
        <v>77926</v>
      </c>
      <c r="I1999" s="1">
        <v>100835</v>
      </c>
      <c r="J1999" s="7">
        <v>0.77300000000000002</v>
      </c>
      <c r="K1999" s="1" t="s">
        <v>21</v>
      </c>
      <c r="L1999" s="1" t="s">
        <v>29</v>
      </c>
      <c r="M1999" s="1" t="s">
        <v>29</v>
      </c>
      <c r="N1999" s="1" t="s">
        <v>22</v>
      </c>
      <c r="O1999" s="1" t="str">
        <f t="shared" ca="1" si="15"/>
        <v>Please solve the LeetCode problem '2363. Merge Similar Items'.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00" spans="1:15" x14ac:dyDescent="0.25">
      <c r="A2000" s="1">
        <v>2186</v>
      </c>
      <c r="B2000" s="2" t="str">
        <f>HYPERLINK("https://leetcode.com/problems/minimum-number-of-steps-to-make-two-strings-anagram-ii/", "Minimum Number of Steps to Make Two Strings Anagram II")</f>
        <v>Minimum Number of Steps to Make Two Strings Anagram II</v>
      </c>
      <c r="C2000" s="1">
        <v>605</v>
      </c>
      <c r="D2000" s="1">
        <v>28</v>
      </c>
      <c r="E2000" s="3">
        <f t="shared" si="14"/>
        <v>0.95576619273301733</v>
      </c>
      <c r="F2000" s="1" t="s">
        <v>237</v>
      </c>
      <c r="G2000" s="1" t="s">
        <v>24</v>
      </c>
      <c r="H2000" s="1">
        <v>53027</v>
      </c>
      <c r="I2000" s="1">
        <v>72544</v>
      </c>
      <c r="J2000" s="7">
        <v>0.73099999999999998</v>
      </c>
      <c r="K2000" s="1" t="s">
        <v>21</v>
      </c>
      <c r="L2000" s="1" t="s">
        <v>29</v>
      </c>
      <c r="M2000" s="1" t="s">
        <v>29</v>
      </c>
      <c r="N2000" s="1" t="s">
        <v>22</v>
      </c>
      <c r="O2000" s="1" t="str">
        <f t="shared" ca="1" si="15"/>
        <v>Please solve the LeetCode problem '2186. Minimum Number of Steps to Make Two Strings Anagram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01" spans="1:15" x14ac:dyDescent="0.25">
      <c r="A2001" s="1">
        <v>2386</v>
      </c>
      <c r="B2001" s="2" t="str">
        <f>HYPERLINK("https://leetcode.com/problems/find-the-k-sum-of-an-array/", "Find the K-Sum of an Array")</f>
        <v>Find the K-Sum of an Array</v>
      </c>
      <c r="C2001" s="1">
        <v>605</v>
      </c>
      <c r="D2001" s="1">
        <v>25</v>
      </c>
      <c r="E2001" s="3">
        <f t="shared" si="14"/>
        <v>0.96031746031746035</v>
      </c>
      <c r="F2001" s="1" t="s">
        <v>350</v>
      </c>
      <c r="G2001" s="1" t="s">
        <v>28</v>
      </c>
      <c r="H2001" s="1">
        <v>13116</v>
      </c>
      <c r="I2001" s="1">
        <v>32172</v>
      </c>
      <c r="J2001" s="7">
        <v>0.40799999999999997</v>
      </c>
      <c r="K2001" s="1" t="s">
        <v>21</v>
      </c>
      <c r="L2001" s="1" t="s">
        <v>29</v>
      </c>
      <c r="M2001" s="1" t="s">
        <v>29</v>
      </c>
      <c r="N2001" s="1" t="s">
        <v>22</v>
      </c>
      <c r="O2001" s="1" t="str">
        <f t="shared" ca="1" si="15"/>
        <v>Please solve the LeetCode problem '2386. Find the K-Sum of an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02" spans="1:15" x14ac:dyDescent="0.25">
      <c r="A2002" s="1">
        <v>1169</v>
      </c>
      <c r="B2002" s="2" t="str">
        <f>HYPERLINK("https://leetcode.com/problems/invalid-transactions/", "Invalid Transactions")</f>
        <v>Invalid Transactions</v>
      </c>
      <c r="C2002" s="1">
        <v>604</v>
      </c>
      <c r="D2002" s="1">
        <v>2421</v>
      </c>
      <c r="E2002" s="3">
        <f t="shared" si="14"/>
        <v>0.1996694214876033</v>
      </c>
      <c r="F2002" s="1" t="s">
        <v>49</v>
      </c>
      <c r="G2002" s="1" t="s">
        <v>24</v>
      </c>
      <c r="H2002" s="1">
        <v>107116</v>
      </c>
      <c r="I2002" s="1">
        <v>335960</v>
      </c>
      <c r="J2002" s="7">
        <v>0.31900000000000001</v>
      </c>
      <c r="K2002" s="1" t="s">
        <v>21</v>
      </c>
      <c r="L2002" s="1" t="s">
        <v>29</v>
      </c>
      <c r="M2002" s="1" t="s">
        <v>29</v>
      </c>
      <c r="N2002" s="1" t="s">
        <v>22</v>
      </c>
      <c r="O2002" s="1" t="str">
        <f t="shared" ca="1" si="15"/>
        <v>Please solve the LeetCode problem '1169. Invalid Transactions'.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03" spans="1:15" x14ac:dyDescent="0.25">
      <c r="A2003" s="1">
        <v>2619</v>
      </c>
      <c r="B2003" s="2" t="str">
        <f>HYPERLINK("https://leetcode.com/problems/array-prototype-last/", "Array Prototype Last")</f>
        <v>Array Prototype Last</v>
      </c>
      <c r="C2003" s="1">
        <v>604</v>
      </c>
      <c r="D2003" s="1">
        <v>27</v>
      </c>
      <c r="E2003" s="3">
        <f t="shared" si="14"/>
        <v>0.9572107765451664</v>
      </c>
      <c r="G2003" s="1" t="s">
        <v>20</v>
      </c>
      <c r="H2003" s="1">
        <v>227893</v>
      </c>
      <c r="I2003" s="1">
        <v>305792</v>
      </c>
      <c r="J2003" s="7">
        <v>0.745</v>
      </c>
      <c r="K2003" s="1" t="s">
        <v>21</v>
      </c>
      <c r="L2003" s="1" t="s">
        <v>21</v>
      </c>
      <c r="M2003" s="1" t="s">
        <v>29</v>
      </c>
      <c r="N2003" s="1" t="s">
        <v>555</v>
      </c>
      <c r="O2003" s="1" t="str">
        <f t="shared" ca="1" si="15"/>
        <v>Please solve the LeetCode problem '2619. Array Prototype Last'.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04" spans="1:15" x14ac:dyDescent="0.25">
      <c r="A2004" s="1">
        <v>3542</v>
      </c>
      <c r="B2004" s="2" t="str">
        <f>HYPERLINK("https://leetcode.com/problems/minimum-operations-to-convert-all-elements-to-zero/", "Minimum Operations to Convert All Elements to Zero")</f>
        <v>Minimum Operations to Convert All Elements to Zero</v>
      </c>
      <c r="C2004" s="1">
        <v>604</v>
      </c>
      <c r="D2004" s="1">
        <v>64</v>
      </c>
      <c r="E2004" s="3">
        <f t="shared" si="14"/>
        <v>0.90419161676646709</v>
      </c>
      <c r="F2004" s="1" t="s">
        <v>846</v>
      </c>
      <c r="G2004" s="1" t="s">
        <v>24</v>
      </c>
      <c r="H2004" s="1">
        <v>85313</v>
      </c>
      <c r="I2004" s="1">
        <v>161217</v>
      </c>
      <c r="J2004" s="7">
        <v>0.52900000000000003</v>
      </c>
      <c r="K2004" s="1" t="s">
        <v>21</v>
      </c>
      <c r="L2004" s="1" t="s">
        <v>21</v>
      </c>
      <c r="M2004" s="1" t="s">
        <v>29</v>
      </c>
      <c r="N2004" s="1" t="s">
        <v>22</v>
      </c>
      <c r="O2004" s="1" t="str">
        <f t="shared" ca="1" si="15"/>
        <v>Please solve the LeetCode problem '3542. Minimum Operations to Convert All Elements to Zero'.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05" spans="1:15" x14ac:dyDescent="0.25">
      <c r="A2005" s="1">
        <v>157</v>
      </c>
      <c r="B2005" s="2" t="str">
        <f>HYPERLINK("https://leetcode.com/problems/read-n-characters-given-read4/", "Read N Characters Given Read4")</f>
        <v>Read N Characters Given Read4</v>
      </c>
      <c r="C2005" s="1">
        <v>603</v>
      </c>
      <c r="D2005" s="1">
        <v>3601</v>
      </c>
      <c r="E2005" s="3">
        <f t="shared" si="14"/>
        <v>0.14343482397716462</v>
      </c>
      <c r="F2005" s="1" t="s">
        <v>744</v>
      </c>
      <c r="G2005" s="1" t="s">
        <v>20</v>
      </c>
      <c r="H2005" s="1">
        <v>207890</v>
      </c>
      <c r="I2005" s="1">
        <v>489387</v>
      </c>
      <c r="J2005" s="7">
        <v>0.42499999999999999</v>
      </c>
      <c r="K2005" s="1" t="s">
        <v>29</v>
      </c>
      <c r="L2005" s="1" t="s">
        <v>21</v>
      </c>
      <c r="M2005" s="1" t="s">
        <v>29</v>
      </c>
      <c r="N2005" s="1" t="s">
        <v>22</v>
      </c>
      <c r="O2005" s="1" t="str">
        <f t="shared" ca="1" si="15"/>
        <v>Please solve the LeetCode problem '157. Read N Characters Given Read4'.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06" spans="1:15" x14ac:dyDescent="0.25">
      <c r="A2006" s="1">
        <v>1429</v>
      </c>
      <c r="B2006" s="2" t="str">
        <f>HYPERLINK("https://leetcode.com/problems/first-unique-number/", "First Unique Number")</f>
        <v>First Unique Number</v>
      </c>
      <c r="C2006" s="1">
        <v>603</v>
      </c>
      <c r="D2006" s="1">
        <v>35</v>
      </c>
      <c r="E2006" s="3">
        <f t="shared" si="14"/>
        <v>0.94514106583072099</v>
      </c>
      <c r="F2006" s="1" t="s">
        <v>851</v>
      </c>
      <c r="G2006" s="1" t="s">
        <v>24</v>
      </c>
      <c r="H2006" s="1">
        <v>108770</v>
      </c>
      <c r="I2006" s="1">
        <v>191388</v>
      </c>
      <c r="J2006" s="7">
        <v>0.56799999999999995</v>
      </c>
      <c r="K2006" s="1" t="s">
        <v>29</v>
      </c>
      <c r="L2006" s="1" t="s">
        <v>21</v>
      </c>
      <c r="M2006" s="1" t="s">
        <v>29</v>
      </c>
      <c r="N2006" s="1" t="s">
        <v>22</v>
      </c>
      <c r="O2006" s="1" t="str">
        <f t="shared" ca="1" si="15"/>
        <v>Please solve the LeetCode problem '1429. First Unique Number'.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07" spans="1:15" x14ac:dyDescent="0.25">
      <c r="A2007" s="1">
        <v>2484</v>
      </c>
      <c r="B2007" s="2" t="str">
        <f>HYPERLINK("https://leetcode.com/problems/count-palindromic-subsequences/", "Count Palindromic Subsequences")</f>
        <v>Count Palindromic Subsequences</v>
      </c>
      <c r="C2007" s="1">
        <v>603</v>
      </c>
      <c r="D2007" s="1">
        <v>31</v>
      </c>
      <c r="E2007" s="3">
        <f t="shared" si="14"/>
        <v>0.95110410094637221</v>
      </c>
      <c r="F2007" s="1" t="s">
        <v>82</v>
      </c>
      <c r="G2007" s="1" t="s">
        <v>28</v>
      </c>
      <c r="H2007" s="1">
        <v>20767</v>
      </c>
      <c r="I2007" s="1">
        <v>50808</v>
      </c>
      <c r="J2007" s="7">
        <v>0.40899999999999997</v>
      </c>
      <c r="K2007" s="1" t="s">
        <v>21</v>
      </c>
      <c r="L2007" s="1" t="s">
        <v>29</v>
      </c>
      <c r="M2007" s="1" t="s">
        <v>29</v>
      </c>
      <c r="N2007" s="1" t="s">
        <v>22</v>
      </c>
      <c r="O2007" s="1" t="str">
        <f t="shared" ca="1" si="15"/>
        <v>Please solve the LeetCode problem '2484. Count Palindromic Subsequences'.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08" spans="1:15" x14ac:dyDescent="0.25">
      <c r="A2008" s="1">
        <v>2918</v>
      </c>
      <c r="B2008" s="2" t="str">
        <f>HYPERLINK("https://leetcode.com/problems/minimum-equal-sum-of-two-arrays-after-replacing-zeros/", "Minimum Equal Sum of Two Arrays After Replacing Zeros")</f>
        <v>Minimum Equal Sum of Two Arrays After Replacing Zeros</v>
      </c>
      <c r="C2008" s="1">
        <v>602</v>
      </c>
      <c r="D2008" s="1">
        <v>55</v>
      </c>
      <c r="E2008" s="3">
        <f t="shared" si="14"/>
        <v>0.91628614916286144</v>
      </c>
      <c r="F2008" s="1" t="s">
        <v>96</v>
      </c>
      <c r="G2008" s="1" t="s">
        <v>24</v>
      </c>
      <c r="H2008" s="1">
        <v>142153</v>
      </c>
      <c r="I2008" s="1">
        <v>283136</v>
      </c>
      <c r="J2008" s="7">
        <v>0.502</v>
      </c>
      <c r="K2008" s="1" t="s">
        <v>21</v>
      </c>
      <c r="L2008" s="1" t="s">
        <v>21</v>
      </c>
      <c r="M2008" s="1" t="s">
        <v>29</v>
      </c>
      <c r="N2008" s="1" t="s">
        <v>22</v>
      </c>
      <c r="O2008" s="1" t="str">
        <f t="shared" ca="1" si="15"/>
        <v>Please solve the LeetCode problem '2918. Minimum Equal Sum of Two Arrays After Replacing Zeros'.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09" spans="1:15" x14ac:dyDescent="0.25">
      <c r="A2009" s="1">
        <v>3346</v>
      </c>
      <c r="B2009" s="2" t="str">
        <f>HYPERLINK("https://leetcode.com/problems/maximum-frequency-of-an-element-after-performing-operations-i/", "Maximum Frequency of an Element After Performing Operations I")</f>
        <v>Maximum Frequency of an Element After Performing Operations I</v>
      </c>
      <c r="C2009" s="1">
        <v>602</v>
      </c>
      <c r="D2009" s="1">
        <v>104</v>
      </c>
      <c r="E2009" s="3">
        <f t="shared" si="14"/>
        <v>0.85269121813031157</v>
      </c>
      <c r="F2009" s="1" t="s">
        <v>849</v>
      </c>
      <c r="G2009" s="1" t="s">
        <v>24</v>
      </c>
      <c r="H2009" s="1">
        <v>87587</v>
      </c>
      <c r="I2009" s="1">
        <v>218465</v>
      </c>
      <c r="J2009" s="7">
        <v>0.40100000000000002</v>
      </c>
      <c r="K2009" s="1" t="s">
        <v>21</v>
      </c>
      <c r="L2009" s="1" t="s">
        <v>21</v>
      </c>
      <c r="M2009" s="1" t="s">
        <v>29</v>
      </c>
      <c r="N2009" s="1" t="s">
        <v>22</v>
      </c>
      <c r="O2009" s="1" t="str">
        <f t="shared" ca="1" si="15"/>
        <v>Please solve the LeetCode problem '3346. Maximum Frequency of an Element After Performing Operations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10" spans="1:15" x14ac:dyDescent="0.25">
      <c r="A2010" s="1">
        <v>2188</v>
      </c>
      <c r="B2010" s="2" t="str">
        <f>HYPERLINK("https://leetcode.com/problems/minimum-time-to-finish-the-race/", "Minimum Time to Finish the Race")</f>
        <v>Minimum Time to Finish the Race</v>
      </c>
      <c r="C2010" s="1">
        <v>601</v>
      </c>
      <c r="D2010" s="1">
        <v>29</v>
      </c>
      <c r="E2010" s="3">
        <f t="shared" si="14"/>
        <v>0.95396825396825402</v>
      </c>
      <c r="F2010" s="1" t="s">
        <v>30</v>
      </c>
      <c r="G2010" s="1" t="s">
        <v>28</v>
      </c>
      <c r="H2010" s="1">
        <v>14969</v>
      </c>
      <c r="I2010" s="1">
        <v>34821</v>
      </c>
      <c r="J2010" s="7">
        <v>0.43</v>
      </c>
      <c r="K2010" s="1" t="s">
        <v>21</v>
      </c>
      <c r="L2010" s="1" t="s">
        <v>29</v>
      </c>
      <c r="M2010" s="1" t="s">
        <v>29</v>
      </c>
      <c r="N2010" s="1" t="s">
        <v>22</v>
      </c>
      <c r="O2010" s="1" t="str">
        <f t="shared" ca="1" si="15"/>
        <v>Please solve the LeetCode problem '2188. Minimum Time to Finish the Race'.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11" spans="1:15" x14ac:dyDescent="0.25">
      <c r="A2011" s="1">
        <v>2255</v>
      </c>
      <c r="B2011" s="2" t="str">
        <f>HYPERLINK("https://leetcode.com/problems/count-prefixes-of-a-given-string/", "Count Prefixes of a Given String")</f>
        <v>Count Prefixes of a Given String</v>
      </c>
      <c r="C2011" s="1">
        <v>601</v>
      </c>
      <c r="D2011" s="1">
        <v>24</v>
      </c>
      <c r="E2011" s="3">
        <f t="shared" si="14"/>
        <v>0.96160000000000001</v>
      </c>
      <c r="F2011" s="1" t="s">
        <v>369</v>
      </c>
      <c r="G2011" s="1" t="s">
        <v>20</v>
      </c>
      <c r="H2011" s="1">
        <v>86478</v>
      </c>
      <c r="I2011" s="1">
        <v>116603</v>
      </c>
      <c r="J2011" s="7">
        <v>0.74199999999999999</v>
      </c>
      <c r="K2011" s="1" t="s">
        <v>21</v>
      </c>
      <c r="L2011" s="1" t="s">
        <v>29</v>
      </c>
      <c r="M2011" s="1" t="s">
        <v>29</v>
      </c>
      <c r="N2011" s="1" t="s">
        <v>22</v>
      </c>
      <c r="O2011" s="1" t="str">
        <f t="shared" ca="1" si="15"/>
        <v>Please solve the LeetCode problem '2255. Count Prefixes of a Given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12" spans="1:15" x14ac:dyDescent="0.25">
      <c r="A2012" s="1">
        <v>2555</v>
      </c>
      <c r="B2012" s="2" t="str">
        <f>HYPERLINK("https://leetcode.com/problems/maximize-win-from-two-segments/", "Maximize Win From Two Segments")</f>
        <v>Maximize Win From Two Segments</v>
      </c>
      <c r="C2012" s="1">
        <v>601</v>
      </c>
      <c r="D2012" s="1">
        <v>62</v>
      </c>
      <c r="E2012" s="3">
        <f t="shared" si="14"/>
        <v>0.90648567119155354</v>
      </c>
      <c r="F2012" s="1" t="s">
        <v>852</v>
      </c>
      <c r="G2012" s="1" t="s">
        <v>24</v>
      </c>
      <c r="H2012" s="1">
        <v>14831</v>
      </c>
      <c r="I2012" s="1">
        <v>39987</v>
      </c>
      <c r="J2012" s="7">
        <v>0.371</v>
      </c>
      <c r="K2012" s="1" t="s">
        <v>21</v>
      </c>
      <c r="L2012" s="1" t="s">
        <v>29</v>
      </c>
      <c r="M2012" s="1" t="s">
        <v>29</v>
      </c>
      <c r="N2012" s="1" t="s">
        <v>22</v>
      </c>
      <c r="O2012" s="1" t="str">
        <f t="shared" ca="1" si="15"/>
        <v>Please solve the LeetCode problem '2555. Maximize Win From Two Segments'.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13" spans="1:15" x14ac:dyDescent="0.25">
      <c r="A2013" s="1">
        <v>1265</v>
      </c>
      <c r="B2013" s="2" t="str">
        <f>HYPERLINK("https://leetcode.com/problems/print-immutable-linked-list-in-reverse/", "Print Immutable Linked List in Reverse")</f>
        <v>Print Immutable Linked List in Reverse</v>
      </c>
      <c r="C2013" s="1">
        <v>599</v>
      </c>
      <c r="D2013" s="1">
        <v>106</v>
      </c>
      <c r="E2013" s="3">
        <f t="shared" si="14"/>
        <v>0.84964539007092199</v>
      </c>
      <c r="F2013" s="1" t="s">
        <v>71</v>
      </c>
      <c r="G2013" s="1" t="s">
        <v>24</v>
      </c>
      <c r="H2013" s="1">
        <v>66315</v>
      </c>
      <c r="I2013" s="1">
        <v>70486</v>
      </c>
      <c r="J2013" s="7">
        <v>0.94099999999999995</v>
      </c>
      <c r="K2013" s="1" t="s">
        <v>29</v>
      </c>
      <c r="L2013" s="1" t="s">
        <v>21</v>
      </c>
      <c r="M2013" s="1" t="s">
        <v>29</v>
      </c>
      <c r="N2013" s="1" t="s">
        <v>22</v>
      </c>
      <c r="O2013" s="1" t="str">
        <f t="shared" ca="1" si="15"/>
        <v>Please solve the LeetCode problem '1265. Print Immutable Linked List in Reverse'.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14" spans="1:15" x14ac:dyDescent="0.25">
      <c r="A2014" s="1">
        <v>1576</v>
      </c>
      <c r="B2014" s="2" t="str">
        <f>HYPERLINK("https://leetcode.com/problems/replace-all-s-to-avoid-consecutive-repeating-characters/", "Replace All ?'s to Avoid Consecutive Repeating Characters")</f>
        <v>Replace All ?'s to Avoid Consecutive Repeating Characters</v>
      </c>
      <c r="C2014" s="1">
        <v>598</v>
      </c>
      <c r="D2014" s="1">
        <v>181</v>
      </c>
      <c r="E2014" s="3">
        <f t="shared" si="14"/>
        <v>0.76765083440308091</v>
      </c>
      <c r="F2014" s="1" t="s">
        <v>146</v>
      </c>
      <c r="G2014" s="1" t="s">
        <v>20</v>
      </c>
      <c r="H2014" s="1">
        <v>72435</v>
      </c>
      <c r="I2014" s="1">
        <v>160195</v>
      </c>
      <c r="J2014" s="7">
        <v>0.45200000000000001</v>
      </c>
      <c r="K2014" s="1" t="s">
        <v>21</v>
      </c>
      <c r="L2014" s="1" t="s">
        <v>29</v>
      </c>
      <c r="M2014" s="1" t="s">
        <v>29</v>
      </c>
      <c r="N2014" s="1" t="s">
        <v>22</v>
      </c>
      <c r="O2014" s="1" t="str">
        <f t="shared" ca="1" si="15"/>
        <v>Please solve the LeetCode problem '1576. Replace All ?'s to Avoid Consecutive Repeating Characters'.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15" spans="1:15" x14ac:dyDescent="0.25">
      <c r="A2015" s="1">
        <v>3443</v>
      </c>
      <c r="B2015" s="2" t="str">
        <f>HYPERLINK("https://leetcode.com/problems/maximum-manhattan-distance-after-k-changes/", "Maximum Manhattan Distance After K Changes")</f>
        <v>Maximum Manhattan Distance After K Changes</v>
      </c>
      <c r="C2015" s="1">
        <v>597</v>
      </c>
      <c r="D2015" s="1">
        <v>69</v>
      </c>
      <c r="E2015" s="3">
        <f t="shared" si="14"/>
        <v>0.89639639639639634</v>
      </c>
      <c r="F2015" s="1" t="s">
        <v>854</v>
      </c>
      <c r="G2015" s="1" t="s">
        <v>24</v>
      </c>
      <c r="H2015" s="1">
        <v>100510</v>
      </c>
      <c r="I2015" s="1">
        <v>185601</v>
      </c>
      <c r="J2015" s="7">
        <v>0.54200000000000004</v>
      </c>
      <c r="K2015" s="1" t="s">
        <v>21</v>
      </c>
      <c r="L2015" s="1" t="s">
        <v>21</v>
      </c>
      <c r="M2015" s="1" t="s">
        <v>29</v>
      </c>
      <c r="N2015" s="1" t="s">
        <v>22</v>
      </c>
      <c r="O2015" s="1" t="str">
        <f t="shared" ca="1" si="15"/>
        <v>Please solve the LeetCode problem '3443. Maximum Manhattan Distance After K Changes'.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16" spans="1:15" x14ac:dyDescent="0.25">
      <c r="A2016" s="1">
        <v>2576</v>
      </c>
      <c r="B2016" s="2" t="str">
        <f>HYPERLINK("https://leetcode.com/problems/find-the-maximum-number-of-marked-indices/", "Find the Maximum Number of Marked Indices")</f>
        <v>Find the Maximum Number of Marked Indices</v>
      </c>
      <c r="C2016" s="1">
        <v>595</v>
      </c>
      <c r="D2016" s="1">
        <v>29</v>
      </c>
      <c r="E2016" s="3">
        <f t="shared" si="14"/>
        <v>0.95352564102564108</v>
      </c>
      <c r="F2016" s="1" t="s">
        <v>290</v>
      </c>
      <c r="G2016" s="1" t="s">
        <v>24</v>
      </c>
      <c r="H2016" s="1">
        <v>25675</v>
      </c>
      <c r="I2016" s="1">
        <v>62767</v>
      </c>
      <c r="J2016" s="7">
        <v>0.40899999999999997</v>
      </c>
      <c r="K2016" s="1" t="s">
        <v>21</v>
      </c>
      <c r="L2016" s="1" t="s">
        <v>29</v>
      </c>
      <c r="M2016" s="1" t="s">
        <v>29</v>
      </c>
      <c r="N2016" s="1" t="s">
        <v>22</v>
      </c>
      <c r="O2016" s="1" t="str">
        <f t="shared" ca="1" si="15"/>
        <v>Please solve the LeetCode problem '2576. Find the Maximum Number of Marked Indices'.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17" spans="1:15" x14ac:dyDescent="0.25">
      <c r="A2017" s="1">
        <v>3042</v>
      </c>
      <c r="B2017" s="2" t="str">
        <f>HYPERLINK("https://leetcode.com/problems/count-prefix-and-suffix-pairs-i/", "Count Prefix and Suffix Pairs I")</f>
        <v>Count Prefix and Suffix Pairs I</v>
      </c>
      <c r="C2017" s="1">
        <v>595</v>
      </c>
      <c r="D2017" s="1">
        <v>44</v>
      </c>
      <c r="E2017" s="3">
        <f t="shared" si="14"/>
        <v>0.93114241001564946</v>
      </c>
      <c r="F2017" s="1" t="s">
        <v>853</v>
      </c>
      <c r="G2017" s="1" t="s">
        <v>20</v>
      </c>
      <c r="H2017" s="1">
        <v>210016</v>
      </c>
      <c r="I2017" s="1">
        <v>270124</v>
      </c>
      <c r="J2017" s="7">
        <v>0.77700000000000002</v>
      </c>
      <c r="K2017" s="1" t="s">
        <v>21</v>
      </c>
      <c r="L2017" s="1" t="s">
        <v>21</v>
      </c>
      <c r="M2017" s="1" t="s">
        <v>29</v>
      </c>
      <c r="N2017" s="1" t="s">
        <v>22</v>
      </c>
      <c r="O2017" s="1" t="str">
        <f t="shared" ca="1" si="15"/>
        <v>Please solve the LeetCode problem '3042. Count Prefix and Suffix Pairs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18" spans="1:15" x14ac:dyDescent="0.25">
      <c r="A2018" s="1">
        <v>1432</v>
      </c>
      <c r="B2018" s="2" t="str">
        <f>HYPERLINK("https://leetcode.com/problems/max-difference-you-can-get-from-changing-an-integer/", "Max Difference You Can Get From Changing an Integer")</f>
        <v>Max Difference You Can Get From Changing an Integer</v>
      </c>
      <c r="C2018" s="1">
        <v>594</v>
      </c>
      <c r="D2018" s="1">
        <v>376</v>
      </c>
      <c r="E2018" s="3">
        <f t="shared" si="14"/>
        <v>0.6123711340206186</v>
      </c>
      <c r="F2018" s="1" t="s">
        <v>296</v>
      </c>
      <c r="G2018" s="1" t="s">
        <v>24</v>
      </c>
      <c r="H2018" s="1">
        <v>111994</v>
      </c>
      <c r="I2018" s="1">
        <v>229480</v>
      </c>
      <c r="J2018" s="7">
        <v>0.48799999999999999</v>
      </c>
      <c r="K2018" s="1" t="s">
        <v>21</v>
      </c>
      <c r="L2018" s="1" t="s">
        <v>21</v>
      </c>
      <c r="M2018" s="1" t="s">
        <v>29</v>
      </c>
      <c r="N2018" s="1" t="s">
        <v>22</v>
      </c>
      <c r="O2018" s="1" t="str">
        <f t="shared" ca="1" si="15"/>
        <v>Please solve the LeetCode problem '1432. Max Difference You Can Get From Changing an Integer'.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19" spans="1:15" x14ac:dyDescent="0.25">
      <c r="A2019" s="1">
        <v>2126</v>
      </c>
      <c r="B2019" s="2" t="str">
        <f>HYPERLINK("https://leetcode.com/problems/destroying-asteroids/", "Destroying Asteroids")</f>
        <v>Destroying Asteroids</v>
      </c>
      <c r="C2019" s="1">
        <v>593</v>
      </c>
      <c r="D2019" s="1">
        <v>197</v>
      </c>
      <c r="E2019" s="3">
        <f t="shared" si="14"/>
        <v>0.75063291139240507</v>
      </c>
      <c r="F2019" s="1" t="s">
        <v>169</v>
      </c>
      <c r="G2019" s="1" t="s">
        <v>24</v>
      </c>
      <c r="H2019" s="1">
        <v>65269</v>
      </c>
      <c r="I2019" s="1">
        <v>122599</v>
      </c>
      <c r="J2019" s="7">
        <v>0.53200000000000003</v>
      </c>
      <c r="K2019" s="1" t="s">
        <v>21</v>
      </c>
      <c r="L2019" s="1" t="s">
        <v>29</v>
      </c>
      <c r="M2019" s="1" t="s">
        <v>29</v>
      </c>
      <c r="N2019" s="1" t="s">
        <v>22</v>
      </c>
      <c r="O2019" s="1" t="str">
        <f t="shared" ca="1" si="15"/>
        <v>Please solve the LeetCode problem '2126. Destroying Asteroids'.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20" spans="1:15" x14ac:dyDescent="0.25">
      <c r="A2020" s="1">
        <v>1959</v>
      </c>
      <c r="B2020" s="2" t="str">
        <f>HYPERLINK("https://leetcode.com/problems/minimum-total-space-wasted-with-k-resizing-operations/", "Minimum Total Space Wasted With K Resizing Operations")</f>
        <v>Minimum Total Space Wasted With K Resizing Operations</v>
      </c>
      <c r="C2020" s="1">
        <v>592</v>
      </c>
      <c r="D2020" s="1">
        <v>63</v>
      </c>
      <c r="E2020" s="3">
        <f t="shared" si="14"/>
        <v>0.90381679389312974</v>
      </c>
      <c r="F2020" s="1" t="s">
        <v>30</v>
      </c>
      <c r="G2020" s="1" t="s">
        <v>24</v>
      </c>
      <c r="H2020" s="1">
        <v>10733</v>
      </c>
      <c r="I2020" s="1">
        <v>24625</v>
      </c>
      <c r="J2020" s="7">
        <v>0.436</v>
      </c>
      <c r="K2020" s="1" t="s">
        <v>21</v>
      </c>
      <c r="L2020" s="1" t="s">
        <v>29</v>
      </c>
      <c r="M2020" s="1" t="s">
        <v>29</v>
      </c>
      <c r="N2020" s="1" t="s">
        <v>22</v>
      </c>
      <c r="O2020" s="1" t="str">
        <f t="shared" ca="1" si="15"/>
        <v>Please solve the LeetCode problem '1959. Minimum Total Space Wasted With K Resizing Operations'.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21" spans="1:15" x14ac:dyDescent="0.25">
      <c r="A2021" s="1">
        <v>2924</v>
      </c>
      <c r="B2021" s="2" t="str">
        <f>HYPERLINK("https://leetcode.com/problems/find-champion-ii/", "Find Champion II")</f>
        <v>Find Champion II</v>
      </c>
      <c r="C2021" s="1">
        <v>592</v>
      </c>
      <c r="D2021" s="1">
        <v>49</v>
      </c>
      <c r="E2021" s="3">
        <f t="shared" si="14"/>
        <v>0.92355694227769114</v>
      </c>
      <c r="F2021" s="1" t="s">
        <v>319</v>
      </c>
      <c r="G2021" s="1" t="s">
        <v>24</v>
      </c>
      <c r="H2021" s="1">
        <v>133037</v>
      </c>
      <c r="I2021" s="1">
        <v>189345</v>
      </c>
      <c r="J2021" s="7">
        <v>0.70299999999999996</v>
      </c>
      <c r="K2021" s="1" t="s">
        <v>21</v>
      </c>
      <c r="L2021" s="1" t="s">
        <v>21</v>
      </c>
      <c r="M2021" s="1" t="s">
        <v>29</v>
      </c>
      <c r="N2021" s="1" t="s">
        <v>22</v>
      </c>
      <c r="O2021" s="1" t="str">
        <f t="shared" ca="1" si="15"/>
        <v>Please solve the LeetCode problem '2924. Find Champion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22" spans="1:15" x14ac:dyDescent="0.25">
      <c r="A2022" s="1">
        <v>1285</v>
      </c>
      <c r="B2022" s="2" t="str">
        <f>HYPERLINK("https://leetcode.com/problems/find-the-start-and-end-number-of-continuous-ranges/", "Find the Start and End Number of Continuous Ranges")</f>
        <v>Find the Start and End Number of Continuous Ranges</v>
      </c>
      <c r="C2022" s="1">
        <v>591</v>
      </c>
      <c r="D2022" s="1">
        <v>36</v>
      </c>
      <c r="E2022" s="3">
        <f t="shared" si="14"/>
        <v>0.9425837320574163</v>
      </c>
      <c r="F2022" s="1" t="s">
        <v>297</v>
      </c>
      <c r="G2022" s="1" t="s">
        <v>24</v>
      </c>
      <c r="H2022" s="1">
        <v>48707</v>
      </c>
      <c r="I2022" s="1">
        <v>59485</v>
      </c>
      <c r="J2022" s="7">
        <v>0.81899999999999995</v>
      </c>
      <c r="K2022" s="1" t="s">
        <v>29</v>
      </c>
      <c r="L2022" s="1" t="s">
        <v>29</v>
      </c>
      <c r="M2022" s="1" t="s">
        <v>29</v>
      </c>
      <c r="N2022" s="1" t="s">
        <v>297</v>
      </c>
      <c r="O2022" s="1" t="str">
        <f t="shared" ca="1" si="15"/>
        <v>Please solve the LeetCode problem '1285. Find the Start and End Number of Continuous Ranges'.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23" spans="1:15" x14ac:dyDescent="0.25">
      <c r="A2023" s="1">
        <v>1978</v>
      </c>
      <c r="B2023" s="2" t="str">
        <f>HYPERLINK("https://leetcode.com/problems/employees-whose-manager-left-the-company/", "Employees Whose Manager Left the Company")</f>
        <v>Employees Whose Manager Left the Company</v>
      </c>
      <c r="C2023" s="1">
        <v>591</v>
      </c>
      <c r="D2023" s="1">
        <v>53</v>
      </c>
      <c r="E2023" s="3">
        <f t="shared" si="14"/>
        <v>0.91770186335403725</v>
      </c>
      <c r="F2023" s="1" t="s">
        <v>297</v>
      </c>
      <c r="G2023" s="1" t="s">
        <v>20</v>
      </c>
      <c r="H2023" s="1">
        <v>327912</v>
      </c>
      <c r="I2023" s="1">
        <v>673253</v>
      </c>
      <c r="J2023" s="7">
        <v>0.48699999999999999</v>
      </c>
      <c r="K2023" s="1" t="s">
        <v>21</v>
      </c>
      <c r="L2023" s="1" t="s">
        <v>29</v>
      </c>
      <c r="M2023" s="1" t="s">
        <v>29</v>
      </c>
      <c r="N2023" s="1" t="s">
        <v>297</v>
      </c>
      <c r="O2023" s="1" t="str">
        <f t="shared" ca="1" si="15"/>
        <v>Please solve the LeetCode problem '1978. Employees Whose Manager Left the Company'.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24" spans="1:15" x14ac:dyDescent="0.25">
      <c r="A2024" s="1">
        <v>2243</v>
      </c>
      <c r="B2024" s="2" t="str">
        <f>HYPERLINK("https://leetcode.com/problems/calculate-digit-sum-of-a-string/", "Calculate Digit Sum of a String")</f>
        <v>Calculate Digit Sum of a String</v>
      </c>
      <c r="C2024" s="1">
        <v>591</v>
      </c>
      <c r="D2024" s="1">
        <v>52</v>
      </c>
      <c r="E2024" s="3">
        <f t="shared" si="14"/>
        <v>0.91912908242612756</v>
      </c>
      <c r="F2024" s="1" t="s">
        <v>414</v>
      </c>
      <c r="G2024" s="1" t="s">
        <v>20</v>
      </c>
      <c r="H2024" s="1">
        <v>52760</v>
      </c>
      <c r="I2024" s="1">
        <v>78192</v>
      </c>
      <c r="J2024" s="7">
        <v>0.67500000000000004</v>
      </c>
      <c r="K2024" s="1" t="s">
        <v>21</v>
      </c>
      <c r="L2024" s="1" t="s">
        <v>29</v>
      </c>
      <c r="M2024" s="1" t="s">
        <v>29</v>
      </c>
      <c r="N2024" s="1" t="s">
        <v>22</v>
      </c>
      <c r="O2024" s="1" t="str">
        <f t="shared" ca="1" si="15"/>
        <v>Please solve the LeetCode problem '2243. Calculate Digit Sum of a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25" spans="1:15" x14ac:dyDescent="0.25">
      <c r="A2025" s="1">
        <v>2798</v>
      </c>
      <c r="B2025" s="2" t="str">
        <f>HYPERLINK("https://leetcode.com/problems/number-of-employees-who-met-the-target/", "Number of Employees Who Met the Target")</f>
        <v>Number of Employees Who Met the Target</v>
      </c>
      <c r="C2025" s="1">
        <v>591</v>
      </c>
      <c r="D2025" s="1">
        <v>77</v>
      </c>
      <c r="E2025" s="3">
        <f t="shared" si="14"/>
        <v>0.8847305389221557</v>
      </c>
      <c r="F2025" s="1" t="s">
        <v>113</v>
      </c>
      <c r="G2025" s="1" t="s">
        <v>20</v>
      </c>
      <c r="H2025" s="1">
        <v>230824</v>
      </c>
      <c r="I2025" s="1">
        <v>262983</v>
      </c>
      <c r="J2025" s="7">
        <v>0.878</v>
      </c>
      <c r="K2025" s="1" t="s">
        <v>21</v>
      </c>
      <c r="L2025" s="1" t="s">
        <v>29</v>
      </c>
      <c r="M2025" s="1" t="s">
        <v>29</v>
      </c>
      <c r="N2025" s="1" t="s">
        <v>22</v>
      </c>
      <c r="O2025" s="1" t="str">
        <f t="shared" ca="1" si="15"/>
        <v>Please solve the LeetCode problem '2798. Number of Employees Who Met the Target'.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26" spans="1:15" x14ac:dyDescent="0.25">
      <c r="A2026" s="1">
        <v>2741</v>
      </c>
      <c r="B2026" s="2" t="str">
        <f>HYPERLINK("https://leetcode.com/problems/special-permutations/", "Special Permutations")</f>
        <v>Special Permutations</v>
      </c>
      <c r="C2026" s="1">
        <v>588</v>
      </c>
      <c r="D2026" s="1">
        <v>66</v>
      </c>
      <c r="E2026" s="3">
        <f t="shared" si="14"/>
        <v>0.8990825688073395</v>
      </c>
      <c r="F2026" s="1" t="s">
        <v>1359</v>
      </c>
      <c r="G2026" s="1" t="s">
        <v>24</v>
      </c>
      <c r="H2026" s="1">
        <v>17312</v>
      </c>
      <c r="I2026" s="1">
        <v>59354</v>
      </c>
      <c r="J2026" s="7">
        <v>0.29199999999999998</v>
      </c>
      <c r="K2026" s="1" t="s">
        <v>21</v>
      </c>
      <c r="L2026" s="1" t="s">
        <v>29</v>
      </c>
      <c r="M2026" s="1" t="s">
        <v>29</v>
      </c>
      <c r="N2026" s="1" t="s">
        <v>22</v>
      </c>
      <c r="O2026" s="1" t="str">
        <f t="shared" ca="1" si="15"/>
        <v>Please solve the LeetCode problem '2741. Special Permutations'.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27" spans="1:15" x14ac:dyDescent="0.25">
      <c r="A2027" s="1">
        <v>3479</v>
      </c>
      <c r="B2027" s="2" t="str">
        <f>HYPERLINK("https://leetcode.com/problems/fruits-into-baskets-iii/", "Fruits Into Baskets III")</f>
        <v>Fruits Into Baskets III</v>
      </c>
      <c r="C2027" s="1">
        <v>588</v>
      </c>
      <c r="D2027" s="1">
        <v>81</v>
      </c>
      <c r="E2027" s="3">
        <f t="shared" si="14"/>
        <v>0.87892376681614348</v>
      </c>
      <c r="F2027" s="1" t="s">
        <v>855</v>
      </c>
      <c r="G2027" s="1" t="s">
        <v>24</v>
      </c>
      <c r="H2027" s="1">
        <v>84550</v>
      </c>
      <c r="I2027" s="1">
        <v>217575</v>
      </c>
      <c r="J2027" s="7">
        <v>0.38900000000000001</v>
      </c>
      <c r="K2027" s="1" t="s">
        <v>21</v>
      </c>
      <c r="L2027" s="1" t="s">
        <v>21</v>
      </c>
      <c r="M2027" s="1" t="s">
        <v>29</v>
      </c>
      <c r="N2027" s="1" t="s">
        <v>22</v>
      </c>
      <c r="O2027" s="1" t="str">
        <f t="shared" ca="1" si="15"/>
        <v>Please solve the LeetCode problem '3479. Fruits Into Baskets III'.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28" spans="1:15" x14ac:dyDescent="0.25">
      <c r="A2028" s="1">
        <v>794</v>
      </c>
      <c r="B2028" s="2" t="str">
        <f>HYPERLINK("https://leetcode.com/problems/valid-tic-tac-toe-state/", "Valid Tic-Tac-Toe State")</f>
        <v>Valid Tic-Tac-Toe State</v>
      </c>
      <c r="C2028" s="1">
        <v>586</v>
      </c>
      <c r="D2028" s="1">
        <v>1167</v>
      </c>
      <c r="E2028" s="3">
        <f t="shared" si="14"/>
        <v>0.3342840844266971</v>
      </c>
      <c r="F2028" s="1" t="s">
        <v>266</v>
      </c>
      <c r="G2028" s="1" t="s">
        <v>24</v>
      </c>
      <c r="H2028" s="1">
        <v>66302</v>
      </c>
      <c r="I2028" s="1">
        <v>190840</v>
      </c>
      <c r="J2028" s="7">
        <v>0.34699999999999998</v>
      </c>
      <c r="K2028" s="1" t="s">
        <v>21</v>
      </c>
      <c r="L2028" s="1" t="s">
        <v>21</v>
      </c>
      <c r="M2028" s="1" t="s">
        <v>29</v>
      </c>
      <c r="N2028" s="1" t="s">
        <v>22</v>
      </c>
      <c r="O2028" s="1" t="str">
        <f t="shared" ca="1" si="15"/>
        <v>Please solve the LeetCode problem '794. Valid Tic-Tac-Toe State'.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29" spans="1:15" x14ac:dyDescent="0.25">
      <c r="A2029" s="1">
        <v>2293</v>
      </c>
      <c r="B2029" s="2" t="str">
        <f>HYPERLINK("https://leetcode.com/problems/min-max-game/", "Min Max Game")</f>
        <v>Min Max Game</v>
      </c>
      <c r="C2029" s="1">
        <v>586</v>
      </c>
      <c r="D2029" s="1">
        <v>30</v>
      </c>
      <c r="E2029" s="3">
        <f t="shared" si="14"/>
        <v>0.95129870129870131</v>
      </c>
      <c r="F2029" s="1" t="s">
        <v>306</v>
      </c>
      <c r="G2029" s="1" t="s">
        <v>20</v>
      </c>
      <c r="H2029" s="1">
        <v>63765</v>
      </c>
      <c r="I2029" s="1">
        <v>99407</v>
      </c>
      <c r="J2029" s="7">
        <v>0.64100000000000001</v>
      </c>
      <c r="K2029" s="1" t="s">
        <v>21</v>
      </c>
      <c r="L2029" s="1" t="s">
        <v>29</v>
      </c>
      <c r="M2029" s="1" t="s">
        <v>29</v>
      </c>
      <c r="N2029" s="1" t="s">
        <v>22</v>
      </c>
      <c r="O2029" s="1" t="str">
        <f t="shared" ca="1" si="15"/>
        <v>Please solve the LeetCode problem '2293. Min Max Game'.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30" spans="1:15" x14ac:dyDescent="0.25">
      <c r="A2030" s="1">
        <v>2645</v>
      </c>
      <c r="B2030" s="2" t="str">
        <f>HYPERLINK("https://leetcode.com/problems/minimum-additions-to-make-valid-string/", "Minimum Additions to Make Valid String")</f>
        <v>Minimum Additions to Make Valid String</v>
      </c>
      <c r="C2030" s="1">
        <v>586</v>
      </c>
      <c r="D2030" s="1">
        <v>29</v>
      </c>
      <c r="E2030" s="3">
        <f t="shared" si="14"/>
        <v>0.95284552845528458</v>
      </c>
      <c r="F2030" s="1" t="s">
        <v>198</v>
      </c>
      <c r="G2030" s="1" t="s">
        <v>24</v>
      </c>
      <c r="H2030" s="1">
        <v>37088</v>
      </c>
      <c r="I2030" s="1">
        <v>72955</v>
      </c>
      <c r="J2030" s="7">
        <v>0.50800000000000001</v>
      </c>
      <c r="K2030" s="1" t="s">
        <v>21</v>
      </c>
      <c r="L2030" s="1" t="s">
        <v>29</v>
      </c>
      <c r="M2030" s="1" t="s">
        <v>29</v>
      </c>
      <c r="N2030" s="1" t="s">
        <v>22</v>
      </c>
      <c r="O2030" s="1" t="str">
        <f t="shared" ca="1" si="15"/>
        <v>Please solve the LeetCode problem '2645. Minimum Additions to Make Valid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31" spans="1:15" x14ac:dyDescent="0.25">
      <c r="A2031" s="1">
        <v>1242</v>
      </c>
      <c r="B2031" s="2" t="str">
        <f>HYPERLINK("https://leetcode.com/problems/web-crawler-multithreaded/", "Web Crawler Multithreaded")</f>
        <v>Web Crawler Multithreaded</v>
      </c>
      <c r="C2031" s="1">
        <v>585</v>
      </c>
      <c r="D2031" s="1">
        <v>101</v>
      </c>
      <c r="E2031" s="3">
        <f t="shared" si="14"/>
        <v>0.85276967930029157</v>
      </c>
      <c r="F2031" s="1" t="s">
        <v>856</v>
      </c>
      <c r="G2031" s="1" t="s">
        <v>24</v>
      </c>
      <c r="H2031" s="1">
        <v>95039</v>
      </c>
      <c r="I2031" s="1">
        <v>187217</v>
      </c>
      <c r="J2031" s="7">
        <v>0.50800000000000001</v>
      </c>
      <c r="K2031" s="1" t="s">
        <v>29</v>
      </c>
      <c r="L2031" s="1" t="s">
        <v>29</v>
      </c>
      <c r="M2031" s="1" t="s">
        <v>29</v>
      </c>
      <c r="N2031" s="1" t="s">
        <v>561</v>
      </c>
      <c r="O2031" s="1" t="str">
        <f t="shared" ca="1" si="15"/>
        <v>Please solve the LeetCode problem '1242. Web Crawler Multithreaded'.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32" spans="1:15" x14ac:dyDescent="0.25">
      <c r="A2032" s="1">
        <v>568</v>
      </c>
      <c r="B2032" s="2" t="str">
        <f>HYPERLINK("https://leetcode.com/problems/maximum-vacation-days/", "Maximum Vacation Days")</f>
        <v>Maximum Vacation Days</v>
      </c>
      <c r="C2032" s="1">
        <v>584</v>
      </c>
      <c r="D2032" s="1">
        <v>121</v>
      </c>
      <c r="E2032" s="3">
        <f t="shared" si="14"/>
        <v>0.82836879432624111</v>
      </c>
      <c r="F2032" s="1" t="s">
        <v>94</v>
      </c>
      <c r="G2032" s="1" t="s">
        <v>28</v>
      </c>
      <c r="H2032" s="1">
        <v>41157</v>
      </c>
      <c r="I2032" s="1">
        <v>88145</v>
      </c>
      <c r="J2032" s="7">
        <v>0.46700000000000003</v>
      </c>
      <c r="K2032" s="1" t="s">
        <v>29</v>
      </c>
      <c r="L2032" s="1" t="s">
        <v>21</v>
      </c>
      <c r="M2032" s="1" t="s">
        <v>29</v>
      </c>
      <c r="N2032" s="1" t="s">
        <v>22</v>
      </c>
      <c r="O2032" s="1" t="str">
        <f t="shared" ca="1" si="15"/>
        <v>Please solve the LeetCode problem '568. Maximum Vacation Days'.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33" spans="1:15" x14ac:dyDescent="0.25">
      <c r="A2033" s="1">
        <v>1536</v>
      </c>
      <c r="B2033" s="2" t="str">
        <f>HYPERLINK("https://leetcode.com/problems/minimum-swaps-to-arrange-a-binary-grid/", "Minimum Swaps to Arrange a Binary Grid")</f>
        <v>Minimum Swaps to Arrange a Binary Grid</v>
      </c>
      <c r="C2033" s="1">
        <v>584</v>
      </c>
      <c r="D2033" s="1">
        <v>72</v>
      </c>
      <c r="E2033" s="3">
        <f t="shared" si="14"/>
        <v>0.8902439024390244</v>
      </c>
      <c r="F2033" s="1" t="s">
        <v>405</v>
      </c>
      <c r="G2033" s="1" t="s">
        <v>24</v>
      </c>
      <c r="H2033" s="1">
        <v>18409</v>
      </c>
      <c r="I2033" s="1">
        <v>37518</v>
      </c>
      <c r="J2033" s="7">
        <v>0.49099999999999999</v>
      </c>
      <c r="K2033" s="1" t="s">
        <v>21</v>
      </c>
      <c r="L2033" s="1" t="s">
        <v>29</v>
      </c>
      <c r="M2033" s="1" t="s">
        <v>29</v>
      </c>
      <c r="N2033" s="1" t="s">
        <v>22</v>
      </c>
      <c r="O2033" s="1" t="str">
        <f t="shared" ca="1" si="15"/>
        <v>Please solve the LeetCode problem '1536. Minimum Swaps to Arrange a Binary Grid'.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34" spans="1:15" x14ac:dyDescent="0.25">
      <c r="A2034" s="1">
        <v>2575</v>
      </c>
      <c r="B2034" s="2" t="str">
        <f>HYPERLINK("https://leetcode.com/problems/find-the-divisibility-array-of-a-string/", "Find the Divisibility Array of a String")</f>
        <v>Find the Divisibility Array of a String</v>
      </c>
      <c r="C2034" s="1">
        <v>584</v>
      </c>
      <c r="D2034" s="1">
        <v>25</v>
      </c>
      <c r="E2034" s="3">
        <f t="shared" si="14"/>
        <v>0.95894909688013141</v>
      </c>
      <c r="F2034" s="1" t="s">
        <v>858</v>
      </c>
      <c r="G2034" s="1" t="s">
        <v>24</v>
      </c>
      <c r="H2034" s="1">
        <v>37677</v>
      </c>
      <c r="I2034" s="1">
        <v>105908</v>
      </c>
      <c r="J2034" s="7">
        <v>0.35599999999999998</v>
      </c>
      <c r="K2034" s="1" t="s">
        <v>21</v>
      </c>
      <c r="L2034" s="1" t="s">
        <v>29</v>
      </c>
      <c r="M2034" s="1" t="s">
        <v>29</v>
      </c>
      <c r="N2034" s="1" t="s">
        <v>22</v>
      </c>
      <c r="O2034" s="1" t="str">
        <f t="shared" ca="1" si="15"/>
        <v>Please solve the LeetCode problem '2575. Find the Divisibility Array of a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35" spans="1:15" x14ac:dyDescent="0.25">
      <c r="A2035" s="1">
        <v>3170</v>
      </c>
      <c r="B2035" s="2" t="str">
        <f>HYPERLINK("https://leetcode.com/problems/lexicographically-minimum-string-after-removing-stars/", "Lexicographically Minimum String After Removing Stars")</f>
        <v>Lexicographically Minimum String After Removing Stars</v>
      </c>
      <c r="C2035" s="1">
        <v>584</v>
      </c>
      <c r="D2035" s="1">
        <v>86</v>
      </c>
      <c r="E2035" s="3">
        <f t="shared" si="14"/>
        <v>0.87164179104477613</v>
      </c>
      <c r="F2035" s="1" t="s">
        <v>857</v>
      </c>
      <c r="G2035" s="1" t="s">
        <v>24</v>
      </c>
      <c r="H2035" s="1">
        <v>118390</v>
      </c>
      <c r="I2035" s="1">
        <v>232230</v>
      </c>
      <c r="J2035" s="7">
        <v>0.51</v>
      </c>
      <c r="K2035" s="1" t="s">
        <v>21</v>
      </c>
      <c r="L2035" s="1" t="s">
        <v>21</v>
      </c>
      <c r="M2035" s="1" t="s">
        <v>29</v>
      </c>
      <c r="N2035" s="1" t="s">
        <v>22</v>
      </c>
      <c r="O2035" s="1" t="str">
        <f t="shared" ca="1" si="15"/>
        <v>Please solve the LeetCode problem '3170. Lexicographically Minimum String After Removing Stars'.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36" spans="1:15" x14ac:dyDescent="0.25">
      <c r="A2036" s="1">
        <v>2643</v>
      </c>
      <c r="B2036" s="2" t="str">
        <f>HYPERLINK("https://leetcode.com/problems/row-with-maximum-ones/", "Row With Maximum Ones")</f>
        <v>Row With Maximum Ones</v>
      </c>
      <c r="C2036" s="1">
        <v>582</v>
      </c>
      <c r="D2036" s="1">
        <v>21</v>
      </c>
      <c r="E2036" s="3">
        <f t="shared" si="14"/>
        <v>0.96517412935323388</v>
      </c>
      <c r="F2036" s="1" t="s">
        <v>266</v>
      </c>
      <c r="G2036" s="1" t="s">
        <v>20</v>
      </c>
      <c r="H2036" s="1">
        <v>112700</v>
      </c>
      <c r="I2036" s="1">
        <v>151772</v>
      </c>
      <c r="J2036" s="7">
        <v>0.74299999999999999</v>
      </c>
      <c r="K2036" s="1" t="s">
        <v>21</v>
      </c>
      <c r="L2036" s="1" t="s">
        <v>29</v>
      </c>
      <c r="M2036" s="1" t="s">
        <v>29</v>
      </c>
      <c r="N2036" s="1" t="s">
        <v>22</v>
      </c>
      <c r="O2036" s="1" t="str">
        <f t="shared" ca="1" si="15"/>
        <v>Please solve the LeetCode problem '2643. Row With Maximum Ones'.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37" spans="1:15" x14ac:dyDescent="0.25">
      <c r="A2037" s="1">
        <v>1796</v>
      </c>
      <c r="B2037" s="2" t="str">
        <f>HYPERLINK("https://leetcode.com/problems/second-largest-digit-in-a-string/", "Second Largest Digit in a String")</f>
        <v>Second Largest Digit in a String</v>
      </c>
      <c r="C2037" s="1">
        <v>581</v>
      </c>
      <c r="D2037" s="1">
        <v>132</v>
      </c>
      <c r="E2037" s="3">
        <f t="shared" si="14"/>
        <v>0.81486676016830295</v>
      </c>
      <c r="F2037" s="1" t="s">
        <v>131</v>
      </c>
      <c r="G2037" s="1" t="s">
        <v>20</v>
      </c>
      <c r="H2037" s="1">
        <v>91144</v>
      </c>
      <c r="I2037" s="1">
        <v>170687</v>
      </c>
      <c r="J2037" s="7">
        <v>0.53400000000000003</v>
      </c>
      <c r="K2037" s="1" t="s">
        <v>21</v>
      </c>
      <c r="L2037" s="1" t="s">
        <v>29</v>
      </c>
      <c r="M2037" s="1" t="s">
        <v>29</v>
      </c>
      <c r="N2037" s="1" t="s">
        <v>22</v>
      </c>
      <c r="O2037" s="1" t="str">
        <f t="shared" ca="1" si="15"/>
        <v>Please solve the LeetCode problem '1796. Second Largest Digit in a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38" spans="1:15" x14ac:dyDescent="0.25">
      <c r="A2038" s="1">
        <v>2506</v>
      </c>
      <c r="B2038" s="2" t="str">
        <f>HYPERLINK("https://leetcode.com/problems/count-pairs-of-similar-strings/", "Count Pairs Of Similar Strings")</f>
        <v>Count Pairs Of Similar Strings</v>
      </c>
      <c r="C2038" s="1">
        <v>581</v>
      </c>
      <c r="D2038" s="1">
        <v>41</v>
      </c>
      <c r="E2038" s="3">
        <f t="shared" si="14"/>
        <v>0.93408360128617363</v>
      </c>
      <c r="F2038" s="1" t="s">
        <v>460</v>
      </c>
      <c r="G2038" s="1" t="s">
        <v>20</v>
      </c>
      <c r="H2038" s="1">
        <v>69183</v>
      </c>
      <c r="I2038" s="1">
        <v>94328</v>
      </c>
      <c r="J2038" s="7">
        <v>0.73299999999999998</v>
      </c>
      <c r="K2038" s="1" t="s">
        <v>21</v>
      </c>
      <c r="L2038" s="1" t="s">
        <v>29</v>
      </c>
      <c r="M2038" s="1" t="s">
        <v>29</v>
      </c>
      <c r="N2038" s="1" t="s">
        <v>22</v>
      </c>
      <c r="O2038" s="1" t="str">
        <f t="shared" ca="1" si="15"/>
        <v>Please solve the LeetCode problem '2506. Count Pairs Of Similar Strings'.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39" spans="1:15" x14ac:dyDescent="0.25">
      <c r="A2039" s="1">
        <v>2652</v>
      </c>
      <c r="B2039" s="2" t="str">
        <f>HYPERLINK("https://leetcode.com/problems/sum-multiples/", "Sum Multiples")</f>
        <v>Sum Multiples</v>
      </c>
      <c r="C2039" s="1">
        <v>581</v>
      </c>
      <c r="D2039" s="1">
        <v>41</v>
      </c>
      <c r="E2039" s="3">
        <f t="shared" si="14"/>
        <v>0.93408360128617363</v>
      </c>
      <c r="F2039" s="1" t="s">
        <v>84</v>
      </c>
      <c r="G2039" s="1" t="s">
        <v>20</v>
      </c>
      <c r="H2039" s="1">
        <v>180745</v>
      </c>
      <c r="I2039" s="1">
        <v>210978</v>
      </c>
      <c r="J2039" s="7">
        <v>0.85699999999999998</v>
      </c>
      <c r="K2039" s="1" t="s">
        <v>21</v>
      </c>
      <c r="L2039" s="1" t="s">
        <v>29</v>
      </c>
      <c r="M2039" s="1" t="s">
        <v>29</v>
      </c>
      <c r="N2039" s="1" t="s">
        <v>22</v>
      </c>
      <c r="O2039" s="1" t="str">
        <f t="shared" ca="1" si="15"/>
        <v>Please solve the LeetCode problem '2652. Sum Multiples'.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40" spans="1:15" x14ac:dyDescent="0.25">
      <c r="A2040" s="1">
        <v>3147</v>
      </c>
      <c r="B2040" s="2" t="str">
        <f>HYPERLINK("https://leetcode.com/problems/taking-maximum-energy-from-the-mystic-dungeon/", "Taking Maximum Energy From the Mystic Dungeon")</f>
        <v>Taking Maximum Energy From the Mystic Dungeon</v>
      </c>
      <c r="C2040" s="1">
        <v>580</v>
      </c>
      <c r="D2040" s="1">
        <v>40</v>
      </c>
      <c r="E2040" s="3">
        <f t="shared" si="14"/>
        <v>0.93548387096774188</v>
      </c>
      <c r="F2040" s="1" t="s">
        <v>37</v>
      </c>
      <c r="G2040" s="1" t="s">
        <v>24</v>
      </c>
      <c r="H2040" s="1">
        <v>139906</v>
      </c>
      <c r="I2040" s="1">
        <v>229540</v>
      </c>
      <c r="J2040" s="7">
        <v>0.61</v>
      </c>
      <c r="K2040" s="1" t="s">
        <v>21</v>
      </c>
      <c r="L2040" s="1" t="s">
        <v>21</v>
      </c>
      <c r="M2040" s="1" t="s">
        <v>29</v>
      </c>
      <c r="N2040" s="1" t="s">
        <v>22</v>
      </c>
      <c r="O2040" s="1" t="str">
        <f t="shared" ca="1" si="15"/>
        <v>Please solve the LeetCode problem '3147. Taking Maximum Energy From the Mystic Dungeon'.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41" spans="1:15" x14ac:dyDescent="0.25">
      <c r="A2041" s="1">
        <v>192</v>
      </c>
      <c r="B2041" s="2" t="str">
        <f>HYPERLINK("https://leetcode.com/problems/word-frequency/", "Word Frequency")</f>
        <v>Word Frequency</v>
      </c>
      <c r="C2041" s="1">
        <v>579</v>
      </c>
      <c r="D2041" s="1">
        <v>311</v>
      </c>
      <c r="E2041" s="3">
        <f t="shared" si="14"/>
        <v>0.65056179775280898</v>
      </c>
      <c r="F2041" s="1" t="s">
        <v>860</v>
      </c>
      <c r="G2041" s="1" t="s">
        <v>24</v>
      </c>
      <c r="H2041" s="1">
        <v>72237</v>
      </c>
      <c r="I2041" s="1">
        <v>256260</v>
      </c>
      <c r="J2041" s="7">
        <v>0.28199999999999997</v>
      </c>
      <c r="K2041" s="1" t="s">
        <v>21</v>
      </c>
      <c r="L2041" s="1" t="s">
        <v>29</v>
      </c>
      <c r="M2041" s="1" t="s">
        <v>29</v>
      </c>
      <c r="N2041" s="1" t="s">
        <v>860</v>
      </c>
      <c r="O2041" s="1" t="str">
        <f t="shared" ca="1" si="15"/>
        <v>Please solve the LeetCode problem '192. Word Frequency'.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42" spans="1:15" x14ac:dyDescent="0.25">
      <c r="A2042" s="1">
        <v>2666</v>
      </c>
      <c r="B2042" s="2" t="str">
        <f>HYPERLINK("https://leetcode.com/problems/allow-one-function-call/", "Allow One Function Call")</f>
        <v>Allow One Function Call</v>
      </c>
      <c r="C2042" s="1">
        <v>579</v>
      </c>
      <c r="D2042" s="1">
        <v>79</v>
      </c>
      <c r="E2042" s="3">
        <f t="shared" si="14"/>
        <v>0.87993920972644379</v>
      </c>
      <c r="G2042" s="1" t="s">
        <v>20</v>
      </c>
      <c r="H2042" s="1">
        <v>185299</v>
      </c>
      <c r="I2042" s="1">
        <v>213838</v>
      </c>
      <c r="J2042" s="7">
        <v>0.86699999999999999</v>
      </c>
      <c r="K2042" s="1" t="s">
        <v>21</v>
      </c>
      <c r="L2042" s="1" t="s">
        <v>21</v>
      </c>
      <c r="M2042" s="1" t="s">
        <v>29</v>
      </c>
      <c r="N2042" s="1" t="s">
        <v>555</v>
      </c>
      <c r="O2042" s="1" t="str">
        <f t="shared" ca="1" si="15"/>
        <v>Please solve the LeetCode problem '2666. Allow One Function Call'.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43" spans="1:15" x14ac:dyDescent="0.25">
      <c r="A2043" s="1">
        <v>1214</v>
      </c>
      <c r="B2043" s="2" t="str">
        <f>HYPERLINK("https://leetcode.com/problems/two-sum-bsts/", "Two Sum BSTs")</f>
        <v>Two Sum BSTs</v>
      </c>
      <c r="C2043" s="1">
        <v>578</v>
      </c>
      <c r="D2043" s="1">
        <v>46</v>
      </c>
      <c r="E2043" s="3">
        <f t="shared" si="14"/>
        <v>0.92628205128205132</v>
      </c>
      <c r="F2043" s="1" t="s">
        <v>862</v>
      </c>
      <c r="G2043" s="1" t="s">
        <v>24</v>
      </c>
      <c r="H2043" s="1">
        <v>60512</v>
      </c>
      <c r="I2043" s="1">
        <v>88807</v>
      </c>
      <c r="J2043" s="7">
        <v>0.68100000000000005</v>
      </c>
      <c r="K2043" s="1" t="s">
        <v>29</v>
      </c>
      <c r="L2043" s="1" t="s">
        <v>21</v>
      </c>
      <c r="M2043" s="1" t="s">
        <v>29</v>
      </c>
      <c r="N2043" s="1" t="s">
        <v>22</v>
      </c>
      <c r="O2043" s="1" t="str">
        <f t="shared" ca="1" si="15"/>
        <v>Please solve the LeetCode problem '1214. Two Sum BSTs'.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44" spans="1:15" x14ac:dyDescent="0.25">
      <c r="A2044" s="1">
        <v>2312</v>
      </c>
      <c r="B2044" s="2" t="str">
        <f>HYPERLINK("https://leetcode.com/problems/selling-pieces-of-wood/", "Selling Pieces of Wood")</f>
        <v>Selling Pieces of Wood</v>
      </c>
      <c r="C2044" s="1">
        <v>578</v>
      </c>
      <c r="D2044" s="1">
        <v>13</v>
      </c>
      <c r="E2044" s="3">
        <f t="shared" ref="E2044:E2298" si="16">IF(INDEX(C:C, ROW())+INDEX(D:D, ROW())=0, 0, INDEX(C:C, ROW())/(INDEX(C:C, ROW())+INDEX(D:D, ROW())))</f>
        <v>0.97800338409475462</v>
      </c>
      <c r="F2044" s="1" t="s">
        <v>434</v>
      </c>
      <c r="G2044" s="1" t="s">
        <v>28</v>
      </c>
      <c r="H2044" s="1">
        <v>15226</v>
      </c>
      <c r="I2044" s="1">
        <v>28969</v>
      </c>
      <c r="J2044" s="7">
        <v>0.52600000000000002</v>
      </c>
      <c r="K2044" s="1" t="s">
        <v>21</v>
      </c>
      <c r="L2044" s="1" t="s">
        <v>29</v>
      </c>
      <c r="M2044" s="1" t="s">
        <v>29</v>
      </c>
      <c r="N2044" s="1" t="s">
        <v>22</v>
      </c>
      <c r="O2044" s="1" t="str">
        <f t="shared" ref="O2044:O2298" ca="1" si="17"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>Please solve the LeetCode problem '2312. Selling Pieces of Wood'.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45" spans="1:15" x14ac:dyDescent="0.25">
      <c r="A2045" s="1">
        <v>1117</v>
      </c>
      <c r="B2045" s="2" t="str">
        <f>HYPERLINK("https://leetcode.com/problems/building-h2o/", "Building H2O")</f>
        <v>Building H2O</v>
      </c>
      <c r="C2045" s="1">
        <v>577</v>
      </c>
      <c r="D2045" s="1">
        <v>192</v>
      </c>
      <c r="E2045" s="3">
        <f t="shared" si="16"/>
        <v>0.7503250975292588</v>
      </c>
      <c r="F2045" s="1" t="s">
        <v>561</v>
      </c>
      <c r="G2045" s="1" t="s">
        <v>24</v>
      </c>
      <c r="H2045" s="1">
        <v>81307</v>
      </c>
      <c r="I2045" s="1">
        <v>139561</v>
      </c>
      <c r="J2045" s="7">
        <v>0.58299999999999996</v>
      </c>
      <c r="K2045" s="1" t="s">
        <v>21</v>
      </c>
      <c r="L2045" s="1" t="s">
        <v>29</v>
      </c>
      <c r="M2045" s="1" t="s">
        <v>29</v>
      </c>
      <c r="N2045" s="1" t="s">
        <v>561</v>
      </c>
      <c r="O2045" s="1" t="str">
        <f t="shared" ca="1" si="17"/>
        <v>Please solve the LeetCode problem '1117. Building H2O'.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46" spans="1:15" x14ac:dyDescent="0.25">
      <c r="A2046" s="1">
        <v>2242</v>
      </c>
      <c r="B2046" s="2" t="str">
        <f>HYPERLINK("https://leetcode.com/problems/maximum-score-of-a-node-sequence/", "Maximum Score of a Node Sequence")</f>
        <v>Maximum Score of a Node Sequence</v>
      </c>
      <c r="C2046" s="1">
        <v>576</v>
      </c>
      <c r="D2046" s="1">
        <v>21</v>
      </c>
      <c r="E2046" s="3">
        <f t="shared" si="16"/>
        <v>0.96482412060301503</v>
      </c>
      <c r="F2046" s="1" t="s">
        <v>863</v>
      </c>
      <c r="G2046" s="1" t="s">
        <v>28</v>
      </c>
      <c r="H2046" s="1">
        <v>16794</v>
      </c>
      <c r="I2046" s="1">
        <v>42359</v>
      </c>
      <c r="J2046" s="7">
        <v>0.39600000000000002</v>
      </c>
      <c r="K2046" s="1" t="s">
        <v>21</v>
      </c>
      <c r="L2046" s="1" t="s">
        <v>29</v>
      </c>
      <c r="M2046" s="1" t="s">
        <v>29</v>
      </c>
      <c r="N2046" s="1" t="s">
        <v>22</v>
      </c>
      <c r="O2046" s="1" t="str">
        <f t="shared" ca="1" si="17"/>
        <v>Please solve the LeetCode problem '2242. Maximum Score of a Node Sequence'.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47" spans="1:15" x14ac:dyDescent="0.25">
      <c r="A2047" s="1">
        <v>2712</v>
      </c>
      <c r="B2047" s="2" t="str">
        <f>HYPERLINK("https://leetcode.com/problems/minimum-cost-to-make-all-characters-equal/", "Minimum Cost to Make All Characters Equal")</f>
        <v>Minimum Cost to Make All Characters Equal</v>
      </c>
      <c r="C2047" s="1">
        <v>576</v>
      </c>
      <c r="D2047" s="1">
        <v>26</v>
      </c>
      <c r="E2047" s="3">
        <f t="shared" si="16"/>
        <v>0.95681063122923593</v>
      </c>
      <c r="F2047" s="1" t="s">
        <v>861</v>
      </c>
      <c r="G2047" s="1" t="s">
        <v>24</v>
      </c>
      <c r="H2047" s="1">
        <v>22215</v>
      </c>
      <c r="I2047" s="1">
        <v>41092</v>
      </c>
      <c r="J2047" s="7">
        <v>0.54100000000000004</v>
      </c>
      <c r="K2047" s="1" t="s">
        <v>21</v>
      </c>
      <c r="L2047" s="1" t="s">
        <v>29</v>
      </c>
      <c r="M2047" s="1" t="s">
        <v>29</v>
      </c>
      <c r="N2047" s="1" t="s">
        <v>22</v>
      </c>
      <c r="O2047" s="1" t="str">
        <f t="shared" ca="1" si="17"/>
        <v>Please solve the LeetCode problem '2712. Minimum Cost to Make All Characters Equal'.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48" spans="1:15" x14ac:dyDescent="0.25">
      <c r="A2048" s="1">
        <v>2344</v>
      </c>
      <c r="B2048" s="2" t="str">
        <f>HYPERLINK("https://leetcode.com/problems/minimum-deletions-to-make-array-divisible/", "Minimum Deletions to Make Array Divisible")</f>
        <v>Minimum Deletions to Make Array Divisible</v>
      </c>
      <c r="C2048" s="1">
        <v>575</v>
      </c>
      <c r="D2048" s="1">
        <v>131</v>
      </c>
      <c r="E2048" s="3">
        <f t="shared" si="16"/>
        <v>0.81444759206798867</v>
      </c>
      <c r="F2048" s="1" t="s">
        <v>859</v>
      </c>
      <c r="G2048" s="1" t="s">
        <v>28</v>
      </c>
      <c r="H2048" s="1">
        <v>40519</v>
      </c>
      <c r="I2048" s="1">
        <v>68746</v>
      </c>
      <c r="J2048" s="7">
        <v>0.58899999999999997</v>
      </c>
      <c r="K2048" s="1" t="s">
        <v>21</v>
      </c>
      <c r="L2048" s="1" t="s">
        <v>29</v>
      </c>
      <c r="M2048" s="1" t="s">
        <v>29</v>
      </c>
      <c r="N2048" s="1" t="s">
        <v>22</v>
      </c>
      <c r="O2048" s="1" t="str">
        <f t="shared" ca="1" si="17"/>
        <v>Please solve the LeetCode problem '2344. Minimum Deletions to Make Array Divisible'.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49" spans="1:15" x14ac:dyDescent="0.25">
      <c r="A2049" s="1">
        <v>3151</v>
      </c>
      <c r="B2049" s="2" t="str">
        <f>HYPERLINK("https://leetcode.com/problems/special-array-i/", "Special Array I")</f>
        <v>Special Array I</v>
      </c>
      <c r="C2049" s="1">
        <v>575</v>
      </c>
      <c r="D2049" s="1">
        <v>33</v>
      </c>
      <c r="E2049" s="3">
        <f t="shared" si="16"/>
        <v>0.94572368421052633</v>
      </c>
      <c r="F2049" s="1" t="s">
        <v>113</v>
      </c>
      <c r="G2049" s="1" t="s">
        <v>20</v>
      </c>
      <c r="H2049" s="1">
        <v>257347</v>
      </c>
      <c r="I2049" s="1">
        <v>315259</v>
      </c>
      <c r="J2049" s="7">
        <v>0.81599999999999995</v>
      </c>
      <c r="K2049" s="1" t="s">
        <v>21</v>
      </c>
      <c r="L2049" s="1" t="s">
        <v>21</v>
      </c>
      <c r="M2049" s="1" t="s">
        <v>29</v>
      </c>
      <c r="N2049" s="1" t="s">
        <v>22</v>
      </c>
      <c r="O2049" s="1" t="str">
        <f t="shared" ca="1" si="17"/>
        <v>Please solve the LeetCode problem '3151. Special Array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50" spans="1:15" x14ac:dyDescent="0.25">
      <c r="A2050" s="1">
        <v>2001</v>
      </c>
      <c r="B2050" s="2" t="str">
        <f>HYPERLINK("https://leetcode.com/problems/number-of-pairs-of-interchangeable-rectangles/", "Number of Pairs of Interchangeable Rectangles")</f>
        <v>Number of Pairs of Interchangeable Rectangles</v>
      </c>
      <c r="C2050" s="1">
        <v>574</v>
      </c>
      <c r="D2050" s="1">
        <v>49</v>
      </c>
      <c r="E2050" s="3">
        <f t="shared" si="16"/>
        <v>0.9213483146067416</v>
      </c>
      <c r="F2050" s="1" t="s">
        <v>518</v>
      </c>
      <c r="G2050" s="1" t="s">
        <v>24</v>
      </c>
      <c r="H2050" s="1">
        <v>56340</v>
      </c>
      <c r="I2050" s="1">
        <v>108084</v>
      </c>
      <c r="J2050" s="7">
        <v>0.52100000000000002</v>
      </c>
      <c r="K2050" s="1" t="s">
        <v>21</v>
      </c>
      <c r="L2050" s="1" t="s">
        <v>29</v>
      </c>
      <c r="M2050" s="1" t="s">
        <v>29</v>
      </c>
      <c r="N2050" s="1" t="s">
        <v>22</v>
      </c>
      <c r="O2050" s="1" t="str">
        <f t="shared" ca="1" si="17"/>
        <v>Please solve the LeetCode problem '2001. Number of Pairs of Interchangeable Rectangles'.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51" spans="1:15" x14ac:dyDescent="0.25">
      <c r="A2051" s="1">
        <v>2426</v>
      </c>
      <c r="B2051" s="2" t="str">
        <f>HYPERLINK("https://leetcode.com/problems/number-of-pairs-satisfying-inequality/", "Number of Pairs Satisfying Inequality")</f>
        <v>Number of Pairs Satisfying Inequality</v>
      </c>
      <c r="C2051" s="1">
        <v>573</v>
      </c>
      <c r="D2051" s="1">
        <v>11</v>
      </c>
      <c r="E2051" s="3">
        <f t="shared" si="16"/>
        <v>0.98116438356164382</v>
      </c>
      <c r="F2051" s="1" t="s">
        <v>147</v>
      </c>
      <c r="G2051" s="1" t="s">
        <v>28</v>
      </c>
      <c r="H2051" s="1">
        <v>18357</v>
      </c>
      <c r="I2051" s="1">
        <v>39347</v>
      </c>
      <c r="J2051" s="7">
        <v>0.46700000000000003</v>
      </c>
      <c r="K2051" s="1" t="s">
        <v>21</v>
      </c>
      <c r="L2051" s="1" t="s">
        <v>29</v>
      </c>
      <c r="M2051" s="1" t="s">
        <v>29</v>
      </c>
      <c r="N2051" s="1" t="s">
        <v>22</v>
      </c>
      <c r="O2051" s="1" t="str">
        <f t="shared" ca="1" si="17"/>
        <v>Please solve the LeetCode problem '2426. Number of Pairs Satisfying Inequality'.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52" spans="1:15" x14ac:dyDescent="0.25">
      <c r="A2052" s="1">
        <v>2068</v>
      </c>
      <c r="B2052" s="2" t="str">
        <f>HYPERLINK("https://leetcode.com/problems/check-whether-two-strings-are-almost-equivalent/", "Check Whether Two Strings are Almost Equivalent")</f>
        <v>Check Whether Two Strings are Almost Equivalent</v>
      </c>
      <c r="C2052" s="1">
        <v>571</v>
      </c>
      <c r="D2052" s="1">
        <v>22</v>
      </c>
      <c r="E2052" s="3">
        <f t="shared" si="16"/>
        <v>0.96290050590219223</v>
      </c>
      <c r="F2052" s="1" t="s">
        <v>237</v>
      </c>
      <c r="G2052" s="1" t="s">
        <v>20</v>
      </c>
      <c r="H2052" s="1">
        <v>79002</v>
      </c>
      <c r="I2052" s="1">
        <v>123364</v>
      </c>
      <c r="J2052" s="7">
        <v>0.64</v>
      </c>
      <c r="K2052" s="1" t="s">
        <v>21</v>
      </c>
      <c r="L2052" s="1" t="s">
        <v>21</v>
      </c>
      <c r="M2052" s="1" t="s">
        <v>29</v>
      </c>
      <c r="N2052" s="1" t="s">
        <v>22</v>
      </c>
      <c r="O2052" s="1" t="str">
        <f t="shared" ca="1" si="17"/>
        <v>Please solve the LeetCode problem '2068. Check Whether Two Strings are Almost Equivalent'.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53" spans="1:15" x14ac:dyDescent="0.25">
      <c r="A2053" s="1">
        <v>2086</v>
      </c>
      <c r="B2053" s="2" t="str">
        <f>HYPERLINK("https://leetcode.com/problems/minimum-number-of-food-buckets-to-feed-the-hamsters/", "Minimum Number of Food Buckets to Feed the Hamsters")</f>
        <v>Minimum Number of Food Buckets to Feed the Hamsters</v>
      </c>
      <c r="C2053" s="1">
        <v>571</v>
      </c>
      <c r="D2053" s="1">
        <v>31</v>
      </c>
      <c r="E2053" s="3">
        <f t="shared" si="16"/>
        <v>0.94850498338870437</v>
      </c>
      <c r="F2053" s="1" t="s">
        <v>861</v>
      </c>
      <c r="G2053" s="1" t="s">
        <v>24</v>
      </c>
      <c r="H2053" s="1">
        <v>28752</v>
      </c>
      <c r="I2053" s="1">
        <v>60101</v>
      </c>
      <c r="J2053" s="7">
        <v>0.47799999999999998</v>
      </c>
      <c r="K2053" s="1" t="s">
        <v>21</v>
      </c>
      <c r="L2053" s="1" t="s">
        <v>29</v>
      </c>
      <c r="M2053" s="1" t="s">
        <v>29</v>
      </c>
      <c r="N2053" s="1" t="s">
        <v>22</v>
      </c>
      <c r="O2053" s="1" t="str">
        <f t="shared" ca="1" si="17"/>
        <v>Please solve the LeetCode problem '2086. Minimum Number of Food Buckets to Feed the Hamsters'.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54" spans="1:15" x14ac:dyDescent="0.25">
      <c r="A2054" s="1">
        <v>2659</v>
      </c>
      <c r="B2054" s="2" t="str">
        <f>HYPERLINK("https://leetcode.com/problems/make-array-empty/", "Make Array Empty")</f>
        <v>Make Array Empty</v>
      </c>
      <c r="C2054" s="1">
        <v>571</v>
      </c>
      <c r="D2054" s="1">
        <v>35</v>
      </c>
      <c r="E2054" s="3">
        <f t="shared" si="16"/>
        <v>0.94224422442244227</v>
      </c>
      <c r="F2054" s="1" t="s">
        <v>866</v>
      </c>
      <c r="G2054" s="1" t="s">
        <v>28</v>
      </c>
      <c r="H2054" s="1">
        <v>13969</v>
      </c>
      <c r="I2054" s="1">
        <v>53112</v>
      </c>
      <c r="J2054" s="7">
        <v>0.26300000000000001</v>
      </c>
      <c r="K2054" s="1" t="s">
        <v>21</v>
      </c>
      <c r="L2054" s="1" t="s">
        <v>29</v>
      </c>
      <c r="M2054" s="1" t="s">
        <v>29</v>
      </c>
      <c r="N2054" s="1" t="s">
        <v>22</v>
      </c>
      <c r="O2054" s="1" t="str">
        <f t="shared" ca="1" si="17"/>
        <v>Please solve the LeetCode problem '2659. Make Array Empty'.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55" spans="1:15" x14ac:dyDescent="0.25">
      <c r="A2055" s="1">
        <v>2901</v>
      </c>
      <c r="B2055" s="2" t="str">
        <f>HYPERLINK("https://leetcode.com/problems/longest-unequal-adjacent-groups-subsequence-ii/", "Longest Unequal Adjacent Groups Subsequence II")</f>
        <v>Longest Unequal Adjacent Groups Subsequence II</v>
      </c>
      <c r="C2055" s="1">
        <v>570</v>
      </c>
      <c r="D2055" s="1">
        <v>168</v>
      </c>
      <c r="E2055" s="3">
        <f t="shared" si="16"/>
        <v>0.77235772357723576</v>
      </c>
      <c r="F2055" s="1" t="s">
        <v>225</v>
      </c>
      <c r="G2055" s="1" t="s">
        <v>24</v>
      </c>
      <c r="H2055" s="1">
        <v>83154</v>
      </c>
      <c r="I2055" s="1">
        <v>161610</v>
      </c>
      <c r="J2055" s="7">
        <v>0.51500000000000001</v>
      </c>
      <c r="K2055" s="1" t="s">
        <v>21</v>
      </c>
      <c r="L2055" s="1" t="s">
        <v>21</v>
      </c>
      <c r="M2055" s="1" t="s">
        <v>29</v>
      </c>
      <c r="N2055" s="1" t="s">
        <v>22</v>
      </c>
      <c r="O2055" s="1" t="str">
        <f t="shared" ca="1" si="17"/>
        <v>Please solve the LeetCode problem '2901. Longest Unequal Adjacent Groups Subsequence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56" spans="1:15" x14ac:dyDescent="0.25">
      <c r="A2056" s="1">
        <v>1017</v>
      </c>
      <c r="B2056" s="2" t="str">
        <f>HYPERLINK("https://leetcode.com/problems/convert-to-base-2/", "Convert to Base -2")</f>
        <v>Convert to Base -2</v>
      </c>
      <c r="C2056" s="1">
        <v>569</v>
      </c>
      <c r="D2056" s="1">
        <v>308</v>
      </c>
      <c r="E2056" s="3">
        <f t="shared" si="16"/>
        <v>0.64880273660205245</v>
      </c>
      <c r="F2056" s="1" t="s">
        <v>84</v>
      </c>
      <c r="G2056" s="1" t="s">
        <v>24</v>
      </c>
      <c r="H2056" s="1">
        <v>36071</v>
      </c>
      <c r="I2056" s="1">
        <v>58493</v>
      </c>
      <c r="J2056" s="7">
        <v>0.61699999999999999</v>
      </c>
      <c r="K2056" s="1" t="s">
        <v>21</v>
      </c>
      <c r="L2056" s="1" t="s">
        <v>29</v>
      </c>
      <c r="M2056" s="1" t="s">
        <v>29</v>
      </c>
      <c r="N2056" s="1" t="s">
        <v>22</v>
      </c>
      <c r="O2056" s="1" t="str">
        <f t="shared" ca="1" si="17"/>
        <v>Please solve the LeetCode problem '1017. Convert to Base -2'.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57" spans="1:15" x14ac:dyDescent="0.25">
      <c r="A2057" s="1">
        <v>1617</v>
      </c>
      <c r="B2057" s="2" t="str">
        <f>HYPERLINK("https://leetcode.com/problems/count-subtrees-with-max-distance-between-cities/", "Count Subtrees With Max Distance Between Cities")</f>
        <v>Count Subtrees With Max Distance Between Cities</v>
      </c>
      <c r="C2057" s="1">
        <v>569</v>
      </c>
      <c r="D2057" s="1">
        <v>44</v>
      </c>
      <c r="E2057" s="3">
        <f t="shared" si="16"/>
        <v>0.92822185970636217</v>
      </c>
      <c r="F2057" s="1" t="s">
        <v>1376</v>
      </c>
      <c r="G2057" s="1" t="s">
        <v>28</v>
      </c>
      <c r="H2057" s="1">
        <v>14444</v>
      </c>
      <c r="I2057" s="1">
        <v>21514</v>
      </c>
      <c r="J2057" s="7">
        <v>0.67100000000000004</v>
      </c>
      <c r="K2057" s="1" t="s">
        <v>21</v>
      </c>
      <c r="L2057" s="1" t="s">
        <v>29</v>
      </c>
      <c r="M2057" s="1" t="s">
        <v>29</v>
      </c>
      <c r="N2057" s="1" t="s">
        <v>22</v>
      </c>
      <c r="O2057" s="1" t="str">
        <f t="shared" ca="1" si="17"/>
        <v>Please solve the LeetCode problem '1617. Count Subtrees With Max Distance Between Cities'.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58" spans="1:15" x14ac:dyDescent="0.25">
      <c r="A2058" s="1">
        <v>893</v>
      </c>
      <c r="B2058" s="2" t="str">
        <f>HYPERLINK("https://leetcode.com/problems/groups-of-special-equivalent-strings/", "Groups of Special-Equivalent Strings")</f>
        <v>Groups of Special-Equivalent Strings</v>
      </c>
      <c r="C2058" s="1">
        <v>568</v>
      </c>
      <c r="D2058" s="1">
        <v>1488</v>
      </c>
      <c r="E2058" s="3">
        <f t="shared" si="16"/>
        <v>0.27626459143968873</v>
      </c>
      <c r="F2058" s="1" t="s">
        <v>49</v>
      </c>
      <c r="G2058" s="1" t="s">
        <v>24</v>
      </c>
      <c r="H2058" s="1">
        <v>58014</v>
      </c>
      <c r="I2058" s="1">
        <v>79066</v>
      </c>
      <c r="J2058" s="7">
        <v>0.73399999999999999</v>
      </c>
      <c r="K2058" s="1" t="s">
        <v>21</v>
      </c>
      <c r="L2058" s="1" t="s">
        <v>21</v>
      </c>
      <c r="M2058" s="1" t="s">
        <v>29</v>
      </c>
      <c r="N2058" s="1" t="s">
        <v>22</v>
      </c>
      <c r="O2058" s="1" t="str">
        <f t="shared" ca="1" si="17"/>
        <v>Please solve the LeetCode problem '893. Groups of Special-Equivalent Strings'.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59" spans="1:15" x14ac:dyDescent="0.25">
      <c r="A2059" s="1">
        <v>2637</v>
      </c>
      <c r="B2059" s="2" t="str">
        <f>HYPERLINK("https://leetcode.com/problems/promise-time-limit/", "Promise Time Limit")</f>
        <v>Promise Time Limit</v>
      </c>
      <c r="C2059" s="1">
        <v>568</v>
      </c>
      <c r="D2059" s="1">
        <v>84</v>
      </c>
      <c r="E2059" s="3">
        <f t="shared" si="16"/>
        <v>0.87116564417177911</v>
      </c>
      <c r="G2059" s="1" t="s">
        <v>24</v>
      </c>
      <c r="H2059" s="1">
        <v>92530</v>
      </c>
      <c r="I2059" s="1">
        <v>111498</v>
      </c>
      <c r="J2059" s="7">
        <v>0.83</v>
      </c>
      <c r="K2059" s="1" t="s">
        <v>21</v>
      </c>
      <c r="L2059" s="1" t="s">
        <v>21</v>
      </c>
      <c r="M2059" s="1" t="s">
        <v>29</v>
      </c>
      <c r="N2059" s="1" t="s">
        <v>555</v>
      </c>
      <c r="O2059" s="1" t="str">
        <f t="shared" ca="1" si="17"/>
        <v>Please solve the LeetCode problem '2637. Promise Time Limit'.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60" spans="1:15" x14ac:dyDescent="0.25">
      <c r="A2060" s="1">
        <v>2719</v>
      </c>
      <c r="B2060" s="2" t="str">
        <f>HYPERLINK("https://leetcode.com/problems/count-of-integers/", "Count of Integers")</f>
        <v>Count of Integers</v>
      </c>
      <c r="C2060" s="1">
        <v>568</v>
      </c>
      <c r="D2060" s="1">
        <v>12</v>
      </c>
      <c r="E2060" s="3">
        <f t="shared" si="16"/>
        <v>0.97931034482758617</v>
      </c>
      <c r="F2060" s="1" t="s">
        <v>627</v>
      </c>
      <c r="G2060" s="1" t="s">
        <v>28</v>
      </c>
      <c r="H2060" s="1">
        <v>19014</v>
      </c>
      <c r="I2060" s="1">
        <v>50031</v>
      </c>
      <c r="J2060" s="7">
        <v>0.38</v>
      </c>
      <c r="K2060" s="1" t="s">
        <v>21</v>
      </c>
      <c r="L2060" s="1" t="s">
        <v>29</v>
      </c>
      <c r="M2060" s="1" t="s">
        <v>29</v>
      </c>
      <c r="N2060" s="1" t="s">
        <v>22</v>
      </c>
      <c r="O2060" s="1" t="str">
        <f t="shared" ca="1" si="17"/>
        <v>Please solve the LeetCode problem '2719. Count of Integers'.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61" spans="1:15" x14ac:dyDescent="0.25">
      <c r="A2061" s="1">
        <v>1656</v>
      </c>
      <c r="B2061" s="2" t="str">
        <f>HYPERLINK("https://leetcode.com/problems/design-an-ordered-stream/", "Design an Ordered Stream")</f>
        <v>Design an Ordered Stream</v>
      </c>
      <c r="C2061" s="1">
        <v>567</v>
      </c>
      <c r="D2061" s="1">
        <v>3622</v>
      </c>
      <c r="E2061" s="3">
        <f t="shared" si="16"/>
        <v>0.13535449988063977</v>
      </c>
      <c r="F2061" s="1" t="s">
        <v>864</v>
      </c>
      <c r="G2061" s="1" t="s">
        <v>20</v>
      </c>
      <c r="H2061" s="1">
        <v>106805</v>
      </c>
      <c r="I2061" s="1">
        <v>129456</v>
      </c>
      <c r="J2061" s="7">
        <v>0.82499999999999996</v>
      </c>
      <c r="K2061" s="1" t="s">
        <v>21</v>
      </c>
      <c r="L2061" s="1" t="s">
        <v>29</v>
      </c>
      <c r="M2061" s="1" t="s">
        <v>29</v>
      </c>
      <c r="N2061" s="1" t="s">
        <v>22</v>
      </c>
      <c r="O2061" s="1" t="str">
        <f t="shared" ca="1" si="17"/>
        <v>Please solve the LeetCode problem '1656. Design an Ordered Stream'.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62" spans="1:15" x14ac:dyDescent="0.25">
      <c r="A2062" s="1">
        <v>2120</v>
      </c>
      <c r="B2062" s="2" t="str">
        <f>HYPERLINK("https://leetcode.com/problems/execution-of-all-suffix-instructions-staying-in-a-grid/", "Execution of All Suffix Instructions Staying in a Grid")</f>
        <v>Execution of All Suffix Instructions Staying in a Grid</v>
      </c>
      <c r="C2062" s="1">
        <v>566</v>
      </c>
      <c r="D2062" s="1">
        <v>54</v>
      </c>
      <c r="E2062" s="3">
        <f t="shared" si="16"/>
        <v>0.91290322580645167</v>
      </c>
      <c r="F2062" s="1" t="s">
        <v>414</v>
      </c>
      <c r="G2062" s="1" t="s">
        <v>24</v>
      </c>
      <c r="H2062" s="1">
        <v>37177</v>
      </c>
      <c r="I2062" s="1">
        <v>45436</v>
      </c>
      <c r="J2062" s="7">
        <v>0.81799999999999995</v>
      </c>
      <c r="K2062" s="1" t="s">
        <v>21</v>
      </c>
      <c r="L2062" s="1" t="s">
        <v>29</v>
      </c>
      <c r="M2062" s="1" t="s">
        <v>29</v>
      </c>
      <c r="N2062" s="1" t="s">
        <v>22</v>
      </c>
      <c r="O2062" s="1" t="str">
        <f t="shared" ca="1" si="17"/>
        <v>Please solve the LeetCode problem '2120. Execution of All Suffix Instructions Staying in a Grid'.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63" spans="1:15" x14ac:dyDescent="0.25">
      <c r="A2063" s="1">
        <v>1771</v>
      </c>
      <c r="B2063" s="2" t="str">
        <f>HYPERLINK("https://leetcode.com/problems/maximize-palindrome-length-from-subsequences/", "Maximize Palindrome Length From Subsequences")</f>
        <v>Maximize Palindrome Length From Subsequences</v>
      </c>
      <c r="C2063" s="1">
        <v>565</v>
      </c>
      <c r="D2063" s="1">
        <v>17</v>
      </c>
      <c r="E2063" s="3">
        <f t="shared" si="16"/>
        <v>0.97079037800687284</v>
      </c>
      <c r="F2063" s="1" t="s">
        <v>82</v>
      </c>
      <c r="G2063" s="1" t="s">
        <v>28</v>
      </c>
      <c r="H2063" s="1">
        <v>14106</v>
      </c>
      <c r="I2063" s="1">
        <v>37072</v>
      </c>
      <c r="J2063" s="7">
        <v>0.38100000000000001</v>
      </c>
      <c r="K2063" s="1" t="s">
        <v>21</v>
      </c>
      <c r="L2063" s="1" t="s">
        <v>29</v>
      </c>
      <c r="M2063" s="1" t="s">
        <v>29</v>
      </c>
      <c r="N2063" s="1" t="s">
        <v>22</v>
      </c>
      <c r="O2063" s="1" t="str">
        <f t="shared" ca="1" si="17"/>
        <v>Please solve the LeetCode problem '1771. Maximize Palindrome Length From Subsequences'.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64" spans="1:15" x14ac:dyDescent="0.25">
      <c r="A2064" s="1">
        <v>998</v>
      </c>
      <c r="B2064" s="2" t="str">
        <f>HYPERLINK("https://leetcode.com/problems/maximum-binary-tree-ii/", "Maximum Binary Tree II")</f>
        <v>Maximum Binary Tree II</v>
      </c>
      <c r="C2064" s="1">
        <v>564</v>
      </c>
      <c r="D2064" s="1">
        <v>804</v>
      </c>
      <c r="E2064" s="3">
        <f t="shared" si="16"/>
        <v>0.41228070175438597</v>
      </c>
      <c r="F2064" s="1" t="s">
        <v>571</v>
      </c>
      <c r="G2064" s="1" t="s">
        <v>24</v>
      </c>
      <c r="H2064" s="1">
        <v>44244</v>
      </c>
      <c r="I2064" s="1">
        <v>63081</v>
      </c>
      <c r="J2064" s="7">
        <v>0.70099999999999996</v>
      </c>
      <c r="K2064" s="1" t="s">
        <v>21</v>
      </c>
      <c r="L2064" s="1" t="s">
        <v>29</v>
      </c>
      <c r="M2064" s="1" t="s">
        <v>29</v>
      </c>
      <c r="N2064" s="1" t="s">
        <v>22</v>
      </c>
      <c r="O2064" s="1" t="str">
        <f t="shared" ca="1" si="17"/>
        <v>Please solve the LeetCode problem '998. Maximum Binary Tree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65" spans="1:15" x14ac:dyDescent="0.25">
      <c r="A2065" s="1">
        <v>1152</v>
      </c>
      <c r="B2065" s="2" t="str">
        <f>HYPERLINK("https://leetcode.com/problems/analyze-user-website-visit-pattern/", "Analyze User Website Visit Pattern")</f>
        <v>Analyze User Website Visit Pattern</v>
      </c>
      <c r="C2065" s="1">
        <v>564</v>
      </c>
      <c r="D2065" s="1">
        <v>3985</v>
      </c>
      <c r="E2065" s="3">
        <f t="shared" si="16"/>
        <v>0.12398329303143547</v>
      </c>
      <c r="F2065" s="1" t="s">
        <v>49</v>
      </c>
      <c r="G2065" s="1" t="s">
        <v>24</v>
      </c>
      <c r="H2065" s="1">
        <v>130318</v>
      </c>
      <c r="I2065" s="1">
        <v>294797</v>
      </c>
      <c r="J2065" s="7">
        <v>0.442</v>
      </c>
      <c r="K2065" s="1" t="s">
        <v>29</v>
      </c>
      <c r="L2065" s="1" t="s">
        <v>21</v>
      </c>
      <c r="M2065" s="1" t="s">
        <v>29</v>
      </c>
      <c r="N2065" s="1" t="s">
        <v>22</v>
      </c>
      <c r="O2065" s="1" t="str">
        <f t="shared" ca="1" si="17"/>
        <v>Please solve the LeetCode problem '1152. Analyze User Website Visit Pattern'.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66" spans="1:15" x14ac:dyDescent="0.25">
      <c r="A2066" s="1">
        <v>1643</v>
      </c>
      <c r="B2066" s="2" t="str">
        <f>HYPERLINK("https://leetcode.com/problems/kth-smallest-instructions/", "Kth Smallest Instructions")</f>
        <v>Kth Smallest Instructions</v>
      </c>
      <c r="C2066" s="1">
        <v>564</v>
      </c>
      <c r="D2066" s="1">
        <v>16</v>
      </c>
      <c r="E2066" s="3">
        <f t="shared" si="16"/>
        <v>0.97241379310344822</v>
      </c>
      <c r="F2066" s="1" t="s">
        <v>867</v>
      </c>
      <c r="G2066" s="1" t="s">
        <v>28</v>
      </c>
      <c r="H2066" s="1">
        <v>17458</v>
      </c>
      <c r="I2066" s="1">
        <v>39229</v>
      </c>
      <c r="J2066" s="7">
        <v>0.44500000000000001</v>
      </c>
      <c r="K2066" s="1" t="s">
        <v>21</v>
      </c>
      <c r="L2066" s="1" t="s">
        <v>29</v>
      </c>
      <c r="M2066" s="1" t="s">
        <v>29</v>
      </c>
      <c r="N2066" s="1" t="s">
        <v>22</v>
      </c>
      <c r="O2066" s="1" t="str">
        <f t="shared" ca="1" si="17"/>
        <v>Please solve the LeetCode problem '1643. Kth Smallest Instructions'.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67" spans="1:15" x14ac:dyDescent="0.25">
      <c r="A2067" s="1">
        <v>302</v>
      </c>
      <c r="B2067" s="2" t="str">
        <f>HYPERLINK("https://leetcode.com/problems/smallest-rectangle-enclosing-black-pixels/", "Smallest Rectangle Enclosing Black Pixels")</f>
        <v>Smallest Rectangle Enclosing Black Pixels</v>
      </c>
      <c r="C2067" s="1">
        <v>562</v>
      </c>
      <c r="D2067" s="1">
        <v>107</v>
      </c>
      <c r="E2067" s="3">
        <f t="shared" si="16"/>
        <v>0.84005979073243642</v>
      </c>
      <c r="F2067" s="1" t="s">
        <v>869</v>
      </c>
      <c r="G2067" s="1" t="s">
        <v>28</v>
      </c>
      <c r="H2067" s="1">
        <v>56892</v>
      </c>
      <c r="I2067" s="1">
        <v>93581</v>
      </c>
      <c r="J2067" s="7">
        <v>0.60799999999999998</v>
      </c>
      <c r="K2067" s="1" t="s">
        <v>29</v>
      </c>
      <c r="L2067" s="1" t="s">
        <v>21</v>
      </c>
      <c r="M2067" s="1" t="s">
        <v>29</v>
      </c>
      <c r="N2067" s="1" t="s">
        <v>22</v>
      </c>
      <c r="O2067" s="1" t="str">
        <f t="shared" ca="1" si="17"/>
        <v>Please solve the LeetCode problem '302. Smallest Rectangle Enclosing Black Pixels'.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68" spans="1:15" x14ac:dyDescent="0.25">
      <c r="A2068" s="1">
        <v>798</v>
      </c>
      <c r="B2068" s="2" t="str">
        <f>HYPERLINK("https://leetcode.com/problems/smallest-rotation-with-highest-score/", "Smallest Rotation with Highest Score")</f>
        <v>Smallest Rotation with Highest Score</v>
      </c>
      <c r="C2068" s="1">
        <v>562</v>
      </c>
      <c r="D2068" s="1">
        <v>44</v>
      </c>
      <c r="E2068" s="3">
        <f t="shared" si="16"/>
        <v>0.9273927392739274</v>
      </c>
      <c r="F2068" s="1" t="s">
        <v>37</v>
      </c>
      <c r="G2068" s="1" t="s">
        <v>28</v>
      </c>
      <c r="H2068" s="1">
        <v>17605</v>
      </c>
      <c r="I2068" s="1">
        <v>33042</v>
      </c>
      <c r="J2068" s="7">
        <v>0.53300000000000003</v>
      </c>
      <c r="K2068" s="1" t="s">
        <v>21</v>
      </c>
      <c r="L2068" s="1" t="s">
        <v>21</v>
      </c>
      <c r="M2068" s="1" t="s">
        <v>29</v>
      </c>
      <c r="N2068" s="1" t="s">
        <v>22</v>
      </c>
      <c r="O2068" s="1" t="str">
        <f t="shared" ca="1" si="17"/>
        <v>Please solve the LeetCode problem '798. Smallest Rotation with Highest Score'.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69" spans="1:15" x14ac:dyDescent="0.25">
      <c r="A2069" s="1">
        <v>1224</v>
      </c>
      <c r="B2069" s="2" t="str">
        <f>HYPERLINK("https://leetcode.com/problems/maximum-equal-frequency/", "Maximum Equal Frequency")</f>
        <v>Maximum Equal Frequency</v>
      </c>
      <c r="C2069" s="1">
        <v>562</v>
      </c>
      <c r="D2069" s="1">
        <v>68</v>
      </c>
      <c r="E2069" s="3">
        <f t="shared" si="16"/>
        <v>0.89206349206349211</v>
      </c>
      <c r="F2069" s="1" t="s">
        <v>19</v>
      </c>
      <c r="G2069" s="1" t="s">
        <v>28</v>
      </c>
      <c r="H2069" s="1">
        <v>18560</v>
      </c>
      <c r="I2069" s="1">
        <v>49081</v>
      </c>
      <c r="J2069" s="7">
        <v>0.378</v>
      </c>
      <c r="K2069" s="1" t="s">
        <v>21</v>
      </c>
      <c r="L2069" s="1" t="s">
        <v>29</v>
      </c>
      <c r="M2069" s="1" t="s">
        <v>29</v>
      </c>
      <c r="N2069" s="1" t="s">
        <v>22</v>
      </c>
      <c r="O2069" s="1" t="str">
        <f t="shared" ca="1" si="17"/>
        <v>Please solve the LeetCode problem '1224. Maximum Equal Frequency'.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70" spans="1:15" x14ac:dyDescent="0.25">
      <c r="A2070" s="1">
        <v>1250</v>
      </c>
      <c r="B2070" s="2" t="str">
        <f>HYPERLINK("https://leetcode.com/problems/check-if-it-is-a-good-array/", "Check If It Is a Good Array")</f>
        <v>Check If It Is a Good Array</v>
      </c>
      <c r="C2070" s="1">
        <v>562</v>
      </c>
      <c r="D2070" s="1">
        <v>385</v>
      </c>
      <c r="E2070" s="3">
        <f t="shared" si="16"/>
        <v>0.59345300950369584</v>
      </c>
      <c r="F2070" s="1" t="s">
        <v>640</v>
      </c>
      <c r="G2070" s="1" t="s">
        <v>28</v>
      </c>
      <c r="H2070" s="1">
        <v>35956</v>
      </c>
      <c r="I2070" s="1">
        <v>56929</v>
      </c>
      <c r="J2070" s="7">
        <v>0.63200000000000001</v>
      </c>
      <c r="K2070" s="1" t="s">
        <v>21</v>
      </c>
      <c r="L2070" s="1" t="s">
        <v>29</v>
      </c>
      <c r="M2070" s="1" t="s">
        <v>29</v>
      </c>
      <c r="N2070" s="1" t="s">
        <v>22</v>
      </c>
      <c r="O2070" s="1" t="str">
        <f t="shared" ca="1" si="17"/>
        <v>Please solve the LeetCode problem '1250. Check If It Is a Good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71" spans="1:15" x14ac:dyDescent="0.25">
      <c r="A2071" s="1">
        <v>2929</v>
      </c>
      <c r="B2071" s="2" t="str">
        <f>HYPERLINK("https://leetcode.com/problems/distribute-candies-among-children-ii/", "Distribute Candies Among Children II")</f>
        <v>Distribute Candies Among Children II</v>
      </c>
      <c r="C2071" s="1">
        <v>562</v>
      </c>
      <c r="D2071" s="1">
        <v>176</v>
      </c>
      <c r="E2071" s="3">
        <f t="shared" si="16"/>
        <v>0.7615176151761518</v>
      </c>
      <c r="F2071" s="1" t="s">
        <v>868</v>
      </c>
      <c r="G2071" s="1" t="s">
        <v>24</v>
      </c>
      <c r="H2071" s="1">
        <v>104356</v>
      </c>
      <c r="I2071" s="1">
        <v>187281</v>
      </c>
      <c r="J2071" s="7">
        <v>0.55700000000000005</v>
      </c>
      <c r="K2071" s="1" t="s">
        <v>21</v>
      </c>
      <c r="L2071" s="1" t="s">
        <v>21</v>
      </c>
      <c r="M2071" s="1" t="s">
        <v>29</v>
      </c>
      <c r="N2071" s="1" t="s">
        <v>22</v>
      </c>
      <c r="O2071" s="1" t="str">
        <f t="shared" ca="1" si="17"/>
        <v>Please solve the LeetCode problem '2929. Distribute Candies Among Children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72" spans="1:15" x14ac:dyDescent="0.25">
      <c r="A2072" s="1">
        <v>3396</v>
      </c>
      <c r="B2072" s="2" t="str">
        <f>HYPERLINK("https://leetcode.com/problems/minimum-number-of-operations-to-make-elements-in-array-distinct/", "Minimum Number of Operations to Make Elements in Array Distinct")</f>
        <v>Minimum Number of Operations to Make Elements in Array Distinct</v>
      </c>
      <c r="C2072" s="1">
        <v>562</v>
      </c>
      <c r="D2072" s="1">
        <v>30</v>
      </c>
      <c r="E2072" s="3">
        <f t="shared" si="16"/>
        <v>0.94932432432432434</v>
      </c>
      <c r="F2072" s="1" t="s">
        <v>19</v>
      </c>
      <c r="G2072" s="1" t="s">
        <v>20</v>
      </c>
      <c r="H2072" s="1">
        <v>180859</v>
      </c>
      <c r="I2072" s="1">
        <v>253629</v>
      </c>
      <c r="J2072" s="7">
        <v>0.71299999999999997</v>
      </c>
      <c r="K2072" s="1" t="s">
        <v>21</v>
      </c>
      <c r="L2072" s="1" t="s">
        <v>21</v>
      </c>
      <c r="M2072" s="1" t="s">
        <v>29</v>
      </c>
      <c r="N2072" s="1" t="s">
        <v>22</v>
      </c>
      <c r="O2072" s="1" t="str">
        <f t="shared" ca="1" si="17"/>
        <v>Please solve the LeetCode problem '3396. Minimum Number of Operations to Make Elements in Array Distinct'.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73" spans="1:15" x14ac:dyDescent="0.25">
      <c r="A2073" s="1">
        <v>1869</v>
      </c>
      <c r="B2073" s="2" t="str">
        <f>HYPERLINK("https://leetcode.com/problems/longer-contiguous-segments-of-ones-than-zeros/", "Longer Contiguous Segments of Ones than Zeros")</f>
        <v>Longer Contiguous Segments of Ones than Zeros</v>
      </c>
      <c r="C2073" s="1">
        <v>561</v>
      </c>
      <c r="D2073" s="1">
        <v>13</v>
      </c>
      <c r="E2073" s="3">
        <f t="shared" si="16"/>
        <v>0.97735191637630658</v>
      </c>
      <c r="F2073" s="1" t="s">
        <v>146</v>
      </c>
      <c r="G2073" s="1" t="s">
        <v>20</v>
      </c>
      <c r="H2073" s="1">
        <v>60842</v>
      </c>
      <c r="I2073" s="1">
        <v>98104</v>
      </c>
      <c r="J2073" s="7">
        <v>0.62</v>
      </c>
      <c r="K2073" s="1" t="s">
        <v>21</v>
      </c>
      <c r="L2073" s="1" t="s">
        <v>29</v>
      </c>
      <c r="M2073" s="1" t="s">
        <v>29</v>
      </c>
      <c r="N2073" s="1" t="s">
        <v>22</v>
      </c>
      <c r="O2073" s="1" t="str">
        <f t="shared" ca="1" si="17"/>
        <v>Please solve the LeetCode problem '1869. Longer Contiguous Segments of Ones than Zeros'.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74" spans="1:15" x14ac:dyDescent="0.25">
      <c r="A2074" s="1">
        <v>655</v>
      </c>
      <c r="B2074" s="2" t="str">
        <f>HYPERLINK("https://leetcode.com/problems/print-binary-tree/", "Print Binary Tree")</f>
        <v>Print Binary Tree</v>
      </c>
      <c r="C2074" s="1">
        <v>559</v>
      </c>
      <c r="D2074" s="1">
        <v>469</v>
      </c>
      <c r="E2074" s="3">
        <f t="shared" si="16"/>
        <v>0.54377431906614782</v>
      </c>
      <c r="F2074" s="1" t="s">
        <v>80</v>
      </c>
      <c r="G2074" s="1" t="s">
        <v>24</v>
      </c>
      <c r="H2074" s="1">
        <v>84254</v>
      </c>
      <c r="I2074" s="1">
        <v>127193</v>
      </c>
      <c r="J2074" s="7">
        <v>0.66200000000000003</v>
      </c>
      <c r="K2074" s="1" t="s">
        <v>21</v>
      </c>
      <c r="L2074" s="1" t="s">
        <v>21</v>
      </c>
      <c r="M2074" s="1" t="s">
        <v>29</v>
      </c>
      <c r="N2074" s="1" t="s">
        <v>22</v>
      </c>
      <c r="O2074" s="1" t="str">
        <f t="shared" ca="1" si="17"/>
        <v>Please solve the LeetCode problem '655. Print Binary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75" spans="1:15" x14ac:dyDescent="0.25">
      <c r="A2075" s="1">
        <v>2588</v>
      </c>
      <c r="B2075" s="2" t="str">
        <f>HYPERLINK("https://leetcode.com/problems/count-the-number-of-beautiful-subarrays/", "Count the Number of Beautiful Subarrays")</f>
        <v>Count the Number of Beautiful Subarrays</v>
      </c>
      <c r="C2075" s="1">
        <v>559</v>
      </c>
      <c r="D2075" s="1">
        <v>23</v>
      </c>
      <c r="E2075" s="3">
        <f t="shared" si="16"/>
        <v>0.96048109965635742</v>
      </c>
      <c r="F2075" s="1" t="s">
        <v>870</v>
      </c>
      <c r="G2075" s="1" t="s">
        <v>24</v>
      </c>
      <c r="H2075" s="1">
        <v>24589</v>
      </c>
      <c r="I2075" s="1">
        <v>46282</v>
      </c>
      <c r="J2075" s="7">
        <v>0.53100000000000003</v>
      </c>
      <c r="K2075" s="1" t="s">
        <v>21</v>
      </c>
      <c r="L2075" s="1" t="s">
        <v>29</v>
      </c>
      <c r="M2075" s="1" t="s">
        <v>29</v>
      </c>
      <c r="N2075" s="1" t="s">
        <v>22</v>
      </c>
      <c r="O2075" s="1" t="str">
        <f t="shared" ca="1" si="17"/>
        <v>Please solve the LeetCode problem '2588. Count the Number of Beautiful Subarrays'.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76" spans="1:15" x14ac:dyDescent="0.25">
      <c r="A2076" s="1">
        <v>1327</v>
      </c>
      <c r="B2076" s="2" t="str">
        <f>HYPERLINK("https://leetcode.com/problems/list-the-products-ordered-in-a-period/", "List the Products Ordered in a Period")</f>
        <v>List the Products Ordered in a Period</v>
      </c>
      <c r="C2076" s="1">
        <v>556</v>
      </c>
      <c r="D2076" s="1">
        <v>45</v>
      </c>
      <c r="E2076" s="3">
        <f t="shared" si="16"/>
        <v>0.9251247920133111</v>
      </c>
      <c r="F2076" s="1" t="s">
        <v>297</v>
      </c>
      <c r="G2076" s="1" t="s">
        <v>20</v>
      </c>
      <c r="H2076" s="1">
        <v>289238</v>
      </c>
      <c r="I2076" s="1">
        <v>403392</v>
      </c>
      <c r="J2076" s="7">
        <v>0.71699999999999997</v>
      </c>
      <c r="K2076" s="1" t="s">
        <v>21</v>
      </c>
      <c r="L2076" s="1" t="s">
        <v>29</v>
      </c>
      <c r="M2076" s="1" t="s">
        <v>29</v>
      </c>
      <c r="N2076" s="1" t="s">
        <v>297</v>
      </c>
      <c r="O2076" s="1" t="str">
        <f t="shared" ca="1" si="17"/>
        <v>Please solve the LeetCode problem '1327. List the Products Ordered in a Period'.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77" spans="1:15" x14ac:dyDescent="0.25">
      <c r="A2077" s="1">
        <v>2278</v>
      </c>
      <c r="B2077" s="2" t="str">
        <f>HYPERLINK("https://leetcode.com/problems/percentage-of-letter-in-string/", "Percentage of Letter in String")</f>
        <v>Percentage of Letter in String</v>
      </c>
      <c r="C2077" s="1">
        <v>556</v>
      </c>
      <c r="D2077" s="1">
        <v>64</v>
      </c>
      <c r="E2077" s="3">
        <f t="shared" si="16"/>
        <v>0.89677419354838706</v>
      </c>
      <c r="F2077" s="1" t="s">
        <v>146</v>
      </c>
      <c r="G2077" s="1" t="s">
        <v>20</v>
      </c>
      <c r="H2077" s="1">
        <v>97014</v>
      </c>
      <c r="I2077" s="1">
        <v>129449</v>
      </c>
      <c r="J2077" s="7">
        <v>0.749</v>
      </c>
      <c r="K2077" s="1" t="s">
        <v>21</v>
      </c>
      <c r="L2077" s="1" t="s">
        <v>29</v>
      </c>
      <c r="M2077" s="1" t="s">
        <v>29</v>
      </c>
      <c r="N2077" s="1" t="s">
        <v>22</v>
      </c>
      <c r="O2077" s="1" t="str">
        <f t="shared" ca="1" si="17"/>
        <v>Please solve the LeetCode problem '2278. Percentage of Letter in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78" spans="1:15" x14ac:dyDescent="0.25">
      <c r="A2078" s="1">
        <v>3397</v>
      </c>
      <c r="B2078" s="2" t="str">
        <f>HYPERLINK("https://leetcode.com/problems/maximum-number-of-distinct-elements-after-operations/", "Maximum Number of Distinct Elements After Operations")</f>
        <v>Maximum Number of Distinct Elements After Operations</v>
      </c>
      <c r="C2078" s="1">
        <v>556</v>
      </c>
      <c r="D2078" s="1">
        <v>21</v>
      </c>
      <c r="E2078" s="3">
        <f t="shared" si="16"/>
        <v>0.96360485268630847</v>
      </c>
      <c r="F2078" s="1" t="s">
        <v>169</v>
      </c>
      <c r="G2078" s="1" t="s">
        <v>24</v>
      </c>
      <c r="H2078" s="1">
        <v>101200</v>
      </c>
      <c r="I2078" s="1">
        <v>194194</v>
      </c>
      <c r="J2078" s="7">
        <v>0.52100000000000002</v>
      </c>
      <c r="K2078" s="1" t="s">
        <v>21</v>
      </c>
      <c r="L2078" s="1" t="s">
        <v>21</v>
      </c>
      <c r="M2078" s="1" t="s">
        <v>29</v>
      </c>
      <c r="N2078" s="1" t="s">
        <v>22</v>
      </c>
      <c r="O2078" s="1" t="str">
        <f t="shared" ca="1" si="17"/>
        <v>Please solve the LeetCode problem '3397. Maximum Number of Distinct Elements After Operations'.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79" spans="1:15" x14ac:dyDescent="0.25">
      <c r="A2079" s="1">
        <v>2603</v>
      </c>
      <c r="B2079" s="2" t="str">
        <f>HYPERLINK("https://leetcode.com/problems/collect-coins-in-a-tree/", "Collect Coins in a Tree")</f>
        <v>Collect Coins in a Tree</v>
      </c>
      <c r="C2079" s="1">
        <v>554</v>
      </c>
      <c r="D2079" s="1">
        <v>23</v>
      </c>
      <c r="E2079" s="3">
        <f t="shared" si="16"/>
        <v>0.96013864818024264</v>
      </c>
      <c r="F2079" s="1" t="s">
        <v>871</v>
      </c>
      <c r="G2079" s="1" t="s">
        <v>28</v>
      </c>
      <c r="H2079" s="1">
        <v>15714</v>
      </c>
      <c r="I2079" s="1">
        <v>39998</v>
      </c>
      <c r="J2079" s="7">
        <v>0.39300000000000002</v>
      </c>
      <c r="K2079" s="1" t="s">
        <v>21</v>
      </c>
      <c r="L2079" s="1" t="s">
        <v>29</v>
      </c>
      <c r="M2079" s="1" t="s">
        <v>29</v>
      </c>
      <c r="N2079" s="1" t="s">
        <v>22</v>
      </c>
      <c r="O2079" s="1" t="str">
        <f t="shared" ca="1" si="17"/>
        <v>Please solve the LeetCode problem '2603. Collect Coins in a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80" spans="1:15" x14ac:dyDescent="0.25">
      <c r="A2080" s="1">
        <v>1837</v>
      </c>
      <c r="B2080" s="2" t="str">
        <f>HYPERLINK("https://leetcode.com/problems/sum-of-digits-in-base-k/", "Sum of Digits in Base K")</f>
        <v>Sum of Digits in Base K</v>
      </c>
      <c r="C2080" s="1">
        <v>553</v>
      </c>
      <c r="D2080" s="1">
        <v>49</v>
      </c>
      <c r="E2080" s="3">
        <f t="shared" si="16"/>
        <v>0.91860465116279066</v>
      </c>
      <c r="F2080" s="1" t="s">
        <v>84</v>
      </c>
      <c r="G2080" s="1" t="s">
        <v>20</v>
      </c>
      <c r="H2080" s="1">
        <v>75267</v>
      </c>
      <c r="I2080" s="1">
        <v>96006</v>
      </c>
      <c r="J2080" s="7">
        <v>0.78400000000000003</v>
      </c>
      <c r="K2080" s="1" t="s">
        <v>21</v>
      </c>
      <c r="L2080" s="1" t="s">
        <v>29</v>
      </c>
      <c r="M2080" s="1" t="s">
        <v>29</v>
      </c>
      <c r="N2080" s="1" t="s">
        <v>22</v>
      </c>
      <c r="O2080" s="1" t="str">
        <f t="shared" ca="1" si="17"/>
        <v>Please solve the LeetCode problem '1837. Sum of Digits in Base K'.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81" spans="1:15" x14ac:dyDescent="0.25">
      <c r="A2081" s="1">
        <v>2250</v>
      </c>
      <c r="B2081" s="2" t="str">
        <f>HYPERLINK("https://leetcode.com/problems/count-number-of-rectangles-containing-each-point/", "Count Number of Rectangles Containing Each Point")</f>
        <v>Count Number of Rectangles Containing Each Point</v>
      </c>
      <c r="C2081" s="1">
        <v>553</v>
      </c>
      <c r="D2081" s="1">
        <v>141</v>
      </c>
      <c r="E2081" s="3">
        <f t="shared" si="16"/>
        <v>0.79682997118155618</v>
      </c>
      <c r="F2081" s="1" t="s">
        <v>873</v>
      </c>
      <c r="G2081" s="1" t="s">
        <v>24</v>
      </c>
      <c r="H2081" s="1">
        <v>22592</v>
      </c>
      <c r="I2081" s="1">
        <v>60856</v>
      </c>
      <c r="J2081" s="7">
        <v>0.371</v>
      </c>
      <c r="K2081" s="1" t="s">
        <v>21</v>
      </c>
      <c r="L2081" s="1" t="s">
        <v>29</v>
      </c>
      <c r="M2081" s="1" t="s">
        <v>29</v>
      </c>
      <c r="N2081" s="1" t="s">
        <v>22</v>
      </c>
      <c r="O2081" s="1" t="str">
        <f t="shared" ca="1" si="17"/>
        <v>Please solve the LeetCode problem '2250. Count Number of Rectangles Containing Each Point'.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82" spans="1:15" x14ac:dyDescent="0.25">
      <c r="A2082" s="1">
        <v>2999</v>
      </c>
      <c r="B2082" s="2" t="str">
        <f>HYPERLINK("https://leetcode.com/problems/count-the-number-of-powerful-integers/", "Count the Number of Powerful Integers")</f>
        <v>Count the Number of Powerful Integers</v>
      </c>
      <c r="C2082" s="1">
        <v>553</v>
      </c>
      <c r="D2082" s="1">
        <v>78</v>
      </c>
      <c r="E2082" s="3">
        <f t="shared" si="16"/>
        <v>0.87638668779714735</v>
      </c>
      <c r="F2082" s="1" t="s">
        <v>627</v>
      </c>
      <c r="G2082" s="1" t="s">
        <v>28</v>
      </c>
      <c r="H2082" s="1">
        <v>77366</v>
      </c>
      <c r="I2082" s="1">
        <v>166997</v>
      </c>
      <c r="J2082" s="7">
        <v>0.46300000000000002</v>
      </c>
      <c r="K2082" s="1" t="s">
        <v>21</v>
      </c>
      <c r="L2082" s="1" t="s">
        <v>21</v>
      </c>
      <c r="M2082" s="1" t="s">
        <v>29</v>
      </c>
      <c r="N2082" s="1" t="s">
        <v>22</v>
      </c>
      <c r="O2082" s="1" t="str">
        <f t="shared" ca="1" si="17"/>
        <v>Please solve the LeetCode problem '2999. Count the Number of Powerful Integers'.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83" spans="1:15" x14ac:dyDescent="0.25">
      <c r="A2083" s="1">
        <v>1906</v>
      </c>
      <c r="B2083" s="2" t="str">
        <f>HYPERLINK("https://leetcode.com/problems/minimum-absolute-difference-queries/", "Minimum Absolute Difference Queries")</f>
        <v>Minimum Absolute Difference Queries</v>
      </c>
      <c r="C2083" s="1">
        <v>552</v>
      </c>
      <c r="D2083" s="1">
        <v>45</v>
      </c>
      <c r="E2083" s="3">
        <f t="shared" si="16"/>
        <v>0.92462311557788945</v>
      </c>
      <c r="F2083" s="1" t="s">
        <v>37</v>
      </c>
      <c r="G2083" s="1" t="s">
        <v>24</v>
      </c>
      <c r="H2083" s="1">
        <v>13430</v>
      </c>
      <c r="I2083" s="1">
        <v>29588</v>
      </c>
      <c r="J2083" s="7">
        <v>0.45400000000000001</v>
      </c>
      <c r="K2083" s="1" t="s">
        <v>21</v>
      </c>
      <c r="L2083" s="1" t="s">
        <v>29</v>
      </c>
      <c r="M2083" s="1" t="s">
        <v>29</v>
      </c>
      <c r="N2083" s="1" t="s">
        <v>22</v>
      </c>
      <c r="O2083" s="1" t="str">
        <f t="shared" ca="1" si="17"/>
        <v>Please solve the LeetCode problem '1906. Minimum Absolute Difference Queries'.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84" spans="1:15" x14ac:dyDescent="0.25">
      <c r="A2084" s="1">
        <v>2835</v>
      </c>
      <c r="B2084" s="2" t="str">
        <f>HYPERLINK("https://leetcode.com/problems/minimum-operations-to-form-subsequence-with-target-sum/", "Minimum Operations to Form Subsequence With Target Sum")</f>
        <v>Minimum Operations to Form Subsequence With Target Sum</v>
      </c>
      <c r="C2084" s="1">
        <v>552</v>
      </c>
      <c r="D2084" s="1">
        <v>127</v>
      </c>
      <c r="E2084" s="3">
        <f t="shared" si="16"/>
        <v>0.81296023564064801</v>
      </c>
      <c r="F2084" s="1" t="s">
        <v>824</v>
      </c>
      <c r="G2084" s="1" t="s">
        <v>28</v>
      </c>
      <c r="H2084" s="1">
        <v>14030</v>
      </c>
      <c r="I2084" s="1">
        <v>43510</v>
      </c>
      <c r="J2084" s="7">
        <v>0.32200000000000001</v>
      </c>
      <c r="K2084" s="1" t="s">
        <v>21</v>
      </c>
      <c r="L2084" s="1" t="s">
        <v>29</v>
      </c>
      <c r="M2084" s="1" t="s">
        <v>29</v>
      </c>
      <c r="N2084" s="1" t="s">
        <v>22</v>
      </c>
      <c r="O2084" s="1" t="str">
        <f t="shared" ca="1" si="17"/>
        <v>Please solve the LeetCode problem '2835. Minimum Operations to Form Subsequence With Target Sum'.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85" spans="1:15" x14ac:dyDescent="0.25">
      <c r="A2085" s="1">
        <v>3318</v>
      </c>
      <c r="B2085" s="2" t="str">
        <f>HYPERLINK("https://leetcode.com/problems/find-x-sum-of-all-k-long-subarrays-i/", "Find X-Sum of All K-Long Subarrays I")</f>
        <v>Find X-Sum of All K-Long Subarrays I</v>
      </c>
      <c r="C2085" s="1">
        <v>552</v>
      </c>
      <c r="D2085" s="1">
        <v>313</v>
      </c>
      <c r="E2085" s="3">
        <f t="shared" si="16"/>
        <v>0.63815028901734105</v>
      </c>
      <c r="F2085" s="1" t="s">
        <v>344</v>
      </c>
      <c r="G2085" s="1" t="s">
        <v>20</v>
      </c>
      <c r="H2085" s="1">
        <v>139061</v>
      </c>
      <c r="I2085" s="1">
        <v>182689</v>
      </c>
      <c r="J2085" s="7">
        <v>0.76100000000000001</v>
      </c>
      <c r="K2085" s="1" t="s">
        <v>21</v>
      </c>
      <c r="L2085" s="1" t="s">
        <v>21</v>
      </c>
      <c r="M2085" s="1" t="s">
        <v>29</v>
      </c>
      <c r="N2085" s="1" t="s">
        <v>22</v>
      </c>
      <c r="O2085" s="1" t="str">
        <f t="shared" ca="1" si="17"/>
        <v>Please solve the LeetCode problem '3318. Find X-Sum of All K-Long Subarrays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86" spans="1:15" x14ac:dyDescent="0.25">
      <c r="A2086" s="1">
        <v>1849</v>
      </c>
      <c r="B2086" s="2" t="str">
        <f>HYPERLINK("https://leetcode.com/problems/splitting-a-string-into-descending-consecutive-values/", "Splitting a String Into Descending Consecutive Values")</f>
        <v>Splitting a String Into Descending Consecutive Values</v>
      </c>
      <c r="C2086" s="1">
        <v>551</v>
      </c>
      <c r="D2086" s="1">
        <v>128</v>
      </c>
      <c r="E2086" s="3">
        <f t="shared" si="16"/>
        <v>0.81148748159057438</v>
      </c>
      <c r="F2086" s="1" t="s">
        <v>876</v>
      </c>
      <c r="G2086" s="1" t="s">
        <v>24</v>
      </c>
      <c r="H2086" s="1">
        <v>33619</v>
      </c>
      <c r="I2086" s="1">
        <v>90102</v>
      </c>
      <c r="J2086" s="7">
        <v>0.373</v>
      </c>
      <c r="K2086" s="1" t="s">
        <v>21</v>
      </c>
      <c r="L2086" s="1" t="s">
        <v>29</v>
      </c>
      <c r="M2086" s="1" t="s">
        <v>29</v>
      </c>
      <c r="N2086" s="1" t="s">
        <v>22</v>
      </c>
      <c r="O2086" s="1" t="str">
        <f t="shared" ca="1" si="17"/>
        <v>Please solve the LeetCode problem '1849. Splitting a String Into Descending Consecutive Values'.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87" spans="1:15" x14ac:dyDescent="0.25">
      <c r="A2087" s="1">
        <v>1803</v>
      </c>
      <c r="B2087" s="2" t="str">
        <f>HYPERLINK("https://leetcode.com/problems/count-pairs-with-xor-in-a-range/", "Count Pairs With XOR in a Range")</f>
        <v>Count Pairs With XOR in a Range</v>
      </c>
      <c r="C2087" s="1">
        <v>550</v>
      </c>
      <c r="D2087" s="1">
        <v>24</v>
      </c>
      <c r="E2087" s="3">
        <f t="shared" si="16"/>
        <v>0.95818815331010454</v>
      </c>
      <c r="F2087" s="1" t="s">
        <v>614</v>
      </c>
      <c r="G2087" s="1" t="s">
        <v>28</v>
      </c>
      <c r="H2087" s="1">
        <v>11852</v>
      </c>
      <c r="I2087" s="1">
        <v>25663</v>
      </c>
      <c r="J2087" s="7">
        <v>0.46200000000000002</v>
      </c>
      <c r="K2087" s="1" t="s">
        <v>21</v>
      </c>
      <c r="L2087" s="1" t="s">
        <v>29</v>
      </c>
      <c r="M2087" s="1" t="s">
        <v>29</v>
      </c>
      <c r="N2087" s="1" t="s">
        <v>22</v>
      </c>
      <c r="O2087" s="1" t="str">
        <f t="shared" ca="1" si="17"/>
        <v>Please solve the LeetCode problem '1803. Count Pairs With XOR in a Range'.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88" spans="1:15" x14ac:dyDescent="0.25">
      <c r="A2088" s="1">
        <v>2048</v>
      </c>
      <c r="B2088" s="2" t="str">
        <f>HYPERLINK("https://leetcode.com/problems/next-greater-numerically-balanced-number/", "Next Greater Numerically Balanced Number")</f>
        <v>Next Greater Numerically Balanced Number</v>
      </c>
      <c r="C2088" s="1">
        <v>550</v>
      </c>
      <c r="D2088" s="1">
        <v>374</v>
      </c>
      <c r="E2088" s="3">
        <f t="shared" si="16"/>
        <v>0.59523809523809523</v>
      </c>
      <c r="F2088" s="1" t="s">
        <v>875</v>
      </c>
      <c r="G2088" s="1" t="s">
        <v>24</v>
      </c>
      <c r="H2088" s="1">
        <v>103200</v>
      </c>
      <c r="I2088" s="1">
        <v>163796</v>
      </c>
      <c r="J2088" s="7">
        <v>0.63</v>
      </c>
      <c r="K2088" s="1" t="s">
        <v>21</v>
      </c>
      <c r="L2088" s="1" t="s">
        <v>21</v>
      </c>
      <c r="M2088" s="1" t="s">
        <v>29</v>
      </c>
      <c r="N2088" s="1" t="s">
        <v>22</v>
      </c>
      <c r="O2088" s="1" t="str">
        <f t="shared" ca="1" si="17"/>
        <v>Please solve the LeetCode problem '2048. Next Greater Numerically Balanced Number'.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89" spans="1:15" x14ac:dyDescent="0.25">
      <c r="A2089" s="1">
        <v>2414</v>
      </c>
      <c r="B2089" s="2" t="str">
        <f>HYPERLINK("https://leetcode.com/problems/length-of-the-longest-alphabetical-continuous-substring/", "Length of the Longest Alphabetical Continuous Substring")</f>
        <v>Length of the Longest Alphabetical Continuous Substring</v>
      </c>
      <c r="C2089" s="1">
        <v>550</v>
      </c>
      <c r="D2089" s="1">
        <v>37</v>
      </c>
      <c r="E2089" s="3">
        <f t="shared" si="16"/>
        <v>0.93696763202725719</v>
      </c>
      <c r="F2089" s="1" t="s">
        <v>146</v>
      </c>
      <c r="G2089" s="1" t="s">
        <v>24</v>
      </c>
      <c r="H2089" s="1">
        <v>61604</v>
      </c>
      <c r="I2089" s="1">
        <v>102346</v>
      </c>
      <c r="J2089" s="7">
        <v>0.60199999999999998</v>
      </c>
      <c r="K2089" s="1" t="s">
        <v>21</v>
      </c>
      <c r="L2089" s="1" t="s">
        <v>29</v>
      </c>
      <c r="M2089" s="1" t="s">
        <v>29</v>
      </c>
      <c r="N2089" s="1" t="s">
        <v>22</v>
      </c>
      <c r="O2089" s="1" t="str">
        <f t="shared" ca="1" si="17"/>
        <v>Please solve the LeetCode problem '2414. Length of the Longest Alphabetical Continuous Substring'.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90" spans="1:15" x14ac:dyDescent="0.25">
      <c r="A2090" s="1">
        <v>2457</v>
      </c>
      <c r="B2090" s="2" t="str">
        <f>HYPERLINK("https://leetcode.com/problems/minimum-addition-to-make-integer-beautiful/", "Minimum Addition to Make Integer Beautiful")</f>
        <v>Minimum Addition to Make Integer Beautiful</v>
      </c>
      <c r="C2090" s="1">
        <v>550</v>
      </c>
      <c r="D2090" s="1">
        <v>26</v>
      </c>
      <c r="E2090" s="3">
        <f t="shared" si="16"/>
        <v>0.95486111111111116</v>
      </c>
      <c r="F2090" s="1" t="s">
        <v>296</v>
      </c>
      <c r="G2090" s="1" t="s">
        <v>24</v>
      </c>
      <c r="H2090" s="1">
        <v>24595</v>
      </c>
      <c r="I2090" s="1">
        <v>63919</v>
      </c>
      <c r="J2090" s="7">
        <v>0.38500000000000001</v>
      </c>
      <c r="K2090" s="1" t="s">
        <v>21</v>
      </c>
      <c r="L2090" s="1" t="s">
        <v>29</v>
      </c>
      <c r="M2090" s="1" t="s">
        <v>29</v>
      </c>
      <c r="N2090" s="1" t="s">
        <v>22</v>
      </c>
      <c r="O2090" s="1" t="str">
        <f t="shared" ca="1" si="17"/>
        <v>Please solve the LeetCode problem '2457. Minimum Addition to Make Integer Beautiful'.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91" spans="1:15" x14ac:dyDescent="0.25">
      <c r="A2091" s="1">
        <v>3354</v>
      </c>
      <c r="B2091" s="2" t="str">
        <f>HYPERLINK("https://leetcode.com/problems/make-array-elements-equal-to-zero/", "Make Array Elements Equal to Zero")</f>
        <v>Make Array Elements Equal to Zero</v>
      </c>
      <c r="C2091" s="1">
        <v>550</v>
      </c>
      <c r="D2091" s="1">
        <v>165</v>
      </c>
      <c r="E2091" s="3">
        <f t="shared" si="16"/>
        <v>0.76923076923076927</v>
      </c>
      <c r="F2091" s="1" t="s">
        <v>874</v>
      </c>
      <c r="G2091" s="1" t="s">
        <v>20</v>
      </c>
      <c r="H2091" s="1">
        <v>133018</v>
      </c>
      <c r="I2091" s="1">
        <v>194656</v>
      </c>
      <c r="J2091" s="7">
        <v>0.68300000000000005</v>
      </c>
      <c r="K2091" s="1" t="s">
        <v>21</v>
      </c>
      <c r="L2091" s="1" t="s">
        <v>21</v>
      </c>
      <c r="M2091" s="1" t="s">
        <v>29</v>
      </c>
      <c r="N2091" s="1" t="s">
        <v>22</v>
      </c>
      <c r="O2091" s="1" t="str">
        <f t="shared" ca="1" si="17"/>
        <v>Please solve the LeetCode problem '3354. Make Array Elements Equal to Zero'.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92" spans="1:15" x14ac:dyDescent="0.25">
      <c r="A2092" s="1">
        <v>522</v>
      </c>
      <c r="B2092" s="2" t="str">
        <f>HYPERLINK("https://leetcode.com/problems/longest-uncommon-subsequence-ii/", "Longest Uncommon Subsequence II")</f>
        <v>Longest Uncommon Subsequence II</v>
      </c>
      <c r="C2092" s="1">
        <v>549</v>
      </c>
      <c r="D2092" s="1">
        <v>1376</v>
      </c>
      <c r="E2092" s="3">
        <f t="shared" si="16"/>
        <v>0.28519480519480517</v>
      </c>
      <c r="F2092" s="1" t="s">
        <v>872</v>
      </c>
      <c r="G2092" s="1" t="s">
        <v>24</v>
      </c>
      <c r="H2092" s="1">
        <v>65243</v>
      </c>
      <c r="I2092" s="1">
        <v>147342</v>
      </c>
      <c r="J2092" s="7">
        <v>0.443</v>
      </c>
      <c r="K2092" s="1" t="s">
        <v>21</v>
      </c>
      <c r="L2092" s="1" t="s">
        <v>29</v>
      </c>
      <c r="M2092" s="1" t="s">
        <v>29</v>
      </c>
      <c r="N2092" s="1" t="s">
        <v>22</v>
      </c>
      <c r="O2092" s="1" t="str">
        <f t="shared" ca="1" si="17"/>
        <v>Please solve the LeetCode problem '522. Longest Uncommon Subsequence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93" spans="1:15" x14ac:dyDescent="0.25">
      <c r="A2093" s="1">
        <v>1301</v>
      </c>
      <c r="B2093" s="2" t="str">
        <f>HYPERLINK("https://leetcode.com/problems/number-of-paths-with-max-score/", "Number of Paths with Max Score")</f>
        <v>Number of Paths with Max Score</v>
      </c>
      <c r="C2093" s="1">
        <v>548</v>
      </c>
      <c r="D2093" s="1">
        <v>28</v>
      </c>
      <c r="E2093" s="3">
        <f t="shared" si="16"/>
        <v>0.95138888888888884</v>
      </c>
      <c r="F2093" s="1" t="s">
        <v>94</v>
      </c>
      <c r="G2093" s="1" t="s">
        <v>28</v>
      </c>
      <c r="H2093" s="1">
        <v>18182</v>
      </c>
      <c r="I2093" s="1">
        <v>43463</v>
      </c>
      <c r="J2093" s="7">
        <v>0.41799999999999998</v>
      </c>
      <c r="K2093" s="1" t="s">
        <v>21</v>
      </c>
      <c r="L2093" s="1" t="s">
        <v>29</v>
      </c>
      <c r="M2093" s="1" t="s">
        <v>29</v>
      </c>
      <c r="N2093" s="1" t="s">
        <v>22</v>
      </c>
      <c r="O2093" s="1" t="str">
        <f t="shared" ca="1" si="17"/>
        <v>Please solve the LeetCode problem '1301. Number of Paths with Max Score'.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94" spans="1:15" x14ac:dyDescent="0.25">
      <c r="A2094" s="1">
        <v>1961</v>
      </c>
      <c r="B2094" s="2" t="str">
        <f>HYPERLINK("https://leetcode.com/problems/check-if-string-is-a-prefix-of-array/", "Check If String Is a Prefix of Array")</f>
        <v>Check If String Is a Prefix of Array</v>
      </c>
      <c r="C2094" s="1">
        <v>548</v>
      </c>
      <c r="D2094" s="1">
        <v>109</v>
      </c>
      <c r="E2094" s="3">
        <f t="shared" si="16"/>
        <v>0.83409436834094364</v>
      </c>
      <c r="F2094" s="1" t="s">
        <v>360</v>
      </c>
      <c r="G2094" s="1" t="s">
        <v>20</v>
      </c>
      <c r="H2094" s="1">
        <v>82065</v>
      </c>
      <c r="I2094" s="1">
        <v>155646</v>
      </c>
      <c r="J2094" s="7">
        <v>0.52700000000000002</v>
      </c>
      <c r="K2094" s="1" t="s">
        <v>21</v>
      </c>
      <c r="L2094" s="1" t="s">
        <v>29</v>
      </c>
      <c r="M2094" s="1" t="s">
        <v>29</v>
      </c>
      <c r="N2094" s="1" t="s">
        <v>22</v>
      </c>
      <c r="O2094" s="1" t="str">
        <f t="shared" ca="1" si="17"/>
        <v>Please solve the LeetCode problem '1961. Check If String Is a Prefix of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95" spans="1:15" x14ac:dyDescent="0.25">
      <c r="A2095" s="1">
        <v>2380</v>
      </c>
      <c r="B2095" s="2" t="str">
        <f>HYPERLINK("https://leetcode.com/problems/time-needed-to-rearrange-a-binary-string/", "Time Needed to Rearrange a Binary String")</f>
        <v>Time Needed to Rearrange a Binary String</v>
      </c>
      <c r="C2095" s="1">
        <v>548</v>
      </c>
      <c r="D2095" s="1">
        <v>114</v>
      </c>
      <c r="E2095" s="3">
        <f t="shared" si="16"/>
        <v>0.82779456193353473</v>
      </c>
      <c r="F2095" s="1" t="s">
        <v>879</v>
      </c>
      <c r="G2095" s="1" t="s">
        <v>24</v>
      </c>
      <c r="H2095" s="1">
        <v>41758</v>
      </c>
      <c r="I2095" s="1">
        <v>79748</v>
      </c>
      <c r="J2095" s="7">
        <v>0.52400000000000002</v>
      </c>
      <c r="K2095" s="1" t="s">
        <v>21</v>
      </c>
      <c r="L2095" s="1" t="s">
        <v>29</v>
      </c>
      <c r="M2095" s="1" t="s">
        <v>29</v>
      </c>
      <c r="N2095" s="1" t="s">
        <v>22</v>
      </c>
      <c r="O2095" s="1" t="str">
        <f t="shared" ca="1" si="17"/>
        <v>Please solve the LeetCode problem '2380. Time Needed to Rearrange a Binary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96" spans="1:15" x14ac:dyDescent="0.25">
      <c r="A2096" s="1">
        <v>2850</v>
      </c>
      <c r="B2096" s="2" t="str">
        <f>HYPERLINK("https://leetcode.com/problems/minimum-moves-to-spread-stones-over-grid/", "Minimum Moves to Spread Stones Over Grid")</f>
        <v>Minimum Moves to Spread Stones Over Grid</v>
      </c>
      <c r="C2096" s="1">
        <v>548</v>
      </c>
      <c r="D2096" s="1">
        <v>78</v>
      </c>
      <c r="E2096" s="3">
        <f t="shared" si="16"/>
        <v>0.87539936102236426</v>
      </c>
      <c r="F2096" s="1" t="s">
        <v>127</v>
      </c>
      <c r="G2096" s="1" t="s">
        <v>24</v>
      </c>
      <c r="H2096" s="1">
        <v>29104</v>
      </c>
      <c r="I2096" s="1">
        <v>64491</v>
      </c>
      <c r="J2096" s="7">
        <v>0.45100000000000001</v>
      </c>
      <c r="K2096" s="1" t="s">
        <v>21</v>
      </c>
      <c r="L2096" s="1" t="s">
        <v>29</v>
      </c>
      <c r="M2096" s="1" t="s">
        <v>29</v>
      </c>
      <c r="N2096" s="1" t="s">
        <v>22</v>
      </c>
      <c r="O2096" s="1" t="str">
        <f t="shared" ca="1" si="17"/>
        <v>Please solve the LeetCode problem '2850. Minimum Moves to Spread Stones Over Grid'.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97" spans="1:15" x14ac:dyDescent="0.25">
      <c r="A2097" s="1">
        <v>1628</v>
      </c>
      <c r="B2097" s="2" t="str">
        <f>HYPERLINK("https://leetcode.com/problems/design-an-expression-tree-with-evaluate-function/", "Design an Expression Tree With Evaluate Function")</f>
        <v>Design an Expression Tree With Evaluate Function</v>
      </c>
      <c r="C2097" s="1">
        <v>547</v>
      </c>
      <c r="D2097" s="1">
        <v>74</v>
      </c>
      <c r="E2097" s="3">
        <f t="shared" si="16"/>
        <v>0.88083735909822869</v>
      </c>
      <c r="F2097" s="1" t="s">
        <v>882</v>
      </c>
      <c r="G2097" s="1" t="s">
        <v>24</v>
      </c>
      <c r="H2097" s="1">
        <v>29311</v>
      </c>
      <c r="I2097" s="1">
        <v>35558</v>
      </c>
      <c r="J2097" s="7">
        <v>0.82399999999999995</v>
      </c>
      <c r="K2097" s="1" t="s">
        <v>29</v>
      </c>
      <c r="L2097" s="1" t="s">
        <v>29</v>
      </c>
      <c r="M2097" s="1" t="s">
        <v>29</v>
      </c>
      <c r="N2097" s="1" t="s">
        <v>22</v>
      </c>
      <c r="O2097" s="1" t="str">
        <f t="shared" ca="1" si="17"/>
        <v>Please solve the LeetCode problem '1628. Design an Expression Tree With Evaluate Function'.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98" spans="1:15" x14ac:dyDescent="0.25">
      <c r="A2098" s="1">
        <v>2808</v>
      </c>
      <c r="B2098" s="2" t="str">
        <f>HYPERLINK("https://leetcode.com/problems/minimum-seconds-to-equalize-a-circular-array/", "Minimum Seconds to Equalize a Circular Array")</f>
        <v>Minimum Seconds to Equalize a Circular Array</v>
      </c>
      <c r="C2098" s="1">
        <v>547</v>
      </c>
      <c r="D2098" s="1">
        <v>32</v>
      </c>
      <c r="E2098" s="3">
        <f t="shared" si="16"/>
        <v>0.94473229706390327</v>
      </c>
      <c r="F2098" s="1" t="s">
        <v>19</v>
      </c>
      <c r="G2098" s="1" t="s">
        <v>24</v>
      </c>
      <c r="H2098" s="1">
        <v>18281</v>
      </c>
      <c r="I2098" s="1">
        <v>64500</v>
      </c>
      <c r="J2098" s="7">
        <v>0.28299999999999997</v>
      </c>
      <c r="K2098" s="1" t="s">
        <v>21</v>
      </c>
      <c r="L2098" s="1" t="s">
        <v>29</v>
      </c>
      <c r="M2098" s="1" t="s">
        <v>29</v>
      </c>
      <c r="N2098" s="1" t="s">
        <v>22</v>
      </c>
      <c r="O2098" s="1" t="str">
        <f t="shared" ca="1" si="17"/>
        <v>Please solve the LeetCode problem '2808. Minimum Seconds to Equalize a Circular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099" spans="1:15" x14ac:dyDescent="0.25">
      <c r="A2099" s="1">
        <v>1116</v>
      </c>
      <c r="B2099" s="2" t="str">
        <f>HYPERLINK("https://leetcode.com/problems/print-zero-even-odd/", "Print Zero Even Odd")</f>
        <v>Print Zero Even Odd</v>
      </c>
      <c r="C2099" s="1">
        <v>546</v>
      </c>
      <c r="D2099" s="1">
        <v>369</v>
      </c>
      <c r="E2099" s="3">
        <f t="shared" si="16"/>
        <v>0.59672131147540985</v>
      </c>
      <c r="F2099" s="1" t="s">
        <v>561</v>
      </c>
      <c r="G2099" s="1" t="s">
        <v>24</v>
      </c>
      <c r="H2099" s="1">
        <v>78214</v>
      </c>
      <c r="I2099" s="1">
        <v>120398</v>
      </c>
      <c r="J2099" s="7">
        <v>0.65</v>
      </c>
      <c r="K2099" s="1" t="s">
        <v>21</v>
      </c>
      <c r="L2099" s="1" t="s">
        <v>29</v>
      </c>
      <c r="M2099" s="1" t="s">
        <v>29</v>
      </c>
      <c r="N2099" s="1" t="s">
        <v>561</v>
      </c>
      <c r="O2099" s="1" t="str">
        <f t="shared" ca="1" si="17"/>
        <v>Please solve the LeetCode problem '1116. Print Zero Even Odd'.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00" spans="1:15" x14ac:dyDescent="0.25">
      <c r="A2100" s="1">
        <v>2172</v>
      </c>
      <c r="B2100" s="2" t="str">
        <f>HYPERLINK("https://leetcode.com/problems/maximum-and-sum-of-array/", "Maximum AND Sum of Array")</f>
        <v>Maximum AND Sum of Array</v>
      </c>
      <c r="C2100" s="1">
        <v>545</v>
      </c>
      <c r="D2100" s="1">
        <v>33</v>
      </c>
      <c r="E2100" s="3">
        <f t="shared" si="16"/>
        <v>0.94290657439446368</v>
      </c>
      <c r="F2100" s="1" t="s">
        <v>1359</v>
      </c>
      <c r="G2100" s="1" t="s">
        <v>28</v>
      </c>
      <c r="H2100" s="1">
        <v>17293</v>
      </c>
      <c r="I2100" s="1">
        <v>34213</v>
      </c>
      <c r="J2100" s="7">
        <v>0.505</v>
      </c>
      <c r="K2100" s="1" t="s">
        <v>21</v>
      </c>
      <c r="L2100" s="1" t="s">
        <v>29</v>
      </c>
      <c r="M2100" s="1" t="s">
        <v>29</v>
      </c>
      <c r="N2100" s="1" t="s">
        <v>22</v>
      </c>
      <c r="O2100" s="1" t="str">
        <f t="shared" ca="1" si="17"/>
        <v>Please solve the LeetCode problem '2172. Maximum AND Sum of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01" spans="1:15" x14ac:dyDescent="0.25">
      <c r="A2101" s="1">
        <v>3583</v>
      </c>
      <c r="B2101" s="2" t="str">
        <f>HYPERLINK("https://leetcode.com/problems/count-special-triplets/", "Count Special Triplets")</f>
        <v>Count Special Triplets</v>
      </c>
      <c r="C2101" s="1">
        <v>545</v>
      </c>
      <c r="D2101" s="1">
        <v>23</v>
      </c>
      <c r="E2101" s="3">
        <f t="shared" si="16"/>
        <v>0.95950704225352113</v>
      </c>
      <c r="F2101" s="1" t="s">
        <v>294</v>
      </c>
      <c r="G2101" s="1" t="s">
        <v>24</v>
      </c>
      <c r="H2101" s="1">
        <v>115244</v>
      </c>
      <c r="I2101" s="1">
        <v>244468</v>
      </c>
      <c r="J2101" s="7">
        <v>0.47099999999999997</v>
      </c>
      <c r="K2101" s="1" t="s">
        <v>21</v>
      </c>
      <c r="L2101" s="1" t="s">
        <v>21</v>
      </c>
      <c r="M2101" s="1" t="s">
        <v>29</v>
      </c>
      <c r="N2101" s="1" t="s">
        <v>22</v>
      </c>
      <c r="O2101" s="1" t="str">
        <f t="shared" ca="1" si="17"/>
        <v>Please solve the LeetCode problem '3583. Count Special Triplets'.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02" spans="1:15" x14ac:dyDescent="0.25">
      <c r="A2102" s="1">
        <v>640</v>
      </c>
      <c r="B2102" s="2" t="str">
        <f>HYPERLINK("https://leetcode.com/problems/solve-the-equation/", "Solve the Equation")</f>
        <v>Solve the Equation</v>
      </c>
      <c r="C2102" s="1">
        <v>544</v>
      </c>
      <c r="D2102" s="1">
        <v>852</v>
      </c>
      <c r="E2102" s="3">
        <f t="shared" si="16"/>
        <v>0.38968481375358166</v>
      </c>
      <c r="F2102" s="1" t="s">
        <v>178</v>
      </c>
      <c r="G2102" s="1" t="s">
        <v>24</v>
      </c>
      <c r="H2102" s="1">
        <v>49622</v>
      </c>
      <c r="I2102" s="1">
        <v>107846</v>
      </c>
      <c r="J2102" s="7">
        <v>0.46</v>
      </c>
      <c r="K2102" s="1" t="s">
        <v>21</v>
      </c>
      <c r="L2102" s="1" t="s">
        <v>21</v>
      </c>
      <c r="M2102" s="1" t="s">
        <v>29</v>
      </c>
      <c r="N2102" s="1" t="s">
        <v>22</v>
      </c>
      <c r="O2102" s="1" t="str">
        <f t="shared" ca="1" si="17"/>
        <v>Please solve the LeetCode problem '640. Solve the Equation'.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03" spans="1:15" x14ac:dyDescent="0.25">
      <c r="A2103" s="1">
        <v>1188</v>
      </c>
      <c r="B2103" s="2" t="str">
        <f>HYPERLINK("https://leetcode.com/problems/design-bounded-blocking-queue/", "Design Bounded Blocking Queue")</f>
        <v>Design Bounded Blocking Queue</v>
      </c>
      <c r="C2103" s="1">
        <v>544</v>
      </c>
      <c r="D2103" s="1">
        <v>43</v>
      </c>
      <c r="E2103" s="3">
        <f t="shared" si="16"/>
        <v>0.92674616695059631</v>
      </c>
      <c r="F2103" s="1" t="s">
        <v>561</v>
      </c>
      <c r="G2103" s="1" t="s">
        <v>24</v>
      </c>
      <c r="H2103" s="1">
        <v>66235</v>
      </c>
      <c r="I2103" s="1">
        <v>90154</v>
      </c>
      <c r="J2103" s="7">
        <v>0.73499999999999999</v>
      </c>
      <c r="K2103" s="1" t="s">
        <v>29</v>
      </c>
      <c r="L2103" s="1" t="s">
        <v>29</v>
      </c>
      <c r="M2103" s="1" t="s">
        <v>29</v>
      </c>
      <c r="N2103" s="1" t="s">
        <v>561</v>
      </c>
      <c r="O2103" s="1" t="str">
        <f t="shared" ca="1" si="17"/>
        <v>Please solve the LeetCode problem '1188. Design Bounded Blocking Queue'.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04" spans="1:15" x14ac:dyDescent="0.25">
      <c r="A2104" s="1">
        <v>1237</v>
      </c>
      <c r="B2104" s="2" t="str">
        <f>HYPERLINK("https://leetcode.com/problems/find-positive-integer-solution-for-a-given-equation/", "Find Positive Integer Solution for a Given Equation")</f>
        <v>Find Positive Integer Solution for a Given Equation</v>
      </c>
      <c r="C2104" s="1">
        <v>544</v>
      </c>
      <c r="D2104" s="1">
        <v>1445</v>
      </c>
      <c r="E2104" s="3">
        <f t="shared" si="16"/>
        <v>0.27350427350427353</v>
      </c>
      <c r="F2104" s="1" t="s">
        <v>884</v>
      </c>
      <c r="G2104" s="1" t="s">
        <v>24</v>
      </c>
      <c r="H2104" s="1">
        <v>80355</v>
      </c>
      <c r="I2104" s="1">
        <v>115170</v>
      </c>
      <c r="J2104" s="7">
        <v>0.69799999999999995</v>
      </c>
      <c r="K2104" s="1" t="s">
        <v>21</v>
      </c>
      <c r="L2104" s="1" t="s">
        <v>29</v>
      </c>
      <c r="M2104" s="1" t="s">
        <v>29</v>
      </c>
      <c r="N2104" s="1" t="s">
        <v>22</v>
      </c>
      <c r="O2104" s="1" t="str">
        <f t="shared" ca="1" si="17"/>
        <v>Please solve the LeetCode problem '1237. Find Positive Integer Solution for a Given Equation'.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05" spans="1:15" x14ac:dyDescent="0.25">
      <c r="A2105" s="1">
        <v>1955</v>
      </c>
      <c r="B2105" s="2" t="str">
        <f>HYPERLINK("https://leetcode.com/problems/count-number-of-special-subsequences/", "Count Number of Special Subsequences")</f>
        <v>Count Number of Special Subsequences</v>
      </c>
      <c r="C2105" s="1">
        <v>544</v>
      </c>
      <c r="D2105" s="1">
        <v>11</v>
      </c>
      <c r="E2105" s="3">
        <f t="shared" si="16"/>
        <v>0.98018018018018016</v>
      </c>
      <c r="F2105" s="1" t="s">
        <v>30</v>
      </c>
      <c r="G2105" s="1" t="s">
        <v>28</v>
      </c>
      <c r="H2105" s="1">
        <v>14893</v>
      </c>
      <c r="I2105" s="1">
        <v>28356</v>
      </c>
      <c r="J2105" s="7">
        <v>0.52500000000000002</v>
      </c>
      <c r="K2105" s="1" t="s">
        <v>21</v>
      </c>
      <c r="L2105" s="1" t="s">
        <v>29</v>
      </c>
      <c r="M2105" s="1" t="s">
        <v>29</v>
      </c>
      <c r="N2105" s="1" t="s">
        <v>22</v>
      </c>
      <c r="O2105" s="1" t="str">
        <f t="shared" ca="1" si="17"/>
        <v>Please solve the LeetCode problem '1955. Count Number of Special Subsequences'.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06" spans="1:15" x14ac:dyDescent="0.25">
      <c r="A2106" s="1">
        <v>3227</v>
      </c>
      <c r="B2106" s="2" t="str">
        <f>HYPERLINK("https://leetcode.com/problems/vowels-game-in-a-string/", "Vowels Game in a String")</f>
        <v>Vowels Game in a String</v>
      </c>
      <c r="C2106" s="1">
        <v>544</v>
      </c>
      <c r="D2106" s="1">
        <v>115</v>
      </c>
      <c r="E2106" s="3">
        <f t="shared" si="16"/>
        <v>0.82549317147192713</v>
      </c>
      <c r="F2106" s="1" t="s">
        <v>880</v>
      </c>
      <c r="G2106" s="1" t="s">
        <v>24</v>
      </c>
      <c r="H2106" s="1">
        <v>189907</v>
      </c>
      <c r="I2106" s="1">
        <v>246453</v>
      </c>
      <c r="J2106" s="7">
        <v>0.77100000000000002</v>
      </c>
      <c r="K2106" s="1" t="s">
        <v>21</v>
      </c>
      <c r="L2106" s="1" t="s">
        <v>21</v>
      </c>
      <c r="M2106" s="1" t="s">
        <v>29</v>
      </c>
      <c r="N2106" s="1" t="s">
        <v>22</v>
      </c>
      <c r="O2106" s="1" t="str">
        <f t="shared" ca="1" si="17"/>
        <v>Please solve the LeetCode problem '3227. Vowels Game in a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07" spans="1:15" x14ac:dyDescent="0.25">
      <c r="A2107" s="1">
        <v>1912</v>
      </c>
      <c r="B2107" s="2" t="str">
        <f>HYPERLINK("https://leetcode.com/problems/design-movie-rental-system/", "Design Movie Rental System")</f>
        <v>Design Movie Rental System</v>
      </c>
      <c r="C2107" s="1">
        <v>543</v>
      </c>
      <c r="D2107" s="1">
        <v>87</v>
      </c>
      <c r="E2107" s="3">
        <f t="shared" si="16"/>
        <v>0.86190476190476195</v>
      </c>
      <c r="F2107" s="1" t="s">
        <v>881</v>
      </c>
      <c r="G2107" s="1" t="s">
        <v>28</v>
      </c>
      <c r="H2107" s="1">
        <v>71636</v>
      </c>
      <c r="I2107" s="1">
        <v>114388</v>
      </c>
      <c r="J2107" s="7">
        <v>0.626</v>
      </c>
      <c r="K2107" s="1" t="s">
        <v>21</v>
      </c>
      <c r="L2107" s="1" t="s">
        <v>21</v>
      </c>
      <c r="M2107" s="1" t="s">
        <v>29</v>
      </c>
      <c r="N2107" s="1" t="s">
        <v>22</v>
      </c>
      <c r="O2107" s="1" t="str">
        <f t="shared" ca="1" si="17"/>
        <v>Please solve the LeetCode problem '1912. Design Movie Rental System'.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08" spans="1:15" x14ac:dyDescent="0.25">
      <c r="A2108" s="1">
        <v>1165</v>
      </c>
      <c r="B2108" s="2" t="str">
        <f>HYPERLINK("https://leetcode.com/problems/single-row-keyboard/", "Single-Row Keyboard")</f>
        <v>Single-Row Keyboard</v>
      </c>
      <c r="C2108" s="1">
        <v>542</v>
      </c>
      <c r="D2108" s="1">
        <v>23</v>
      </c>
      <c r="E2108" s="3">
        <f t="shared" si="16"/>
        <v>0.95929203539823005</v>
      </c>
      <c r="F2108" s="1" t="s">
        <v>131</v>
      </c>
      <c r="G2108" s="1" t="s">
        <v>20</v>
      </c>
      <c r="H2108" s="1">
        <v>93190</v>
      </c>
      <c r="I2108" s="1">
        <v>106169</v>
      </c>
      <c r="J2108" s="7">
        <v>0.878</v>
      </c>
      <c r="K2108" s="1" t="s">
        <v>29</v>
      </c>
      <c r="L2108" s="1" t="s">
        <v>21</v>
      </c>
      <c r="M2108" s="1" t="s">
        <v>21</v>
      </c>
      <c r="N2108" s="1" t="s">
        <v>22</v>
      </c>
      <c r="O2108" s="1" t="str">
        <f t="shared" ca="1" si="17"/>
        <v>Please solve the LeetCode problem '1165. Single-Row Keyboard'.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09" spans="1:15" x14ac:dyDescent="0.25">
      <c r="A2109" s="1">
        <v>2319</v>
      </c>
      <c r="B2109" s="2" t="str">
        <f>HYPERLINK("https://leetcode.com/problems/check-if-matrix-is-x-matrix/", "Check if Matrix Is X-Matrix")</f>
        <v>Check if Matrix Is X-Matrix</v>
      </c>
      <c r="C2109" s="1">
        <v>542</v>
      </c>
      <c r="D2109" s="1">
        <v>26</v>
      </c>
      <c r="E2109" s="3">
        <f t="shared" si="16"/>
        <v>0.95422535211267601</v>
      </c>
      <c r="F2109" s="1" t="s">
        <v>266</v>
      </c>
      <c r="G2109" s="1" t="s">
        <v>20</v>
      </c>
      <c r="H2109" s="1">
        <v>70994</v>
      </c>
      <c r="I2109" s="1">
        <v>107351</v>
      </c>
      <c r="J2109" s="7">
        <v>0.66100000000000003</v>
      </c>
      <c r="K2109" s="1" t="s">
        <v>21</v>
      </c>
      <c r="L2109" s="1" t="s">
        <v>29</v>
      </c>
      <c r="M2109" s="1" t="s">
        <v>29</v>
      </c>
      <c r="N2109" s="1" t="s">
        <v>22</v>
      </c>
      <c r="O2109" s="1" t="str">
        <f t="shared" ca="1" si="17"/>
        <v>Please solve the LeetCode problem '2319. Check if Matrix Is X-Matrix'.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10" spans="1:15" x14ac:dyDescent="0.25">
      <c r="A2110" s="1">
        <v>1587</v>
      </c>
      <c r="B2110" s="2" t="str">
        <f>HYPERLINK("https://leetcode.com/problems/bank-account-summary-ii/", "Bank Account Summary II")</f>
        <v>Bank Account Summary II</v>
      </c>
      <c r="C2110" s="1">
        <v>541</v>
      </c>
      <c r="D2110" s="1">
        <v>6</v>
      </c>
      <c r="E2110" s="3">
        <f t="shared" si="16"/>
        <v>0.98903107861060324</v>
      </c>
      <c r="F2110" s="1" t="s">
        <v>297</v>
      </c>
      <c r="G2110" s="1" t="s">
        <v>20</v>
      </c>
      <c r="H2110" s="1">
        <v>158458</v>
      </c>
      <c r="I2110" s="1">
        <v>190799</v>
      </c>
      <c r="J2110" s="7">
        <v>0.83</v>
      </c>
      <c r="K2110" s="1" t="s">
        <v>21</v>
      </c>
      <c r="L2110" s="1" t="s">
        <v>21</v>
      </c>
      <c r="M2110" s="1" t="s">
        <v>29</v>
      </c>
      <c r="N2110" s="1" t="s">
        <v>297</v>
      </c>
      <c r="O2110" s="1" t="str">
        <f t="shared" ca="1" si="17"/>
        <v>Please solve the LeetCode problem '1587. Bank Account Summary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11" spans="1:15" x14ac:dyDescent="0.25">
      <c r="A2111" s="1">
        <v>2521</v>
      </c>
      <c r="B2111" s="2" t="str">
        <f>HYPERLINK("https://leetcode.com/problems/distinct-prime-factors-of-product-of-array/", "Distinct Prime Factors of Product of Array")</f>
        <v>Distinct Prime Factors of Product of Array</v>
      </c>
      <c r="C2111" s="1">
        <v>541</v>
      </c>
      <c r="D2111" s="1">
        <v>13</v>
      </c>
      <c r="E2111" s="3">
        <f t="shared" si="16"/>
        <v>0.97653429602888087</v>
      </c>
      <c r="F2111" s="1" t="s">
        <v>886</v>
      </c>
      <c r="G2111" s="1" t="s">
        <v>24</v>
      </c>
      <c r="H2111" s="1">
        <v>45159</v>
      </c>
      <c r="I2111" s="1">
        <v>83690</v>
      </c>
      <c r="J2111" s="7">
        <v>0.54</v>
      </c>
      <c r="K2111" s="1" t="s">
        <v>21</v>
      </c>
      <c r="L2111" s="1" t="s">
        <v>29</v>
      </c>
      <c r="M2111" s="1" t="s">
        <v>29</v>
      </c>
      <c r="N2111" s="1" t="s">
        <v>22</v>
      </c>
      <c r="O2111" s="1" t="str">
        <f t="shared" ca="1" si="17"/>
        <v>Please solve the LeetCode problem '2521. Distinct Prime Factors of Product of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12" spans="1:15" x14ac:dyDescent="0.25">
      <c r="A2112" s="1">
        <v>2553</v>
      </c>
      <c r="B2112" s="2" t="str">
        <f>HYPERLINK("https://leetcode.com/problems/separate-the-digits-in-an-array/", "Separate the Digits in an Array")</f>
        <v>Separate the Digits in an Array</v>
      </c>
      <c r="C2112" s="1">
        <v>541</v>
      </c>
      <c r="D2112" s="1">
        <v>15</v>
      </c>
      <c r="E2112" s="3">
        <f t="shared" si="16"/>
        <v>0.9730215827338129</v>
      </c>
      <c r="F2112" s="1" t="s">
        <v>306</v>
      </c>
      <c r="G2112" s="1" t="s">
        <v>20</v>
      </c>
      <c r="H2112" s="1">
        <v>99550</v>
      </c>
      <c r="I2112" s="1">
        <v>123376</v>
      </c>
      <c r="J2112" s="7">
        <v>0.80700000000000005</v>
      </c>
      <c r="K2112" s="1" t="s">
        <v>21</v>
      </c>
      <c r="L2112" s="1" t="s">
        <v>29</v>
      </c>
      <c r="M2112" s="1" t="s">
        <v>29</v>
      </c>
      <c r="N2112" s="1" t="s">
        <v>22</v>
      </c>
      <c r="O2112" s="1" t="str">
        <f t="shared" ca="1" si="17"/>
        <v>Please solve the LeetCode problem '2553. Separate the Digits in an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13" spans="1:15" x14ac:dyDescent="0.25">
      <c r="A2113" s="1">
        <v>1182</v>
      </c>
      <c r="B2113" s="2" t="str">
        <f>HYPERLINK("https://leetcode.com/problems/shortest-distance-to-target-color/", "Shortest Distance to Target Color")</f>
        <v>Shortest Distance to Target Color</v>
      </c>
      <c r="C2113" s="1">
        <v>539</v>
      </c>
      <c r="D2113" s="1">
        <v>22</v>
      </c>
      <c r="E2113" s="3">
        <f t="shared" si="16"/>
        <v>0.96078431372549022</v>
      </c>
      <c r="F2113" s="1" t="s">
        <v>47</v>
      </c>
      <c r="G2113" s="1" t="s">
        <v>24</v>
      </c>
      <c r="H2113" s="1">
        <v>40785</v>
      </c>
      <c r="I2113" s="1">
        <v>72205</v>
      </c>
      <c r="J2113" s="7">
        <v>0.56499999999999995</v>
      </c>
      <c r="K2113" s="1" t="s">
        <v>29</v>
      </c>
      <c r="L2113" s="1" t="s">
        <v>21</v>
      </c>
      <c r="M2113" s="1" t="s">
        <v>29</v>
      </c>
      <c r="N2113" s="1" t="s">
        <v>22</v>
      </c>
      <c r="O2113" s="1" t="str">
        <f t="shared" ca="1" si="17"/>
        <v>Please solve the LeetCode problem '1182. Shortest Distance to Target Color'.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14" spans="1:15" x14ac:dyDescent="0.25">
      <c r="A2114" s="1">
        <v>1927</v>
      </c>
      <c r="B2114" s="2" t="str">
        <f>HYPERLINK("https://leetcode.com/problems/sum-game/", "Sum Game")</f>
        <v>Sum Game</v>
      </c>
      <c r="C2114" s="1">
        <v>539</v>
      </c>
      <c r="D2114" s="1">
        <v>91</v>
      </c>
      <c r="E2114" s="3">
        <f t="shared" si="16"/>
        <v>0.85555555555555551</v>
      </c>
      <c r="F2114" s="1" t="s">
        <v>556</v>
      </c>
      <c r="G2114" s="1" t="s">
        <v>24</v>
      </c>
      <c r="H2114" s="1">
        <v>16217</v>
      </c>
      <c r="I2114" s="1">
        <v>32775</v>
      </c>
      <c r="J2114" s="7">
        <v>0.495</v>
      </c>
      <c r="K2114" s="1" t="s">
        <v>21</v>
      </c>
      <c r="L2114" s="1" t="s">
        <v>29</v>
      </c>
      <c r="M2114" s="1" t="s">
        <v>29</v>
      </c>
      <c r="N2114" s="1" t="s">
        <v>22</v>
      </c>
      <c r="O2114" s="1" t="str">
        <f t="shared" ca="1" si="17"/>
        <v>Please solve the LeetCode problem '1927. Sum Game'.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15" spans="1:15" x14ac:dyDescent="0.25">
      <c r="A2115" s="1">
        <v>2267</v>
      </c>
      <c r="B2115" s="2" t="str">
        <f>HYPERLINK("https://leetcode.com/problems/check-if-there-is-a-valid-parentheses-string-path/", " Check if There Is a Valid Parentheses String Path")</f>
        <v xml:space="preserve"> Check if There Is a Valid Parentheses String Path</v>
      </c>
      <c r="C2115" s="1">
        <v>539</v>
      </c>
      <c r="D2115" s="1">
        <v>9</v>
      </c>
      <c r="E2115" s="3">
        <f t="shared" si="16"/>
        <v>0.98357664233576647</v>
      </c>
      <c r="F2115" s="1" t="s">
        <v>94</v>
      </c>
      <c r="G2115" s="1" t="s">
        <v>28</v>
      </c>
      <c r="H2115" s="1">
        <v>19708</v>
      </c>
      <c r="I2115" s="1">
        <v>49226</v>
      </c>
      <c r="J2115" s="7">
        <v>0.4</v>
      </c>
      <c r="K2115" s="1" t="s">
        <v>21</v>
      </c>
      <c r="L2115" s="1" t="s">
        <v>29</v>
      </c>
      <c r="M2115" s="1" t="s">
        <v>29</v>
      </c>
      <c r="N2115" s="1" t="s">
        <v>22</v>
      </c>
      <c r="O2115" s="1" t="str">
        <f t="shared" ca="1" si="17"/>
        <v>Please solve the LeetCode problem '2267.  Check if There Is a Valid Parentheses String Path'.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16" spans="1:15" x14ac:dyDescent="0.25">
      <c r="A2116" s="1">
        <v>431</v>
      </c>
      <c r="B2116" s="2" t="str">
        <f>HYPERLINK("https://leetcode.com/problems/encode-n-ary-tree-to-binary-tree/", "Encode N-ary Tree to Binary Tree")</f>
        <v>Encode N-ary Tree to Binary Tree</v>
      </c>
      <c r="C2116" s="1">
        <v>537</v>
      </c>
      <c r="D2116" s="1">
        <v>30</v>
      </c>
      <c r="E2116" s="3">
        <f t="shared" si="16"/>
        <v>0.94708994708994709</v>
      </c>
      <c r="F2116" s="1" t="s">
        <v>890</v>
      </c>
      <c r="G2116" s="1" t="s">
        <v>28</v>
      </c>
      <c r="H2116" s="1">
        <v>24718</v>
      </c>
      <c r="I2116" s="1">
        <v>30721</v>
      </c>
      <c r="J2116" s="7">
        <v>0.80500000000000005</v>
      </c>
      <c r="K2116" s="1" t="s">
        <v>29</v>
      </c>
      <c r="L2116" s="1" t="s">
        <v>21</v>
      </c>
      <c r="M2116" s="1" t="s">
        <v>29</v>
      </c>
      <c r="N2116" s="1" t="s">
        <v>22</v>
      </c>
      <c r="O2116" s="1" t="str">
        <f t="shared" ca="1" si="17"/>
        <v>Please solve the LeetCode problem '431. Encode N-ary Tree to Binary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17" spans="1:15" x14ac:dyDescent="0.25">
      <c r="A2117" s="1">
        <v>3264</v>
      </c>
      <c r="B2117" s="2" t="str">
        <f>HYPERLINK("https://leetcode.com/problems/final-array-state-after-k-multiplication-operations-i/", "Final Array State After K Multiplication Operations I")</f>
        <v>Final Array State After K Multiplication Operations I</v>
      </c>
      <c r="C2117" s="1">
        <v>537</v>
      </c>
      <c r="D2117" s="1">
        <v>13</v>
      </c>
      <c r="E2117" s="3">
        <f t="shared" si="16"/>
        <v>0.97636363636363632</v>
      </c>
      <c r="F2117" s="1" t="s">
        <v>885</v>
      </c>
      <c r="G2117" s="1" t="s">
        <v>20</v>
      </c>
      <c r="H2117" s="1">
        <v>199950</v>
      </c>
      <c r="I2117" s="1">
        <v>229973</v>
      </c>
      <c r="J2117" s="7">
        <v>0.86899999999999999</v>
      </c>
      <c r="K2117" s="1" t="s">
        <v>21</v>
      </c>
      <c r="L2117" s="1" t="s">
        <v>21</v>
      </c>
      <c r="M2117" s="1" t="s">
        <v>29</v>
      </c>
      <c r="N2117" s="1" t="s">
        <v>22</v>
      </c>
      <c r="O2117" s="1" t="str">
        <f t="shared" ca="1" si="17"/>
        <v>Please solve the LeetCode problem '3264. Final Array State After K Multiplication Operations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18" spans="1:15" x14ac:dyDescent="0.25">
      <c r="A2118" s="1">
        <v>1274</v>
      </c>
      <c r="B2118" s="2" t="str">
        <f>HYPERLINK("https://leetcode.com/problems/number-of-ships-in-a-rectangle/", "Number of Ships in a Rectangle")</f>
        <v>Number of Ships in a Rectangle</v>
      </c>
      <c r="C2118" s="1">
        <v>536</v>
      </c>
      <c r="D2118" s="1">
        <v>68</v>
      </c>
      <c r="E2118" s="3">
        <f t="shared" si="16"/>
        <v>0.88741721854304634</v>
      </c>
      <c r="F2118" s="1" t="s">
        <v>891</v>
      </c>
      <c r="G2118" s="1" t="s">
        <v>28</v>
      </c>
      <c r="H2118" s="1">
        <v>33708</v>
      </c>
      <c r="I2118" s="1">
        <v>48947</v>
      </c>
      <c r="J2118" s="7">
        <v>0.68899999999999995</v>
      </c>
      <c r="K2118" s="1" t="s">
        <v>29</v>
      </c>
      <c r="L2118" s="1" t="s">
        <v>21</v>
      </c>
      <c r="M2118" s="1" t="s">
        <v>29</v>
      </c>
      <c r="N2118" s="1" t="s">
        <v>22</v>
      </c>
      <c r="O2118" s="1" t="str">
        <f t="shared" ca="1" si="17"/>
        <v>Please solve the LeetCode problem '1274. Number of Ships in a Rectangle'.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19" spans="1:15" x14ac:dyDescent="0.25">
      <c r="A2119" s="1">
        <v>1847</v>
      </c>
      <c r="B2119" s="2" t="str">
        <f>HYPERLINK("https://leetcode.com/problems/closest-room/", "Closest Room")</f>
        <v>Closest Room</v>
      </c>
      <c r="C2119" s="1">
        <v>536</v>
      </c>
      <c r="D2119" s="1">
        <v>21</v>
      </c>
      <c r="E2119" s="3">
        <f t="shared" si="16"/>
        <v>0.9622980251346499</v>
      </c>
      <c r="F2119" s="1" t="s">
        <v>688</v>
      </c>
      <c r="G2119" s="1" t="s">
        <v>28</v>
      </c>
      <c r="H2119" s="1">
        <v>12013</v>
      </c>
      <c r="I2119" s="1">
        <v>29395</v>
      </c>
      <c r="J2119" s="7">
        <v>0.40899999999999997</v>
      </c>
      <c r="K2119" s="1" t="s">
        <v>21</v>
      </c>
      <c r="L2119" s="1" t="s">
        <v>29</v>
      </c>
      <c r="M2119" s="1" t="s">
        <v>29</v>
      </c>
      <c r="N2119" s="1" t="s">
        <v>22</v>
      </c>
      <c r="O2119" s="1" t="str">
        <f t="shared" ca="1" si="17"/>
        <v>Please solve the LeetCode problem '1847. Closest Room'.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20" spans="1:15" x14ac:dyDescent="0.25">
      <c r="A2120" s="1">
        <v>2731</v>
      </c>
      <c r="B2120" s="2" t="str">
        <f>HYPERLINK("https://leetcode.com/problems/movement-of-robots/", "Movement of Robots")</f>
        <v>Movement of Robots</v>
      </c>
      <c r="C2120" s="1">
        <v>536</v>
      </c>
      <c r="D2120" s="1">
        <v>102</v>
      </c>
      <c r="E2120" s="3">
        <f t="shared" si="16"/>
        <v>0.84012539184952983</v>
      </c>
      <c r="F2120" s="1" t="s">
        <v>887</v>
      </c>
      <c r="G2120" s="1" t="s">
        <v>24</v>
      </c>
      <c r="H2120" s="1">
        <v>17898</v>
      </c>
      <c r="I2120" s="1">
        <v>64501</v>
      </c>
      <c r="J2120" s="7">
        <v>0.27700000000000002</v>
      </c>
      <c r="K2120" s="1" t="s">
        <v>21</v>
      </c>
      <c r="L2120" s="1" t="s">
        <v>29</v>
      </c>
      <c r="M2120" s="1" t="s">
        <v>29</v>
      </c>
      <c r="N2120" s="1" t="s">
        <v>22</v>
      </c>
      <c r="O2120" s="1" t="str">
        <f t="shared" ca="1" si="17"/>
        <v>Please solve the LeetCode problem '2731. Movement of Robots'.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21" spans="1:15" x14ac:dyDescent="0.25">
      <c r="A2121" s="1">
        <v>1738</v>
      </c>
      <c r="B2121" s="2" t="str">
        <f>HYPERLINK("https://leetcode.com/problems/find-kth-largest-xor-coordinate-value/", "Find Kth Largest XOR Coordinate Value")</f>
        <v>Find Kth Largest XOR Coordinate Value</v>
      </c>
      <c r="C2121" s="1">
        <v>535</v>
      </c>
      <c r="D2121" s="1">
        <v>84</v>
      </c>
      <c r="E2121" s="3">
        <f t="shared" si="16"/>
        <v>0.86429725363489496</v>
      </c>
      <c r="F2121" s="1" t="s">
        <v>888</v>
      </c>
      <c r="G2121" s="1" t="s">
        <v>24</v>
      </c>
      <c r="H2121" s="1">
        <v>29668</v>
      </c>
      <c r="I2121" s="1">
        <v>46309</v>
      </c>
      <c r="J2121" s="7">
        <v>0.64100000000000001</v>
      </c>
      <c r="K2121" s="1" t="s">
        <v>21</v>
      </c>
      <c r="L2121" s="1" t="s">
        <v>29</v>
      </c>
      <c r="M2121" s="1" t="s">
        <v>29</v>
      </c>
      <c r="N2121" s="1" t="s">
        <v>22</v>
      </c>
      <c r="O2121" s="1" t="str">
        <f t="shared" ca="1" si="17"/>
        <v>Please solve the LeetCode problem '1738. Find Kth Largest XOR Coordinate Value'.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22" spans="1:15" x14ac:dyDescent="0.25">
      <c r="A2122" s="1">
        <v>1977</v>
      </c>
      <c r="B2122" s="2" t="str">
        <f>HYPERLINK("https://leetcode.com/problems/number-of-ways-to-separate-numbers/", "Number of Ways to Separate Numbers")</f>
        <v>Number of Ways to Separate Numbers</v>
      </c>
      <c r="C2122" s="1">
        <v>535</v>
      </c>
      <c r="D2122" s="1">
        <v>60</v>
      </c>
      <c r="E2122" s="3">
        <f t="shared" si="16"/>
        <v>0.89915966386554624</v>
      </c>
      <c r="F2122" s="1" t="s">
        <v>892</v>
      </c>
      <c r="G2122" s="1" t="s">
        <v>28</v>
      </c>
      <c r="H2122" s="1">
        <v>8325</v>
      </c>
      <c r="I2122" s="1">
        <v>38643</v>
      </c>
      <c r="J2122" s="7">
        <v>0.215</v>
      </c>
      <c r="K2122" s="1" t="s">
        <v>21</v>
      </c>
      <c r="L2122" s="1" t="s">
        <v>29</v>
      </c>
      <c r="M2122" s="1" t="s">
        <v>29</v>
      </c>
      <c r="N2122" s="1" t="s">
        <v>22</v>
      </c>
      <c r="O2122" s="1" t="str">
        <f t="shared" ca="1" si="17"/>
        <v>Please solve the LeetCode problem '1977. Number of Ways to Separate Numbers'.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23" spans="1:15" x14ac:dyDescent="0.25">
      <c r="A2123" s="1">
        <v>1943</v>
      </c>
      <c r="B2123" s="2" t="str">
        <f>HYPERLINK("https://leetcode.com/problems/describe-the-painting/", "Describe the Painting")</f>
        <v>Describe the Painting</v>
      </c>
      <c r="C2123" s="1">
        <v>534</v>
      </c>
      <c r="D2123" s="1">
        <v>50</v>
      </c>
      <c r="E2123" s="3">
        <f t="shared" si="16"/>
        <v>0.91438356164383561</v>
      </c>
      <c r="F2123" s="1" t="s">
        <v>878</v>
      </c>
      <c r="G2123" s="1" t="s">
        <v>24</v>
      </c>
      <c r="H2123" s="1">
        <v>18373</v>
      </c>
      <c r="I2123" s="1">
        <v>35705</v>
      </c>
      <c r="J2123" s="7">
        <v>0.51500000000000001</v>
      </c>
      <c r="K2123" s="1" t="s">
        <v>21</v>
      </c>
      <c r="L2123" s="1" t="s">
        <v>29</v>
      </c>
      <c r="M2123" s="1" t="s">
        <v>29</v>
      </c>
      <c r="N2123" s="1" t="s">
        <v>22</v>
      </c>
      <c r="O2123" s="1" t="str">
        <f t="shared" ca="1" si="17"/>
        <v>Please solve the LeetCode problem '1943. Describe the Painting'.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24" spans="1:15" x14ac:dyDescent="0.25">
      <c r="A2124" s="1">
        <v>3341</v>
      </c>
      <c r="B2124" s="2" t="str">
        <f>HYPERLINK("https://leetcode.com/problems/find-minimum-time-to-reach-last-room-i/", "Find Minimum Time to Reach Last Room I")</f>
        <v>Find Minimum Time to Reach Last Room I</v>
      </c>
      <c r="C2124" s="1">
        <v>534</v>
      </c>
      <c r="D2124" s="1">
        <v>172</v>
      </c>
      <c r="E2124" s="3">
        <f t="shared" si="16"/>
        <v>0.75637393767705385</v>
      </c>
      <c r="F2124" s="1" t="s">
        <v>889</v>
      </c>
      <c r="G2124" s="1" t="s">
        <v>24</v>
      </c>
      <c r="H2124" s="1">
        <v>114239</v>
      </c>
      <c r="I2124" s="1">
        <v>205850</v>
      </c>
      <c r="J2124" s="7">
        <v>0.55500000000000005</v>
      </c>
      <c r="K2124" s="1" t="s">
        <v>21</v>
      </c>
      <c r="L2124" s="1" t="s">
        <v>21</v>
      </c>
      <c r="M2124" s="1" t="s">
        <v>29</v>
      </c>
      <c r="N2124" s="1" t="s">
        <v>22</v>
      </c>
      <c r="O2124" s="1" t="str">
        <f t="shared" ca="1" si="17"/>
        <v>Please solve the LeetCode problem '3341. Find Minimum Time to Reach Last Room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25" spans="1:15" x14ac:dyDescent="0.25">
      <c r="A2125" s="1">
        <v>2146</v>
      </c>
      <c r="B2125" s="2" t="str">
        <f>HYPERLINK("https://leetcode.com/problems/k-highest-ranked-items-within-a-price-range/", "K Highest Ranked Items Within a Price Range")</f>
        <v>K Highest Ranked Items Within a Price Range</v>
      </c>
      <c r="C2125" s="1">
        <v>532</v>
      </c>
      <c r="D2125" s="1">
        <v>167</v>
      </c>
      <c r="E2125" s="3">
        <f t="shared" si="16"/>
        <v>0.76108726752503575</v>
      </c>
      <c r="F2125" s="1" t="s">
        <v>894</v>
      </c>
      <c r="G2125" s="1" t="s">
        <v>24</v>
      </c>
      <c r="H2125" s="1">
        <v>21031</v>
      </c>
      <c r="I2125" s="1">
        <v>45502</v>
      </c>
      <c r="J2125" s="7">
        <v>0.46200000000000002</v>
      </c>
      <c r="K2125" s="1" t="s">
        <v>21</v>
      </c>
      <c r="L2125" s="1" t="s">
        <v>29</v>
      </c>
      <c r="M2125" s="1" t="s">
        <v>29</v>
      </c>
      <c r="N2125" s="1" t="s">
        <v>22</v>
      </c>
      <c r="O2125" s="1" t="str">
        <f t="shared" ca="1" si="17"/>
        <v>Please solve the LeetCode problem '2146. K Highest Ranked Items Within a Price Range'.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26" spans="1:15" x14ac:dyDescent="0.25">
      <c r="A2126" s="1">
        <v>2155</v>
      </c>
      <c r="B2126" s="2" t="str">
        <f>HYPERLINK("https://leetcode.com/problems/all-divisions-with-the-highest-score-of-a-binary-array/", "All Divisions With the Highest Score of a Binary Array")</f>
        <v>All Divisions With the Highest Score of a Binary Array</v>
      </c>
      <c r="C2126" s="1">
        <v>532</v>
      </c>
      <c r="D2126" s="1">
        <v>17</v>
      </c>
      <c r="E2126" s="3">
        <f t="shared" si="16"/>
        <v>0.96903460837887068</v>
      </c>
      <c r="F2126" s="1" t="s">
        <v>113</v>
      </c>
      <c r="G2126" s="1" t="s">
        <v>24</v>
      </c>
      <c r="H2126" s="1">
        <v>35760</v>
      </c>
      <c r="I2126" s="1">
        <v>54850</v>
      </c>
      <c r="J2126" s="7">
        <v>0.65200000000000002</v>
      </c>
      <c r="K2126" s="1" t="s">
        <v>21</v>
      </c>
      <c r="L2126" s="1" t="s">
        <v>29</v>
      </c>
      <c r="M2126" s="1" t="s">
        <v>29</v>
      </c>
      <c r="N2126" s="1" t="s">
        <v>22</v>
      </c>
      <c r="O2126" s="1" t="str">
        <f t="shared" ca="1" si="17"/>
        <v>Please solve the LeetCode problem '2155. All Divisions With the Highest Score of a Binary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27" spans="1:15" x14ac:dyDescent="0.25">
      <c r="A2127" s="1">
        <v>2151</v>
      </c>
      <c r="B2127" s="2" t="str">
        <f>HYPERLINK("https://leetcode.com/problems/maximum-good-people-based-on-statements/", "Maximum Good People Based on Statements")</f>
        <v>Maximum Good People Based on Statements</v>
      </c>
      <c r="C2127" s="1">
        <v>531</v>
      </c>
      <c r="D2127" s="1">
        <v>83</v>
      </c>
      <c r="E2127" s="3">
        <f t="shared" si="16"/>
        <v>0.86482084690553751</v>
      </c>
      <c r="F2127" s="1" t="s">
        <v>594</v>
      </c>
      <c r="G2127" s="1" t="s">
        <v>28</v>
      </c>
      <c r="H2127" s="1">
        <v>16724</v>
      </c>
      <c r="I2127" s="1">
        <v>32132</v>
      </c>
      <c r="J2127" s="7">
        <v>0.52</v>
      </c>
      <c r="K2127" s="1" t="s">
        <v>21</v>
      </c>
      <c r="L2127" s="1" t="s">
        <v>29</v>
      </c>
      <c r="M2127" s="1" t="s">
        <v>29</v>
      </c>
      <c r="N2127" s="1" t="s">
        <v>22</v>
      </c>
      <c r="O2127" s="1" t="str">
        <f t="shared" ca="1" si="17"/>
        <v>Please solve the LeetCode problem '2151. Maximum Good People Based on Statements'.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28" spans="1:15" x14ac:dyDescent="0.25">
      <c r="A2128" s="1">
        <v>2446</v>
      </c>
      <c r="B2128" s="2" t="str">
        <f>HYPERLINK("https://leetcode.com/problems/determine-if-two-events-have-conflict/", "Determine if Two Events Have Conflict")</f>
        <v>Determine if Two Events Have Conflict</v>
      </c>
      <c r="C2128" s="1">
        <v>531</v>
      </c>
      <c r="D2128" s="1">
        <v>71</v>
      </c>
      <c r="E2128" s="3">
        <f t="shared" si="16"/>
        <v>0.88205980066445178</v>
      </c>
      <c r="F2128" s="1" t="s">
        <v>369</v>
      </c>
      <c r="G2128" s="1" t="s">
        <v>20</v>
      </c>
      <c r="H2128" s="1">
        <v>62224</v>
      </c>
      <c r="I2128" s="1">
        <v>117527</v>
      </c>
      <c r="J2128" s="7">
        <v>0.52900000000000003</v>
      </c>
      <c r="K2128" s="1" t="s">
        <v>21</v>
      </c>
      <c r="L2128" s="1" t="s">
        <v>29</v>
      </c>
      <c r="M2128" s="1" t="s">
        <v>29</v>
      </c>
      <c r="N2128" s="1" t="s">
        <v>22</v>
      </c>
      <c r="O2128" s="1" t="str">
        <f t="shared" ca="1" si="17"/>
        <v>Please solve the LeetCode problem '2446. Determine if Two Events Have Conflict'.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29" spans="1:15" x14ac:dyDescent="0.25">
      <c r="A2129" s="1">
        <v>2476</v>
      </c>
      <c r="B2129" s="2" t="str">
        <f>HYPERLINK("https://leetcode.com/problems/closest-nodes-queries-in-a-binary-search-tree/", "Closest Nodes Queries in a Binary Search Tree")</f>
        <v>Closest Nodes Queries in a Binary Search Tree</v>
      </c>
      <c r="C2129" s="1">
        <v>531</v>
      </c>
      <c r="D2129" s="1">
        <v>142</v>
      </c>
      <c r="E2129" s="3">
        <f t="shared" si="16"/>
        <v>0.78900445765230309</v>
      </c>
      <c r="F2129" s="1" t="s">
        <v>893</v>
      </c>
      <c r="G2129" s="1" t="s">
        <v>24</v>
      </c>
      <c r="H2129" s="1">
        <v>37020</v>
      </c>
      <c r="I2129" s="1">
        <v>84357</v>
      </c>
      <c r="J2129" s="7">
        <v>0.439</v>
      </c>
      <c r="K2129" s="1" t="s">
        <v>21</v>
      </c>
      <c r="L2129" s="1" t="s">
        <v>29</v>
      </c>
      <c r="M2129" s="1" t="s">
        <v>29</v>
      </c>
      <c r="N2129" s="1" t="s">
        <v>22</v>
      </c>
      <c r="O2129" s="1" t="str">
        <f t="shared" ca="1" si="17"/>
        <v>Please solve the LeetCode problem '2476. Closest Nodes Queries in a Binary Search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30" spans="1:15" x14ac:dyDescent="0.25">
      <c r="A2130" s="1">
        <v>2786</v>
      </c>
      <c r="B2130" s="2" t="str">
        <f>HYPERLINK("https://leetcode.com/problems/visit-array-positions-to-maximize-score/", "Visit Array Positions to Maximize Score")</f>
        <v>Visit Array Positions to Maximize Score</v>
      </c>
      <c r="C2130" s="1">
        <v>531</v>
      </c>
      <c r="D2130" s="1">
        <v>33</v>
      </c>
      <c r="E2130" s="3">
        <f t="shared" si="16"/>
        <v>0.94148936170212771</v>
      </c>
      <c r="F2130" s="1" t="s">
        <v>30</v>
      </c>
      <c r="G2130" s="1" t="s">
        <v>24</v>
      </c>
      <c r="H2130" s="1">
        <v>24260</v>
      </c>
      <c r="I2130" s="1">
        <v>64981</v>
      </c>
      <c r="J2130" s="7">
        <v>0.373</v>
      </c>
      <c r="K2130" s="1" t="s">
        <v>21</v>
      </c>
      <c r="L2130" s="1" t="s">
        <v>29</v>
      </c>
      <c r="M2130" s="1" t="s">
        <v>29</v>
      </c>
      <c r="N2130" s="1" t="s">
        <v>22</v>
      </c>
      <c r="O2130" s="1" t="str">
        <f t="shared" ca="1" si="17"/>
        <v>Please solve the LeetCode problem '2786. Visit Array Positions to Maximize Score'.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31" spans="1:15" x14ac:dyDescent="0.25">
      <c r="A2131" s="1">
        <v>2207</v>
      </c>
      <c r="B2131" s="2" t="str">
        <f>HYPERLINK("https://leetcode.com/problems/maximize-number-of-subsequences-in-a-string/", "Maximize Number of Subsequences in a String")</f>
        <v>Maximize Number of Subsequences in a String</v>
      </c>
      <c r="C2131" s="1">
        <v>529</v>
      </c>
      <c r="D2131" s="1">
        <v>35</v>
      </c>
      <c r="E2131" s="3">
        <f t="shared" si="16"/>
        <v>0.93794326241134751</v>
      </c>
      <c r="F2131" s="1" t="s">
        <v>896</v>
      </c>
      <c r="G2131" s="1" t="s">
        <v>24</v>
      </c>
      <c r="H2131" s="1">
        <v>24035</v>
      </c>
      <c r="I2131" s="1">
        <v>67146</v>
      </c>
      <c r="J2131" s="7">
        <v>0.35799999999999998</v>
      </c>
      <c r="K2131" s="1" t="s">
        <v>21</v>
      </c>
      <c r="L2131" s="1" t="s">
        <v>29</v>
      </c>
      <c r="M2131" s="1" t="s">
        <v>29</v>
      </c>
      <c r="N2131" s="1" t="s">
        <v>22</v>
      </c>
      <c r="O2131" s="1" t="str">
        <f t="shared" ca="1" si="17"/>
        <v>Please solve the LeetCode problem '2207. Maximize Number of Subsequences in a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32" spans="1:15" x14ac:dyDescent="0.25">
      <c r="A2132" s="1">
        <v>1702</v>
      </c>
      <c r="B2132" s="2" t="str">
        <f>HYPERLINK("https://leetcode.com/problems/maximum-binary-string-after-change/", "Maximum Binary String After Change")</f>
        <v>Maximum Binary String After Change</v>
      </c>
      <c r="C2132" s="1">
        <v>528</v>
      </c>
      <c r="D2132" s="1">
        <v>63</v>
      </c>
      <c r="E2132" s="3">
        <f t="shared" si="16"/>
        <v>0.89340101522842641</v>
      </c>
      <c r="F2132" s="1" t="s">
        <v>424</v>
      </c>
      <c r="G2132" s="1" t="s">
        <v>24</v>
      </c>
      <c r="H2132" s="1">
        <v>17416</v>
      </c>
      <c r="I2132" s="1">
        <v>36378</v>
      </c>
      <c r="J2132" s="7">
        <v>0.47899999999999998</v>
      </c>
      <c r="K2132" s="1" t="s">
        <v>21</v>
      </c>
      <c r="L2132" s="1" t="s">
        <v>29</v>
      </c>
      <c r="M2132" s="1" t="s">
        <v>29</v>
      </c>
      <c r="N2132" s="1" t="s">
        <v>22</v>
      </c>
      <c r="O2132" s="1" t="str">
        <f t="shared" ca="1" si="17"/>
        <v>Please solve the LeetCode problem '1702. Maximum Binary String After Change'.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33" spans="1:15" x14ac:dyDescent="0.25">
      <c r="A2133" s="1">
        <v>1998</v>
      </c>
      <c r="B2133" s="2" t="str">
        <f>HYPERLINK("https://leetcode.com/problems/gcd-sort-of-an-array/", "GCD Sort of an Array")</f>
        <v>GCD Sort of an Array</v>
      </c>
      <c r="C2133" s="1">
        <v>528</v>
      </c>
      <c r="D2133" s="1">
        <v>15</v>
      </c>
      <c r="E2133" s="3">
        <f t="shared" si="16"/>
        <v>0.97237569060773477</v>
      </c>
      <c r="F2133" s="1" t="s">
        <v>895</v>
      </c>
      <c r="G2133" s="1" t="s">
        <v>28</v>
      </c>
      <c r="H2133" s="1">
        <v>13434</v>
      </c>
      <c r="I2133" s="1">
        <v>27862</v>
      </c>
      <c r="J2133" s="7">
        <v>0.48199999999999998</v>
      </c>
      <c r="K2133" s="1" t="s">
        <v>21</v>
      </c>
      <c r="L2133" s="1" t="s">
        <v>29</v>
      </c>
      <c r="M2133" s="1" t="s">
        <v>29</v>
      </c>
      <c r="N2133" s="1" t="s">
        <v>22</v>
      </c>
      <c r="O2133" s="1" t="str">
        <f t="shared" ca="1" si="17"/>
        <v>Please solve the LeetCode problem '1998. GCD Sort of an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34" spans="1:15" x14ac:dyDescent="0.25">
      <c r="A2134" s="1">
        <v>2332</v>
      </c>
      <c r="B2134" s="2" t="str">
        <f>HYPERLINK("https://leetcode.com/problems/the-latest-time-to-catch-a-bus/", "The Latest Time to Catch a Bus")</f>
        <v>The Latest Time to Catch a Bus</v>
      </c>
      <c r="C2134" s="1">
        <v>528</v>
      </c>
      <c r="D2134" s="1">
        <v>796</v>
      </c>
      <c r="E2134" s="3">
        <f t="shared" si="16"/>
        <v>0.3987915407854985</v>
      </c>
      <c r="F2134" s="1" t="s">
        <v>277</v>
      </c>
      <c r="G2134" s="1" t="s">
        <v>24</v>
      </c>
      <c r="H2134" s="1">
        <v>34393</v>
      </c>
      <c r="I2134" s="1">
        <v>115757</v>
      </c>
      <c r="J2134" s="7">
        <v>0.29699999999999999</v>
      </c>
      <c r="K2134" s="1" t="s">
        <v>21</v>
      </c>
      <c r="L2134" s="1" t="s">
        <v>29</v>
      </c>
      <c r="M2134" s="1" t="s">
        <v>29</v>
      </c>
      <c r="N2134" s="1" t="s">
        <v>22</v>
      </c>
      <c r="O2134" s="1" t="str">
        <f t="shared" ca="1" si="17"/>
        <v>Please solve the LeetCode problem '2332. The Latest Time to Catch a Bus'.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35" spans="1:15" x14ac:dyDescent="0.25">
      <c r="A2135" s="1">
        <v>2811</v>
      </c>
      <c r="B2135" s="2" t="str">
        <f>HYPERLINK("https://leetcode.com/problems/check-if-it-is-possible-to-split-array/", "Check if it is Possible to Split Array")</f>
        <v>Check if it is Possible to Split Array</v>
      </c>
      <c r="C2135" s="1">
        <v>528</v>
      </c>
      <c r="D2135" s="1">
        <v>105</v>
      </c>
      <c r="E2135" s="3">
        <f t="shared" si="16"/>
        <v>0.83412322274881512</v>
      </c>
      <c r="F2135" s="1" t="s">
        <v>50</v>
      </c>
      <c r="G2135" s="1" t="s">
        <v>24</v>
      </c>
      <c r="H2135" s="1">
        <v>33124</v>
      </c>
      <c r="I2135" s="1">
        <v>96329</v>
      </c>
      <c r="J2135" s="7">
        <v>0.34399999999999997</v>
      </c>
      <c r="K2135" s="1" t="s">
        <v>21</v>
      </c>
      <c r="L2135" s="1" t="s">
        <v>29</v>
      </c>
      <c r="M2135" s="1" t="s">
        <v>29</v>
      </c>
      <c r="N2135" s="1" t="s">
        <v>22</v>
      </c>
      <c r="O2135" s="1" t="str">
        <f t="shared" ca="1" si="17"/>
        <v>Please solve the LeetCode problem '2811. Check if it is Possible to Split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36" spans="1:15" x14ac:dyDescent="0.25">
      <c r="A2136" s="1">
        <v>1397</v>
      </c>
      <c r="B2136" s="2" t="str">
        <f>HYPERLINK("https://leetcode.com/problems/find-all-good-strings/", "Find All Good Strings")</f>
        <v>Find All Good Strings</v>
      </c>
      <c r="C2136" s="1">
        <v>527</v>
      </c>
      <c r="D2136" s="1">
        <v>130</v>
      </c>
      <c r="E2136" s="3">
        <f t="shared" si="16"/>
        <v>0.80213089802130899</v>
      </c>
      <c r="F2136" s="1" t="s">
        <v>760</v>
      </c>
      <c r="G2136" s="1" t="s">
        <v>28</v>
      </c>
      <c r="H2136" s="1">
        <v>8952</v>
      </c>
      <c r="I2136" s="1">
        <v>19983</v>
      </c>
      <c r="J2136" s="7">
        <v>0.44800000000000001</v>
      </c>
      <c r="K2136" s="1" t="s">
        <v>21</v>
      </c>
      <c r="L2136" s="1" t="s">
        <v>29</v>
      </c>
      <c r="M2136" s="1" t="s">
        <v>29</v>
      </c>
      <c r="N2136" s="1" t="s">
        <v>22</v>
      </c>
      <c r="O2136" s="1" t="str">
        <f t="shared" ca="1" si="17"/>
        <v>Please solve the LeetCode problem '1397. Find All Good Strings'.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37" spans="1:15" x14ac:dyDescent="0.25">
      <c r="A2137" s="1">
        <v>1078</v>
      </c>
      <c r="B2137" s="2" t="str">
        <f>HYPERLINK("https://leetcode.com/problems/occurrences-after-bigram/", "Occurrences After Bigram")</f>
        <v>Occurrences After Bigram</v>
      </c>
      <c r="C2137" s="1">
        <v>526</v>
      </c>
      <c r="D2137" s="1">
        <v>371</v>
      </c>
      <c r="E2137" s="3">
        <f t="shared" si="16"/>
        <v>0.58639910813823859</v>
      </c>
      <c r="F2137" s="1" t="s">
        <v>146</v>
      </c>
      <c r="G2137" s="1" t="s">
        <v>20</v>
      </c>
      <c r="H2137" s="1">
        <v>88869</v>
      </c>
      <c r="I2137" s="1">
        <v>139256</v>
      </c>
      <c r="J2137" s="7">
        <v>0.63800000000000001</v>
      </c>
      <c r="K2137" s="1" t="s">
        <v>21</v>
      </c>
      <c r="L2137" s="1" t="s">
        <v>29</v>
      </c>
      <c r="M2137" s="1" t="s">
        <v>29</v>
      </c>
      <c r="N2137" s="1" t="s">
        <v>22</v>
      </c>
      <c r="O2137" s="1" t="str">
        <f t="shared" ca="1" si="17"/>
        <v>Please solve the LeetCode problem '1078. Occurrences After Bigram'.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38" spans="1:15" x14ac:dyDescent="0.25">
      <c r="A2138" s="1">
        <v>1374</v>
      </c>
      <c r="B2138" s="2" t="str">
        <f>HYPERLINK("https://leetcode.com/problems/generate-a-string-with-characters-that-have-odd-counts/", "Generate a String With Characters That Have Odd Counts")</f>
        <v>Generate a String With Characters That Have Odd Counts</v>
      </c>
      <c r="C2138" s="1">
        <v>526</v>
      </c>
      <c r="D2138" s="1">
        <v>1286</v>
      </c>
      <c r="E2138" s="3">
        <f t="shared" si="16"/>
        <v>0.29028697571743928</v>
      </c>
      <c r="F2138" s="1" t="s">
        <v>146</v>
      </c>
      <c r="G2138" s="1" t="s">
        <v>20</v>
      </c>
      <c r="H2138" s="1">
        <v>111850</v>
      </c>
      <c r="I2138" s="1">
        <v>142637</v>
      </c>
      <c r="J2138" s="7">
        <v>0.78400000000000003</v>
      </c>
      <c r="K2138" s="1" t="s">
        <v>21</v>
      </c>
      <c r="L2138" s="1" t="s">
        <v>29</v>
      </c>
      <c r="M2138" s="1" t="s">
        <v>29</v>
      </c>
      <c r="N2138" s="1" t="s">
        <v>22</v>
      </c>
      <c r="O2138" s="1" t="str">
        <f t="shared" ca="1" si="17"/>
        <v>Please solve the LeetCode problem '1374. Generate a String With Characters That Have Odd Counts'.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39" spans="1:15" x14ac:dyDescent="0.25">
      <c r="A2139" s="1">
        <v>1619</v>
      </c>
      <c r="B2139" s="2" t="str">
        <f>HYPERLINK("https://leetcode.com/problems/mean-of-array-after-removing-some-elements/", "Mean of Array After Removing Some Elements")</f>
        <v>Mean of Array After Removing Some Elements</v>
      </c>
      <c r="C2139" s="1">
        <v>526</v>
      </c>
      <c r="D2139" s="1">
        <v>134</v>
      </c>
      <c r="E2139" s="3">
        <f t="shared" si="16"/>
        <v>0.79696969696969699</v>
      </c>
      <c r="F2139" s="1" t="s">
        <v>42</v>
      </c>
      <c r="G2139" s="1" t="s">
        <v>20</v>
      </c>
      <c r="H2139" s="1">
        <v>81847</v>
      </c>
      <c r="I2139" s="1">
        <v>114747</v>
      </c>
      <c r="J2139" s="7">
        <v>0.71299999999999997</v>
      </c>
      <c r="K2139" s="1" t="s">
        <v>21</v>
      </c>
      <c r="L2139" s="1" t="s">
        <v>29</v>
      </c>
      <c r="M2139" s="1" t="s">
        <v>29</v>
      </c>
      <c r="N2139" s="1" t="s">
        <v>22</v>
      </c>
      <c r="O2139" s="1" t="str">
        <f t="shared" ca="1" si="17"/>
        <v>Please solve the LeetCode problem '1619. Mean of Array After Removing Some Elements'.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40" spans="1:15" x14ac:dyDescent="0.25">
      <c r="A2140" s="1">
        <v>3100</v>
      </c>
      <c r="B2140" s="2" t="str">
        <f>HYPERLINK("https://leetcode.com/problems/water-bottles-ii/", "Water Bottles II")</f>
        <v>Water Bottles II</v>
      </c>
      <c r="C2140" s="1">
        <v>526</v>
      </c>
      <c r="D2140" s="1">
        <v>102</v>
      </c>
      <c r="E2140" s="3">
        <f t="shared" si="16"/>
        <v>0.83757961783439494</v>
      </c>
      <c r="F2140" s="1" t="s">
        <v>465</v>
      </c>
      <c r="G2140" s="1" t="s">
        <v>24</v>
      </c>
      <c r="H2140" s="1">
        <v>165201</v>
      </c>
      <c r="I2140" s="1">
        <v>211490</v>
      </c>
      <c r="J2140" s="7">
        <v>0.78100000000000003</v>
      </c>
      <c r="K2140" s="1" t="s">
        <v>21</v>
      </c>
      <c r="L2140" s="1" t="s">
        <v>21</v>
      </c>
      <c r="M2140" s="1" t="s">
        <v>29</v>
      </c>
      <c r="N2140" s="1" t="s">
        <v>22</v>
      </c>
      <c r="O2140" s="1" t="str">
        <f t="shared" ca="1" si="17"/>
        <v>Please solve the LeetCode problem '3100. Water Bottles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41" spans="1:15" x14ac:dyDescent="0.25">
      <c r="A2141" s="1">
        <v>3228</v>
      </c>
      <c r="B2141" s="2" t="str">
        <f>HYPERLINK("https://leetcode.com/problems/maximum-number-of-operations-to-move-ones-to-the-end/", "Maximum Number of Operations to Move Ones to the End")</f>
        <v>Maximum Number of Operations to Move Ones to the End</v>
      </c>
      <c r="C2141" s="1">
        <v>526</v>
      </c>
      <c r="D2141" s="1">
        <v>37</v>
      </c>
      <c r="E2141" s="3">
        <f t="shared" si="16"/>
        <v>0.93428063943161632</v>
      </c>
      <c r="F2141" s="1" t="s">
        <v>384</v>
      </c>
      <c r="G2141" s="1" t="s">
        <v>24</v>
      </c>
      <c r="H2141" s="1">
        <v>122154</v>
      </c>
      <c r="I2141" s="1">
        <v>182061</v>
      </c>
      <c r="J2141" s="7">
        <v>0.67100000000000004</v>
      </c>
      <c r="K2141" s="1" t="s">
        <v>21</v>
      </c>
      <c r="L2141" s="1" t="s">
        <v>21</v>
      </c>
      <c r="M2141" s="1" t="s">
        <v>29</v>
      </c>
      <c r="N2141" s="1" t="s">
        <v>22</v>
      </c>
      <c r="O2141" s="1" t="str">
        <f t="shared" ca="1" si="17"/>
        <v>Please solve the LeetCode problem '3228. Maximum Number of Operations to Move Ones to the End'.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42" spans="1:15" x14ac:dyDescent="0.25">
      <c r="A2142" s="1">
        <v>1307</v>
      </c>
      <c r="B2142" s="2" t="str">
        <f>HYPERLINK("https://leetcode.com/problems/verbal-arithmetic-puzzle/", "Verbal Arithmetic Puzzle")</f>
        <v>Verbal Arithmetic Puzzle</v>
      </c>
      <c r="C2142" s="1">
        <v>525</v>
      </c>
      <c r="D2142" s="1">
        <v>138</v>
      </c>
      <c r="E2142" s="3">
        <f t="shared" si="16"/>
        <v>0.79185520361990946</v>
      </c>
      <c r="F2142" s="1" t="s">
        <v>897</v>
      </c>
      <c r="G2142" s="1" t="s">
        <v>28</v>
      </c>
      <c r="H2142" s="1">
        <v>17231</v>
      </c>
      <c r="I2142" s="1">
        <v>49470</v>
      </c>
      <c r="J2142" s="7">
        <v>0.34799999999999998</v>
      </c>
      <c r="K2142" s="1" t="s">
        <v>21</v>
      </c>
      <c r="L2142" s="1" t="s">
        <v>29</v>
      </c>
      <c r="M2142" s="1" t="s">
        <v>29</v>
      </c>
      <c r="N2142" s="1" t="s">
        <v>22</v>
      </c>
      <c r="O2142" s="1" t="str">
        <f t="shared" ca="1" si="17"/>
        <v>Please solve the LeetCode problem '1307. Verbal Arithmetic Puzzle'.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43" spans="1:15" x14ac:dyDescent="0.25">
      <c r="A2143" s="1">
        <v>2622</v>
      </c>
      <c r="B2143" s="2" t="str">
        <f>HYPERLINK("https://leetcode.com/problems/cache-with-time-limit/", "Cache With Time Limit")</f>
        <v>Cache With Time Limit</v>
      </c>
      <c r="C2143" s="1">
        <v>525</v>
      </c>
      <c r="D2143" s="1">
        <v>43</v>
      </c>
      <c r="E2143" s="3">
        <f t="shared" si="16"/>
        <v>0.92429577464788737</v>
      </c>
      <c r="G2143" s="1" t="s">
        <v>24</v>
      </c>
      <c r="H2143" s="1">
        <v>78716</v>
      </c>
      <c r="I2143" s="1">
        <v>103681</v>
      </c>
      <c r="J2143" s="7">
        <v>0.75900000000000001</v>
      </c>
      <c r="K2143" s="1" t="s">
        <v>21</v>
      </c>
      <c r="L2143" s="1" t="s">
        <v>21</v>
      </c>
      <c r="M2143" s="1" t="s">
        <v>29</v>
      </c>
      <c r="N2143" s="1" t="s">
        <v>555</v>
      </c>
      <c r="O2143" s="1" t="str">
        <f t="shared" ca="1" si="17"/>
        <v>Please solve the LeetCode problem '2622. Cache With Time Limit'.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44" spans="1:15" x14ac:dyDescent="0.25">
      <c r="A2144" s="1">
        <v>2826</v>
      </c>
      <c r="B2144" s="2" t="str">
        <f>HYPERLINK("https://leetcode.com/problems/sorting-three-groups/", "Sorting Three Groups")</f>
        <v>Sorting Three Groups</v>
      </c>
      <c r="C2144" s="1">
        <v>524</v>
      </c>
      <c r="D2144" s="1">
        <v>91</v>
      </c>
      <c r="E2144" s="3">
        <f t="shared" si="16"/>
        <v>0.85203252032520327</v>
      </c>
      <c r="F2144" s="1" t="s">
        <v>47</v>
      </c>
      <c r="G2144" s="1" t="s">
        <v>24</v>
      </c>
      <c r="H2144" s="1">
        <v>25611</v>
      </c>
      <c r="I2144" s="1">
        <v>59946</v>
      </c>
      <c r="J2144" s="7">
        <v>0.42699999999999999</v>
      </c>
      <c r="K2144" s="1" t="s">
        <v>21</v>
      </c>
      <c r="L2144" s="1" t="s">
        <v>29</v>
      </c>
      <c r="M2144" s="1" t="s">
        <v>29</v>
      </c>
      <c r="N2144" s="1" t="s">
        <v>22</v>
      </c>
      <c r="O2144" s="1" t="str">
        <f t="shared" ca="1" si="17"/>
        <v>Please solve the LeetCode problem '2826. Sorting Three Groups'.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45" spans="1:15" x14ac:dyDescent="0.25">
      <c r="A2145" s="1">
        <v>1825</v>
      </c>
      <c r="B2145" s="2" t="str">
        <f>HYPERLINK("https://leetcode.com/problems/finding-mk-average/", "Finding MK Average")</f>
        <v>Finding MK Average</v>
      </c>
      <c r="C2145" s="1">
        <v>523</v>
      </c>
      <c r="D2145" s="1">
        <v>141</v>
      </c>
      <c r="E2145" s="3">
        <f t="shared" si="16"/>
        <v>0.78765060240963858</v>
      </c>
      <c r="F2145" s="1" t="s">
        <v>898</v>
      </c>
      <c r="G2145" s="1" t="s">
        <v>28</v>
      </c>
      <c r="H2145" s="1">
        <v>28042</v>
      </c>
      <c r="I2145" s="1">
        <v>72611</v>
      </c>
      <c r="J2145" s="7">
        <v>0.38600000000000001</v>
      </c>
      <c r="K2145" s="1" t="s">
        <v>21</v>
      </c>
      <c r="L2145" s="1" t="s">
        <v>29</v>
      </c>
      <c r="M2145" s="1" t="s">
        <v>29</v>
      </c>
      <c r="N2145" s="1" t="s">
        <v>22</v>
      </c>
      <c r="O2145" s="1" t="str">
        <f t="shared" ca="1" si="17"/>
        <v>Please solve the LeetCode problem '1825. Finding MK Average'.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46" spans="1:15" x14ac:dyDescent="0.25">
      <c r="A2146" s="1">
        <v>2513</v>
      </c>
      <c r="B2146" s="2" t="str">
        <f>HYPERLINK("https://leetcode.com/problems/minimize-the-maximum-of-two-arrays/", "Minimize the Maximum of Two Arrays")</f>
        <v>Minimize the Maximum of Two Arrays</v>
      </c>
      <c r="C2146" s="1">
        <v>523</v>
      </c>
      <c r="D2146" s="1">
        <v>101</v>
      </c>
      <c r="E2146" s="3">
        <f t="shared" si="16"/>
        <v>0.83814102564102566</v>
      </c>
      <c r="F2146" s="1" t="s">
        <v>902</v>
      </c>
      <c r="G2146" s="1" t="s">
        <v>24</v>
      </c>
      <c r="H2146" s="1">
        <v>16428</v>
      </c>
      <c r="I2146" s="1">
        <v>51279</v>
      </c>
      <c r="J2146" s="7">
        <v>0.32</v>
      </c>
      <c r="K2146" s="1" t="s">
        <v>21</v>
      </c>
      <c r="L2146" s="1" t="s">
        <v>29</v>
      </c>
      <c r="M2146" s="1" t="s">
        <v>29</v>
      </c>
      <c r="N2146" s="1" t="s">
        <v>22</v>
      </c>
      <c r="O2146" s="1" t="str">
        <f t="shared" ca="1" si="17"/>
        <v>Please solve the LeetCode problem '2513. Minimize the Maximum of Two Arrays'.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47" spans="1:15" x14ac:dyDescent="0.25">
      <c r="A2147" s="1">
        <v>3607</v>
      </c>
      <c r="B2147" s="2" t="str">
        <f>HYPERLINK("https://leetcode.com/problems/power-grid-maintenance/", "Power Grid Maintenance")</f>
        <v>Power Grid Maintenance</v>
      </c>
      <c r="C2147" s="1">
        <v>523</v>
      </c>
      <c r="D2147" s="1">
        <v>57</v>
      </c>
      <c r="E2147" s="3">
        <f t="shared" si="16"/>
        <v>0.90172413793103445</v>
      </c>
      <c r="F2147" s="1" t="s">
        <v>899</v>
      </c>
      <c r="G2147" s="1" t="s">
        <v>24</v>
      </c>
      <c r="H2147" s="1">
        <v>90634</v>
      </c>
      <c r="I2147" s="1">
        <v>160630</v>
      </c>
      <c r="J2147" s="7">
        <v>0.56399999999999995</v>
      </c>
      <c r="K2147" s="1" t="s">
        <v>21</v>
      </c>
      <c r="L2147" s="1" t="s">
        <v>21</v>
      </c>
      <c r="M2147" s="1" t="s">
        <v>29</v>
      </c>
      <c r="N2147" s="1" t="s">
        <v>22</v>
      </c>
      <c r="O2147" s="1" t="str">
        <f t="shared" ca="1" si="17"/>
        <v>Please solve the LeetCode problem '3607. Power Grid Maintenance'.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48" spans="1:15" x14ac:dyDescent="0.25">
      <c r="A2148" s="1">
        <v>1916</v>
      </c>
      <c r="B2148" s="2" t="str">
        <f>HYPERLINK("https://leetcode.com/problems/count-ways-to-build-rooms-in-an-ant-colony/", "Count Ways to Build Rooms in an Ant Colony")</f>
        <v>Count Ways to Build Rooms in an Ant Colony</v>
      </c>
      <c r="C2148" s="1">
        <v>522</v>
      </c>
      <c r="D2148" s="1">
        <v>57</v>
      </c>
      <c r="E2148" s="3">
        <f t="shared" si="16"/>
        <v>0.9015544041450777</v>
      </c>
      <c r="F2148" s="1" t="s">
        <v>1377</v>
      </c>
      <c r="G2148" s="1" t="s">
        <v>28</v>
      </c>
      <c r="H2148" s="1">
        <v>10573</v>
      </c>
      <c r="I2148" s="1">
        <v>20899</v>
      </c>
      <c r="J2148" s="7">
        <v>0.50600000000000001</v>
      </c>
      <c r="K2148" s="1" t="s">
        <v>21</v>
      </c>
      <c r="L2148" s="1" t="s">
        <v>29</v>
      </c>
      <c r="M2148" s="1" t="s">
        <v>29</v>
      </c>
      <c r="N2148" s="1" t="s">
        <v>22</v>
      </c>
      <c r="O2148" s="1" t="str">
        <f t="shared" ca="1" si="17"/>
        <v>Please solve the LeetCode problem '1916. Count Ways to Build Rooms in an Ant Colony'.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49" spans="1:15" x14ac:dyDescent="0.25">
      <c r="A2149" s="1">
        <v>3330</v>
      </c>
      <c r="B2149" s="2" t="str">
        <f>HYPERLINK("https://leetcode.com/problems/find-the-original-typed-string-i/", "Find the Original Typed String I")</f>
        <v>Find the Original Typed String I</v>
      </c>
      <c r="C2149" s="1">
        <v>522</v>
      </c>
      <c r="D2149" s="1">
        <v>78</v>
      </c>
      <c r="E2149" s="3">
        <f t="shared" si="16"/>
        <v>0.87</v>
      </c>
      <c r="F2149" s="1" t="s">
        <v>146</v>
      </c>
      <c r="G2149" s="1" t="s">
        <v>20</v>
      </c>
      <c r="H2149" s="1">
        <v>195533</v>
      </c>
      <c r="I2149" s="1">
        <v>271275</v>
      </c>
      <c r="J2149" s="7">
        <v>0.72099999999999997</v>
      </c>
      <c r="K2149" s="1" t="s">
        <v>21</v>
      </c>
      <c r="L2149" s="1" t="s">
        <v>21</v>
      </c>
      <c r="M2149" s="1" t="s">
        <v>29</v>
      </c>
      <c r="N2149" s="1" t="s">
        <v>22</v>
      </c>
      <c r="O2149" s="1" t="str">
        <f t="shared" ca="1" si="17"/>
        <v>Please solve the LeetCode problem '3330. Find the Original Typed String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50" spans="1:15" x14ac:dyDescent="0.25">
      <c r="A2150" s="1">
        <v>2209</v>
      </c>
      <c r="B2150" s="2" t="str">
        <f>HYPERLINK("https://leetcode.com/problems/minimum-white-tiles-after-covering-with-carpets/", "Minimum White Tiles After Covering With Carpets")</f>
        <v>Minimum White Tiles After Covering With Carpets</v>
      </c>
      <c r="C2150" s="1">
        <v>521</v>
      </c>
      <c r="D2150" s="1">
        <v>17</v>
      </c>
      <c r="E2150" s="3">
        <f t="shared" si="16"/>
        <v>0.96840148698884754</v>
      </c>
      <c r="F2150" s="1" t="s">
        <v>701</v>
      </c>
      <c r="G2150" s="1" t="s">
        <v>28</v>
      </c>
      <c r="H2150" s="1">
        <v>15896</v>
      </c>
      <c r="I2150" s="1">
        <v>41384</v>
      </c>
      <c r="J2150" s="7">
        <v>0.38400000000000001</v>
      </c>
      <c r="K2150" s="1" t="s">
        <v>21</v>
      </c>
      <c r="L2150" s="1" t="s">
        <v>29</v>
      </c>
      <c r="M2150" s="1" t="s">
        <v>29</v>
      </c>
      <c r="N2150" s="1" t="s">
        <v>22</v>
      </c>
      <c r="O2150" s="1" t="str">
        <f t="shared" ca="1" si="17"/>
        <v>Please solve the LeetCode problem '2209. Minimum White Tiles After Covering With Carpets'.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51" spans="1:15" x14ac:dyDescent="0.25">
      <c r="A2151" s="1">
        <v>2287</v>
      </c>
      <c r="B2151" s="2" t="str">
        <f>HYPERLINK("https://leetcode.com/problems/rearrange-characters-to-make-target-string/", "Rearrange Characters to Make Target String")</f>
        <v>Rearrange Characters to Make Target String</v>
      </c>
      <c r="C2151" s="1">
        <v>521</v>
      </c>
      <c r="D2151" s="1">
        <v>37</v>
      </c>
      <c r="E2151" s="3">
        <f t="shared" si="16"/>
        <v>0.93369175627240142</v>
      </c>
      <c r="F2151" s="1" t="s">
        <v>237</v>
      </c>
      <c r="G2151" s="1" t="s">
        <v>20</v>
      </c>
      <c r="H2151" s="1">
        <v>54322</v>
      </c>
      <c r="I2151" s="1">
        <v>89194</v>
      </c>
      <c r="J2151" s="7">
        <v>0.60899999999999999</v>
      </c>
      <c r="K2151" s="1" t="s">
        <v>21</v>
      </c>
      <c r="L2151" s="1" t="s">
        <v>29</v>
      </c>
      <c r="M2151" s="1" t="s">
        <v>29</v>
      </c>
      <c r="N2151" s="1" t="s">
        <v>22</v>
      </c>
      <c r="O2151" s="1" t="str">
        <f t="shared" ca="1" si="17"/>
        <v>Please solve the LeetCode problem '2287. Rearrange Characters to Make Target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52" spans="1:15" x14ac:dyDescent="0.25">
      <c r="A2152" s="1">
        <v>2025</v>
      </c>
      <c r="B2152" s="2" t="str">
        <f>HYPERLINK("https://leetcode.com/problems/maximum-number-of-ways-to-partition-an-array/", "Maximum Number of Ways to Partition an Array")</f>
        <v>Maximum Number of Ways to Partition an Array</v>
      </c>
      <c r="C2152" s="1">
        <v>520</v>
      </c>
      <c r="D2152" s="1">
        <v>59</v>
      </c>
      <c r="E2152" s="3">
        <f t="shared" si="16"/>
        <v>0.89810017271157172</v>
      </c>
      <c r="F2152" s="1" t="s">
        <v>907</v>
      </c>
      <c r="G2152" s="1" t="s">
        <v>28</v>
      </c>
      <c r="H2152" s="1">
        <v>13455</v>
      </c>
      <c r="I2152" s="1">
        <v>38123</v>
      </c>
      <c r="J2152" s="7">
        <v>0.35299999999999998</v>
      </c>
      <c r="K2152" s="1" t="s">
        <v>21</v>
      </c>
      <c r="L2152" s="1" t="s">
        <v>29</v>
      </c>
      <c r="M2152" s="1" t="s">
        <v>29</v>
      </c>
      <c r="N2152" s="1" t="s">
        <v>22</v>
      </c>
      <c r="O2152" s="1" t="str">
        <f t="shared" ca="1" si="17"/>
        <v>Please solve the LeetCode problem '2025. Maximum Number of Ways to Partition an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53" spans="1:15" x14ac:dyDescent="0.25">
      <c r="A2153" s="1">
        <v>2027</v>
      </c>
      <c r="B2153" s="2" t="str">
        <f>HYPERLINK("https://leetcode.com/problems/minimum-moves-to-convert-string/", "Minimum Moves to Convert String")</f>
        <v>Minimum Moves to Convert String</v>
      </c>
      <c r="C2153" s="1">
        <v>520</v>
      </c>
      <c r="D2153" s="1">
        <v>79</v>
      </c>
      <c r="E2153" s="3">
        <f t="shared" si="16"/>
        <v>0.86811352253756258</v>
      </c>
      <c r="F2153" s="1" t="s">
        <v>424</v>
      </c>
      <c r="G2153" s="1" t="s">
        <v>20</v>
      </c>
      <c r="H2153" s="1">
        <v>57192</v>
      </c>
      <c r="I2153" s="1">
        <v>99652</v>
      </c>
      <c r="J2153" s="7">
        <v>0.57399999999999995</v>
      </c>
      <c r="K2153" s="1" t="s">
        <v>21</v>
      </c>
      <c r="L2153" s="1" t="s">
        <v>29</v>
      </c>
      <c r="M2153" s="1" t="s">
        <v>29</v>
      </c>
      <c r="N2153" s="1" t="s">
        <v>22</v>
      </c>
      <c r="O2153" s="1" t="str">
        <f t="shared" ca="1" si="17"/>
        <v>Please solve the LeetCode problem '2027. Minimum Moves to Convert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54" spans="1:15" x14ac:dyDescent="0.25">
      <c r="A2154" s="1">
        <v>2430</v>
      </c>
      <c r="B2154" s="2" t="str">
        <f>HYPERLINK("https://leetcode.com/problems/maximum-deletions-on-a-string/", "Maximum Deletions on a String")</f>
        <v>Maximum Deletions on a String</v>
      </c>
      <c r="C2154" s="1">
        <v>520</v>
      </c>
      <c r="D2154" s="1">
        <v>61</v>
      </c>
      <c r="E2154" s="3">
        <f t="shared" si="16"/>
        <v>0.89500860585197939</v>
      </c>
      <c r="F2154" s="1" t="s">
        <v>908</v>
      </c>
      <c r="G2154" s="1" t="s">
        <v>28</v>
      </c>
      <c r="H2154" s="1">
        <v>16953</v>
      </c>
      <c r="I2154" s="1">
        <v>47686</v>
      </c>
      <c r="J2154" s="7">
        <v>0.35599999999999998</v>
      </c>
      <c r="K2154" s="1" t="s">
        <v>21</v>
      </c>
      <c r="L2154" s="1" t="s">
        <v>29</v>
      </c>
      <c r="M2154" s="1" t="s">
        <v>29</v>
      </c>
      <c r="N2154" s="1" t="s">
        <v>22</v>
      </c>
      <c r="O2154" s="1" t="str">
        <f t="shared" ca="1" si="17"/>
        <v>Please solve the LeetCode problem '2430. Maximum Deletions on a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55" spans="1:15" x14ac:dyDescent="0.25">
      <c r="A2155" s="1">
        <v>3307</v>
      </c>
      <c r="B2155" s="2" t="str">
        <f>HYPERLINK("https://leetcode.com/problems/find-the-k-th-character-in-string-game-ii/", "Find the K-th Character in String Game II")</f>
        <v>Find the K-th Character in String Game II</v>
      </c>
      <c r="C2155" s="1">
        <v>520</v>
      </c>
      <c r="D2155" s="1">
        <v>31</v>
      </c>
      <c r="E2155" s="3">
        <f t="shared" si="16"/>
        <v>0.94373865698729587</v>
      </c>
      <c r="F2155" s="1" t="s">
        <v>172</v>
      </c>
      <c r="G2155" s="1" t="s">
        <v>28</v>
      </c>
      <c r="H2155" s="1">
        <v>87153</v>
      </c>
      <c r="I2155" s="1">
        <v>179451</v>
      </c>
      <c r="J2155" s="7">
        <v>0.48599999999999999</v>
      </c>
      <c r="K2155" s="1" t="s">
        <v>21</v>
      </c>
      <c r="L2155" s="1" t="s">
        <v>21</v>
      </c>
      <c r="M2155" s="1" t="s">
        <v>29</v>
      </c>
      <c r="N2155" s="1" t="s">
        <v>22</v>
      </c>
      <c r="O2155" s="1" t="str">
        <f t="shared" ca="1" si="17"/>
        <v>Please solve the LeetCode problem '3307. Find the K-th Character in String Game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56" spans="1:15" x14ac:dyDescent="0.25">
      <c r="A2156" s="1">
        <v>1469</v>
      </c>
      <c r="B2156" s="2" t="str">
        <f>HYPERLINK("https://leetcode.com/problems/find-all-the-lonely-nodes/", "Find All The Lonely Nodes")</f>
        <v>Find All The Lonely Nodes</v>
      </c>
      <c r="C2156" s="1">
        <v>519</v>
      </c>
      <c r="D2156" s="1">
        <v>11</v>
      </c>
      <c r="E2156" s="3">
        <f t="shared" si="16"/>
        <v>0.97924528301886793</v>
      </c>
      <c r="F2156" s="1" t="s">
        <v>80</v>
      </c>
      <c r="G2156" s="1" t="s">
        <v>20</v>
      </c>
      <c r="H2156" s="1">
        <v>60926</v>
      </c>
      <c r="I2156" s="1">
        <v>72467</v>
      </c>
      <c r="J2156" s="7">
        <v>0.84099999999999997</v>
      </c>
      <c r="K2156" s="1" t="s">
        <v>29</v>
      </c>
      <c r="L2156" s="1" t="s">
        <v>21</v>
      </c>
      <c r="M2156" s="1" t="s">
        <v>29</v>
      </c>
      <c r="N2156" s="1" t="s">
        <v>22</v>
      </c>
      <c r="O2156" s="1" t="str">
        <f t="shared" ca="1" si="17"/>
        <v>Please solve the LeetCode problem '1469. Find All The Lonely Nodes'.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57" spans="1:15" x14ac:dyDescent="0.25">
      <c r="A2157" s="1">
        <v>275</v>
      </c>
      <c r="B2157" s="2" t="str">
        <f>HYPERLINK("https://leetcode.com/problems/h-index-ii/", "H-Index II")</f>
        <v>H-Index II</v>
      </c>
      <c r="C2157" s="1">
        <v>518</v>
      </c>
      <c r="D2157" s="1">
        <v>156</v>
      </c>
      <c r="E2157" s="3">
        <f t="shared" si="16"/>
        <v>0.7685459940652819</v>
      </c>
      <c r="F2157" s="1" t="s">
        <v>35</v>
      </c>
      <c r="G2157" s="1" t="s">
        <v>24</v>
      </c>
      <c r="H2157" s="1">
        <v>258501</v>
      </c>
      <c r="I2157" s="1">
        <v>658016</v>
      </c>
      <c r="J2157" s="7">
        <v>0.39300000000000002</v>
      </c>
      <c r="K2157" s="1" t="s">
        <v>21</v>
      </c>
      <c r="L2157" s="1" t="s">
        <v>21</v>
      </c>
      <c r="M2157" s="1" t="s">
        <v>29</v>
      </c>
      <c r="N2157" s="1" t="s">
        <v>22</v>
      </c>
      <c r="O2157" s="1" t="str">
        <f t="shared" ca="1" si="17"/>
        <v>Please solve the LeetCode problem '275. H-Index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58" spans="1:15" x14ac:dyDescent="0.25">
      <c r="A2158" s="1">
        <v>497</v>
      </c>
      <c r="B2158" s="2" t="str">
        <f>HYPERLINK("https://leetcode.com/problems/random-point-in-non-overlapping-rectangles/", "Random Point in Non-overlapping Rectangles")</f>
        <v>Random Point in Non-overlapping Rectangles</v>
      </c>
      <c r="C2158" s="1">
        <v>518</v>
      </c>
      <c r="D2158" s="1">
        <v>688</v>
      </c>
      <c r="E2158" s="3">
        <f t="shared" si="16"/>
        <v>0.42951907131011607</v>
      </c>
      <c r="F2158" s="1" t="s">
        <v>906</v>
      </c>
      <c r="G2158" s="1" t="s">
        <v>24</v>
      </c>
      <c r="H2158" s="1">
        <v>51284</v>
      </c>
      <c r="I2158" s="1">
        <v>130790</v>
      </c>
      <c r="J2158" s="7">
        <v>0.39200000000000002</v>
      </c>
      <c r="K2158" s="1" t="s">
        <v>21</v>
      </c>
      <c r="L2158" s="1" t="s">
        <v>21</v>
      </c>
      <c r="M2158" s="1" t="s">
        <v>29</v>
      </c>
      <c r="N2158" s="1" t="s">
        <v>22</v>
      </c>
      <c r="O2158" s="1" t="str">
        <f t="shared" ca="1" si="17"/>
        <v>Please solve the LeetCode problem '497. Random Point in Non-overlapping Rectangles'.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59" spans="1:15" x14ac:dyDescent="0.25">
      <c r="A2159" s="1">
        <v>2309</v>
      </c>
      <c r="B2159" s="2" t="str">
        <f>HYPERLINK("https://leetcode.com/problems/greatest-english-letter-in-upper-and-lower-case/", "Greatest English Letter in Upper and Lower Case")</f>
        <v>Greatest English Letter in Upper and Lower Case</v>
      </c>
      <c r="C2159" s="1">
        <v>517</v>
      </c>
      <c r="D2159" s="1">
        <v>33</v>
      </c>
      <c r="E2159" s="3">
        <f t="shared" si="16"/>
        <v>0.94</v>
      </c>
      <c r="F2159" s="1" t="s">
        <v>904</v>
      </c>
      <c r="G2159" s="1" t="s">
        <v>20</v>
      </c>
      <c r="H2159" s="1">
        <v>70172</v>
      </c>
      <c r="I2159" s="1">
        <v>97901</v>
      </c>
      <c r="J2159" s="7">
        <v>0.71699999999999997</v>
      </c>
      <c r="K2159" s="1" t="s">
        <v>21</v>
      </c>
      <c r="L2159" s="1" t="s">
        <v>29</v>
      </c>
      <c r="M2159" s="1" t="s">
        <v>29</v>
      </c>
      <c r="N2159" s="1" t="s">
        <v>22</v>
      </c>
      <c r="O2159" s="1" t="str">
        <f t="shared" ca="1" si="17"/>
        <v>Please solve the LeetCode problem '2309. Greatest English Letter in Upper and Lower Case'.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60" spans="1:15" x14ac:dyDescent="0.25">
      <c r="A2160" s="1">
        <v>2607</v>
      </c>
      <c r="B2160" s="2" t="str">
        <f>HYPERLINK("https://leetcode.com/problems/make-k-subarray-sums-equal/", "Make K-Subarray Sums Equal")</f>
        <v>Make K-Subarray Sums Equal</v>
      </c>
      <c r="C2160" s="1">
        <v>517</v>
      </c>
      <c r="D2160" s="1">
        <v>89</v>
      </c>
      <c r="E2160" s="3">
        <f t="shared" si="16"/>
        <v>0.85313531353135319</v>
      </c>
      <c r="F2160" s="1" t="s">
        <v>905</v>
      </c>
      <c r="G2160" s="1" t="s">
        <v>24</v>
      </c>
      <c r="H2160" s="1">
        <v>13902</v>
      </c>
      <c r="I2160" s="1">
        <v>36552</v>
      </c>
      <c r="J2160" s="7">
        <v>0.38</v>
      </c>
      <c r="K2160" s="1" t="s">
        <v>21</v>
      </c>
      <c r="L2160" s="1" t="s">
        <v>29</v>
      </c>
      <c r="M2160" s="1" t="s">
        <v>29</v>
      </c>
      <c r="N2160" s="1" t="s">
        <v>22</v>
      </c>
      <c r="O2160" s="1" t="str">
        <f t="shared" ca="1" si="17"/>
        <v>Please solve the LeetCode problem '2607. Make K-Subarray Sums Equal'.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61" spans="1:15" x14ac:dyDescent="0.25">
      <c r="A2161" s="1">
        <v>245</v>
      </c>
      <c r="B2161" s="2" t="str">
        <f>HYPERLINK("https://leetcode.com/problems/shortest-word-distance-iii/", "Shortest Word Distance III")</f>
        <v>Shortest Word Distance III</v>
      </c>
      <c r="C2161" s="1">
        <v>516</v>
      </c>
      <c r="D2161" s="1">
        <v>100</v>
      </c>
      <c r="E2161" s="3">
        <f t="shared" si="16"/>
        <v>0.83766233766233766</v>
      </c>
      <c r="F2161" s="1" t="s">
        <v>369</v>
      </c>
      <c r="G2161" s="1" t="s">
        <v>24</v>
      </c>
      <c r="H2161" s="1">
        <v>93168</v>
      </c>
      <c r="I2161" s="1">
        <v>156980</v>
      </c>
      <c r="J2161" s="7">
        <v>0.59399999999999997</v>
      </c>
      <c r="K2161" s="1" t="s">
        <v>29</v>
      </c>
      <c r="L2161" s="1" t="s">
        <v>21</v>
      </c>
      <c r="M2161" s="1" t="s">
        <v>29</v>
      </c>
      <c r="N2161" s="1" t="s">
        <v>22</v>
      </c>
      <c r="O2161" s="1" t="str">
        <f t="shared" ca="1" si="17"/>
        <v>Please solve the LeetCode problem '245. Shortest Word Distance III'.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62" spans="1:15" x14ac:dyDescent="0.25">
      <c r="A2162" s="1">
        <v>1556</v>
      </c>
      <c r="B2162" s="2" t="str">
        <f>HYPERLINK("https://leetcode.com/problems/thousand-separator/", "Thousand Separator")</f>
        <v>Thousand Separator</v>
      </c>
      <c r="C2162" s="1">
        <v>516</v>
      </c>
      <c r="D2162" s="1">
        <v>46</v>
      </c>
      <c r="E2162" s="3">
        <f t="shared" si="16"/>
        <v>0.91814946619217086</v>
      </c>
      <c r="F2162" s="1" t="s">
        <v>146</v>
      </c>
      <c r="G2162" s="1" t="s">
        <v>20</v>
      </c>
      <c r="H2162" s="1">
        <v>65596</v>
      </c>
      <c r="I2162" s="1">
        <v>122351</v>
      </c>
      <c r="J2162" s="7">
        <v>0.53600000000000003</v>
      </c>
      <c r="K2162" s="1" t="s">
        <v>21</v>
      </c>
      <c r="L2162" s="1" t="s">
        <v>29</v>
      </c>
      <c r="M2162" s="1" t="s">
        <v>29</v>
      </c>
      <c r="N2162" s="1" t="s">
        <v>22</v>
      </c>
      <c r="O2162" s="1" t="str">
        <f t="shared" ca="1" si="17"/>
        <v>Please solve the LeetCode problem '1556. Thousand Separator'.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63" spans="1:15" x14ac:dyDescent="0.25">
      <c r="A2163" s="1">
        <v>1900</v>
      </c>
      <c r="B2163" s="2" t="str">
        <f>HYPERLINK("https://leetcode.com/problems/the-earliest-and-latest-rounds-where-players-compete/", "The Earliest and Latest Rounds Where Players Compete")</f>
        <v>The Earliest and Latest Rounds Where Players Compete</v>
      </c>
      <c r="C2163" s="1">
        <v>516</v>
      </c>
      <c r="D2163" s="1">
        <v>76</v>
      </c>
      <c r="E2163" s="3">
        <f t="shared" si="16"/>
        <v>0.8716216216216216</v>
      </c>
      <c r="F2163" s="1" t="s">
        <v>709</v>
      </c>
      <c r="G2163" s="1" t="s">
        <v>28</v>
      </c>
      <c r="H2163" s="1">
        <v>62089</v>
      </c>
      <c r="I2163" s="1">
        <v>85215</v>
      </c>
      <c r="J2163" s="7">
        <v>0.72899999999999998</v>
      </c>
      <c r="K2163" s="1" t="s">
        <v>21</v>
      </c>
      <c r="L2163" s="1" t="s">
        <v>21</v>
      </c>
      <c r="M2163" s="1" t="s">
        <v>29</v>
      </c>
      <c r="N2163" s="1" t="s">
        <v>22</v>
      </c>
      <c r="O2163" s="1" t="str">
        <f t="shared" ca="1" si="17"/>
        <v>Please solve the LeetCode problem '1900. The Earliest and Latest Rounds Where Players Compete'.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64" spans="1:15" x14ac:dyDescent="0.25">
      <c r="A2164" s="1">
        <v>2646</v>
      </c>
      <c r="B2164" s="2" t="str">
        <f>HYPERLINK("https://leetcode.com/problems/minimize-the-total-price-of-the-trips/", "Minimize the Total Price of the Trips")</f>
        <v>Minimize the Total Price of the Trips</v>
      </c>
      <c r="C2164" s="1">
        <v>516</v>
      </c>
      <c r="D2164" s="1">
        <v>21</v>
      </c>
      <c r="E2164" s="3">
        <f t="shared" si="16"/>
        <v>0.96089385474860334</v>
      </c>
      <c r="F2164" s="1" t="s">
        <v>911</v>
      </c>
      <c r="G2164" s="1" t="s">
        <v>28</v>
      </c>
      <c r="H2164" s="1">
        <v>13338</v>
      </c>
      <c r="I2164" s="1">
        <v>28013</v>
      </c>
      <c r="J2164" s="7">
        <v>0.47599999999999998</v>
      </c>
      <c r="K2164" s="1" t="s">
        <v>21</v>
      </c>
      <c r="L2164" s="1" t="s">
        <v>29</v>
      </c>
      <c r="M2164" s="1" t="s">
        <v>29</v>
      </c>
      <c r="N2164" s="1" t="s">
        <v>22</v>
      </c>
      <c r="O2164" s="1" t="str">
        <f t="shared" ca="1" si="17"/>
        <v>Please solve the LeetCode problem '2646. Minimize the Total Price of the Trips'.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65" spans="1:15" x14ac:dyDescent="0.25">
      <c r="A2165" s="1">
        <v>2596</v>
      </c>
      <c r="B2165" s="2" t="str">
        <f>HYPERLINK("https://leetcode.com/problems/check-knight-tour-configuration/", "Check Knight Tour Configuration")</f>
        <v>Check Knight Tour Configuration</v>
      </c>
      <c r="C2165" s="1">
        <v>515</v>
      </c>
      <c r="D2165" s="1">
        <v>65</v>
      </c>
      <c r="E2165" s="3">
        <f t="shared" si="16"/>
        <v>0.88793103448275867</v>
      </c>
      <c r="F2165" s="1" t="s">
        <v>903</v>
      </c>
      <c r="G2165" s="1" t="s">
        <v>24</v>
      </c>
      <c r="H2165" s="1">
        <v>50920</v>
      </c>
      <c r="I2165" s="1">
        <v>84566</v>
      </c>
      <c r="J2165" s="7">
        <v>0.60199999999999998</v>
      </c>
      <c r="K2165" s="1" t="s">
        <v>21</v>
      </c>
      <c r="L2165" s="1" t="s">
        <v>29</v>
      </c>
      <c r="M2165" s="1" t="s">
        <v>29</v>
      </c>
      <c r="N2165" s="1" t="s">
        <v>22</v>
      </c>
      <c r="O2165" s="1" t="str">
        <f t="shared" ca="1" si="17"/>
        <v>Please solve the LeetCode problem '2596. Check Knight Tour Configuration'.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66" spans="1:15" x14ac:dyDescent="0.25">
      <c r="A2166" s="1">
        <v>3578</v>
      </c>
      <c r="B2166" s="2" t="str">
        <f>HYPERLINK("https://leetcode.com/problems/count-partitions-with-max-min-difference-at-most-k/", "Count Partitions With Max-Min Difference at Most K")</f>
        <v>Count Partitions With Max-Min Difference at Most K</v>
      </c>
      <c r="C2166" s="1">
        <v>515</v>
      </c>
      <c r="D2166" s="1">
        <v>127</v>
      </c>
      <c r="E2166" s="3">
        <f t="shared" si="16"/>
        <v>0.80218068535825549</v>
      </c>
      <c r="F2166" s="1" t="s">
        <v>901</v>
      </c>
      <c r="G2166" s="1" t="s">
        <v>24</v>
      </c>
      <c r="H2166" s="1">
        <v>63932</v>
      </c>
      <c r="I2166" s="1">
        <v>108276</v>
      </c>
      <c r="J2166" s="7">
        <v>0.59</v>
      </c>
      <c r="K2166" s="1" t="s">
        <v>21</v>
      </c>
      <c r="L2166" s="1" t="s">
        <v>21</v>
      </c>
      <c r="M2166" s="1" t="s">
        <v>29</v>
      </c>
      <c r="N2166" s="1" t="s">
        <v>22</v>
      </c>
      <c r="O2166" s="1" t="str">
        <f t="shared" ca="1" si="17"/>
        <v>Please solve the LeetCode problem '3578. Count Partitions With Max-Min Difference at Most K'.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67" spans="1:15" x14ac:dyDescent="0.25">
      <c r="A2167" s="1">
        <v>1172</v>
      </c>
      <c r="B2167" s="2" t="str">
        <f>HYPERLINK("https://leetcode.com/problems/dinner-plate-stacks/", "Dinner Plate Stacks")</f>
        <v>Dinner Plate Stacks</v>
      </c>
      <c r="C2167" s="1">
        <v>514</v>
      </c>
      <c r="D2167" s="1">
        <v>68</v>
      </c>
      <c r="E2167" s="3">
        <f t="shared" si="16"/>
        <v>0.88316151202749138</v>
      </c>
      <c r="F2167" s="1" t="s">
        <v>912</v>
      </c>
      <c r="G2167" s="1" t="s">
        <v>28</v>
      </c>
      <c r="H2167" s="1">
        <v>22939</v>
      </c>
      <c r="I2167" s="1">
        <v>68863</v>
      </c>
      <c r="J2167" s="7">
        <v>0.33300000000000002</v>
      </c>
      <c r="K2167" s="1" t="s">
        <v>21</v>
      </c>
      <c r="L2167" s="1" t="s">
        <v>29</v>
      </c>
      <c r="M2167" s="1" t="s">
        <v>29</v>
      </c>
      <c r="N2167" s="1" t="s">
        <v>22</v>
      </c>
      <c r="O2167" s="1" t="str">
        <f t="shared" ca="1" si="17"/>
        <v>Please solve the LeetCode problem '1172. Dinner Plate Stacks'.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68" spans="1:15" x14ac:dyDescent="0.25">
      <c r="A2168" s="1">
        <v>1807</v>
      </c>
      <c r="B2168" s="2" t="str">
        <f>HYPERLINK("https://leetcode.com/problems/evaluate-the-bracket-pairs-of-a-string/", "Evaluate the Bracket Pairs of a String")</f>
        <v>Evaluate the Bracket Pairs of a String</v>
      </c>
      <c r="C2168" s="1">
        <v>514</v>
      </c>
      <c r="D2168" s="1">
        <v>43</v>
      </c>
      <c r="E2168" s="3">
        <f t="shared" si="16"/>
        <v>0.92280071813285458</v>
      </c>
      <c r="F2168" s="1" t="s">
        <v>258</v>
      </c>
      <c r="G2168" s="1" t="s">
        <v>24</v>
      </c>
      <c r="H2168" s="1">
        <v>40428</v>
      </c>
      <c r="I2168" s="1">
        <v>58509</v>
      </c>
      <c r="J2168" s="7">
        <v>0.69099999999999995</v>
      </c>
      <c r="K2168" s="1" t="s">
        <v>21</v>
      </c>
      <c r="L2168" s="1" t="s">
        <v>29</v>
      </c>
      <c r="M2168" s="1" t="s">
        <v>29</v>
      </c>
      <c r="N2168" s="1" t="s">
        <v>22</v>
      </c>
      <c r="O2168" s="1" t="str">
        <f t="shared" ca="1" si="17"/>
        <v>Please solve the LeetCode problem '1807. Evaluate the Bracket Pairs of a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69" spans="1:15" x14ac:dyDescent="0.25">
      <c r="A2169" s="1">
        <v>1993</v>
      </c>
      <c r="B2169" s="2" t="str">
        <f>HYPERLINK("https://leetcode.com/problems/operations-on-tree/", "Operations on Tree")</f>
        <v>Operations on Tree</v>
      </c>
      <c r="C2169" s="1">
        <v>514</v>
      </c>
      <c r="D2169" s="1">
        <v>85</v>
      </c>
      <c r="E2169" s="3">
        <f t="shared" si="16"/>
        <v>0.85809682804674459</v>
      </c>
      <c r="F2169" s="1" t="s">
        <v>910</v>
      </c>
      <c r="G2169" s="1" t="s">
        <v>24</v>
      </c>
      <c r="H2169" s="1">
        <v>23830</v>
      </c>
      <c r="I2169" s="1">
        <v>53181</v>
      </c>
      <c r="J2169" s="7">
        <v>0.44800000000000001</v>
      </c>
      <c r="K2169" s="1" t="s">
        <v>21</v>
      </c>
      <c r="L2169" s="1" t="s">
        <v>29</v>
      </c>
      <c r="M2169" s="1" t="s">
        <v>29</v>
      </c>
      <c r="N2169" s="1" t="s">
        <v>22</v>
      </c>
      <c r="O2169" s="1" t="str">
        <f t="shared" ca="1" si="17"/>
        <v>Please solve the LeetCode problem '1993. Operations on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70" spans="1:15" x14ac:dyDescent="0.25">
      <c r="A2170" s="1">
        <v>2399</v>
      </c>
      <c r="B2170" s="2" t="str">
        <f>HYPERLINK("https://leetcode.com/problems/check-distances-between-same-letters/", "Check Distances Between Same Letters")</f>
        <v>Check Distances Between Same Letters</v>
      </c>
      <c r="C2170" s="1">
        <v>514</v>
      </c>
      <c r="D2170" s="1">
        <v>70</v>
      </c>
      <c r="E2170" s="3">
        <f t="shared" si="16"/>
        <v>0.88013698630136983</v>
      </c>
      <c r="F2170" s="1" t="s">
        <v>258</v>
      </c>
      <c r="G2170" s="1" t="s">
        <v>20</v>
      </c>
      <c r="H2170" s="1">
        <v>61546</v>
      </c>
      <c r="I2170" s="1">
        <v>86198</v>
      </c>
      <c r="J2170" s="7">
        <v>0.71399999999999997</v>
      </c>
      <c r="K2170" s="1" t="s">
        <v>21</v>
      </c>
      <c r="L2170" s="1" t="s">
        <v>29</v>
      </c>
      <c r="M2170" s="1" t="s">
        <v>29</v>
      </c>
      <c r="N2170" s="1" t="s">
        <v>22</v>
      </c>
      <c r="O2170" s="1" t="str">
        <f t="shared" ca="1" si="17"/>
        <v>Please solve the LeetCode problem '2399. Check Distances Between Same Letters'.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71" spans="1:15" x14ac:dyDescent="0.25">
      <c r="A2171" s="1">
        <v>1409</v>
      </c>
      <c r="B2171" s="2" t="str">
        <f>HYPERLINK("https://leetcode.com/problems/queries-on-a-permutation-with-key/", "Queries on a Permutation With Key")</f>
        <v>Queries on a Permutation With Key</v>
      </c>
      <c r="C2171" s="1">
        <v>513</v>
      </c>
      <c r="D2171" s="1">
        <v>644</v>
      </c>
      <c r="E2171" s="3">
        <f t="shared" si="16"/>
        <v>0.44338807260155577</v>
      </c>
      <c r="F2171" s="1" t="s">
        <v>914</v>
      </c>
      <c r="G2171" s="1" t="s">
        <v>24</v>
      </c>
      <c r="H2171" s="1">
        <v>57946</v>
      </c>
      <c r="I2171" s="1">
        <v>68354</v>
      </c>
      <c r="J2171" s="7">
        <v>0.84799999999999998</v>
      </c>
      <c r="K2171" s="1" t="s">
        <v>21</v>
      </c>
      <c r="L2171" s="1" t="s">
        <v>29</v>
      </c>
      <c r="M2171" s="1" t="s">
        <v>29</v>
      </c>
      <c r="N2171" s="1" t="s">
        <v>22</v>
      </c>
      <c r="O2171" s="1" t="str">
        <f t="shared" ca="1" si="17"/>
        <v>Please solve the LeetCode problem '1409. Queries on a Permutation With Key'.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72" spans="1:15" x14ac:dyDescent="0.25">
      <c r="A2172" s="1">
        <v>2212</v>
      </c>
      <c r="B2172" s="2" t="str">
        <f>HYPERLINK("https://leetcode.com/problems/maximum-points-in-an-archery-competition/", "Maximum Points in an Archery Competition")</f>
        <v>Maximum Points in an Archery Competition</v>
      </c>
      <c r="C2172" s="1">
        <v>513</v>
      </c>
      <c r="D2172" s="1">
        <v>57</v>
      </c>
      <c r="E2172" s="3">
        <f t="shared" si="16"/>
        <v>0.9</v>
      </c>
      <c r="F2172" s="1" t="s">
        <v>594</v>
      </c>
      <c r="G2172" s="1" t="s">
        <v>24</v>
      </c>
      <c r="H2172" s="1">
        <v>19294</v>
      </c>
      <c r="I2172" s="1">
        <v>37659</v>
      </c>
      <c r="J2172" s="7">
        <v>0.51200000000000001</v>
      </c>
      <c r="K2172" s="1" t="s">
        <v>21</v>
      </c>
      <c r="L2172" s="1" t="s">
        <v>29</v>
      </c>
      <c r="M2172" s="1" t="s">
        <v>29</v>
      </c>
      <c r="N2172" s="1" t="s">
        <v>22</v>
      </c>
      <c r="O2172" s="1" t="str">
        <f t="shared" ca="1" si="17"/>
        <v>Please solve the LeetCode problem '2212. Maximum Points in an Archery Competition'.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73" spans="1:15" x14ac:dyDescent="0.25">
      <c r="A2173" s="1">
        <v>3021</v>
      </c>
      <c r="B2173" s="2" t="str">
        <f>HYPERLINK("https://leetcode.com/problems/alice-and-bob-playing-flower-game/", "Alice and Bob Playing Flower Game")</f>
        <v>Alice and Bob Playing Flower Game</v>
      </c>
      <c r="C2173" s="1">
        <v>513</v>
      </c>
      <c r="D2173" s="1">
        <v>271</v>
      </c>
      <c r="E2173" s="3">
        <f t="shared" si="16"/>
        <v>0.65433673469387754</v>
      </c>
      <c r="F2173" s="1" t="s">
        <v>84</v>
      </c>
      <c r="G2173" s="1" t="s">
        <v>24</v>
      </c>
      <c r="H2173" s="1">
        <v>125171</v>
      </c>
      <c r="I2173" s="1">
        <v>208185</v>
      </c>
      <c r="J2173" s="7">
        <v>0.60099999999999998</v>
      </c>
      <c r="K2173" s="1" t="s">
        <v>21</v>
      </c>
      <c r="L2173" s="1" t="s">
        <v>21</v>
      </c>
      <c r="M2173" s="1" t="s">
        <v>29</v>
      </c>
      <c r="N2173" s="1" t="s">
        <v>22</v>
      </c>
      <c r="O2173" s="1" t="str">
        <f t="shared" ca="1" si="17"/>
        <v>Please solve the LeetCode problem '3021. Alice and Bob Playing Flower Game'.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74" spans="1:15" x14ac:dyDescent="0.25">
      <c r="A2174" s="1">
        <v>3289</v>
      </c>
      <c r="B2174" s="2" t="str">
        <f>HYPERLINK("https://leetcode.com/problems/the-two-sneaky-numbers-of-digitville/", "The Two Sneaky Numbers of Digitville")</f>
        <v>The Two Sneaky Numbers of Digitville</v>
      </c>
      <c r="C2174" s="1">
        <v>513</v>
      </c>
      <c r="D2174" s="1">
        <v>21</v>
      </c>
      <c r="E2174" s="3">
        <f t="shared" si="16"/>
        <v>0.9606741573033708</v>
      </c>
      <c r="F2174" s="1" t="s">
        <v>741</v>
      </c>
      <c r="G2174" s="1" t="s">
        <v>20</v>
      </c>
      <c r="H2174" s="1">
        <v>241508</v>
      </c>
      <c r="I2174" s="1">
        <v>268600</v>
      </c>
      <c r="J2174" s="7">
        <v>0.89900000000000002</v>
      </c>
      <c r="K2174" s="1" t="s">
        <v>21</v>
      </c>
      <c r="L2174" s="1" t="s">
        <v>21</v>
      </c>
      <c r="M2174" s="1" t="s">
        <v>29</v>
      </c>
      <c r="N2174" s="1" t="s">
        <v>22</v>
      </c>
      <c r="O2174" s="1" t="str">
        <f t="shared" ca="1" si="17"/>
        <v>Please solve the LeetCode problem '3289. The Two Sneaky Numbers of Digitville'.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75" spans="1:15" x14ac:dyDescent="0.25">
      <c r="A2175" s="1">
        <v>439</v>
      </c>
      <c r="B2175" s="2" t="str">
        <f>HYPERLINK("https://leetcode.com/problems/ternary-expression-parser/", "Ternary Expression Parser")</f>
        <v>Ternary Expression Parser</v>
      </c>
      <c r="C2175" s="1">
        <v>512</v>
      </c>
      <c r="D2175" s="1">
        <v>74</v>
      </c>
      <c r="E2175" s="3">
        <f t="shared" si="16"/>
        <v>0.87372013651877134</v>
      </c>
      <c r="F2175" s="1" t="s">
        <v>91</v>
      </c>
      <c r="G2175" s="1" t="s">
        <v>24</v>
      </c>
      <c r="H2175" s="1">
        <v>38084</v>
      </c>
      <c r="I2175" s="1">
        <v>61036</v>
      </c>
      <c r="J2175" s="7">
        <v>0.624</v>
      </c>
      <c r="K2175" s="1" t="s">
        <v>29</v>
      </c>
      <c r="L2175" s="1" t="s">
        <v>21</v>
      </c>
      <c r="M2175" s="1" t="s">
        <v>29</v>
      </c>
      <c r="N2175" s="1" t="s">
        <v>22</v>
      </c>
      <c r="O2175" s="1" t="str">
        <f t="shared" ca="1" si="17"/>
        <v>Please solve the LeetCode problem '439. Ternary Expression Parser'.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76" spans="1:15" x14ac:dyDescent="0.25">
      <c r="A2176" s="1">
        <v>2030</v>
      </c>
      <c r="B2176" s="2" t="str">
        <f>HYPERLINK("https://leetcode.com/problems/smallest-k-length-subsequence-with-occurrences-of-a-letter/", "Smallest K-Length Subsequence With Occurrences of a Letter")</f>
        <v>Smallest K-Length Subsequence With Occurrences of a Letter</v>
      </c>
      <c r="C2176" s="1">
        <v>511</v>
      </c>
      <c r="D2176" s="1">
        <v>15</v>
      </c>
      <c r="E2176" s="3">
        <f t="shared" si="16"/>
        <v>0.97148288973384034</v>
      </c>
      <c r="F2176" s="1" t="s">
        <v>129</v>
      </c>
      <c r="G2176" s="1" t="s">
        <v>28</v>
      </c>
      <c r="H2176" s="1">
        <v>11037</v>
      </c>
      <c r="I2176" s="1">
        <v>28006</v>
      </c>
      <c r="J2176" s="7">
        <v>0.39400000000000002</v>
      </c>
      <c r="K2176" s="1" t="s">
        <v>21</v>
      </c>
      <c r="L2176" s="1" t="s">
        <v>29</v>
      </c>
      <c r="M2176" s="1" t="s">
        <v>29</v>
      </c>
      <c r="N2176" s="1" t="s">
        <v>22</v>
      </c>
      <c r="O2176" s="1" t="str">
        <f t="shared" ca="1" si="17"/>
        <v>Please solve the LeetCode problem '2030. Smallest K-Length Subsequence With Occurrences of a Letter'.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77" spans="1:15" x14ac:dyDescent="0.25">
      <c r="A2177" s="1">
        <v>499</v>
      </c>
      <c r="B2177" s="2" t="str">
        <f>HYPERLINK("https://leetcode.com/problems/the-maze-iii/", "The Maze III")</f>
        <v>The Maze III</v>
      </c>
      <c r="C2177" s="1">
        <v>510</v>
      </c>
      <c r="D2177" s="1">
        <v>75</v>
      </c>
      <c r="E2177" s="3">
        <f t="shared" si="16"/>
        <v>0.87179487179487181</v>
      </c>
      <c r="F2177" s="1" t="s">
        <v>909</v>
      </c>
      <c r="G2177" s="1" t="s">
        <v>28</v>
      </c>
      <c r="H2177" s="1">
        <v>37973</v>
      </c>
      <c r="I2177" s="1">
        <v>73990</v>
      </c>
      <c r="J2177" s="7">
        <v>0.51300000000000001</v>
      </c>
      <c r="K2177" s="1" t="s">
        <v>29</v>
      </c>
      <c r="L2177" s="1" t="s">
        <v>21</v>
      </c>
      <c r="M2177" s="1" t="s">
        <v>29</v>
      </c>
      <c r="N2177" s="1" t="s">
        <v>22</v>
      </c>
      <c r="O2177" s="1" t="str">
        <f t="shared" ca="1" si="17"/>
        <v>Please solve the LeetCode problem '499. The Maze III'.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78" spans="1:15" x14ac:dyDescent="0.25">
      <c r="A2178" s="1">
        <v>866</v>
      </c>
      <c r="B2178" s="2" t="str">
        <f>HYPERLINK("https://leetcode.com/problems/prime-palindrome/", "Prime Palindrome")</f>
        <v>Prime Palindrome</v>
      </c>
      <c r="C2178" s="1">
        <v>510</v>
      </c>
      <c r="D2178" s="1">
        <v>844</v>
      </c>
      <c r="E2178" s="3">
        <f t="shared" si="16"/>
        <v>0.37666174298375182</v>
      </c>
      <c r="F2178" s="1" t="s">
        <v>513</v>
      </c>
      <c r="G2178" s="1" t="s">
        <v>24</v>
      </c>
      <c r="H2178" s="1">
        <v>47544</v>
      </c>
      <c r="I2178" s="1">
        <v>170690</v>
      </c>
      <c r="J2178" s="7">
        <v>0.27900000000000003</v>
      </c>
      <c r="K2178" s="1" t="s">
        <v>21</v>
      </c>
      <c r="L2178" s="1" t="s">
        <v>21</v>
      </c>
      <c r="M2178" s="1" t="s">
        <v>29</v>
      </c>
      <c r="N2178" s="1" t="s">
        <v>22</v>
      </c>
      <c r="O2178" s="1" t="str">
        <f t="shared" ca="1" si="17"/>
        <v>Please solve the LeetCode problem '866. Prime Palindrome'.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79" spans="1:15" x14ac:dyDescent="0.25">
      <c r="A2179" s="1">
        <v>1923</v>
      </c>
      <c r="B2179" s="2" t="str">
        <f>HYPERLINK("https://leetcode.com/problems/longest-common-subpath/", "Longest Common Subpath")</f>
        <v>Longest Common Subpath</v>
      </c>
      <c r="C2179" s="1">
        <v>510</v>
      </c>
      <c r="D2179" s="1">
        <v>39</v>
      </c>
      <c r="E2179" s="3">
        <f t="shared" si="16"/>
        <v>0.92896174863387981</v>
      </c>
      <c r="F2179" s="1" t="s">
        <v>915</v>
      </c>
      <c r="G2179" s="1" t="s">
        <v>28</v>
      </c>
      <c r="H2179" s="1">
        <v>9788</v>
      </c>
      <c r="I2179" s="1">
        <v>33575</v>
      </c>
      <c r="J2179" s="7">
        <v>0.29199999999999998</v>
      </c>
      <c r="K2179" s="1" t="s">
        <v>21</v>
      </c>
      <c r="L2179" s="1" t="s">
        <v>29</v>
      </c>
      <c r="M2179" s="1" t="s">
        <v>29</v>
      </c>
      <c r="N2179" s="1" t="s">
        <v>22</v>
      </c>
      <c r="O2179" s="1" t="str">
        <f t="shared" ca="1" si="17"/>
        <v>Please solve the LeetCode problem '1923. Longest Common Subpath'.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80" spans="1:15" x14ac:dyDescent="0.25">
      <c r="A2180" s="1">
        <v>1997</v>
      </c>
      <c r="B2180" s="2" t="str">
        <f>HYPERLINK("https://leetcode.com/problems/first-day-where-you-have-been-in-all-the-rooms/", "First Day Where You Have Been in All the Rooms")</f>
        <v>First Day Where You Have Been in All the Rooms</v>
      </c>
      <c r="C2180" s="1">
        <v>509</v>
      </c>
      <c r="D2180" s="1">
        <v>104</v>
      </c>
      <c r="E2180" s="3">
        <f t="shared" si="16"/>
        <v>0.83034257748776508</v>
      </c>
      <c r="F2180" s="1" t="s">
        <v>30</v>
      </c>
      <c r="G2180" s="1" t="s">
        <v>24</v>
      </c>
      <c r="H2180" s="1">
        <v>15394</v>
      </c>
      <c r="I2180" s="1">
        <v>38209</v>
      </c>
      <c r="J2180" s="7">
        <v>0.40300000000000002</v>
      </c>
      <c r="K2180" s="1" t="s">
        <v>21</v>
      </c>
      <c r="L2180" s="1" t="s">
        <v>29</v>
      </c>
      <c r="M2180" s="1" t="s">
        <v>29</v>
      </c>
      <c r="N2180" s="1" t="s">
        <v>22</v>
      </c>
      <c r="O2180" s="1" t="str">
        <f t="shared" ca="1" si="17"/>
        <v>Please solve the LeetCode problem '1997. First Day Where You Have Been in All the Rooms'.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81" spans="1:15" x14ac:dyDescent="0.25">
      <c r="A2181" s="1">
        <v>663</v>
      </c>
      <c r="B2181" s="2" t="str">
        <f>HYPERLINK("https://leetcode.com/problems/equal-tree-partition/", "Equal Tree Partition")</f>
        <v>Equal Tree Partition</v>
      </c>
      <c r="C2181" s="1">
        <v>507</v>
      </c>
      <c r="D2181" s="1">
        <v>37</v>
      </c>
      <c r="E2181" s="3">
        <f t="shared" si="16"/>
        <v>0.93198529411764708</v>
      </c>
      <c r="F2181" s="1" t="s">
        <v>67</v>
      </c>
      <c r="G2181" s="1" t="s">
        <v>24</v>
      </c>
      <c r="H2181" s="1">
        <v>36581</v>
      </c>
      <c r="I2181" s="1">
        <v>86557</v>
      </c>
      <c r="J2181" s="7">
        <v>0.42299999999999999</v>
      </c>
      <c r="K2181" s="1" t="s">
        <v>29</v>
      </c>
      <c r="L2181" s="1" t="s">
        <v>21</v>
      </c>
      <c r="M2181" s="1" t="s">
        <v>29</v>
      </c>
      <c r="N2181" s="1" t="s">
        <v>22</v>
      </c>
      <c r="O2181" s="1" t="str">
        <f t="shared" ca="1" si="17"/>
        <v>Please solve the LeetCode problem '663. Equal Tree Partition'.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82" spans="1:15" x14ac:dyDescent="0.25">
      <c r="A2182" s="1">
        <v>2769</v>
      </c>
      <c r="B2182" s="2" t="str">
        <f>HYPERLINK("https://leetcode.com/problems/find-the-maximum-achievable-number/", "Find the Maximum Achievable Number")</f>
        <v>Find the Maximum Achievable Number</v>
      </c>
      <c r="C2182" s="1">
        <v>507</v>
      </c>
      <c r="D2182" s="1">
        <v>758</v>
      </c>
      <c r="E2182" s="3">
        <f t="shared" si="16"/>
        <v>0.40079051383399211</v>
      </c>
      <c r="F2182" s="1" t="s">
        <v>84</v>
      </c>
      <c r="G2182" s="1" t="s">
        <v>20</v>
      </c>
      <c r="H2182" s="1">
        <v>192900</v>
      </c>
      <c r="I2182" s="1">
        <v>211694</v>
      </c>
      <c r="J2182" s="7">
        <v>0.91100000000000003</v>
      </c>
      <c r="K2182" s="1" t="s">
        <v>21</v>
      </c>
      <c r="L2182" s="1" t="s">
        <v>29</v>
      </c>
      <c r="M2182" s="1" t="s">
        <v>29</v>
      </c>
      <c r="N2182" s="1" t="s">
        <v>22</v>
      </c>
      <c r="O2182" s="1" t="str">
        <f t="shared" ca="1" si="17"/>
        <v>Please solve the LeetCode problem '2769. Find the Maximum Achievable Number'.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83" spans="1:15" x14ac:dyDescent="0.25">
      <c r="A2183" s="1">
        <v>3494</v>
      </c>
      <c r="B2183" s="2" t="str">
        <f>HYPERLINK("https://leetcode.com/problems/find-the-minimum-amount-of-time-to-brew-potions/", "Find the Minimum Amount of Time to Brew Potions")</f>
        <v>Find the Minimum Amount of Time to Brew Potions</v>
      </c>
      <c r="C2183" s="1">
        <v>506</v>
      </c>
      <c r="D2183" s="1">
        <v>357</v>
      </c>
      <c r="E2183" s="3">
        <f t="shared" si="16"/>
        <v>0.58632676709154119</v>
      </c>
      <c r="F2183" s="1" t="s">
        <v>874</v>
      </c>
      <c r="G2183" s="1" t="s">
        <v>24</v>
      </c>
      <c r="H2183" s="1">
        <v>85736</v>
      </c>
      <c r="I2183" s="1">
        <v>136733</v>
      </c>
      <c r="J2183" s="7">
        <v>0.627</v>
      </c>
      <c r="K2183" s="1" t="s">
        <v>21</v>
      </c>
      <c r="L2183" s="1" t="s">
        <v>21</v>
      </c>
      <c r="M2183" s="1" t="s">
        <v>29</v>
      </c>
      <c r="N2183" s="1" t="s">
        <v>22</v>
      </c>
      <c r="O2183" s="1" t="str">
        <f t="shared" ca="1" si="17"/>
        <v>Please solve the LeetCode problem '3494. Find the Minimum Amount of Time to Brew Potions'.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84" spans="1:15" x14ac:dyDescent="0.25">
      <c r="A2184" s="1">
        <v>1096</v>
      </c>
      <c r="B2184" s="2" t="str">
        <f>HYPERLINK("https://leetcode.com/problems/brace-expansion-ii/", "Brace Expansion II")</f>
        <v>Brace Expansion II</v>
      </c>
      <c r="C2184" s="1">
        <v>505</v>
      </c>
      <c r="D2184" s="1">
        <v>294</v>
      </c>
      <c r="E2184" s="3">
        <f t="shared" si="16"/>
        <v>0.63204005006257824</v>
      </c>
      <c r="F2184" s="1" t="s">
        <v>918</v>
      </c>
      <c r="G2184" s="1" t="s">
        <v>28</v>
      </c>
      <c r="H2184" s="1">
        <v>28804</v>
      </c>
      <c r="I2184" s="1">
        <v>45224</v>
      </c>
      <c r="J2184" s="7">
        <v>0.63700000000000001</v>
      </c>
      <c r="K2184" s="1" t="s">
        <v>21</v>
      </c>
      <c r="L2184" s="1" t="s">
        <v>29</v>
      </c>
      <c r="M2184" s="1" t="s">
        <v>29</v>
      </c>
      <c r="N2184" s="1" t="s">
        <v>22</v>
      </c>
      <c r="O2184" s="1" t="str">
        <f t="shared" ca="1" si="17"/>
        <v>Please solve the LeetCode problem '1096. Brace Expansion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85" spans="1:15" x14ac:dyDescent="0.25">
      <c r="A2185" s="1">
        <v>1994</v>
      </c>
      <c r="B2185" s="2" t="str">
        <f>HYPERLINK("https://leetcode.com/problems/the-number-of-good-subsets/", "The Number of Good Subsets")</f>
        <v>The Number of Good Subsets</v>
      </c>
      <c r="C2185" s="1">
        <v>505</v>
      </c>
      <c r="D2185" s="1">
        <v>17</v>
      </c>
      <c r="E2185" s="3">
        <f t="shared" si="16"/>
        <v>0.96743295019157083</v>
      </c>
      <c r="F2185" s="1" t="s">
        <v>1378</v>
      </c>
      <c r="G2185" s="1" t="s">
        <v>28</v>
      </c>
      <c r="H2185" s="1">
        <v>10933</v>
      </c>
      <c r="I2185" s="1">
        <v>29675</v>
      </c>
      <c r="J2185" s="7">
        <v>0.36799999999999999</v>
      </c>
      <c r="K2185" s="1" t="s">
        <v>21</v>
      </c>
      <c r="L2185" s="1" t="s">
        <v>29</v>
      </c>
      <c r="M2185" s="1" t="s">
        <v>29</v>
      </c>
      <c r="N2185" s="1" t="s">
        <v>22</v>
      </c>
      <c r="O2185" s="1" t="str">
        <f t="shared" ca="1" si="17"/>
        <v>Please solve the LeetCode problem '1994. The Number of Good Subsets'.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86" spans="1:15" x14ac:dyDescent="0.25">
      <c r="A2186" s="1">
        <v>2572</v>
      </c>
      <c r="B2186" s="2" t="str">
        <f>HYPERLINK("https://leetcode.com/problems/count-the-number-of-square-free-subsets/", "Count the Number of Square-Free Subsets")</f>
        <v>Count the Number of Square-Free Subsets</v>
      </c>
      <c r="C2186" s="1">
        <v>505</v>
      </c>
      <c r="D2186" s="1">
        <v>121</v>
      </c>
      <c r="E2186" s="3">
        <f t="shared" si="16"/>
        <v>0.80670926517571884</v>
      </c>
      <c r="F2186" s="1" t="s">
        <v>1364</v>
      </c>
      <c r="G2186" s="1" t="s">
        <v>24</v>
      </c>
      <c r="H2186" s="1">
        <v>13676</v>
      </c>
      <c r="I2186" s="1">
        <v>52013</v>
      </c>
      <c r="J2186" s="7">
        <v>0.26300000000000001</v>
      </c>
      <c r="K2186" s="1" t="s">
        <v>21</v>
      </c>
      <c r="L2186" s="1" t="s">
        <v>29</v>
      </c>
      <c r="M2186" s="1" t="s">
        <v>29</v>
      </c>
      <c r="N2186" s="1" t="s">
        <v>22</v>
      </c>
      <c r="O2186" s="1" t="str">
        <f t="shared" ca="1" si="17"/>
        <v>Please solve the LeetCode problem '2572. Count the Number of Square-Free Subsets'.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87" spans="1:15" x14ac:dyDescent="0.25">
      <c r="A2187" s="1">
        <v>2585</v>
      </c>
      <c r="B2187" s="2" t="str">
        <f>HYPERLINK("https://leetcode.com/problems/number-of-ways-to-earn-points/", "Number of Ways to Earn Points")</f>
        <v>Number of Ways to Earn Points</v>
      </c>
      <c r="C2187" s="1">
        <v>505</v>
      </c>
      <c r="D2187" s="1">
        <v>12</v>
      </c>
      <c r="E2187" s="3">
        <f t="shared" si="16"/>
        <v>0.97678916827853002</v>
      </c>
      <c r="F2187" s="1" t="s">
        <v>30</v>
      </c>
      <c r="G2187" s="1" t="s">
        <v>28</v>
      </c>
      <c r="H2187" s="1">
        <v>22824</v>
      </c>
      <c r="I2187" s="1">
        <v>38447</v>
      </c>
      <c r="J2187" s="7">
        <v>0.59399999999999997</v>
      </c>
      <c r="K2187" s="1" t="s">
        <v>21</v>
      </c>
      <c r="L2187" s="1" t="s">
        <v>29</v>
      </c>
      <c r="M2187" s="1" t="s">
        <v>29</v>
      </c>
      <c r="N2187" s="1" t="s">
        <v>22</v>
      </c>
      <c r="O2187" s="1" t="str">
        <f t="shared" ca="1" si="17"/>
        <v>Please solve the LeetCode problem '2585. Number of Ways to Earn Points'.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88" spans="1:15" x14ac:dyDescent="0.25">
      <c r="A2188" s="1">
        <v>1507</v>
      </c>
      <c r="B2188" s="2" t="str">
        <f>HYPERLINK("https://leetcode.com/problems/reformat-date/", "Reformat Date")</f>
        <v>Reformat Date</v>
      </c>
      <c r="C2188" s="1">
        <v>504</v>
      </c>
      <c r="D2188" s="1">
        <v>441</v>
      </c>
      <c r="E2188" s="3">
        <f t="shared" si="16"/>
        <v>0.53333333333333333</v>
      </c>
      <c r="F2188" s="1" t="s">
        <v>146</v>
      </c>
      <c r="G2188" s="1" t="s">
        <v>20</v>
      </c>
      <c r="H2188" s="1">
        <v>93509</v>
      </c>
      <c r="I2188" s="1">
        <v>137350</v>
      </c>
      <c r="J2188" s="7">
        <v>0.68100000000000005</v>
      </c>
      <c r="K2188" s="1" t="s">
        <v>21</v>
      </c>
      <c r="L2188" s="1" t="s">
        <v>29</v>
      </c>
      <c r="M2188" s="1" t="s">
        <v>29</v>
      </c>
      <c r="N2188" s="1" t="s">
        <v>22</v>
      </c>
      <c r="O2188" s="1" t="str">
        <f t="shared" ca="1" si="17"/>
        <v>Please solve the LeetCode problem '1507. Reformat Date'.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89" spans="1:15" x14ac:dyDescent="0.25">
      <c r="A2189" s="1">
        <v>2157</v>
      </c>
      <c r="B2189" s="2" t="str">
        <f>HYPERLINK("https://leetcode.com/problems/groups-of-strings/", "Groups of Strings")</f>
        <v>Groups of Strings</v>
      </c>
      <c r="C2189" s="1">
        <v>504</v>
      </c>
      <c r="D2189" s="1">
        <v>62</v>
      </c>
      <c r="E2189" s="3">
        <f t="shared" si="16"/>
        <v>0.89045936395759717</v>
      </c>
      <c r="F2189" s="1" t="s">
        <v>1379</v>
      </c>
      <c r="G2189" s="1" t="s">
        <v>28</v>
      </c>
      <c r="H2189" s="1">
        <v>11576</v>
      </c>
      <c r="I2189" s="1">
        <v>42494</v>
      </c>
      <c r="J2189" s="7">
        <v>0.27200000000000002</v>
      </c>
      <c r="K2189" s="1" t="s">
        <v>21</v>
      </c>
      <c r="L2189" s="1" t="s">
        <v>29</v>
      </c>
      <c r="M2189" s="1" t="s">
        <v>29</v>
      </c>
      <c r="N2189" s="1" t="s">
        <v>22</v>
      </c>
      <c r="O2189" s="1" t="str">
        <f t="shared" ca="1" si="17"/>
        <v>Please solve the LeetCode problem '2157. Groups of Strings'.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90" spans="1:15" x14ac:dyDescent="0.25">
      <c r="A2190" s="1">
        <v>2592</v>
      </c>
      <c r="B2190" s="2" t="str">
        <f>HYPERLINK("https://leetcode.com/problems/maximize-greatness-of-an-array/", "Maximize Greatness of an Array")</f>
        <v>Maximize Greatness of an Array</v>
      </c>
      <c r="C2190" s="1">
        <v>503</v>
      </c>
      <c r="D2190" s="1">
        <v>21</v>
      </c>
      <c r="E2190" s="3">
        <f t="shared" si="16"/>
        <v>0.95992366412213737</v>
      </c>
      <c r="F2190" s="1" t="s">
        <v>203</v>
      </c>
      <c r="G2190" s="1" t="s">
        <v>24</v>
      </c>
      <c r="H2190" s="1">
        <v>40174</v>
      </c>
      <c r="I2190" s="1">
        <v>65846</v>
      </c>
      <c r="J2190" s="7">
        <v>0.61</v>
      </c>
      <c r="K2190" s="1" t="s">
        <v>21</v>
      </c>
      <c r="L2190" s="1" t="s">
        <v>29</v>
      </c>
      <c r="M2190" s="1" t="s">
        <v>29</v>
      </c>
      <c r="N2190" s="1" t="s">
        <v>22</v>
      </c>
      <c r="O2190" s="1" t="str">
        <f t="shared" ca="1" si="17"/>
        <v>Please solve the LeetCode problem '2592. Maximize Greatness of an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91" spans="1:15" x14ac:dyDescent="0.25">
      <c r="A2191" s="1">
        <v>2810</v>
      </c>
      <c r="B2191" s="2" t="str">
        <f>HYPERLINK("https://leetcode.com/problems/faulty-keyboard/", "Faulty Keyboard")</f>
        <v>Faulty Keyboard</v>
      </c>
      <c r="C2191" s="1">
        <v>503</v>
      </c>
      <c r="D2191" s="1">
        <v>16</v>
      </c>
      <c r="E2191" s="3">
        <f t="shared" si="16"/>
        <v>0.96917148362235073</v>
      </c>
      <c r="F2191" s="1" t="s">
        <v>414</v>
      </c>
      <c r="G2191" s="1" t="s">
        <v>20</v>
      </c>
      <c r="H2191" s="1">
        <v>114778</v>
      </c>
      <c r="I2191" s="1">
        <v>143776</v>
      </c>
      <c r="J2191" s="7">
        <v>0.79800000000000004</v>
      </c>
      <c r="K2191" s="1" t="s">
        <v>21</v>
      </c>
      <c r="L2191" s="1" t="s">
        <v>29</v>
      </c>
      <c r="M2191" s="1" t="s">
        <v>29</v>
      </c>
      <c r="N2191" s="1" t="s">
        <v>22</v>
      </c>
      <c r="O2191" s="1" t="str">
        <f t="shared" ca="1" si="17"/>
        <v>Please solve the LeetCode problem '2810. Faulty Keyboard'.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92" spans="1:15" x14ac:dyDescent="0.25">
      <c r="A2192" s="1">
        <v>3446</v>
      </c>
      <c r="B2192" s="2" t="str">
        <f>HYPERLINK("https://leetcode.com/problems/sort-matrix-by-diagonals/", "Sort Matrix by Diagonals")</f>
        <v>Sort Matrix by Diagonals</v>
      </c>
      <c r="C2192" s="1">
        <v>503</v>
      </c>
      <c r="D2192" s="1">
        <v>101</v>
      </c>
      <c r="E2192" s="3">
        <f t="shared" si="16"/>
        <v>0.83278145695364236</v>
      </c>
      <c r="F2192" s="1" t="s">
        <v>343</v>
      </c>
      <c r="G2192" s="1" t="s">
        <v>24</v>
      </c>
      <c r="H2192" s="1">
        <v>131918</v>
      </c>
      <c r="I2192" s="1">
        <v>155764</v>
      </c>
      <c r="J2192" s="7">
        <v>0.84699999999999998</v>
      </c>
      <c r="K2192" s="1" t="s">
        <v>21</v>
      </c>
      <c r="L2192" s="1" t="s">
        <v>21</v>
      </c>
      <c r="M2192" s="1" t="s">
        <v>29</v>
      </c>
      <c r="N2192" s="1" t="s">
        <v>22</v>
      </c>
      <c r="O2192" s="1" t="str">
        <f t="shared" ca="1" si="17"/>
        <v>Please solve the LeetCode problem '3446. Sort Matrix by Diagonals'.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93" spans="1:15" x14ac:dyDescent="0.25">
      <c r="A2193" s="1">
        <v>1154</v>
      </c>
      <c r="B2193" s="2" t="str">
        <f>HYPERLINK("https://leetcode.com/problems/day-of-the-year/", "Day of the Year")</f>
        <v>Day of the Year</v>
      </c>
      <c r="C2193" s="1">
        <v>501</v>
      </c>
      <c r="D2193" s="1">
        <v>495</v>
      </c>
      <c r="E2193" s="3">
        <f t="shared" si="16"/>
        <v>0.50301204819277112</v>
      </c>
      <c r="F2193" s="1" t="s">
        <v>228</v>
      </c>
      <c r="G2193" s="1" t="s">
        <v>20</v>
      </c>
      <c r="H2193" s="1">
        <v>89933</v>
      </c>
      <c r="I2193" s="1">
        <v>182208</v>
      </c>
      <c r="J2193" s="7">
        <v>0.49399999999999999</v>
      </c>
      <c r="K2193" s="1" t="s">
        <v>21</v>
      </c>
      <c r="L2193" s="1" t="s">
        <v>29</v>
      </c>
      <c r="M2193" s="1" t="s">
        <v>29</v>
      </c>
      <c r="N2193" s="1" t="s">
        <v>22</v>
      </c>
      <c r="O2193" s="1" t="str">
        <f t="shared" ca="1" si="17"/>
        <v>Please solve the LeetCode problem '1154. Day of the Year'.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94" spans="1:15" x14ac:dyDescent="0.25">
      <c r="A2194" s="1">
        <v>3333</v>
      </c>
      <c r="B2194" s="2" t="str">
        <f>HYPERLINK("https://leetcode.com/problems/find-the-original-typed-string-ii/", "Find the Original Typed String II")</f>
        <v>Find the Original Typed String II</v>
      </c>
      <c r="C2194" s="1">
        <v>501</v>
      </c>
      <c r="D2194" s="1">
        <v>74</v>
      </c>
      <c r="E2194" s="3">
        <f t="shared" si="16"/>
        <v>0.87130434782608701</v>
      </c>
      <c r="F2194" s="1" t="s">
        <v>701</v>
      </c>
      <c r="G2194" s="1" t="s">
        <v>28</v>
      </c>
      <c r="H2194" s="1">
        <v>69879</v>
      </c>
      <c r="I2194" s="1">
        <v>153163</v>
      </c>
      <c r="J2194" s="7">
        <v>0.45600000000000002</v>
      </c>
      <c r="K2194" s="1" t="s">
        <v>21</v>
      </c>
      <c r="L2194" s="1" t="s">
        <v>21</v>
      </c>
      <c r="M2194" s="1" t="s">
        <v>29</v>
      </c>
      <c r="N2194" s="1" t="s">
        <v>22</v>
      </c>
      <c r="O2194" s="1" t="str">
        <f t="shared" ca="1" si="17"/>
        <v>Please solve the LeetCode problem '3333. Find the Original Typed String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95" spans="1:15" x14ac:dyDescent="0.25">
      <c r="A2195" s="1">
        <v>1505</v>
      </c>
      <c r="B2195" s="2" t="str">
        <f>HYPERLINK("https://leetcode.com/problems/minimum-possible-integer-after-at-most-k-adjacent-swaps-on-digits/", "Minimum Possible Integer After at Most K Adjacent Swaps On Digits")</f>
        <v>Minimum Possible Integer After at Most K Adjacent Swaps On Digits</v>
      </c>
      <c r="C2195" s="1">
        <v>499</v>
      </c>
      <c r="D2195" s="1">
        <v>28</v>
      </c>
      <c r="E2195" s="3">
        <f t="shared" si="16"/>
        <v>0.94686907020872868</v>
      </c>
      <c r="F2195" s="1" t="s">
        <v>923</v>
      </c>
      <c r="G2195" s="1" t="s">
        <v>28</v>
      </c>
      <c r="H2195" s="1">
        <v>12542</v>
      </c>
      <c r="I2195" s="1">
        <v>30672</v>
      </c>
      <c r="J2195" s="7">
        <v>0.40899999999999997</v>
      </c>
      <c r="K2195" s="1" t="s">
        <v>21</v>
      </c>
      <c r="L2195" s="1" t="s">
        <v>29</v>
      </c>
      <c r="M2195" s="1" t="s">
        <v>29</v>
      </c>
      <c r="N2195" s="1" t="s">
        <v>22</v>
      </c>
      <c r="O2195" s="1" t="str">
        <f t="shared" ca="1" si="17"/>
        <v>Please solve the LeetCode problem '1505. Minimum Possible Integer After at Most K Adjacent Swaps On Digits'.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96" spans="1:15" x14ac:dyDescent="0.25">
      <c r="A2196" s="1">
        <v>1676</v>
      </c>
      <c r="B2196" s="2" t="str">
        <f>HYPERLINK("https://leetcode.com/problems/lowest-common-ancestor-of-a-binary-tree-iv/", "Lowest Common Ancestor of a Binary Tree IV")</f>
        <v>Lowest Common Ancestor of a Binary Tree IV</v>
      </c>
      <c r="C2196" s="1">
        <v>499</v>
      </c>
      <c r="D2196" s="1">
        <v>16</v>
      </c>
      <c r="E2196" s="3">
        <f t="shared" si="16"/>
        <v>0.96893203883495149</v>
      </c>
      <c r="F2196" s="1" t="s">
        <v>224</v>
      </c>
      <c r="G2196" s="1" t="s">
        <v>24</v>
      </c>
      <c r="H2196" s="1">
        <v>61911</v>
      </c>
      <c r="I2196" s="1">
        <v>77937</v>
      </c>
      <c r="J2196" s="7">
        <v>0.79400000000000004</v>
      </c>
      <c r="K2196" s="1" t="s">
        <v>29</v>
      </c>
      <c r="L2196" s="1" t="s">
        <v>29</v>
      </c>
      <c r="M2196" s="1" t="s">
        <v>29</v>
      </c>
      <c r="N2196" s="1" t="s">
        <v>22</v>
      </c>
      <c r="O2196" s="1" t="str">
        <f t="shared" ca="1" si="17"/>
        <v>Please solve the LeetCode problem '1676. Lowest Common Ancestor of a Binary Tree IV'.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97" spans="1:15" x14ac:dyDescent="0.25">
      <c r="A2197" s="1">
        <v>2224</v>
      </c>
      <c r="B2197" s="2" t="str">
        <f>HYPERLINK("https://leetcode.com/problems/minimum-number-of-operations-to-convert-time/", "Minimum Number of Operations to Convert Time")</f>
        <v>Minimum Number of Operations to Convert Time</v>
      </c>
      <c r="C2197" s="1">
        <v>499</v>
      </c>
      <c r="D2197" s="1">
        <v>39</v>
      </c>
      <c r="E2197" s="3">
        <f t="shared" si="16"/>
        <v>0.92750929368029744</v>
      </c>
      <c r="F2197" s="1" t="s">
        <v>424</v>
      </c>
      <c r="G2197" s="1" t="s">
        <v>20</v>
      </c>
      <c r="H2197" s="1">
        <v>53781</v>
      </c>
      <c r="I2197" s="1">
        <v>81266</v>
      </c>
      <c r="J2197" s="7">
        <v>0.66200000000000003</v>
      </c>
      <c r="K2197" s="1" t="s">
        <v>21</v>
      </c>
      <c r="L2197" s="1" t="s">
        <v>29</v>
      </c>
      <c r="M2197" s="1" t="s">
        <v>29</v>
      </c>
      <c r="N2197" s="1" t="s">
        <v>22</v>
      </c>
      <c r="O2197" s="1" t="str">
        <f t="shared" ca="1" si="17"/>
        <v>Please solve the LeetCode problem '2224. Minimum Number of Operations to Convert Time'.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98" spans="1:15" x14ac:dyDescent="0.25">
      <c r="A2198" s="1">
        <v>3190</v>
      </c>
      <c r="B2198" s="2" t="str">
        <f>HYPERLINK("https://leetcode.com/problems/find-minimum-operations-to-make-all-elements-divisible-by-three/", "Find Minimum Operations to Make All Elements Divisible by Three")</f>
        <v>Find Minimum Operations to Make All Elements Divisible by Three</v>
      </c>
      <c r="C2198" s="1">
        <v>499</v>
      </c>
      <c r="D2198" s="1">
        <v>34</v>
      </c>
      <c r="E2198" s="3">
        <f t="shared" si="16"/>
        <v>0.93621013133208253</v>
      </c>
      <c r="F2198" s="1" t="s">
        <v>115</v>
      </c>
      <c r="G2198" s="1" t="s">
        <v>20</v>
      </c>
      <c r="H2198" s="1">
        <v>257487</v>
      </c>
      <c r="I2198" s="1">
        <v>283186</v>
      </c>
      <c r="J2198" s="7">
        <v>0.90900000000000003</v>
      </c>
      <c r="K2198" s="1" t="s">
        <v>21</v>
      </c>
      <c r="L2198" s="1" t="s">
        <v>21</v>
      </c>
      <c r="M2198" s="1" t="s">
        <v>29</v>
      </c>
      <c r="N2198" s="1" t="s">
        <v>22</v>
      </c>
      <c r="O2198" s="1" t="str">
        <f t="shared" ca="1" si="17"/>
        <v>Please solve the LeetCode problem '3190. Find Minimum Operations to Make All Elements Divisible by Three'.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199" spans="1:15" x14ac:dyDescent="0.25">
      <c r="A2199" s="1">
        <v>385</v>
      </c>
      <c r="B2199" s="2" t="str">
        <f>HYPERLINK("https://leetcode.com/problems/mini-parser/", "Mini Parser")</f>
        <v>Mini Parser</v>
      </c>
      <c r="C2199" s="1">
        <v>498</v>
      </c>
      <c r="D2199" s="1">
        <v>1491</v>
      </c>
      <c r="E2199" s="3">
        <f t="shared" si="16"/>
        <v>0.25037707390648567</v>
      </c>
      <c r="F2199" s="1" t="s">
        <v>619</v>
      </c>
      <c r="G2199" s="1" t="s">
        <v>24</v>
      </c>
      <c r="H2199" s="1">
        <v>71408</v>
      </c>
      <c r="I2199" s="1">
        <v>171012</v>
      </c>
      <c r="J2199" s="7">
        <v>0.41799999999999998</v>
      </c>
      <c r="K2199" s="1" t="s">
        <v>21</v>
      </c>
      <c r="L2199" s="1" t="s">
        <v>29</v>
      </c>
      <c r="M2199" s="1" t="s">
        <v>29</v>
      </c>
      <c r="N2199" s="1" t="s">
        <v>22</v>
      </c>
      <c r="O2199" s="1" t="str">
        <f t="shared" ca="1" si="17"/>
        <v>Please solve the LeetCode problem '385. Mini Parser'.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00" spans="1:15" x14ac:dyDescent="0.25">
      <c r="A2200" s="1">
        <v>736</v>
      </c>
      <c r="B2200" s="2" t="str">
        <f>HYPERLINK("https://leetcode.com/problems/parse-lisp-expression/", "Parse Lisp Expression")</f>
        <v>Parse Lisp Expression</v>
      </c>
      <c r="C2200" s="1">
        <v>498</v>
      </c>
      <c r="D2200" s="1">
        <v>368</v>
      </c>
      <c r="E2200" s="3">
        <f t="shared" si="16"/>
        <v>0.57505773672055427</v>
      </c>
      <c r="F2200" s="1" t="s">
        <v>922</v>
      </c>
      <c r="G2200" s="1" t="s">
        <v>28</v>
      </c>
      <c r="H2200" s="1">
        <v>27206</v>
      </c>
      <c r="I2200" s="1">
        <v>50969</v>
      </c>
      <c r="J2200" s="7">
        <v>0.53400000000000003</v>
      </c>
      <c r="K2200" s="1" t="s">
        <v>21</v>
      </c>
      <c r="L2200" s="1" t="s">
        <v>21</v>
      </c>
      <c r="M2200" s="1" t="s">
        <v>29</v>
      </c>
      <c r="N2200" s="1" t="s">
        <v>22</v>
      </c>
      <c r="O2200" s="1" t="str">
        <f t="shared" ca="1" si="17"/>
        <v>Please solve the LeetCode problem '736. Parse Lisp Expression'.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01" spans="1:15" x14ac:dyDescent="0.25">
      <c r="A2201" s="1">
        <v>2472</v>
      </c>
      <c r="B2201" s="2" t="str">
        <f>HYPERLINK("https://leetcode.com/problems/maximum-number-of-non-overlapping-palindrome-substrings/", "Maximum Number of Non-overlapping Palindrome Substrings")</f>
        <v>Maximum Number of Non-overlapping Palindrome Substrings</v>
      </c>
      <c r="C2201" s="1">
        <v>498</v>
      </c>
      <c r="D2201" s="1">
        <v>10</v>
      </c>
      <c r="E2201" s="3">
        <f t="shared" si="16"/>
        <v>0.98031496062992129</v>
      </c>
      <c r="F2201" s="1" t="s">
        <v>920</v>
      </c>
      <c r="G2201" s="1" t="s">
        <v>28</v>
      </c>
      <c r="H2201" s="1">
        <v>22928</v>
      </c>
      <c r="I2201" s="1">
        <v>53403</v>
      </c>
      <c r="J2201" s="7">
        <v>0.42899999999999999</v>
      </c>
      <c r="K2201" s="1" t="s">
        <v>21</v>
      </c>
      <c r="L2201" s="1" t="s">
        <v>29</v>
      </c>
      <c r="M2201" s="1" t="s">
        <v>29</v>
      </c>
      <c r="N2201" s="1" t="s">
        <v>22</v>
      </c>
      <c r="O2201" s="1" t="str">
        <f t="shared" ca="1" si="17"/>
        <v>Please solve the LeetCode problem '2472. Maximum Number of Non-overlapping Palindrome Substrings'.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02" spans="1:15" x14ac:dyDescent="0.25">
      <c r="A2202" s="1">
        <v>1088</v>
      </c>
      <c r="B2202" s="2" t="str">
        <f>HYPERLINK("https://leetcode.com/problems/confusing-number-ii/", "Confusing Number II")</f>
        <v>Confusing Number II</v>
      </c>
      <c r="C2202" s="1">
        <v>496</v>
      </c>
      <c r="D2202" s="1">
        <v>144</v>
      </c>
      <c r="E2202" s="3">
        <f t="shared" si="16"/>
        <v>0.77500000000000002</v>
      </c>
      <c r="F2202" s="1" t="s">
        <v>663</v>
      </c>
      <c r="G2202" s="1" t="s">
        <v>28</v>
      </c>
      <c r="H2202" s="1">
        <v>39099</v>
      </c>
      <c r="I2202" s="1">
        <v>82982</v>
      </c>
      <c r="J2202" s="7">
        <v>0.47099999999999997</v>
      </c>
      <c r="K2202" s="1" t="s">
        <v>29</v>
      </c>
      <c r="L2202" s="1" t="s">
        <v>21</v>
      </c>
      <c r="M2202" s="1" t="s">
        <v>29</v>
      </c>
      <c r="N2202" s="1" t="s">
        <v>22</v>
      </c>
      <c r="O2202" s="1" t="str">
        <f t="shared" ca="1" si="17"/>
        <v>Please solve the LeetCode problem '1088. Confusing Number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03" spans="1:15" x14ac:dyDescent="0.25">
      <c r="A2203" s="1">
        <v>3000</v>
      </c>
      <c r="B2203" s="2" t="str">
        <f>HYPERLINK("https://leetcode.com/problems/maximum-area-of-longest-diagonal-rectangle/", "Maximum Area of Longest Diagonal Rectangle")</f>
        <v>Maximum Area of Longest Diagonal Rectangle</v>
      </c>
      <c r="C2203" s="1">
        <v>496</v>
      </c>
      <c r="D2203" s="1">
        <v>42</v>
      </c>
      <c r="E2203" s="3">
        <f t="shared" si="16"/>
        <v>0.92193308550185871</v>
      </c>
      <c r="F2203" s="1" t="s">
        <v>113</v>
      </c>
      <c r="G2203" s="1" t="s">
        <v>20</v>
      </c>
      <c r="H2203" s="1">
        <v>183610</v>
      </c>
      <c r="I2203" s="1">
        <v>400530</v>
      </c>
      <c r="J2203" s="7">
        <v>0.45800000000000002</v>
      </c>
      <c r="K2203" s="1" t="s">
        <v>21</v>
      </c>
      <c r="L2203" s="1" t="s">
        <v>21</v>
      </c>
      <c r="M2203" s="1" t="s">
        <v>29</v>
      </c>
      <c r="N2203" s="1" t="s">
        <v>22</v>
      </c>
      <c r="O2203" s="1" t="str">
        <f t="shared" ca="1" si="17"/>
        <v>Please solve the LeetCode problem '3000. Maximum Area of Longest Diagonal Rectangle'.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04" spans="1:15" x14ac:dyDescent="0.25">
      <c r="A2204" s="1">
        <v>3477</v>
      </c>
      <c r="B2204" s="2" t="str">
        <f>HYPERLINK("https://leetcode.com/problems/fruits-into-baskets-ii/", "Fruits Into Baskets II")</f>
        <v>Fruits Into Baskets II</v>
      </c>
      <c r="C2204" s="1">
        <v>495</v>
      </c>
      <c r="D2204" s="1">
        <v>64</v>
      </c>
      <c r="E2204" s="3">
        <f t="shared" si="16"/>
        <v>0.88550983899821112</v>
      </c>
      <c r="F2204" s="1" t="s">
        <v>921</v>
      </c>
      <c r="G2204" s="1" t="s">
        <v>20</v>
      </c>
      <c r="H2204" s="1">
        <v>194302</v>
      </c>
      <c r="I2204" s="1">
        <v>276674</v>
      </c>
      <c r="J2204" s="7">
        <v>0.70199999999999996</v>
      </c>
      <c r="K2204" s="1" t="s">
        <v>21</v>
      </c>
      <c r="L2204" s="1" t="s">
        <v>21</v>
      </c>
      <c r="M2204" s="1" t="s">
        <v>29</v>
      </c>
      <c r="N2204" s="1" t="s">
        <v>22</v>
      </c>
      <c r="O2204" s="1" t="str">
        <f t="shared" ca="1" si="17"/>
        <v>Please solve the LeetCode problem '3477. Fruits Into Baskets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05" spans="1:15" x14ac:dyDescent="0.25">
      <c r="A2205" s="1">
        <v>1090</v>
      </c>
      <c r="B2205" s="2" t="str">
        <f>HYPERLINK("https://leetcode.com/problems/largest-values-from-labels/", "Largest Values From Labels")</f>
        <v>Largest Values From Labels</v>
      </c>
      <c r="C2205" s="1">
        <v>494</v>
      </c>
      <c r="D2205" s="1">
        <v>637</v>
      </c>
      <c r="E2205" s="3">
        <f t="shared" si="16"/>
        <v>0.43678160919540232</v>
      </c>
      <c r="F2205" s="1" t="s">
        <v>450</v>
      </c>
      <c r="G2205" s="1" t="s">
        <v>24</v>
      </c>
      <c r="H2205" s="1">
        <v>48765</v>
      </c>
      <c r="I2205" s="1">
        <v>76320</v>
      </c>
      <c r="J2205" s="7">
        <v>0.63900000000000001</v>
      </c>
      <c r="K2205" s="1" t="s">
        <v>21</v>
      </c>
      <c r="L2205" s="1" t="s">
        <v>29</v>
      </c>
      <c r="M2205" s="1" t="s">
        <v>29</v>
      </c>
      <c r="N2205" s="1" t="s">
        <v>22</v>
      </c>
      <c r="O2205" s="1" t="str">
        <f t="shared" ca="1" si="17"/>
        <v>Please solve the LeetCode problem '1090. Largest Values From Labels'.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06" spans="1:15" x14ac:dyDescent="0.25">
      <c r="A2206" s="1">
        <v>1257</v>
      </c>
      <c r="B2206" s="2" t="str">
        <f>HYPERLINK("https://leetcode.com/problems/smallest-common-region/", "Smallest Common Region")</f>
        <v>Smallest Common Region</v>
      </c>
      <c r="C2206" s="1">
        <v>494</v>
      </c>
      <c r="D2206" s="1">
        <v>42</v>
      </c>
      <c r="E2206" s="3">
        <f t="shared" si="16"/>
        <v>0.92164179104477617</v>
      </c>
      <c r="F2206" s="1" t="s">
        <v>925</v>
      </c>
      <c r="G2206" s="1" t="s">
        <v>24</v>
      </c>
      <c r="H2206" s="1">
        <v>36994</v>
      </c>
      <c r="I2206" s="1">
        <v>54196</v>
      </c>
      <c r="J2206" s="7">
        <v>0.68300000000000005</v>
      </c>
      <c r="K2206" s="1" t="s">
        <v>29</v>
      </c>
      <c r="L2206" s="1" t="s">
        <v>21</v>
      </c>
      <c r="M2206" s="1" t="s">
        <v>29</v>
      </c>
      <c r="N2206" s="1" t="s">
        <v>22</v>
      </c>
      <c r="O2206" s="1" t="str">
        <f t="shared" ca="1" si="17"/>
        <v>Please solve the LeetCode problem '1257. Smallest Common Region'.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07" spans="1:15" x14ac:dyDescent="0.25">
      <c r="A2207" s="1">
        <v>2382</v>
      </c>
      <c r="B2207" s="2" t="str">
        <f>HYPERLINK("https://leetcode.com/problems/maximum-segment-sum-after-removals/", "Maximum Segment Sum After Removals")</f>
        <v>Maximum Segment Sum After Removals</v>
      </c>
      <c r="C2207" s="1">
        <v>494</v>
      </c>
      <c r="D2207" s="1">
        <v>5</v>
      </c>
      <c r="E2207" s="3">
        <f t="shared" si="16"/>
        <v>0.98997995991983967</v>
      </c>
      <c r="F2207" s="1" t="s">
        <v>924</v>
      </c>
      <c r="G2207" s="1" t="s">
        <v>28</v>
      </c>
      <c r="H2207" s="1">
        <v>12056</v>
      </c>
      <c r="I2207" s="1">
        <v>24526</v>
      </c>
      <c r="J2207" s="7">
        <v>0.49199999999999999</v>
      </c>
      <c r="K2207" s="1" t="s">
        <v>21</v>
      </c>
      <c r="L2207" s="1" t="s">
        <v>29</v>
      </c>
      <c r="M2207" s="1" t="s">
        <v>29</v>
      </c>
      <c r="N2207" s="1" t="s">
        <v>22</v>
      </c>
      <c r="O2207" s="1" t="str">
        <f t="shared" ca="1" si="17"/>
        <v>Please solve the LeetCode problem '2382. Maximum Segment Sum After Removals'.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08" spans="1:15" x14ac:dyDescent="0.25">
      <c r="A2208" s="1">
        <v>2789</v>
      </c>
      <c r="B2208" s="2" t="str">
        <f>HYPERLINK("https://leetcode.com/problems/largest-element-in-an-array-after-merge-operations/", "Largest Element in an Array after Merge Operations")</f>
        <v>Largest Element in an Array after Merge Operations</v>
      </c>
      <c r="C2208" s="1">
        <v>494</v>
      </c>
      <c r="D2208" s="1">
        <v>33</v>
      </c>
      <c r="E2208" s="3">
        <f t="shared" si="16"/>
        <v>0.93738140417457305</v>
      </c>
      <c r="F2208" s="1" t="s">
        <v>96</v>
      </c>
      <c r="G2208" s="1" t="s">
        <v>24</v>
      </c>
      <c r="H2208" s="1">
        <v>36458</v>
      </c>
      <c r="I2208" s="1">
        <v>76802</v>
      </c>
      <c r="J2208" s="7">
        <v>0.47499999999999998</v>
      </c>
      <c r="K2208" s="1" t="s">
        <v>21</v>
      </c>
      <c r="L2208" s="1" t="s">
        <v>29</v>
      </c>
      <c r="M2208" s="1" t="s">
        <v>29</v>
      </c>
      <c r="N2208" s="1" t="s">
        <v>22</v>
      </c>
      <c r="O2208" s="1" t="str">
        <f t="shared" ca="1" si="17"/>
        <v>Please solve the LeetCode problem '2789. Largest Element in an Array after Merge Operations'.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09" spans="1:15" x14ac:dyDescent="0.25">
      <c r="A2209" s="1">
        <v>1330</v>
      </c>
      <c r="B2209" s="2" t="str">
        <f>HYPERLINK("https://leetcode.com/problems/reverse-subarray-to-maximize-array-value/", "Reverse Subarray To Maximize Array Value")</f>
        <v>Reverse Subarray To Maximize Array Value</v>
      </c>
      <c r="C2209" s="1">
        <v>491</v>
      </c>
      <c r="D2209" s="1">
        <v>60</v>
      </c>
      <c r="E2209" s="3">
        <f t="shared" si="16"/>
        <v>0.89110707803992739</v>
      </c>
      <c r="F2209" s="1" t="s">
        <v>435</v>
      </c>
      <c r="G2209" s="1" t="s">
        <v>28</v>
      </c>
      <c r="H2209" s="1">
        <v>8270</v>
      </c>
      <c r="I2209" s="1">
        <v>18961</v>
      </c>
      <c r="J2209" s="7">
        <v>0.436</v>
      </c>
      <c r="K2209" s="1" t="s">
        <v>21</v>
      </c>
      <c r="L2209" s="1" t="s">
        <v>29</v>
      </c>
      <c r="M2209" s="1" t="s">
        <v>29</v>
      </c>
      <c r="N2209" s="1" t="s">
        <v>22</v>
      </c>
      <c r="O2209" s="1" t="str">
        <f t="shared" ca="1" si="17"/>
        <v>Please solve the LeetCode problem '1330. Reverse Subarray To Maximize Array Value'.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10" spans="1:15" x14ac:dyDescent="0.25">
      <c r="A2210" s="1">
        <v>1506</v>
      </c>
      <c r="B2210" s="2" t="str">
        <f>HYPERLINK("https://leetcode.com/problems/find-root-of-n-ary-tree/", "Find Root of N-Ary Tree")</f>
        <v>Find Root of N-Ary Tree</v>
      </c>
      <c r="C2210" s="1">
        <v>491</v>
      </c>
      <c r="D2210" s="1">
        <v>212</v>
      </c>
      <c r="E2210" s="3">
        <f t="shared" si="16"/>
        <v>0.69843527738264577</v>
      </c>
      <c r="F2210" s="1" t="s">
        <v>927</v>
      </c>
      <c r="G2210" s="1" t="s">
        <v>24</v>
      </c>
      <c r="H2210" s="1">
        <v>40627</v>
      </c>
      <c r="I2210" s="1">
        <v>51746</v>
      </c>
      <c r="J2210" s="7">
        <v>0.78500000000000003</v>
      </c>
      <c r="K2210" s="1" t="s">
        <v>29</v>
      </c>
      <c r="L2210" s="1" t="s">
        <v>21</v>
      </c>
      <c r="M2210" s="1" t="s">
        <v>29</v>
      </c>
      <c r="N2210" s="1" t="s">
        <v>22</v>
      </c>
      <c r="O2210" s="1" t="str">
        <f t="shared" ca="1" si="17"/>
        <v>Please solve the LeetCode problem '1506. Find Root of N-Ary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11" spans="1:15" x14ac:dyDescent="0.25">
      <c r="A2211" s="1">
        <v>1595</v>
      </c>
      <c r="B2211" s="2" t="str">
        <f>HYPERLINK("https://leetcode.com/problems/minimum-cost-to-connect-two-groups-of-points/", "Minimum Cost to Connect Two Groups of Points")</f>
        <v>Minimum Cost to Connect Two Groups of Points</v>
      </c>
      <c r="C2211" s="1">
        <v>490</v>
      </c>
      <c r="D2211" s="1">
        <v>16</v>
      </c>
      <c r="E2211" s="3">
        <f t="shared" si="16"/>
        <v>0.96837944664031617</v>
      </c>
      <c r="F2211" s="1" t="s">
        <v>1371</v>
      </c>
      <c r="G2211" s="1" t="s">
        <v>28</v>
      </c>
      <c r="H2211" s="1">
        <v>11737</v>
      </c>
      <c r="I2211" s="1">
        <v>23720</v>
      </c>
      <c r="J2211" s="7">
        <v>0.495</v>
      </c>
      <c r="K2211" s="1" t="s">
        <v>21</v>
      </c>
      <c r="L2211" s="1" t="s">
        <v>29</v>
      </c>
      <c r="M2211" s="1" t="s">
        <v>29</v>
      </c>
      <c r="N2211" s="1" t="s">
        <v>22</v>
      </c>
      <c r="O2211" s="1" t="str">
        <f t="shared" ca="1" si="17"/>
        <v>Please solve the LeetCode problem '1595. Minimum Cost to Connect Two Groups of Points'.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12" spans="1:15" x14ac:dyDescent="0.25">
      <c r="A2212" s="1">
        <v>635</v>
      </c>
      <c r="B2212" s="2" t="str">
        <f>HYPERLINK("https://leetcode.com/problems/design-log-storage-system/", "Design Log Storage System")</f>
        <v>Design Log Storage System</v>
      </c>
      <c r="C2212" s="1">
        <v>488</v>
      </c>
      <c r="D2212" s="1">
        <v>226</v>
      </c>
      <c r="E2212" s="3">
        <f t="shared" si="16"/>
        <v>0.68347338935574231</v>
      </c>
      <c r="F2212" s="1" t="s">
        <v>928</v>
      </c>
      <c r="G2212" s="1" t="s">
        <v>24</v>
      </c>
      <c r="H2212" s="1">
        <v>40891</v>
      </c>
      <c r="I2212" s="1">
        <v>69086</v>
      </c>
      <c r="J2212" s="7">
        <v>0.59199999999999997</v>
      </c>
      <c r="K2212" s="1" t="s">
        <v>29</v>
      </c>
      <c r="L2212" s="1" t="s">
        <v>21</v>
      </c>
      <c r="M2212" s="1" t="s">
        <v>29</v>
      </c>
      <c r="N2212" s="1" t="s">
        <v>22</v>
      </c>
      <c r="O2212" s="1" t="str">
        <f t="shared" ca="1" si="17"/>
        <v>Please solve the LeetCode problem '635. Design Log Storage System'.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13" spans="1:15" x14ac:dyDescent="0.25">
      <c r="A2213" s="1">
        <v>1592</v>
      </c>
      <c r="B2213" s="2" t="str">
        <f>HYPERLINK("https://leetcode.com/problems/rearrange-spaces-between-words/", "Rearrange Spaces Between Words")</f>
        <v>Rearrange Spaces Between Words</v>
      </c>
      <c r="C2213" s="1">
        <v>488</v>
      </c>
      <c r="D2213" s="1">
        <v>354</v>
      </c>
      <c r="E2213" s="3">
        <f t="shared" si="16"/>
        <v>0.57957244655581952</v>
      </c>
      <c r="F2213" s="1" t="s">
        <v>146</v>
      </c>
      <c r="G2213" s="1" t="s">
        <v>20</v>
      </c>
      <c r="H2213" s="1">
        <v>70977</v>
      </c>
      <c r="I2213" s="1">
        <v>160979</v>
      </c>
      <c r="J2213" s="7">
        <v>0.441</v>
      </c>
      <c r="K2213" s="1" t="s">
        <v>21</v>
      </c>
      <c r="L2213" s="1" t="s">
        <v>29</v>
      </c>
      <c r="M2213" s="1" t="s">
        <v>29</v>
      </c>
      <c r="N2213" s="1" t="s">
        <v>22</v>
      </c>
      <c r="O2213" s="1" t="str">
        <f t="shared" ca="1" si="17"/>
        <v>Please solve the LeetCode problem '1592. Rearrange Spaces Between Words'.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14" spans="1:15" x14ac:dyDescent="0.25">
      <c r="A2214" s="1">
        <v>488</v>
      </c>
      <c r="B2214" s="2" t="str">
        <f>HYPERLINK("https://leetcode.com/problems/zuma-game/", "Zuma Game")</f>
        <v>Zuma Game</v>
      </c>
      <c r="C2214" s="1">
        <v>487</v>
      </c>
      <c r="D2214" s="1">
        <v>510</v>
      </c>
      <c r="E2214" s="3">
        <f t="shared" si="16"/>
        <v>0.48846539618856571</v>
      </c>
      <c r="F2214" s="1" t="s">
        <v>926</v>
      </c>
      <c r="G2214" s="1" t="s">
        <v>28</v>
      </c>
      <c r="H2214" s="1">
        <v>28738</v>
      </c>
      <c r="I2214" s="1">
        <v>94722</v>
      </c>
      <c r="J2214" s="7">
        <v>0.30299999999999999</v>
      </c>
      <c r="K2214" s="1" t="s">
        <v>21</v>
      </c>
      <c r="L2214" s="1" t="s">
        <v>29</v>
      </c>
      <c r="M2214" s="1" t="s">
        <v>29</v>
      </c>
      <c r="N2214" s="1" t="s">
        <v>22</v>
      </c>
      <c r="O2214" s="1" t="str">
        <f t="shared" ca="1" si="17"/>
        <v>Please solve the LeetCode problem '488. Zuma Game'.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15" spans="1:15" x14ac:dyDescent="0.25">
      <c r="A2215" s="1">
        <v>2428</v>
      </c>
      <c r="B2215" s="2" t="str">
        <f>HYPERLINK("https://leetcode.com/problems/maximum-sum-of-an-hourglass/", "Maximum Sum of an Hourglass")</f>
        <v>Maximum Sum of an Hourglass</v>
      </c>
      <c r="C2215" s="1">
        <v>487</v>
      </c>
      <c r="D2215" s="1">
        <v>72</v>
      </c>
      <c r="E2215" s="3">
        <f t="shared" si="16"/>
        <v>0.87119856887298752</v>
      </c>
      <c r="F2215" s="1" t="s">
        <v>425</v>
      </c>
      <c r="G2215" s="1" t="s">
        <v>24</v>
      </c>
      <c r="H2215" s="1">
        <v>52303</v>
      </c>
      <c r="I2215" s="1">
        <v>68567</v>
      </c>
      <c r="J2215" s="7">
        <v>0.76300000000000001</v>
      </c>
      <c r="K2215" s="1" t="s">
        <v>21</v>
      </c>
      <c r="L2215" s="1" t="s">
        <v>29</v>
      </c>
      <c r="M2215" s="1" t="s">
        <v>29</v>
      </c>
      <c r="N2215" s="1" t="s">
        <v>22</v>
      </c>
      <c r="O2215" s="1" t="str">
        <f t="shared" ca="1" si="17"/>
        <v>Please solve the LeetCode problem '2428. Maximum Sum of an Hourglass'.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16" spans="1:15" x14ac:dyDescent="0.25">
      <c r="A2216" s="1">
        <v>2518</v>
      </c>
      <c r="B2216" s="2" t="str">
        <f>HYPERLINK("https://leetcode.com/problems/number-of-great-partitions/", "Number of Great Partitions")</f>
        <v>Number of Great Partitions</v>
      </c>
      <c r="C2216" s="1">
        <v>487</v>
      </c>
      <c r="D2216" s="1">
        <v>12</v>
      </c>
      <c r="E2216" s="3">
        <f t="shared" si="16"/>
        <v>0.97595190380761521</v>
      </c>
      <c r="F2216" s="1" t="s">
        <v>30</v>
      </c>
      <c r="G2216" s="1" t="s">
        <v>28</v>
      </c>
      <c r="H2216" s="1">
        <v>13266</v>
      </c>
      <c r="I2216" s="1">
        <v>39954</v>
      </c>
      <c r="J2216" s="7">
        <v>0.33200000000000002</v>
      </c>
      <c r="K2216" s="1" t="s">
        <v>21</v>
      </c>
      <c r="L2216" s="1" t="s">
        <v>29</v>
      </c>
      <c r="M2216" s="1" t="s">
        <v>29</v>
      </c>
      <c r="N2216" s="1" t="s">
        <v>22</v>
      </c>
      <c r="O2216" s="1" t="str">
        <f t="shared" ca="1" si="17"/>
        <v>Please solve the LeetCode problem '2518. Number of Great Partitions'.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17" spans="1:15" x14ac:dyDescent="0.25">
      <c r="A2217" s="1">
        <v>3195</v>
      </c>
      <c r="B2217" s="2" t="str">
        <f>HYPERLINK("https://leetcode.com/problems/find-the-minimum-area-to-cover-all-ones-i/", "Find the Minimum Area to Cover All Ones I")</f>
        <v>Find the Minimum Area to Cover All Ones I</v>
      </c>
      <c r="C2217" s="1">
        <v>487</v>
      </c>
      <c r="D2217" s="1">
        <v>32</v>
      </c>
      <c r="E2217" s="3">
        <f t="shared" si="16"/>
        <v>0.93834296724470134</v>
      </c>
      <c r="F2217" s="1" t="s">
        <v>266</v>
      </c>
      <c r="G2217" s="1" t="s">
        <v>24</v>
      </c>
      <c r="H2217" s="1">
        <v>165617</v>
      </c>
      <c r="I2217" s="1">
        <v>211931</v>
      </c>
      <c r="J2217" s="7">
        <v>0.78100000000000003</v>
      </c>
      <c r="K2217" s="1" t="s">
        <v>21</v>
      </c>
      <c r="L2217" s="1" t="s">
        <v>21</v>
      </c>
      <c r="M2217" s="1" t="s">
        <v>29</v>
      </c>
      <c r="N2217" s="1" t="s">
        <v>22</v>
      </c>
      <c r="O2217" s="1" t="str">
        <f t="shared" ca="1" si="17"/>
        <v>Please solve the LeetCode problem '3195. Find the Minimum Area to Cover All Ones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18" spans="1:15" x14ac:dyDescent="0.25">
      <c r="A2218" s="1">
        <v>2003</v>
      </c>
      <c r="B2218" s="2" t="str">
        <f>HYPERLINK("https://leetcode.com/problems/smallest-missing-genetic-value-in-each-subtree/", "Smallest Missing Genetic Value in Each Subtree")</f>
        <v>Smallest Missing Genetic Value in Each Subtree</v>
      </c>
      <c r="C2218" s="1">
        <v>486</v>
      </c>
      <c r="D2218" s="1">
        <v>23</v>
      </c>
      <c r="E2218" s="3">
        <f t="shared" si="16"/>
        <v>0.95481335952848723</v>
      </c>
      <c r="F2218" s="1" t="s">
        <v>1380</v>
      </c>
      <c r="G2218" s="1" t="s">
        <v>28</v>
      </c>
      <c r="H2218" s="1">
        <v>10863</v>
      </c>
      <c r="I2218" s="1">
        <v>22875</v>
      </c>
      <c r="J2218" s="7">
        <v>0.47499999999999998</v>
      </c>
      <c r="K2218" s="1" t="s">
        <v>21</v>
      </c>
      <c r="L2218" s="1" t="s">
        <v>29</v>
      </c>
      <c r="M2218" s="1" t="s">
        <v>29</v>
      </c>
      <c r="N2218" s="1" t="s">
        <v>22</v>
      </c>
      <c r="O2218" s="1" t="str">
        <f t="shared" ca="1" si="17"/>
        <v>Please solve the LeetCode problem '2003. Smallest Missing Genetic Value in Each Subtree'.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19" spans="1:15" x14ac:dyDescent="0.25">
      <c r="A2219" s="1">
        <v>1621</v>
      </c>
      <c r="B2219" s="2" t="str">
        <f>HYPERLINK("https://leetcode.com/problems/number-of-sets-of-k-non-overlapping-line-segments/", "Number of Sets of K Non-Overlapping Line Segments")</f>
        <v>Number of Sets of K Non-Overlapping Line Segments</v>
      </c>
      <c r="C2219" s="1">
        <v>484</v>
      </c>
      <c r="D2219" s="1">
        <v>50</v>
      </c>
      <c r="E2219" s="3">
        <f t="shared" si="16"/>
        <v>0.90636704119850187</v>
      </c>
      <c r="F2219" s="1" t="s">
        <v>929</v>
      </c>
      <c r="G2219" s="1" t="s">
        <v>24</v>
      </c>
      <c r="H2219" s="1">
        <v>12817</v>
      </c>
      <c r="I2219" s="1">
        <v>28219</v>
      </c>
      <c r="J2219" s="7">
        <v>0.45400000000000001</v>
      </c>
      <c r="K2219" s="1" t="s">
        <v>21</v>
      </c>
      <c r="L2219" s="1" t="s">
        <v>29</v>
      </c>
      <c r="M2219" s="1" t="s">
        <v>29</v>
      </c>
      <c r="N2219" s="1" t="s">
        <v>22</v>
      </c>
      <c r="O2219" s="1" t="str">
        <f t="shared" ca="1" si="17"/>
        <v>Please solve the LeetCode problem '1621. Number of Sets of K Non-Overlapping Line Segments'.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20" spans="1:15" x14ac:dyDescent="0.25">
      <c r="A2220" s="1">
        <v>1740</v>
      </c>
      <c r="B2220" s="2" t="str">
        <f>HYPERLINK("https://leetcode.com/problems/find-distance-in-a-binary-tree/", "Find Distance in a Binary Tree")</f>
        <v>Find Distance in a Binary Tree</v>
      </c>
      <c r="C2220" s="1">
        <v>484</v>
      </c>
      <c r="D2220" s="1">
        <v>19</v>
      </c>
      <c r="E2220" s="3">
        <f t="shared" si="16"/>
        <v>0.96222664015904569</v>
      </c>
      <c r="F2220" s="1" t="s">
        <v>107</v>
      </c>
      <c r="G2220" s="1" t="s">
        <v>24</v>
      </c>
      <c r="H2220" s="1">
        <v>35153</v>
      </c>
      <c r="I2220" s="1">
        <v>47354</v>
      </c>
      <c r="J2220" s="7">
        <v>0.74199999999999999</v>
      </c>
      <c r="K2220" s="1" t="s">
        <v>29</v>
      </c>
      <c r="L2220" s="1" t="s">
        <v>21</v>
      </c>
      <c r="M2220" s="1" t="s">
        <v>29</v>
      </c>
      <c r="N2220" s="1" t="s">
        <v>22</v>
      </c>
      <c r="O2220" s="1" t="str">
        <f t="shared" ca="1" si="17"/>
        <v>Please solve the LeetCode problem '1740. Find Distance in a Binary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21" spans="1:15" x14ac:dyDescent="0.25">
      <c r="A2221" s="1">
        <v>3350</v>
      </c>
      <c r="B2221" s="2" t="str">
        <f>HYPERLINK("https://leetcode.com/problems/adjacent-increasing-subarrays-detection-ii/", "Adjacent Increasing Subarrays Detection II")</f>
        <v>Adjacent Increasing Subarrays Detection II</v>
      </c>
      <c r="C2221" s="1">
        <v>484</v>
      </c>
      <c r="D2221" s="1">
        <v>22</v>
      </c>
      <c r="E2221" s="3">
        <f t="shared" si="16"/>
        <v>0.95652173913043481</v>
      </c>
      <c r="F2221" s="1" t="s">
        <v>35</v>
      </c>
      <c r="G2221" s="1" t="s">
        <v>24</v>
      </c>
      <c r="H2221" s="1">
        <v>118316</v>
      </c>
      <c r="I2221" s="1">
        <v>201051</v>
      </c>
      <c r="J2221" s="7">
        <v>0.58799999999999997</v>
      </c>
      <c r="K2221" s="1" t="s">
        <v>21</v>
      </c>
      <c r="L2221" s="1" t="s">
        <v>21</v>
      </c>
      <c r="M2221" s="1" t="s">
        <v>29</v>
      </c>
      <c r="N2221" s="1" t="s">
        <v>22</v>
      </c>
      <c r="O2221" s="1" t="str">
        <f t="shared" ca="1" si="17"/>
        <v>Please solve the LeetCode problem '3350. Adjacent Increasing Subarrays Detection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22" spans="1:15" x14ac:dyDescent="0.25">
      <c r="A2222" s="1">
        <v>3403</v>
      </c>
      <c r="B2222" s="2" t="str">
        <f>HYPERLINK("https://leetcode.com/problems/find-the-lexicographically-largest-string-from-the-box-i/", "Find the Lexicographically Largest String From the Box I")</f>
        <v>Find the Lexicographically Largest String From the Box I</v>
      </c>
      <c r="C2222" s="1">
        <v>484</v>
      </c>
      <c r="D2222" s="1">
        <v>126</v>
      </c>
      <c r="E2222" s="3">
        <f t="shared" si="16"/>
        <v>0.79344262295081969</v>
      </c>
      <c r="F2222" s="1" t="s">
        <v>931</v>
      </c>
      <c r="G2222" s="1" t="s">
        <v>24</v>
      </c>
      <c r="H2222" s="1">
        <v>110150</v>
      </c>
      <c r="I2222" s="1">
        <v>268959</v>
      </c>
      <c r="J2222" s="7">
        <v>0.41</v>
      </c>
      <c r="K2222" s="1" t="s">
        <v>21</v>
      </c>
      <c r="L2222" s="1" t="s">
        <v>21</v>
      </c>
      <c r="M2222" s="1" t="s">
        <v>29</v>
      </c>
      <c r="N2222" s="1" t="s">
        <v>22</v>
      </c>
      <c r="O2222" s="1" t="str">
        <f t="shared" ca="1" si="17"/>
        <v>Please solve the LeetCode problem '3403. Find the Lexicographically Largest String From the Box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23" spans="1:15" x14ac:dyDescent="0.25">
      <c r="A2223" s="1">
        <v>2374</v>
      </c>
      <c r="B2223" s="2" t="str">
        <f>HYPERLINK("https://leetcode.com/problems/node-with-highest-edge-score/", "Node With Highest Edge Score")</f>
        <v>Node With Highest Edge Score</v>
      </c>
      <c r="C2223" s="1">
        <v>483</v>
      </c>
      <c r="D2223" s="1">
        <v>43</v>
      </c>
      <c r="E2223" s="3">
        <f t="shared" si="16"/>
        <v>0.91825095057034223</v>
      </c>
      <c r="F2223" s="1" t="s">
        <v>933</v>
      </c>
      <c r="G2223" s="1" t="s">
        <v>24</v>
      </c>
      <c r="H2223" s="1">
        <v>43764</v>
      </c>
      <c r="I2223" s="1">
        <v>89096</v>
      </c>
      <c r="J2223" s="7">
        <v>0.49099999999999999</v>
      </c>
      <c r="K2223" s="1" t="s">
        <v>21</v>
      </c>
      <c r="L2223" s="1" t="s">
        <v>29</v>
      </c>
      <c r="M2223" s="1" t="s">
        <v>29</v>
      </c>
      <c r="N2223" s="1" t="s">
        <v>22</v>
      </c>
      <c r="O2223" s="1" t="str">
        <f t="shared" ca="1" si="17"/>
        <v>Please solve the LeetCode problem '2374. Node With Highest Edge Score'.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24" spans="1:15" x14ac:dyDescent="0.25">
      <c r="A2224" s="1">
        <v>1253</v>
      </c>
      <c r="B2224" s="2" t="str">
        <f>HYPERLINK("https://leetcode.com/problems/reconstruct-a-2-row-binary-matrix/", "Reconstruct a 2-Row Binary Matrix")</f>
        <v>Reconstruct a 2-Row Binary Matrix</v>
      </c>
      <c r="C2224" s="1">
        <v>482</v>
      </c>
      <c r="D2224" s="1">
        <v>35</v>
      </c>
      <c r="E2224" s="3">
        <f t="shared" si="16"/>
        <v>0.93230174081237915</v>
      </c>
      <c r="F2224" s="1" t="s">
        <v>405</v>
      </c>
      <c r="G2224" s="1" t="s">
        <v>24</v>
      </c>
      <c r="H2224" s="1">
        <v>33403</v>
      </c>
      <c r="I2224" s="1">
        <v>68774</v>
      </c>
      <c r="J2224" s="7">
        <v>0.48599999999999999</v>
      </c>
      <c r="K2224" s="1" t="s">
        <v>21</v>
      </c>
      <c r="L2224" s="1" t="s">
        <v>29</v>
      </c>
      <c r="M2224" s="1" t="s">
        <v>29</v>
      </c>
      <c r="N2224" s="1" t="s">
        <v>22</v>
      </c>
      <c r="O2224" s="1" t="str">
        <f t="shared" ca="1" si="17"/>
        <v>Please solve the LeetCode problem '1253. Reconstruct a 2-Row Binary Matrix'.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25" spans="1:15" x14ac:dyDescent="0.25">
      <c r="A2225" s="1">
        <v>2128</v>
      </c>
      <c r="B2225" s="2" t="str">
        <f>HYPERLINK("https://leetcode.com/problems/remove-all-ones-with-row-and-column-flips/", "Remove All Ones With Row and Column Flips")</f>
        <v>Remove All Ones With Row and Column Flips</v>
      </c>
      <c r="C2225" s="1">
        <v>481</v>
      </c>
      <c r="D2225" s="1">
        <v>189</v>
      </c>
      <c r="E2225" s="3">
        <f t="shared" si="16"/>
        <v>0.71791044776119406</v>
      </c>
      <c r="F2225" s="1" t="s">
        <v>936</v>
      </c>
      <c r="G2225" s="1" t="s">
        <v>24</v>
      </c>
      <c r="H2225" s="1">
        <v>34489</v>
      </c>
      <c r="I2225" s="1">
        <v>45262</v>
      </c>
      <c r="J2225" s="7">
        <v>0.76200000000000001</v>
      </c>
      <c r="K2225" s="1" t="s">
        <v>29</v>
      </c>
      <c r="L2225" s="1" t="s">
        <v>29</v>
      </c>
      <c r="M2225" s="1" t="s">
        <v>29</v>
      </c>
      <c r="N2225" s="1" t="s">
        <v>22</v>
      </c>
      <c r="O2225" s="1" t="str">
        <f t="shared" ca="1" si="17"/>
        <v>Please solve the LeetCode problem '2128. Remove All Ones With Row and Column Flips'.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26" spans="1:15" x14ac:dyDescent="0.25">
      <c r="A2226" s="1">
        <v>2900</v>
      </c>
      <c r="B2226" s="2" t="str">
        <f>HYPERLINK("https://leetcode.com/problems/longest-unequal-adjacent-groups-subsequence-i/", "Longest Unequal Adjacent Groups Subsequence I")</f>
        <v>Longest Unequal Adjacent Groups Subsequence I</v>
      </c>
      <c r="C2226" s="1">
        <v>481</v>
      </c>
      <c r="D2226" s="1">
        <v>275</v>
      </c>
      <c r="E2226" s="3">
        <f t="shared" si="16"/>
        <v>0.63624338624338628</v>
      </c>
      <c r="F2226" s="1" t="s">
        <v>292</v>
      </c>
      <c r="G2226" s="1" t="s">
        <v>20</v>
      </c>
      <c r="H2226" s="1">
        <v>146113</v>
      </c>
      <c r="I2226" s="1">
        <v>218196</v>
      </c>
      <c r="J2226" s="7">
        <v>0.67</v>
      </c>
      <c r="K2226" s="1" t="s">
        <v>21</v>
      </c>
      <c r="L2226" s="1" t="s">
        <v>21</v>
      </c>
      <c r="M2226" s="1" t="s">
        <v>29</v>
      </c>
      <c r="N2226" s="1" t="s">
        <v>22</v>
      </c>
      <c r="O2226" s="1" t="str">
        <f t="shared" ca="1" si="17"/>
        <v>Please solve the LeetCode problem '2900. Longest Unequal Adjacent Groups Subsequence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27" spans="1:15" x14ac:dyDescent="0.25">
      <c r="A2227" s="1">
        <v>3408</v>
      </c>
      <c r="B2227" s="2" t="str">
        <f>HYPERLINK("https://leetcode.com/problems/design-task-manager/", "Design Task Manager")</f>
        <v>Design Task Manager</v>
      </c>
      <c r="C2227" s="1">
        <v>481</v>
      </c>
      <c r="D2227" s="1">
        <v>51</v>
      </c>
      <c r="E2227" s="3">
        <f t="shared" si="16"/>
        <v>0.90413533834586468</v>
      </c>
      <c r="F2227" s="1" t="s">
        <v>530</v>
      </c>
      <c r="G2227" s="1" t="s">
        <v>24</v>
      </c>
      <c r="H2227" s="1">
        <v>99911</v>
      </c>
      <c r="I2227" s="1">
        <v>203071</v>
      </c>
      <c r="J2227" s="7">
        <v>0.49199999999999999</v>
      </c>
      <c r="K2227" s="1" t="s">
        <v>21</v>
      </c>
      <c r="L2227" s="1" t="s">
        <v>21</v>
      </c>
      <c r="M2227" s="1" t="s">
        <v>29</v>
      </c>
      <c r="N2227" s="1" t="s">
        <v>22</v>
      </c>
      <c r="O2227" s="1" t="str">
        <f t="shared" ca="1" si="17"/>
        <v>Please solve the LeetCode problem '3408. Design Task Manager'.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28" spans="1:15" x14ac:dyDescent="0.25">
      <c r="A2228" s="1">
        <v>478</v>
      </c>
      <c r="B2228" s="2" t="str">
        <f>HYPERLINK("https://leetcode.com/problems/generate-random-point-in-a-circle/", "Generate Random Point in a Circle")</f>
        <v>Generate Random Point in a Circle</v>
      </c>
      <c r="C2228" s="1">
        <v>480</v>
      </c>
      <c r="D2228" s="1">
        <v>782</v>
      </c>
      <c r="E2228" s="3">
        <f t="shared" si="16"/>
        <v>0.38034865293185421</v>
      </c>
      <c r="F2228" s="1" t="s">
        <v>937</v>
      </c>
      <c r="G2228" s="1" t="s">
        <v>24</v>
      </c>
      <c r="H2228" s="1">
        <v>52344</v>
      </c>
      <c r="I2228" s="1">
        <v>123843</v>
      </c>
      <c r="J2228" s="7">
        <v>0.42299999999999999</v>
      </c>
      <c r="K2228" s="1" t="s">
        <v>21</v>
      </c>
      <c r="L2228" s="1" t="s">
        <v>21</v>
      </c>
      <c r="M2228" s="1" t="s">
        <v>29</v>
      </c>
      <c r="N2228" s="1" t="s">
        <v>22</v>
      </c>
      <c r="O2228" s="1" t="str">
        <f t="shared" ca="1" si="17"/>
        <v>Please solve the LeetCode problem '478. Generate Random Point in a Circle'.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29" spans="1:15" x14ac:dyDescent="0.25">
      <c r="A2229" s="1">
        <v>1150</v>
      </c>
      <c r="B2229" s="2" t="str">
        <f>HYPERLINK("https://leetcode.com/problems/check-if-a-number-is-majority-element-in-a-sorted-array/", "Check If a Number Is Majority Element in a Sorted Array")</f>
        <v>Check If a Number Is Majority Element in a Sorted Array</v>
      </c>
      <c r="C2229" s="1">
        <v>480</v>
      </c>
      <c r="D2229" s="1">
        <v>36</v>
      </c>
      <c r="E2229" s="3">
        <f t="shared" si="16"/>
        <v>0.93023255813953487</v>
      </c>
      <c r="F2229" s="1" t="s">
        <v>35</v>
      </c>
      <c r="G2229" s="1" t="s">
        <v>20</v>
      </c>
      <c r="H2229" s="1">
        <v>61412</v>
      </c>
      <c r="I2229" s="1">
        <v>102503</v>
      </c>
      <c r="J2229" s="7">
        <v>0.59899999999999998</v>
      </c>
      <c r="K2229" s="1" t="s">
        <v>29</v>
      </c>
      <c r="L2229" s="1" t="s">
        <v>21</v>
      </c>
      <c r="M2229" s="1" t="s">
        <v>29</v>
      </c>
      <c r="N2229" s="1" t="s">
        <v>22</v>
      </c>
      <c r="O2229" s="1" t="str">
        <f t="shared" ca="1" si="17"/>
        <v>Please solve the LeetCode problem '1150. Check If a Number Is Majority Element in a Sorted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30" spans="1:15" x14ac:dyDescent="0.25">
      <c r="A2230" s="1">
        <v>1272</v>
      </c>
      <c r="B2230" s="2" t="str">
        <f>HYPERLINK("https://leetcode.com/problems/remove-interval/", "Remove Interval")</f>
        <v>Remove Interval</v>
      </c>
      <c r="C2230" s="1">
        <v>479</v>
      </c>
      <c r="D2230" s="1">
        <v>36</v>
      </c>
      <c r="E2230" s="3">
        <f t="shared" si="16"/>
        <v>0.93009708737864083</v>
      </c>
      <c r="F2230" s="1" t="s">
        <v>113</v>
      </c>
      <c r="G2230" s="1" t="s">
        <v>24</v>
      </c>
      <c r="H2230" s="1">
        <v>41772</v>
      </c>
      <c r="I2230" s="1">
        <v>62267</v>
      </c>
      <c r="J2230" s="7">
        <v>0.67100000000000004</v>
      </c>
      <c r="K2230" s="1" t="s">
        <v>29</v>
      </c>
      <c r="L2230" s="1" t="s">
        <v>21</v>
      </c>
      <c r="M2230" s="1" t="s">
        <v>21</v>
      </c>
      <c r="N2230" s="1" t="s">
        <v>22</v>
      </c>
      <c r="O2230" s="1" t="str">
        <f t="shared" ca="1" si="17"/>
        <v>Please solve the LeetCode problem '1272. Remove Interval'.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31" spans="1:15" x14ac:dyDescent="0.25">
      <c r="A2231" s="1">
        <v>1311</v>
      </c>
      <c r="B2231" s="2" t="str">
        <f>HYPERLINK("https://leetcode.com/problems/get-watched-videos-by-your-friends/", "Get Watched Videos by Your Friends")</f>
        <v>Get Watched Videos by Your Friends</v>
      </c>
      <c r="C2231" s="1">
        <v>479</v>
      </c>
      <c r="D2231" s="1">
        <v>448</v>
      </c>
      <c r="E2231" s="3">
        <f t="shared" si="16"/>
        <v>0.51672060409924492</v>
      </c>
      <c r="F2231" s="1" t="s">
        <v>934</v>
      </c>
      <c r="G2231" s="1" t="s">
        <v>24</v>
      </c>
      <c r="H2231" s="1">
        <v>38282</v>
      </c>
      <c r="I2231" s="1">
        <v>74048</v>
      </c>
      <c r="J2231" s="7">
        <v>0.51700000000000002</v>
      </c>
      <c r="K2231" s="1" t="s">
        <v>21</v>
      </c>
      <c r="L2231" s="1" t="s">
        <v>29</v>
      </c>
      <c r="M2231" s="1" t="s">
        <v>29</v>
      </c>
      <c r="N2231" s="1" t="s">
        <v>22</v>
      </c>
      <c r="O2231" s="1" t="str">
        <f t="shared" ca="1" si="17"/>
        <v>Please solve the LeetCode problem '1311. Get Watched Videos by Your Friends'.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32" spans="1:15" x14ac:dyDescent="0.25">
      <c r="A2232" s="1">
        <v>3136</v>
      </c>
      <c r="B2232" s="2" t="str">
        <f>HYPERLINK("https://leetcode.com/problems/valid-word/", "Valid Word")</f>
        <v>Valid Word</v>
      </c>
      <c r="C2232" s="1">
        <v>479</v>
      </c>
      <c r="D2232" s="1">
        <v>167</v>
      </c>
      <c r="E2232" s="3">
        <f t="shared" si="16"/>
        <v>0.74148606811145512</v>
      </c>
      <c r="F2232" s="1" t="s">
        <v>146</v>
      </c>
      <c r="G2232" s="1" t="s">
        <v>20</v>
      </c>
      <c r="H2232" s="1">
        <v>205087</v>
      </c>
      <c r="I2232" s="1">
        <v>403141</v>
      </c>
      <c r="J2232" s="7">
        <v>0.50900000000000001</v>
      </c>
      <c r="K2232" s="1" t="s">
        <v>21</v>
      </c>
      <c r="L2232" s="1" t="s">
        <v>21</v>
      </c>
      <c r="M2232" s="1" t="s">
        <v>29</v>
      </c>
      <c r="N2232" s="1" t="s">
        <v>22</v>
      </c>
      <c r="O2232" s="1" t="str">
        <f t="shared" ca="1" si="17"/>
        <v>Please solve the LeetCode problem '3136. Valid Word'.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33" spans="1:15" x14ac:dyDescent="0.25">
      <c r="A2233" s="1">
        <v>3349</v>
      </c>
      <c r="B2233" s="2" t="str">
        <f>HYPERLINK("https://leetcode.com/problems/adjacent-increasing-subarrays-detection-i/", "Adjacent Increasing Subarrays Detection I")</f>
        <v>Adjacent Increasing Subarrays Detection I</v>
      </c>
      <c r="C2233" s="1">
        <v>479</v>
      </c>
      <c r="D2233" s="1">
        <v>59</v>
      </c>
      <c r="E2233" s="3">
        <f t="shared" si="16"/>
        <v>0.89033457249070636</v>
      </c>
      <c r="F2233" s="1" t="s">
        <v>113</v>
      </c>
      <c r="G2233" s="1" t="s">
        <v>20</v>
      </c>
      <c r="H2233" s="1">
        <v>157885</v>
      </c>
      <c r="I2233" s="1">
        <v>328765</v>
      </c>
      <c r="J2233" s="7">
        <v>0.48</v>
      </c>
      <c r="K2233" s="1" t="s">
        <v>21</v>
      </c>
      <c r="L2233" s="1" t="s">
        <v>21</v>
      </c>
      <c r="M2233" s="1" t="s">
        <v>29</v>
      </c>
      <c r="N2233" s="1" t="s">
        <v>22</v>
      </c>
      <c r="O2233" s="1" t="str">
        <f t="shared" ca="1" si="17"/>
        <v>Please solve the LeetCode problem '3349. Adjacent Increasing Subarrays Detection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34" spans="1:15" x14ac:dyDescent="0.25">
      <c r="A2234" s="1">
        <v>982</v>
      </c>
      <c r="B2234" s="2" t="str">
        <f>HYPERLINK("https://leetcode.com/problems/triples-with-bitwise-and-equal-to-zero/", "Triples with Bitwise AND Equal To Zero")</f>
        <v>Triples with Bitwise AND Equal To Zero</v>
      </c>
      <c r="C2234" s="1">
        <v>478</v>
      </c>
      <c r="D2234" s="1">
        <v>222</v>
      </c>
      <c r="E2234" s="3">
        <f t="shared" si="16"/>
        <v>0.68285714285714283</v>
      </c>
      <c r="F2234" s="1" t="s">
        <v>667</v>
      </c>
      <c r="G2234" s="1" t="s">
        <v>28</v>
      </c>
      <c r="H2234" s="1">
        <v>23721</v>
      </c>
      <c r="I2234" s="1">
        <v>39620</v>
      </c>
      <c r="J2234" s="7">
        <v>0.59899999999999998</v>
      </c>
      <c r="K2234" s="1" t="s">
        <v>21</v>
      </c>
      <c r="L2234" s="1" t="s">
        <v>29</v>
      </c>
      <c r="M2234" s="1" t="s">
        <v>29</v>
      </c>
      <c r="N2234" s="1" t="s">
        <v>22</v>
      </c>
      <c r="O2234" s="1" t="str">
        <f t="shared" ca="1" si="17"/>
        <v>Please solve the LeetCode problem '982. Triples with Bitwise AND Equal To Zero'.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35" spans="1:15" x14ac:dyDescent="0.25">
      <c r="A2235" s="1">
        <v>3025</v>
      </c>
      <c r="B2235" s="2" t="str">
        <f>HYPERLINK("https://leetcode.com/problems/find-the-number-of-ways-to-place-people-i/", "Find the Number of Ways to Place People I")</f>
        <v>Find the Number of Ways to Place People I</v>
      </c>
      <c r="C2235" s="1">
        <v>478</v>
      </c>
      <c r="D2235" s="1">
        <v>180</v>
      </c>
      <c r="E2235" s="3">
        <f t="shared" si="16"/>
        <v>0.7264437689969605</v>
      </c>
      <c r="F2235" s="1" t="s">
        <v>935</v>
      </c>
      <c r="G2235" s="1" t="s">
        <v>24</v>
      </c>
      <c r="H2235" s="1">
        <v>114297</v>
      </c>
      <c r="I2235" s="1">
        <v>178399</v>
      </c>
      <c r="J2235" s="7">
        <v>0.64100000000000001</v>
      </c>
      <c r="K2235" s="1" t="s">
        <v>21</v>
      </c>
      <c r="L2235" s="1" t="s">
        <v>21</v>
      </c>
      <c r="M2235" s="1" t="s">
        <v>29</v>
      </c>
      <c r="N2235" s="1" t="s">
        <v>22</v>
      </c>
      <c r="O2235" s="1" t="str">
        <f t="shared" ca="1" si="17"/>
        <v>Please solve the LeetCode problem '3025. Find the Number of Ways to Place People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36" spans="1:15" x14ac:dyDescent="0.25">
      <c r="A2236" s="1">
        <v>193</v>
      </c>
      <c r="B2236" s="2" t="str">
        <f>HYPERLINK("https://leetcode.com/problems/valid-phone-numbers/", "Valid Phone Numbers")</f>
        <v>Valid Phone Numbers</v>
      </c>
      <c r="C2236" s="1">
        <v>476</v>
      </c>
      <c r="D2236" s="1">
        <v>981</v>
      </c>
      <c r="E2236" s="3">
        <f t="shared" si="16"/>
        <v>0.32669869595058337</v>
      </c>
      <c r="F2236" s="1" t="s">
        <v>860</v>
      </c>
      <c r="G2236" s="1" t="s">
        <v>20</v>
      </c>
      <c r="H2236" s="1">
        <v>121003</v>
      </c>
      <c r="I2236" s="1">
        <v>421685</v>
      </c>
      <c r="J2236" s="7">
        <v>0.28699999999999998</v>
      </c>
      <c r="K2236" s="1" t="s">
        <v>21</v>
      </c>
      <c r="L2236" s="1" t="s">
        <v>29</v>
      </c>
      <c r="M2236" s="1" t="s">
        <v>29</v>
      </c>
      <c r="N2236" s="1" t="s">
        <v>860</v>
      </c>
      <c r="O2236" s="1" t="str">
        <f t="shared" ca="1" si="17"/>
        <v>Please solve the LeetCode problem '193. Valid Phone Numbers'.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37" spans="1:15" x14ac:dyDescent="0.25">
      <c r="A2237" s="1">
        <v>1053</v>
      </c>
      <c r="B2237" s="2" t="str">
        <f>HYPERLINK("https://leetcode.com/problems/previous-permutation-with-one-swap/", "Previous Permutation With One Swap")</f>
        <v>Previous Permutation With One Swap</v>
      </c>
      <c r="C2237" s="1">
        <v>476</v>
      </c>
      <c r="D2237" s="1">
        <v>43</v>
      </c>
      <c r="E2237" s="3">
        <f t="shared" si="16"/>
        <v>0.91714836223506746</v>
      </c>
      <c r="F2237" s="1" t="s">
        <v>96</v>
      </c>
      <c r="G2237" s="1" t="s">
        <v>24</v>
      </c>
      <c r="H2237" s="1">
        <v>47475</v>
      </c>
      <c r="I2237" s="1">
        <v>96255</v>
      </c>
      <c r="J2237" s="7">
        <v>0.49299999999999999</v>
      </c>
      <c r="K2237" s="1" t="s">
        <v>21</v>
      </c>
      <c r="L2237" s="1" t="s">
        <v>29</v>
      </c>
      <c r="M2237" s="1" t="s">
        <v>29</v>
      </c>
      <c r="N2237" s="1" t="s">
        <v>22</v>
      </c>
      <c r="O2237" s="1" t="str">
        <f t="shared" ca="1" si="17"/>
        <v>Please solve the LeetCode problem '1053. Previous Permutation With One Swap'.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38" spans="1:15" x14ac:dyDescent="0.25">
      <c r="A2238" s="1">
        <v>2627</v>
      </c>
      <c r="B2238" s="2" t="str">
        <f>HYPERLINK("https://leetcode.com/problems/debounce/", "Debounce")</f>
        <v>Debounce</v>
      </c>
      <c r="C2238" s="1">
        <v>475</v>
      </c>
      <c r="D2238" s="1">
        <v>56</v>
      </c>
      <c r="E2238" s="3">
        <f t="shared" si="16"/>
        <v>0.89453860640301319</v>
      </c>
      <c r="G2238" s="1" t="s">
        <v>24</v>
      </c>
      <c r="H2238" s="1">
        <v>87116</v>
      </c>
      <c r="I2238" s="1">
        <v>94968</v>
      </c>
      <c r="J2238" s="7">
        <v>0.91700000000000004</v>
      </c>
      <c r="K2238" s="1" t="s">
        <v>21</v>
      </c>
      <c r="L2238" s="1" t="s">
        <v>21</v>
      </c>
      <c r="M2238" s="1" t="s">
        <v>29</v>
      </c>
      <c r="N2238" s="1" t="s">
        <v>555</v>
      </c>
      <c r="O2238" s="1" t="str">
        <f t="shared" ca="1" si="17"/>
        <v>Please solve the LeetCode problem '2627. Debounce'.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39" spans="1:15" x14ac:dyDescent="0.25">
      <c r="A2239" s="1">
        <v>2240</v>
      </c>
      <c r="B2239" s="2" t="str">
        <f>HYPERLINK("https://leetcode.com/problems/number-of-ways-to-buy-pens-and-pencils/", "Number of Ways to Buy Pens and Pencils")</f>
        <v>Number of Ways to Buy Pens and Pencils</v>
      </c>
      <c r="C2239" s="1">
        <v>474</v>
      </c>
      <c r="D2239" s="1">
        <v>36</v>
      </c>
      <c r="E2239" s="3">
        <f t="shared" si="16"/>
        <v>0.92941176470588238</v>
      </c>
      <c r="F2239" s="1" t="s">
        <v>602</v>
      </c>
      <c r="G2239" s="1" t="s">
        <v>24</v>
      </c>
      <c r="H2239" s="1">
        <v>37782</v>
      </c>
      <c r="I2239" s="1">
        <v>66938</v>
      </c>
      <c r="J2239" s="7">
        <v>0.56399999999999995</v>
      </c>
      <c r="K2239" s="1" t="s">
        <v>21</v>
      </c>
      <c r="L2239" s="1" t="s">
        <v>29</v>
      </c>
      <c r="M2239" s="1" t="s">
        <v>29</v>
      </c>
      <c r="N2239" s="1" t="s">
        <v>22</v>
      </c>
      <c r="O2239" s="1" t="str">
        <f t="shared" ca="1" si="17"/>
        <v>Please solve the LeetCode problem '2240. Number of Ways to Buy Pens and Pencils'.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40" spans="1:15" x14ac:dyDescent="0.25">
      <c r="A2240" s="1">
        <v>2538</v>
      </c>
      <c r="B2240" s="2" t="str">
        <f>HYPERLINK("https://leetcode.com/problems/difference-between-maximum-and-minimum-price-sum/", "Difference Between Maximum and Minimum Price Sum")</f>
        <v>Difference Between Maximum and Minimum Price Sum</v>
      </c>
      <c r="C2240" s="1">
        <v>474</v>
      </c>
      <c r="D2240" s="1">
        <v>19</v>
      </c>
      <c r="E2240" s="3">
        <f t="shared" si="16"/>
        <v>0.96146044624746452</v>
      </c>
      <c r="F2240" s="1" t="s">
        <v>939</v>
      </c>
      <c r="G2240" s="1" t="s">
        <v>28</v>
      </c>
      <c r="H2240" s="1">
        <v>10599</v>
      </c>
      <c r="I2240" s="1">
        <v>32101</v>
      </c>
      <c r="J2240" s="7">
        <v>0.33</v>
      </c>
      <c r="K2240" s="1" t="s">
        <v>21</v>
      </c>
      <c r="L2240" s="1" t="s">
        <v>29</v>
      </c>
      <c r="M2240" s="1" t="s">
        <v>29</v>
      </c>
      <c r="N2240" s="1" t="s">
        <v>22</v>
      </c>
      <c r="O2240" s="1" t="str">
        <f t="shared" ca="1" si="17"/>
        <v>Please solve the LeetCode problem '2538. Difference Between Maximum and Minimum Price Sum'.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41" spans="1:15" x14ac:dyDescent="0.25">
      <c r="A2241" s="1">
        <v>3508</v>
      </c>
      <c r="B2241" s="2" t="str">
        <f>HYPERLINK("https://leetcode.com/problems/implement-router/", "Implement Router")</f>
        <v>Implement Router</v>
      </c>
      <c r="C2241" s="1">
        <v>474</v>
      </c>
      <c r="D2241" s="1">
        <v>114</v>
      </c>
      <c r="E2241" s="3">
        <f t="shared" si="16"/>
        <v>0.80612244897959184</v>
      </c>
      <c r="F2241" s="1" t="s">
        <v>938</v>
      </c>
      <c r="G2241" s="1" t="s">
        <v>24</v>
      </c>
      <c r="H2241" s="1">
        <v>87586</v>
      </c>
      <c r="I2241" s="1">
        <v>223086</v>
      </c>
      <c r="J2241" s="7">
        <v>0.39300000000000002</v>
      </c>
      <c r="K2241" s="1" t="s">
        <v>21</v>
      </c>
      <c r="L2241" s="1" t="s">
        <v>21</v>
      </c>
      <c r="M2241" s="1" t="s">
        <v>29</v>
      </c>
      <c r="N2241" s="1" t="s">
        <v>22</v>
      </c>
      <c r="O2241" s="1" t="str">
        <f t="shared" ca="1" si="17"/>
        <v>Please solve the LeetCode problem '3508. Implement Router'.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42" spans="1:15" x14ac:dyDescent="0.25">
      <c r="A2242" s="1">
        <v>2770</v>
      </c>
      <c r="B2242" s="2" t="str">
        <f>HYPERLINK("https://leetcode.com/problems/maximum-number-of-jumps-to-reach-the-last-index/", "Maximum Number of Jumps to Reach the Last Index")</f>
        <v>Maximum Number of Jumps to Reach the Last Index</v>
      </c>
      <c r="C2242" s="1">
        <v>473</v>
      </c>
      <c r="D2242" s="1">
        <v>14</v>
      </c>
      <c r="E2242" s="3">
        <f t="shared" si="16"/>
        <v>0.97125256673511295</v>
      </c>
      <c r="F2242" s="1" t="s">
        <v>30</v>
      </c>
      <c r="G2242" s="1" t="s">
        <v>24</v>
      </c>
      <c r="H2242" s="1">
        <v>34072</v>
      </c>
      <c r="I2242" s="1">
        <v>105399</v>
      </c>
      <c r="J2242" s="7">
        <v>0.32300000000000001</v>
      </c>
      <c r="K2242" s="1" t="s">
        <v>21</v>
      </c>
      <c r="L2242" s="1" t="s">
        <v>29</v>
      </c>
      <c r="M2242" s="1" t="s">
        <v>29</v>
      </c>
      <c r="N2242" s="1" t="s">
        <v>22</v>
      </c>
      <c r="O2242" s="1" t="str">
        <f t="shared" ca="1" si="17"/>
        <v>Please solve the LeetCode problem '2770. Maximum Number of Jumps to Reach the Last Index'.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43" spans="1:15" x14ac:dyDescent="0.25">
      <c r="A2243" s="1">
        <v>1872</v>
      </c>
      <c r="B2243" s="2" t="str">
        <f>HYPERLINK("https://leetcode.com/problems/stone-game-viii/", "Stone Game VIII")</f>
        <v>Stone Game VIII</v>
      </c>
      <c r="C2243" s="1">
        <v>472</v>
      </c>
      <c r="D2243" s="1">
        <v>25</v>
      </c>
      <c r="E2243" s="3">
        <f t="shared" si="16"/>
        <v>0.94969818913480886</v>
      </c>
      <c r="F2243" s="1" t="s">
        <v>352</v>
      </c>
      <c r="G2243" s="1" t="s">
        <v>28</v>
      </c>
      <c r="H2243" s="1">
        <v>12539</v>
      </c>
      <c r="I2243" s="1">
        <v>23300</v>
      </c>
      <c r="J2243" s="7">
        <v>0.53800000000000003</v>
      </c>
      <c r="K2243" s="1" t="s">
        <v>21</v>
      </c>
      <c r="L2243" s="1" t="s">
        <v>29</v>
      </c>
      <c r="M2243" s="1" t="s">
        <v>29</v>
      </c>
      <c r="N2243" s="1" t="s">
        <v>22</v>
      </c>
      <c r="O2243" s="1" t="str">
        <f t="shared" ca="1" si="17"/>
        <v>Please solve the LeetCode problem '1872. Stone Game VIII'.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44" spans="1:15" x14ac:dyDescent="0.25">
      <c r="A2244" s="1">
        <v>793</v>
      </c>
      <c r="B2244" s="2" t="str">
        <f>HYPERLINK("https://leetcode.com/problems/preimage-size-of-factorial-zeroes-function/", "Preimage Size of Factorial Zeroes Function")</f>
        <v>Preimage Size of Factorial Zeroes Function</v>
      </c>
      <c r="C2244" s="1">
        <v>471</v>
      </c>
      <c r="D2244" s="1">
        <v>103</v>
      </c>
      <c r="E2244" s="3">
        <f t="shared" si="16"/>
        <v>0.82055749128919864</v>
      </c>
      <c r="F2244" s="1" t="s">
        <v>139</v>
      </c>
      <c r="G2244" s="1" t="s">
        <v>28</v>
      </c>
      <c r="H2244" s="1">
        <v>23539</v>
      </c>
      <c r="I2244" s="1">
        <v>50648</v>
      </c>
      <c r="J2244" s="7">
        <v>0.46500000000000002</v>
      </c>
      <c r="K2244" s="1" t="s">
        <v>21</v>
      </c>
      <c r="L2244" s="1" t="s">
        <v>21</v>
      </c>
      <c r="M2244" s="1" t="s">
        <v>29</v>
      </c>
      <c r="N2244" s="1" t="s">
        <v>22</v>
      </c>
      <c r="O2244" s="1" t="str">
        <f t="shared" ca="1" si="17"/>
        <v>Please solve the LeetCode problem '793. Preimage Size of Factorial Zeroes Function'.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45" spans="1:15" x14ac:dyDescent="0.25">
      <c r="A2245" s="1">
        <v>2544</v>
      </c>
      <c r="B2245" s="2" t="str">
        <f>HYPERLINK("https://leetcode.com/problems/alternating-digit-sum/", "Alternating Digit Sum")</f>
        <v>Alternating Digit Sum</v>
      </c>
      <c r="C2245" s="1">
        <v>471</v>
      </c>
      <c r="D2245" s="1">
        <v>23</v>
      </c>
      <c r="E2245" s="3">
        <f t="shared" si="16"/>
        <v>0.95344129554655865</v>
      </c>
      <c r="F2245" s="1" t="s">
        <v>84</v>
      </c>
      <c r="G2245" s="1" t="s">
        <v>20</v>
      </c>
      <c r="H2245" s="1">
        <v>95980</v>
      </c>
      <c r="I2245" s="1">
        <v>139217</v>
      </c>
      <c r="J2245" s="7">
        <v>0.68899999999999995</v>
      </c>
      <c r="K2245" s="1" t="s">
        <v>21</v>
      </c>
      <c r="L2245" s="1" t="s">
        <v>29</v>
      </c>
      <c r="M2245" s="1" t="s">
        <v>29</v>
      </c>
      <c r="N2245" s="1" t="s">
        <v>22</v>
      </c>
      <c r="O2245" s="1" t="str">
        <f t="shared" ca="1" si="17"/>
        <v>Please solve the LeetCode problem '2544. Alternating Digit Sum'.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46" spans="1:15" x14ac:dyDescent="0.25">
      <c r="A2246" s="1">
        <v>2866</v>
      </c>
      <c r="B2246" s="2" t="str">
        <f>HYPERLINK("https://leetcode.com/problems/beautiful-towers-ii/", "Beautiful Towers II")</f>
        <v>Beautiful Towers II</v>
      </c>
      <c r="C2246" s="1">
        <v>470</v>
      </c>
      <c r="D2246" s="1">
        <v>32</v>
      </c>
      <c r="E2246" s="3">
        <f t="shared" si="16"/>
        <v>0.93625498007968122</v>
      </c>
      <c r="F2246" s="1" t="s">
        <v>61</v>
      </c>
      <c r="G2246" s="1" t="s">
        <v>24</v>
      </c>
      <c r="H2246" s="1">
        <v>17752</v>
      </c>
      <c r="I2246" s="1">
        <v>49367</v>
      </c>
      <c r="J2246" s="7">
        <v>0.36</v>
      </c>
      <c r="K2246" s="1" t="s">
        <v>21</v>
      </c>
      <c r="L2246" s="1" t="s">
        <v>29</v>
      </c>
      <c r="M2246" s="1" t="s">
        <v>29</v>
      </c>
      <c r="N2246" s="1" t="s">
        <v>22</v>
      </c>
      <c r="O2246" s="1" t="str">
        <f t="shared" ca="1" si="17"/>
        <v>Please solve the LeetCode problem '2866. Beautiful Towers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47" spans="1:15" x14ac:dyDescent="0.25">
      <c r="A2247" s="1">
        <v>3487</v>
      </c>
      <c r="B2247" s="2" t="str">
        <f>HYPERLINK("https://leetcode.com/problems/maximum-unique-subarray-sum-after-deletion/", "Maximum Unique Subarray Sum After Deletion")</f>
        <v>Maximum Unique Subarray Sum After Deletion</v>
      </c>
      <c r="C2247" s="1">
        <v>470</v>
      </c>
      <c r="D2247" s="1">
        <v>77</v>
      </c>
      <c r="E2247" s="3">
        <f t="shared" si="16"/>
        <v>0.85923217550274222</v>
      </c>
      <c r="F2247" s="1" t="s">
        <v>368</v>
      </c>
      <c r="G2247" s="1" t="s">
        <v>20</v>
      </c>
      <c r="H2247" s="1">
        <v>156388</v>
      </c>
      <c r="I2247" s="1">
        <v>386601</v>
      </c>
      <c r="J2247" s="7">
        <v>0.40500000000000003</v>
      </c>
      <c r="K2247" s="1" t="s">
        <v>21</v>
      </c>
      <c r="L2247" s="1" t="s">
        <v>21</v>
      </c>
      <c r="M2247" s="1" t="s">
        <v>29</v>
      </c>
      <c r="N2247" s="1" t="s">
        <v>22</v>
      </c>
      <c r="O2247" s="1" t="str">
        <f t="shared" ca="1" si="17"/>
        <v>Please solve the LeetCode problem '3487. Maximum Unique Subarray Sum After Deletion'.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48" spans="1:15" x14ac:dyDescent="0.25">
      <c r="A2248" s="1">
        <v>2514</v>
      </c>
      <c r="B2248" s="2" t="str">
        <f>HYPERLINK("https://leetcode.com/problems/count-anagrams/", "Count Anagrams")</f>
        <v>Count Anagrams</v>
      </c>
      <c r="C2248" s="1">
        <v>469</v>
      </c>
      <c r="D2248" s="1">
        <v>44</v>
      </c>
      <c r="E2248" s="3">
        <f t="shared" si="16"/>
        <v>0.91423001949317739</v>
      </c>
      <c r="F2248" s="1" t="s">
        <v>941</v>
      </c>
      <c r="G2248" s="1" t="s">
        <v>28</v>
      </c>
      <c r="H2248" s="1">
        <v>19020</v>
      </c>
      <c r="I2248" s="1">
        <v>51602</v>
      </c>
      <c r="J2248" s="7">
        <v>0.36899999999999999</v>
      </c>
      <c r="K2248" s="1" t="s">
        <v>21</v>
      </c>
      <c r="L2248" s="1" t="s">
        <v>29</v>
      </c>
      <c r="M2248" s="1" t="s">
        <v>29</v>
      </c>
      <c r="N2248" s="1" t="s">
        <v>22</v>
      </c>
      <c r="O2248" s="1" t="str">
        <f t="shared" ca="1" si="17"/>
        <v>Please solve the LeetCode problem '2514. Count Anagrams'.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49" spans="1:15" x14ac:dyDescent="0.25">
      <c r="A2249" s="1">
        <v>2750</v>
      </c>
      <c r="B2249" s="2" t="str">
        <f>HYPERLINK("https://leetcode.com/problems/ways-to-split-array-into-good-subarrays/", "Ways to Split Array Into Good Subarrays")</f>
        <v>Ways to Split Array Into Good Subarrays</v>
      </c>
      <c r="C2249" s="1">
        <v>467</v>
      </c>
      <c r="D2249" s="1">
        <v>14</v>
      </c>
      <c r="E2249" s="3">
        <f t="shared" si="16"/>
        <v>0.97089397089397089</v>
      </c>
      <c r="F2249" s="1" t="s">
        <v>457</v>
      </c>
      <c r="G2249" s="1" t="s">
        <v>24</v>
      </c>
      <c r="H2249" s="1">
        <v>27148</v>
      </c>
      <c r="I2249" s="1">
        <v>78292</v>
      </c>
      <c r="J2249" s="7">
        <v>0.34699999999999998</v>
      </c>
      <c r="K2249" s="1" t="s">
        <v>21</v>
      </c>
      <c r="L2249" s="1" t="s">
        <v>29</v>
      </c>
      <c r="M2249" s="1" t="s">
        <v>29</v>
      </c>
      <c r="N2249" s="1" t="s">
        <v>22</v>
      </c>
      <c r="O2249" s="1" t="str">
        <f t="shared" ca="1" si="17"/>
        <v>Please solve the LeetCode problem '2750. Ways to Split Array Into Good Subarrays'.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50" spans="1:15" x14ac:dyDescent="0.25">
      <c r="A2250" s="1">
        <v>3026</v>
      </c>
      <c r="B2250" s="2" t="str">
        <f>HYPERLINK("https://leetcode.com/problems/maximum-good-subarray-sum/", "Maximum Good Subarray Sum")</f>
        <v>Maximum Good Subarray Sum</v>
      </c>
      <c r="C2250" s="1">
        <v>467</v>
      </c>
      <c r="D2250" s="1">
        <v>24</v>
      </c>
      <c r="E2250" s="3">
        <f t="shared" si="16"/>
        <v>0.95112016293279023</v>
      </c>
      <c r="F2250" s="1" t="s">
        <v>39</v>
      </c>
      <c r="G2250" s="1" t="s">
        <v>24</v>
      </c>
      <c r="H2250" s="1">
        <v>30499</v>
      </c>
      <c r="I2250" s="1">
        <v>143542</v>
      </c>
      <c r="J2250" s="7">
        <v>0.21199999999999999</v>
      </c>
      <c r="K2250" s="1" t="s">
        <v>21</v>
      </c>
      <c r="L2250" s="1" t="s">
        <v>29</v>
      </c>
      <c r="M2250" s="1" t="s">
        <v>29</v>
      </c>
      <c r="N2250" s="1" t="s">
        <v>22</v>
      </c>
      <c r="O2250" s="1" t="str">
        <f t="shared" ca="1" si="17"/>
        <v>Please solve the LeetCode problem '3026. Maximum Good Subarray Sum'.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51" spans="1:15" x14ac:dyDescent="0.25">
      <c r="A2251" s="1">
        <v>1111</v>
      </c>
      <c r="B2251" s="2" t="str">
        <f>HYPERLINK("https://leetcode.com/problems/maximum-nesting-depth-of-two-valid-parentheses-strings/", "Maximum Nesting Depth of Two Valid Parentheses Strings")</f>
        <v>Maximum Nesting Depth of Two Valid Parentheses Strings</v>
      </c>
      <c r="C2251" s="1">
        <v>466</v>
      </c>
      <c r="D2251" s="1">
        <v>1908</v>
      </c>
      <c r="E2251" s="3">
        <f t="shared" si="16"/>
        <v>0.19629317607413649</v>
      </c>
      <c r="F2251" s="1" t="s">
        <v>36</v>
      </c>
      <c r="G2251" s="1" t="s">
        <v>24</v>
      </c>
      <c r="H2251" s="1">
        <v>32550</v>
      </c>
      <c r="I2251" s="1">
        <v>45380</v>
      </c>
      <c r="J2251" s="7">
        <v>0.71699999999999997</v>
      </c>
      <c r="K2251" s="1" t="s">
        <v>21</v>
      </c>
      <c r="L2251" s="1" t="s">
        <v>29</v>
      </c>
      <c r="M2251" s="1" t="s">
        <v>29</v>
      </c>
      <c r="N2251" s="1" t="s">
        <v>22</v>
      </c>
      <c r="O2251" s="1" t="str">
        <f t="shared" ca="1" si="17"/>
        <v>Please solve the LeetCode problem '1111. Maximum Nesting Depth of Two Valid Parentheses Strings'.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52" spans="1:15" x14ac:dyDescent="0.25">
      <c r="A2252" s="1">
        <v>1655</v>
      </c>
      <c r="B2252" s="2" t="str">
        <f>HYPERLINK("https://leetcode.com/problems/distribute-repeating-integers/", "Distribute Repeating Integers")</f>
        <v>Distribute Repeating Integers</v>
      </c>
      <c r="C2252" s="1">
        <v>465</v>
      </c>
      <c r="D2252" s="1">
        <v>31</v>
      </c>
      <c r="E2252" s="3">
        <f t="shared" si="16"/>
        <v>0.9375</v>
      </c>
      <c r="F2252" s="1" t="s">
        <v>1381</v>
      </c>
      <c r="G2252" s="1" t="s">
        <v>28</v>
      </c>
      <c r="H2252" s="1">
        <v>20593</v>
      </c>
      <c r="I2252" s="1">
        <v>51183</v>
      </c>
      <c r="J2252" s="7">
        <v>0.40200000000000002</v>
      </c>
      <c r="K2252" s="1" t="s">
        <v>21</v>
      </c>
      <c r="L2252" s="1" t="s">
        <v>29</v>
      </c>
      <c r="M2252" s="1" t="s">
        <v>29</v>
      </c>
      <c r="N2252" s="1" t="s">
        <v>22</v>
      </c>
      <c r="O2252" s="1" t="str">
        <f t="shared" ca="1" si="17"/>
        <v>Please solve the LeetCode problem '1655. Distribute Repeating Integers'.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53" spans="1:15" x14ac:dyDescent="0.25">
      <c r="A2253" s="1">
        <v>1862</v>
      </c>
      <c r="B2253" s="2" t="str">
        <f>HYPERLINK("https://leetcode.com/problems/sum-of-floored-pairs/", "Sum of Floored Pairs")</f>
        <v>Sum of Floored Pairs</v>
      </c>
      <c r="C2253" s="1">
        <v>465</v>
      </c>
      <c r="D2253" s="1">
        <v>39</v>
      </c>
      <c r="E2253" s="3">
        <f t="shared" si="16"/>
        <v>0.92261904761904767</v>
      </c>
      <c r="F2253" s="1" t="s">
        <v>1382</v>
      </c>
      <c r="G2253" s="1" t="s">
        <v>28</v>
      </c>
      <c r="H2253" s="1">
        <v>11823</v>
      </c>
      <c r="I2253" s="1">
        <v>38807</v>
      </c>
      <c r="J2253" s="7">
        <v>0.30499999999999999</v>
      </c>
      <c r="K2253" s="1" t="s">
        <v>21</v>
      </c>
      <c r="L2253" s="1" t="s">
        <v>29</v>
      </c>
      <c r="M2253" s="1" t="s">
        <v>29</v>
      </c>
      <c r="N2253" s="1" t="s">
        <v>22</v>
      </c>
      <c r="O2253" s="1" t="str">
        <f t="shared" ca="1" si="17"/>
        <v>Please solve the LeetCode problem '1862. Sum of Floored Pairs'.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54" spans="1:15" x14ac:dyDescent="0.25">
      <c r="A2254" s="1">
        <v>3440</v>
      </c>
      <c r="B2254" s="2" t="str">
        <f>HYPERLINK("https://leetcode.com/problems/reschedule-meetings-for-maximum-free-time-ii/", "Reschedule Meetings for Maximum Free Time II")</f>
        <v>Reschedule Meetings for Maximum Free Time II</v>
      </c>
      <c r="C2254" s="1">
        <v>464</v>
      </c>
      <c r="D2254" s="1">
        <v>26</v>
      </c>
      <c r="E2254" s="3">
        <f t="shared" si="16"/>
        <v>0.94693877551020411</v>
      </c>
      <c r="F2254" s="1" t="s">
        <v>946</v>
      </c>
      <c r="G2254" s="1" t="s">
        <v>24</v>
      </c>
      <c r="H2254" s="1">
        <v>84145</v>
      </c>
      <c r="I2254" s="1">
        <v>139286</v>
      </c>
      <c r="J2254" s="7">
        <v>0.60399999999999998</v>
      </c>
      <c r="K2254" s="1" t="s">
        <v>21</v>
      </c>
      <c r="L2254" s="1" t="s">
        <v>21</v>
      </c>
      <c r="M2254" s="1" t="s">
        <v>29</v>
      </c>
      <c r="N2254" s="1" t="s">
        <v>22</v>
      </c>
      <c r="O2254" s="1" t="str">
        <f t="shared" ca="1" si="17"/>
        <v>Please solve the LeetCode problem '3440. Reschedule Meetings for Maximum Free Time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55" spans="1:15" x14ac:dyDescent="0.25">
      <c r="A2255" s="1">
        <v>2284</v>
      </c>
      <c r="B2255" s="2" t="str">
        <f>HYPERLINK("https://leetcode.com/problems/sender-with-largest-word-count/", "Sender With Largest Word Count")</f>
        <v>Sender With Largest Word Count</v>
      </c>
      <c r="C2255" s="1">
        <v>463</v>
      </c>
      <c r="D2255" s="1">
        <v>41</v>
      </c>
      <c r="E2255" s="3">
        <f t="shared" si="16"/>
        <v>0.91865079365079361</v>
      </c>
      <c r="F2255" s="1" t="s">
        <v>467</v>
      </c>
      <c r="G2255" s="1" t="s">
        <v>24</v>
      </c>
      <c r="H2255" s="1">
        <v>43775</v>
      </c>
      <c r="I2255" s="1">
        <v>73780</v>
      </c>
      <c r="J2255" s="7">
        <v>0.59299999999999997</v>
      </c>
      <c r="K2255" s="1" t="s">
        <v>21</v>
      </c>
      <c r="L2255" s="1" t="s">
        <v>29</v>
      </c>
      <c r="M2255" s="1" t="s">
        <v>29</v>
      </c>
      <c r="N2255" s="1" t="s">
        <v>22</v>
      </c>
      <c r="O2255" s="1" t="str">
        <f t="shared" ca="1" si="17"/>
        <v>Please solve the LeetCode problem '2284. Sender With Largest Word Count'.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56" spans="1:15" x14ac:dyDescent="0.25">
      <c r="A2256" s="1">
        <v>2447</v>
      </c>
      <c r="B2256" s="2" t="str">
        <f>HYPERLINK("https://leetcode.com/problems/number-of-subarrays-with-gcd-equal-to-k/", "Number of Subarrays With GCD Equal to K")</f>
        <v>Number of Subarrays With GCD Equal to K</v>
      </c>
      <c r="C2256" s="1">
        <v>463</v>
      </c>
      <c r="D2256" s="1">
        <v>71</v>
      </c>
      <c r="E2256" s="3">
        <f t="shared" si="16"/>
        <v>0.86704119850187267</v>
      </c>
      <c r="F2256" s="1" t="s">
        <v>640</v>
      </c>
      <c r="G2256" s="1" t="s">
        <v>24</v>
      </c>
      <c r="H2256" s="1">
        <v>33006</v>
      </c>
      <c r="I2256" s="1">
        <v>63455</v>
      </c>
      <c r="J2256" s="7">
        <v>0.52</v>
      </c>
      <c r="K2256" s="1" t="s">
        <v>21</v>
      </c>
      <c r="L2256" s="1" t="s">
        <v>29</v>
      </c>
      <c r="M2256" s="1" t="s">
        <v>29</v>
      </c>
      <c r="N2256" s="1" t="s">
        <v>22</v>
      </c>
      <c r="O2256" s="1" t="str">
        <f t="shared" ca="1" si="17"/>
        <v>Please solve the LeetCode problem '2447. Number of Subarrays With GCD Equal to K'.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57" spans="1:15" x14ac:dyDescent="0.25">
      <c r="A2257" s="1">
        <v>1487</v>
      </c>
      <c r="B2257" s="2" t="str">
        <f>HYPERLINK("https://leetcode.com/problems/making-file-names-unique/", "Making File Names Unique")</f>
        <v>Making File Names Unique</v>
      </c>
      <c r="C2257" s="1">
        <v>462</v>
      </c>
      <c r="D2257" s="1">
        <v>741</v>
      </c>
      <c r="E2257" s="3">
        <f t="shared" si="16"/>
        <v>0.38403990024937656</v>
      </c>
      <c r="F2257" s="1" t="s">
        <v>258</v>
      </c>
      <c r="G2257" s="1" t="s">
        <v>24</v>
      </c>
      <c r="H2257" s="1">
        <v>38778</v>
      </c>
      <c r="I2257" s="1">
        <v>101127</v>
      </c>
      <c r="J2257" s="7">
        <v>0.38300000000000001</v>
      </c>
      <c r="K2257" s="1" t="s">
        <v>21</v>
      </c>
      <c r="L2257" s="1" t="s">
        <v>29</v>
      </c>
      <c r="M2257" s="1" t="s">
        <v>29</v>
      </c>
      <c r="N2257" s="1" t="s">
        <v>22</v>
      </c>
      <c r="O2257" s="1" t="str">
        <f t="shared" ca="1" si="17"/>
        <v>Please solve the LeetCode problem '1487. Making File Names Unique'.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58" spans="1:15" x14ac:dyDescent="0.25">
      <c r="A2258" s="1">
        <v>2547</v>
      </c>
      <c r="B2258" s="2" t="str">
        <f>HYPERLINK("https://leetcode.com/problems/minimum-cost-to-split-an-array/", "Minimum Cost to Split an Array")</f>
        <v>Minimum Cost to Split an Array</v>
      </c>
      <c r="C2258" s="1">
        <v>462</v>
      </c>
      <c r="D2258" s="1">
        <v>31</v>
      </c>
      <c r="E2258" s="3">
        <f t="shared" si="16"/>
        <v>0.93711967545638941</v>
      </c>
      <c r="F2258" s="1" t="s">
        <v>943</v>
      </c>
      <c r="G2258" s="1" t="s">
        <v>28</v>
      </c>
      <c r="H2258" s="1">
        <v>15948</v>
      </c>
      <c r="I2258" s="1">
        <v>36502</v>
      </c>
      <c r="J2258" s="7">
        <v>0.437</v>
      </c>
      <c r="K2258" s="1" t="s">
        <v>21</v>
      </c>
      <c r="L2258" s="1" t="s">
        <v>29</v>
      </c>
      <c r="M2258" s="1" t="s">
        <v>29</v>
      </c>
      <c r="N2258" s="1" t="s">
        <v>22</v>
      </c>
      <c r="O2258" s="1" t="str">
        <f t="shared" ca="1" si="17"/>
        <v>Please solve the LeetCode problem '2547. Minimum Cost to Split an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59" spans="1:15" x14ac:dyDescent="0.25">
      <c r="A2259" s="1">
        <v>1890</v>
      </c>
      <c r="B2259" s="2" t="str">
        <f>HYPERLINK("https://leetcode.com/problems/the-latest-login-in-2020/", "The Latest Login in 2020")</f>
        <v>The Latest Login in 2020</v>
      </c>
      <c r="C2259" s="1">
        <v>461</v>
      </c>
      <c r="D2259" s="1">
        <v>17</v>
      </c>
      <c r="E2259" s="3">
        <f t="shared" si="16"/>
        <v>0.96443514644351469</v>
      </c>
      <c r="F2259" s="1" t="s">
        <v>297</v>
      </c>
      <c r="G2259" s="1" t="s">
        <v>20</v>
      </c>
      <c r="H2259" s="1">
        <v>135553</v>
      </c>
      <c r="I2259" s="1">
        <v>175726</v>
      </c>
      <c r="J2259" s="7">
        <v>0.77100000000000002</v>
      </c>
      <c r="K2259" s="1" t="s">
        <v>21</v>
      </c>
      <c r="L2259" s="1" t="s">
        <v>21</v>
      </c>
      <c r="M2259" s="1" t="s">
        <v>29</v>
      </c>
      <c r="N2259" s="1" t="s">
        <v>297</v>
      </c>
      <c r="O2259" s="1" t="str">
        <f t="shared" ca="1" si="17"/>
        <v>Please solve the LeetCode problem '1890. The Latest Login in 2020'.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60" spans="1:15" x14ac:dyDescent="0.25">
      <c r="A2260" s="1">
        <v>2589</v>
      </c>
      <c r="B2260" s="2" t="str">
        <f>HYPERLINK("https://leetcode.com/problems/minimum-time-to-complete-all-tasks/", "Minimum Time to Complete All Tasks")</f>
        <v>Minimum Time to Complete All Tasks</v>
      </c>
      <c r="C2260" s="1">
        <v>461</v>
      </c>
      <c r="D2260" s="1">
        <v>21</v>
      </c>
      <c r="E2260" s="3">
        <f t="shared" si="16"/>
        <v>0.95643153526970959</v>
      </c>
      <c r="F2260" s="1" t="s">
        <v>948</v>
      </c>
      <c r="G2260" s="1" t="s">
        <v>28</v>
      </c>
      <c r="H2260" s="1">
        <v>13803</v>
      </c>
      <c r="I2260" s="1">
        <v>35081</v>
      </c>
      <c r="J2260" s="7">
        <v>0.39300000000000002</v>
      </c>
      <c r="K2260" s="1" t="s">
        <v>21</v>
      </c>
      <c r="L2260" s="1" t="s">
        <v>29</v>
      </c>
      <c r="M2260" s="1" t="s">
        <v>29</v>
      </c>
      <c r="N2260" s="1" t="s">
        <v>22</v>
      </c>
      <c r="O2260" s="1" t="str">
        <f t="shared" ca="1" si="17"/>
        <v>Please solve the LeetCode problem '2589. Minimum Time to Complete All Tasks'.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61" spans="1:15" x14ac:dyDescent="0.25">
      <c r="A2261" s="1">
        <v>3272</v>
      </c>
      <c r="B2261" s="2" t="str">
        <f>HYPERLINK("https://leetcode.com/problems/find-the-count-of-good-integers/", "Find the Count of Good Integers")</f>
        <v>Find the Count of Good Integers</v>
      </c>
      <c r="C2261" s="1">
        <v>461</v>
      </c>
      <c r="D2261" s="1">
        <v>112</v>
      </c>
      <c r="E2261" s="3">
        <f t="shared" si="16"/>
        <v>0.8045375218150087</v>
      </c>
      <c r="F2261" s="1" t="s">
        <v>947</v>
      </c>
      <c r="G2261" s="1" t="s">
        <v>28</v>
      </c>
      <c r="H2261" s="1">
        <v>72686</v>
      </c>
      <c r="I2261" s="1">
        <v>104629</v>
      </c>
      <c r="J2261" s="7">
        <v>0.69499999999999995</v>
      </c>
      <c r="K2261" s="1" t="s">
        <v>21</v>
      </c>
      <c r="L2261" s="1" t="s">
        <v>21</v>
      </c>
      <c r="M2261" s="1" t="s">
        <v>29</v>
      </c>
      <c r="N2261" s="1" t="s">
        <v>22</v>
      </c>
      <c r="O2261" s="1" t="str">
        <f t="shared" ca="1" si="17"/>
        <v>Please solve the LeetCode problem '3272. Find the Count of Good Integers'.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62" spans="1:15" x14ac:dyDescent="0.25">
      <c r="A2262" s="1">
        <v>519</v>
      </c>
      <c r="B2262" s="2" t="str">
        <f>HYPERLINK("https://leetcode.com/problems/random-flip-matrix/", "Random Flip Matrix")</f>
        <v>Random Flip Matrix</v>
      </c>
      <c r="C2262" s="1">
        <v>460</v>
      </c>
      <c r="D2262" s="1">
        <v>135</v>
      </c>
      <c r="E2262" s="3">
        <f t="shared" si="16"/>
        <v>0.77310924369747902</v>
      </c>
      <c r="F2262" s="1" t="s">
        <v>617</v>
      </c>
      <c r="G2262" s="1" t="s">
        <v>24</v>
      </c>
      <c r="H2262" s="1">
        <v>29369</v>
      </c>
      <c r="I2262" s="1">
        <v>64985</v>
      </c>
      <c r="J2262" s="7">
        <v>0.45200000000000001</v>
      </c>
      <c r="K2262" s="1" t="s">
        <v>21</v>
      </c>
      <c r="L2262" s="1" t="s">
        <v>21</v>
      </c>
      <c r="M2262" s="1" t="s">
        <v>29</v>
      </c>
      <c r="N2262" s="1" t="s">
        <v>22</v>
      </c>
      <c r="O2262" s="1" t="str">
        <f t="shared" ca="1" si="17"/>
        <v>Please solve the LeetCode problem '519. Random Flip Matrix'.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63" spans="1:15" x14ac:dyDescent="0.25">
      <c r="A2263" s="1">
        <v>604</v>
      </c>
      <c r="B2263" s="2" t="str">
        <f>HYPERLINK("https://leetcode.com/problems/design-compressed-string-iterator/", "Design Compressed String Iterator")</f>
        <v>Design Compressed String Iterator</v>
      </c>
      <c r="C2263" s="1">
        <v>459</v>
      </c>
      <c r="D2263" s="1">
        <v>167</v>
      </c>
      <c r="E2263" s="3">
        <f t="shared" si="16"/>
        <v>0.73322683706070291</v>
      </c>
      <c r="F2263" s="1" t="s">
        <v>949</v>
      </c>
      <c r="G2263" s="1" t="s">
        <v>20</v>
      </c>
      <c r="H2263" s="1">
        <v>38929</v>
      </c>
      <c r="I2263" s="1">
        <v>96655</v>
      </c>
      <c r="J2263" s="7">
        <v>0.40300000000000002</v>
      </c>
      <c r="K2263" s="1" t="s">
        <v>29</v>
      </c>
      <c r="L2263" s="1" t="s">
        <v>21</v>
      </c>
      <c r="M2263" s="1" t="s">
        <v>29</v>
      </c>
      <c r="N2263" s="1" t="s">
        <v>22</v>
      </c>
      <c r="O2263" s="1" t="str">
        <f t="shared" ca="1" si="17"/>
        <v>Please solve the LeetCode problem '604. Design Compressed String Iterator'.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64" spans="1:15" x14ac:dyDescent="0.25">
      <c r="A2264" s="1">
        <v>1037</v>
      </c>
      <c r="B2264" s="2" t="str">
        <f>HYPERLINK("https://leetcode.com/problems/valid-boomerang/", "Valid Boomerang")</f>
        <v>Valid Boomerang</v>
      </c>
      <c r="C2264" s="1">
        <v>459</v>
      </c>
      <c r="D2264" s="1">
        <v>541</v>
      </c>
      <c r="E2264" s="3">
        <f t="shared" si="16"/>
        <v>0.45900000000000002</v>
      </c>
      <c r="F2264" s="1" t="s">
        <v>397</v>
      </c>
      <c r="G2264" s="1" t="s">
        <v>20</v>
      </c>
      <c r="H2264" s="1">
        <v>72381</v>
      </c>
      <c r="I2264" s="1">
        <v>185769</v>
      </c>
      <c r="J2264" s="7">
        <v>0.39</v>
      </c>
      <c r="K2264" s="1" t="s">
        <v>21</v>
      </c>
      <c r="L2264" s="1" t="s">
        <v>29</v>
      </c>
      <c r="M2264" s="1" t="s">
        <v>29</v>
      </c>
      <c r="N2264" s="1" t="s">
        <v>22</v>
      </c>
      <c r="O2264" s="1" t="str">
        <f t="shared" ca="1" si="17"/>
        <v>Please solve the LeetCode problem '1037. Valid Boomerang'.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65" spans="1:15" x14ac:dyDescent="0.25">
      <c r="A2265" s="1">
        <v>1144</v>
      </c>
      <c r="B2265" s="2" t="str">
        <f>HYPERLINK("https://leetcode.com/problems/decrease-elements-to-make-array-zigzag/", "Decrease Elements To Make Array Zigzag")</f>
        <v>Decrease Elements To Make Array Zigzag</v>
      </c>
      <c r="C2265" s="1">
        <v>459</v>
      </c>
      <c r="D2265" s="1">
        <v>168</v>
      </c>
      <c r="E2265" s="3">
        <f t="shared" si="16"/>
        <v>0.73205741626794263</v>
      </c>
      <c r="F2265" s="1" t="s">
        <v>96</v>
      </c>
      <c r="G2265" s="1" t="s">
        <v>24</v>
      </c>
      <c r="H2265" s="1">
        <v>24990</v>
      </c>
      <c r="I2265" s="1">
        <v>51083</v>
      </c>
      <c r="J2265" s="7">
        <v>0.48899999999999999</v>
      </c>
      <c r="K2265" s="1" t="s">
        <v>21</v>
      </c>
      <c r="L2265" s="1" t="s">
        <v>29</v>
      </c>
      <c r="M2265" s="1" t="s">
        <v>29</v>
      </c>
      <c r="N2265" s="1" t="s">
        <v>22</v>
      </c>
      <c r="O2265" s="1" t="str">
        <f t="shared" ca="1" si="17"/>
        <v>Please solve the LeetCode problem '1144. Decrease Elements To Make Array Zigzag'.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66" spans="1:15" x14ac:dyDescent="0.25">
      <c r="A2266" s="1">
        <v>2744</v>
      </c>
      <c r="B2266" s="2" t="str">
        <f>HYPERLINK("https://leetcode.com/problems/find-maximum-number-of-string-pairs/", "Find Maximum Number of String Pairs")</f>
        <v>Find Maximum Number of String Pairs</v>
      </c>
      <c r="C2266" s="1">
        <v>459</v>
      </c>
      <c r="D2266" s="1">
        <v>18</v>
      </c>
      <c r="E2266" s="3">
        <f t="shared" si="16"/>
        <v>0.96226415094339623</v>
      </c>
      <c r="F2266" s="1" t="s">
        <v>944</v>
      </c>
      <c r="G2266" s="1" t="s">
        <v>20</v>
      </c>
      <c r="H2266" s="1">
        <v>110468</v>
      </c>
      <c r="I2266" s="1">
        <v>134384</v>
      </c>
      <c r="J2266" s="7">
        <v>0.82199999999999995</v>
      </c>
      <c r="K2266" s="1" t="s">
        <v>21</v>
      </c>
      <c r="L2266" s="1" t="s">
        <v>29</v>
      </c>
      <c r="M2266" s="1" t="s">
        <v>29</v>
      </c>
      <c r="N2266" s="1" t="s">
        <v>22</v>
      </c>
      <c r="O2266" s="1" t="str">
        <f t="shared" ca="1" si="17"/>
        <v>Please solve the LeetCode problem '2744. Find Maximum Number of String Pairs'.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67" spans="1:15" x14ac:dyDescent="0.25">
      <c r="A2267" s="1">
        <v>2057</v>
      </c>
      <c r="B2267" s="2" t="str">
        <f>HYPERLINK("https://leetcode.com/problems/smallest-index-with-equal-value/", "Smallest Index With Equal Value")</f>
        <v>Smallest Index With Equal Value</v>
      </c>
      <c r="C2267" s="1">
        <v>455</v>
      </c>
      <c r="D2267" s="1">
        <v>145</v>
      </c>
      <c r="E2267" s="3">
        <f t="shared" si="16"/>
        <v>0.7583333333333333</v>
      </c>
      <c r="F2267" s="1" t="s">
        <v>113</v>
      </c>
      <c r="G2267" s="1" t="s">
        <v>20</v>
      </c>
      <c r="H2267" s="1">
        <v>83602</v>
      </c>
      <c r="I2267" s="1">
        <v>114550</v>
      </c>
      <c r="J2267" s="7">
        <v>0.73</v>
      </c>
      <c r="K2267" s="1" t="s">
        <v>21</v>
      </c>
      <c r="L2267" s="1" t="s">
        <v>29</v>
      </c>
      <c r="M2267" s="1" t="s">
        <v>29</v>
      </c>
      <c r="N2267" s="1" t="s">
        <v>22</v>
      </c>
      <c r="O2267" s="1" t="str">
        <f t="shared" ca="1" si="17"/>
        <v>Please solve the LeetCode problem '2057. Smallest Index With Equal Value'.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68" spans="1:15" x14ac:dyDescent="0.25">
      <c r="A2268" s="1">
        <v>2318</v>
      </c>
      <c r="B2268" s="2" t="str">
        <f>HYPERLINK("https://leetcode.com/problems/number-of-distinct-roll-sequences/", "Number of Distinct Roll Sequences")</f>
        <v>Number of Distinct Roll Sequences</v>
      </c>
      <c r="C2268" s="1">
        <v>455</v>
      </c>
      <c r="D2268" s="1">
        <v>20</v>
      </c>
      <c r="E2268" s="3">
        <f t="shared" si="16"/>
        <v>0.95789473684210524</v>
      </c>
      <c r="F2268" s="1" t="s">
        <v>709</v>
      </c>
      <c r="G2268" s="1" t="s">
        <v>28</v>
      </c>
      <c r="H2268" s="1">
        <v>13779</v>
      </c>
      <c r="I2268" s="1">
        <v>23729</v>
      </c>
      <c r="J2268" s="7">
        <v>0.58099999999999996</v>
      </c>
      <c r="K2268" s="1" t="s">
        <v>21</v>
      </c>
      <c r="L2268" s="1" t="s">
        <v>29</v>
      </c>
      <c r="M2268" s="1" t="s">
        <v>29</v>
      </c>
      <c r="N2268" s="1" t="s">
        <v>22</v>
      </c>
      <c r="O2268" s="1" t="str">
        <f t="shared" ca="1" si="17"/>
        <v>Please solve the LeetCode problem '2318. Number of Distinct Roll Sequences'.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69" spans="1:15" x14ac:dyDescent="0.25">
      <c r="A2269" s="1">
        <v>1585</v>
      </c>
      <c r="B2269" s="2" t="str">
        <f>HYPERLINK("https://leetcode.com/problems/check-if-string-is-transformable-with-substring-sort-operations/", "Check If String Is Transformable With Substring Sort Operations")</f>
        <v>Check If String Is Transformable With Substring Sort Operations</v>
      </c>
      <c r="C2269" s="1">
        <v>454</v>
      </c>
      <c r="D2269" s="1">
        <v>11</v>
      </c>
      <c r="E2269" s="3">
        <f t="shared" si="16"/>
        <v>0.97634408602150535</v>
      </c>
      <c r="F2269" s="1" t="s">
        <v>771</v>
      </c>
      <c r="G2269" s="1" t="s">
        <v>28</v>
      </c>
      <c r="H2269" s="1">
        <v>12063</v>
      </c>
      <c r="I2269" s="1">
        <v>23625</v>
      </c>
      <c r="J2269" s="7">
        <v>0.51100000000000001</v>
      </c>
      <c r="K2269" s="1" t="s">
        <v>21</v>
      </c>
      <c r="L2269" s="1" t="s">
        <v>29</v>
      </c>
      <c r="M2269" s="1" t="s">
        <v>29</v>
      </c>
      <c r="N2269" s="1" t="s">
        <v>22</v>
      </c>
      <c r="O2269" s="1" t="str">
        <f t="shared" ca="1" si="17"/>
        <v>Please solve the LeetCode problem '1585. Check If String Is Transformable With Substring Sort Operations'.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70" spans="1:15" x14ac:dyDescent="0.25">
      <c r="A2270" s="1">
        <v>3024</v>
      </c>
      <c r="B2270" s="2" t="str">
        <f>HYPERLINK("https://leetcode.com/problems/type-of-triangle/", "Type of Triangle")</f>
        <v>Type of Triangle</v>
      </c>
      <c r="C2270" s="1">
        <v>454</v>
      </c>
      <c r="D2270" s="1">
        <v>65</v>
      </c>
      <c r="E2270" s="3">
        <f t="shared" si="16"/>
        <v>0.87475915221579958</v>
      </c>
      <c r="F2270" s="1" t="s">
        <v>284</v>
      </c>
      <c r="G2270" s="1" t="s">
        <v>20</v>
      </c>
      <c r="H2270" s="1">
        <v>209634</v>
      </c>
      <c r="I2270" s="1">
        <v>474112</v>
      </c>
      <c r="J2270" s="7">
        <v>0.442</v>
      </c>
      <c r="K2270" s="1" t="s">
        <v>21</v>
      </c>
      <c r="L2270" s="1" t="s">
        <v>21</v>
      </c>
      <c r="M2270" s="1" t="s">
        <v>29</v>
      </c>
      <c r="N2270" s="1" t="s">
        <v>22</v>
      </c>
      <c r="O2270" s="1" t="str">
        <f t="shared" ca="1" si="17"/>
        <v>Please solve the LeetCode problem '3024. Type of Triangle'.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71" spans="1:15" x14ac:dyDescent="0.25">
      <c r="A2271" s="1">
        <v>531</v>
      </c>
      <c r="B2271" s="2" t="str">
        <f>HYPERLINK("https://leetcode.com/problems/lonely-pixel-i/", "Lonely Pixel I")</f>
        <v>Lonely Pixel I</v>
      </c>
      <c r="C2271" s="1">
        <v>451</v>
      </c>
      <c r="D2271" s="1">
        <v>41</v>
      </c>
      <c r="E2271" s="3">
        <f t="shared" si="16"/>
        <v>0.91666666666666663</v>
      </c>
      <c r="F2271" s="1" t="s">
        <v>78</v>
      </c>
      <c r="G2271" s="1" t="s">
        <v>24</v>
      </c>
      <c r="H2271" s="1">
        <v>47507</v>
      </c>
      <c r="I2271" s="1">
        <v>75887</v>
      </c>
      <c r="J2271" s="7">
        <v>0.626</v>
      </c>
      <c r="K2271" s="1" t="s">
        <v>29</v>
      </c>
      <c r="L2271" s="1" t="s">
        <v>21</v>
      </c>
      <c r="M2271" s="1" t="s">
        <v>21</v>
      </c>
      <c r="N2271" s="1" t="s">
        <v>22</v>
      </c>
      <c r="O2271" s="1" t="str">
        <f t="shared" ca="1" si="17"/>
        <v>Please solve the LeetCode problem '531. Lonely Pixel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72" spans="1:15" x14ac:dyDescent="0.25">
      <c r="A2272" s="1">
        <v>2507</v>
      </c>
      <c r="B2272" s="2" t="str">
        <f>HYPERLINK("https://leetcode.com/problems/smallest-value-after-replacing-with-sum-of-prime-factors/", "Smallest Value After Replacing With Sum of Prime Factors")</f>
        <v>Smallest Value After Replacing With Sum of Prime Factors</v>
      </c>
      <c r="C2272" s="1">
        <v>451</v>
      </c>
      <c r="D2272" s="1">
        <v>29</v>
      </c>
      <c r="E2272" s="3">
        <f t="shared" si="16"/>
        <v>0.93958333333333333</v>
      </c>
      <c r="F2272" s="1" t="s">
        <v>242</v>
      </c>
      <c r="G2272" s="1" t="s">
        <v>24</v>
      </c>
      <c r="H2272" s="1">
        <v>31323</v>
      </c>
      <c r="I2272" s="1">
        <v>63042</v>
      </c>
      <c r="J2272" s="7">
        <v>0.497</v>
      </c>
      <c r="K2272" s="1" t="s">
        <v>21</v>
      </c>
      <c r="L2272" s="1" t="s">
        <v>29</v>
      </c>
      <c r="M2272" s="1" t="s">
        <v>29</v>
      </c>
      <c r="N2272" s="1" t="s">
        <v>22</v>
      </c>
      <c r="O2272" s="1" t="str">
        <f t="shared" ca="1" si="17"/>
        <v>Please solve the LeetCode problem '2507. Smallest Value After Replacing With Sum of Prime Factors'.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73" spans="1:15" x14ac:dyDescent="0.25">
      <c r="A2273" s="1">
        <v>2234</v>
      </c>
      <c r="B2273" s="2" t="str">
        <f>HYPERLINK("https://leetcode.com/problems/maximum-total-beauty-of-the-gardens/", "Maximum Total Beauty of the Gardens")</f>
        <v>Maximum Total Beauty of the Gardens</v>
      </c>
      <c r="C2273" s="1">
        <v>450</v>
      </c>
      <c r="D2273" s="1">
        <v>41</v>
      </c>
      <c r="E2273" s="3">
        <f t="shared" si="16"/>
        <v>0.91649694501018331</v>
      </c>
      <c r="F2273" s="1" t="s">
        <v>950</v>
      </c>
      <c r="G2273" s="1" t="s">
        <v>28</v>
      </c>
      <c r="H2273" s="1">
        <v>9301</v>
      </c>
      <c r="I2273" s="1">
        <v>30714</v>
      </c>
      <c r="J2273" s="7">
        <v>0.30299999999999999</v>
      </c>
      <c r="K2273" s="1" t="s">
        <v>21</v>
      </c>
      <c r="L2273" s="1" t="s">
        <v>29</v>
      </c>
      <c r="M2273" s="1" t="s">
        <v>29</v>
      </c>
      <c r="N2273" s="1" t="s">
        <v>22</v>
      </c>
      <c r="O2273" s="1" t="str">
        <f t="shared" ca="1" si="17"/>
        <v>Please solve the LeetCode problem '2234. Maximum Total Beauty of the Gardens'.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74" spans="1:15" x14ac:dyDescent="0.25">
      <c r="A2274" s="1">
        <v>2475</v>
      </c>
      <c r="B2274" s="2" t="str">
        <f>HYPERLINK("https://leetcode.com/problems/number-of-unequal-triplets-in-array/", "Number of Unequal Triplets in Array")</f>
        <v>Number of Unequal Triplets in Array</v>
      </c>
      <c r="C2274" s="1">
        <v>450</v>
      </c>
      <c r="D2274" s="1">
        <v>48</v>
      </c>
      <c r="E2274" s="3">
        <f t="shared" si="16"/>
        <v>0.90361445783132532</v>
      </c>
      <c r="F2274" s="1" t="s">
        <v>92</v>
      </c>
      <c r="G2274" s="1" t="s">
        <v>20</v>
      </c>
      <c r="H2274" s="1">
        <v>59974</v>
      </c>
      <c r="I2274" s="1">
        <v>81931</v>
      </c>
      <c r="J2274" s="7">
        <v>0.73199999999999998</v>
      </c>
      <c r="K2274" s="1" t="s">
        <v>21</v>
      </c>
      <c r="L2274" s="1" t="s">
        <v>29</v>
      </c>
      <c r="M2274" s="1" t="s">
        <v>29</v>
      </c>
      <c r="N2274" s="1" t="s">
        <v>22</v>
      </c>
      <c r="O2274" s="1" t="str">
        <f t="shared" ca="1" si="17"/>
        <v>Please solve the LeetCode problem '2475. Number of Unequal Triplets in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75" spans="1:15" x14ac:dyDescent="0.25">
      <c r="A2275" s="1">
        <v>2497</v>
      </c>
      <c r="B2275" s="2" t="str">
        <f>HYPERLINK("https://leetcode.com/problems/maximum-star-sum-of-a-graph/", "Maximum Star Sum of a Graph")</f>
        <v>Maximum Star Sum of a Graph</v>
      </c>
      <c r="C2275" s="1">
        <v>450</v>
      </c>
      <c r="D2275" s="1">
        <v>60</v>
      </c>
      <c r="E2275" s="3">
        <f t="shared" si="16"/>
        <v>0.88235294117647056</v>
      </c>
      <c r="F2275" s="1" t="s">
        <v>951</v>
      </c>
      <c r="G2275" s="1" t="s">
        <v>24</v>
      </c>
      <c r="H2275" s="1">
        <v>29755</v>
      </c>
      <c r="I2275" s="1">
        <v>71115</v>
      </c>
      <c r="J2275" s="7">
        <v>0.41799999999999998</v>
      </c>
      <c r="K2275" s="1" t="s">
        <v>21</v>
      </c>
      <c r="L2275" s="1" t="s">
        <v>29</v>
      </c>
      <c r="M2275" s="1" t="s">
        <v>29</v>
      </c>
      <c r="N2275" s="1" t="s">
        <v>22</v>
      </c>
      <c r="O2275" s="1" t="str">
        <f t="shared" ca="1" si="17"/>
        <v>Please solve the LeetCode problem '2497. Maximum Star Sum of a Graph'.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76" spans="1:15" x14ac:dyDescent="0.25">
      <c r="A2276" s="1">
        <v>1185</v>
      </c>
      <c r="B2276" s="2" t="str">
        <f>HYPERLINK("https://leetcode.com/problems/day-of-the-week/", "Day of the Week")</f>
        <v>Day of the Week</v>
      </c>
      <c r="C2276" s="1">
        <v>449</v>
      </c>
      <c r="D2276" s="1">
        <v>2557</v>
      </c>
      <c r="E2276" s="3">
        <f t="shared" si="16"/>
        <v>0.14936793080505656</v>
      </c>
      <c r="F2276" s="1" t="s">
        <v>84</v>
      </c>
      <c r="G2276" s="1" t="s">
        <v>20</v>
      </c>
      <c r="H2276" s="1">
        <v>86762</v>
      </c>
      <c r="I2276" s="1">
        <v>147145</v>
      </c>
      <c r="J2276" s="7">
        <v>0.59</v>
      </c>
      <c r="K2276" s="1" t="s">
        <v>21</v>
      </c>
      <c r="L2276" s="1" t="s">
        <v>29</v>
      </c>
      <c r="M2276" s="1" t="s">
        <v>29</v>
      </c>
      <c r="N2276" s="1" t="s">
        <v>22</v>
      </c>
      <c r="O2276" s="1" t="str">
        <f t="shared" ca="1" si="17"/>
        <v>Please solve the LeetCode problem '1185. Day of the Week'.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77" spans="1:15" x14ac:dyDescent="0.25">
      <c r="A2277" s="1">
        <v>2449</v>
      </c>
      <c r="B2277" s="2" t="str">
        <f>HYPERLINK("https://leetcode.com/problems/minimum-number-of-operations-to-make-arrays-similar/", "Minimum Number of Operations to Make Arrays Similar")</f>
        <v>Minimum Number of Operations to Make Arrays Similar</v>
      </c>
      <c r="C2277" s="1">
        <v>447</v>
      </c>
      <c r="D2277" s="1">
        <v>16</v>
      </c>
      <c r="E2277" s="3">
        <f t="shared" si="16"/>
        <v>0.96544276457883371</v>
      </c>
      <c r="F2277" s="1" t="s">
        <v>169</v>
      </c>
      <c r="G2277" s="1" t="s">
        <v>28</v>
      </c>
      <c r="H2277" s="1">
        <v>16987</v>
      </c>
      <c r="I2277" s="1">
        <v>27673</v>
      </c>
      <c r="J2277" s="7">
        <v>0.61399999999999999</v>
      </c>
      <c r="K2277" s="1" t="s">
        <v>21</v>
      </c>
      <c r="L2277" s="1" t="s">
        <v>29</v>
      </c>
      <c r="M2277" s="1" t="s">
        <v>29</v>
      </c>
      <c r="N2277" s="1" t="s">
        <v>22</v>
      </c>
      <c r="O2277" s="1" t="str">
        <f t="shared" ca="1" si="17"/>
        <v>Please solve the LeetCode problem '2449. Minimum Number of Operations to Make Arrays Similar'.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78" spans="1:15" x14ac:dyDescent="0.25">
      <c r="A2278" s="1">
        <v>2156</v>
      </c>
      <c r="B2278" s="2" t="str">
        <f>HYPERLINK("https://leetcode.com/problems/find-substring-with-given-hash-value/", "Find Substring With Given Hash Value")</f>
        <v>Find Substring With Given Hash Value</v>
      </c>
      <c r="C2278" s="1">
        <v>446</v>
      </c>
      <c r="D2278" s="1">
        <v>385</v>
      </c>
      <c r="E2278" s="3">
        <f t="shared" si="16"/>
        <v>0.53670276774969916</v>
      </c>
      <c r="F2278" s="1" t="s">
        <v>952</v>
      </c>
      <c r="G2278" s="1" t="s">
        <v>28</v>
      </c>
      <c r="H2278" s="1">
        <v>16269</v>
      </c>
      <c r="I2278" s="1">
        <v>63088</v>
      </c>
      <c r="J2278" s="7">
        <v>0.25800000000000001</v>
      </c>
      <c r="K2278" s="1" t="s">
        <v>21</v>
      </c>
      <c r="L2278" s="1" t="s">
        <v>29</v>
      </c>
      <c r="M2278" s="1" t="s">
        <v>29</v>
      </c>
      <c r="N2278" s="1" t="s">
        <v>22</v>
      </c>
      <c r="O2278" s="1" t="str">
        <f t="shared" ca="1" si="17"/>
        <v>Please solve the LeetCode problem '2156. Find Substring With Given Hash Value'.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79" spans="1:15" x14ac:dyDescent="0.25">
      <c r="A2279" s="1">
        <v>3321</v>
      </c>
      <c r="B2279" s="2" t="str">
        <f>HYPERLINK("https://leetcode.com/problems/find-x-sum-of-all-k-long-subarrays-ii/", "Find X-Sum of All K-Long Subarrays II")</f>
        <v>Find X-Sum of All K-Long Subarrays II</v>
      </c>
      <c r="C2279" s="1">
        <v>446</v>
      </c>
      <c r="D2279" s="1">
        <v>50</v>
      </c>
      <c r="E2279" s="3">
        <f t="shared" si="16"/>
        <v>0.89919354838709675</v>
      </c>
      <c r="F2279" s="1" t="s">
        <v>344</v>
      </c>
      <c r="G2279" s="1" t="s">
        <v>28</v>
      </c>
      <c r="H2279" s="1">
        <v>64429</v>
      </c>
      <c r="I2279" s="1">
        <v>156782</v>
      </c>
      <c r="J2279" s="7">
        <v>0.41099999999999998</v>
      </c>
      <c r="K2279" s="1" t="s">
        <v>21</v>
      </c>
      <c r="L2279" s="1" t="s">
        <v>21</v>
      </c>
      <c r="M2279" s="1" t="s">
        <v>29</v>
      </c>
      <c r="N2279" s="1" t="s">
        <v>22</v>
      </c>
      <c r="O2279" s="1" t="str">
        <f t="shared" ca="1" si="17"/>
        <v>Please solve the LeetCode problem '3321. Find X-Sum of All K-Long Subarrays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80" spans="1:15" x14ac:dyDescent="0.25">
      <c r="A2280" s="1">
        <v>3363</v>
      </c>
      <c r="B2280" s="2" t="str">
        <f>HYPERLINK("https://leetcode.com/problems/find-the-maximum-number-of-fruits-collected/", "Find the Maximum Number of Fruits Collected")</f>
        <v>Find the Maximum Number of Fruits Collected</v>
      </c>
      <c r="C2280" s="1">
        <v>445</v>
      </c>
      <c r="D2280" s="1">
        <v>42</v>
      </c>
      <c r="E2280" s="3">
        <f t="shared" si="16"/>
        <v>0.91375770020533886</v>
      </c>
      <c r="F2280" s="1" t="s">
        <v>94</v>
      </c>
      <c r="G2280" s="1" t="s">
        <v>28</v>
      </c>
      <c r="H2280" s="1">
        <v>70343</v>
      </c>
      <c r="I2280" s="1">
        <v>108039</v>
      </c>
      <c r="J2280" s="7">
        <v>0.65100000000000002</v>
      </c>
      <c r="K2280" s="1" t="s">
        <v>21</v>
      </c>
      <c r="L2280" s="1" t="s">
        <v>21</v>
      </c>
      <c r="M2280" s="1" t="s">
        <v>29</v>
      </c>
      <c r="N2280" s="1" t="s">
        <v>22</v>
      </c>
      <c r="O2280" s="1" t="str">
        <f t="shared" ca="1" si="17"/>
        <v>Please solve the LeetCode problem '3363. Find the Maximum Number of Fruits Collected'.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81" spans="1:15" x14ac:dyDescent="0.25">
      <c r="A2281" s="1">
        <v>3372</v>
      </c>
      <c r="B2281" s="2" t="str">
        <f>HYPERLINK("https://leetcode.com/problems/maximize-the-number-of-target-nodes-after-connecting-trees-i/", "Maximize the Number of Target Nodes After Connecting Trees I")</f>
        <v>Maximize the Number of Target Nodes After Connecting Trees I</v>
      </c>
      <c r="C2281" s="1">
        <v>444</v>
      </c>
      <c r="D2281" s="1">
        <v>266</v>
      </c>
      <c r="E2281" s="3">
        <f t="shared" si="16"/>
        <v>0.62535211267605639</v>
      </c>
      <c r="F2281" s="1" t="s">
        <v>300</v>
      </c>
      <c r="G2281" s="1" t="s">
        <v>24</v>
      </c>
      <c r="H2281" s="1">
        <v>83860</v>
      </c>
      <c r="I2281" s="1">
        <v>120621</v>
      </c>
      <c r="J2281" s="7">
        <v>0.69499999999999995</v>
      </c>
      <c r="K2281" s="1" t="s">
        <v>21</v>
      </c>
      <c r="L2281" s="1" t="s">
        <v>21</v>
      </c>
      <c r="M2281" s="1" t="s">
        <v>29</v>
      </c>
      <c r="N2281" s="1" t="s">
        <v>22</v>
      </c>
      <c r="O2281" s="1" t="str">
        <f t="shared" ca="1" si="17"/>
        <v>Please solve the LeetCode problem '3372. Maximize the Number of Target Nodes After Connecting Trees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82" spans="1:15" x14ac:dyDescent="0.25">
      <c r="A2282" s="1">
        <v>466</v>
      </c>
      <c r="B2282" s="2" t="str">
        <f>HYPERLINK("https://leetcode.com/problems/count-the-repetitions/", "Count The Repetitions")</f>
        <v>Count The Repetitions</v>
      </c>
      <c r="C2282" s="1">
        <v>443</v>
      </c>
      <c r="D2282" s="1">
        <v>369</v>
      </c>
      <c r="E2282" s="3">
        <f t="shared" si="16"/>
        <v>0.54556650246305416</v>
      </c>
      <c r="F2282" s="1" t="s">
        <v>82</v>
      </c>
      <c r="G2282" s="1" t="s">
        <v>28</v>
      </c>
      <c r="H2282" s="1">
        <v>26812</v>
      </c>
      <c r="I2282" s="1">
        <v>80204</v>
      </c>
      <c r="J2282" s="7">
        <v>0.33400000000000002</v>
      </c>
      <c r="K2282" s="1" t="s">
        <v>21</v>
      </c>
      <c r="L2282" s="1" t="s">
        <v>21</v>
      </c>
      <c r="M2282" s="1" t="s">
        <v>29</v>
      </c>
      <c r="N2282" s="1" t="s">
        <v>22</v>
      </c>
      <c r="O2282" s="1" t="str">
        <f t="shared" ca="1" si="17"/>
        <v>Please solve the LeetCode problem '466. Count The Repetitions'.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83" spans="1:15" x14ac:dyDescent="0.25">
      <c r="A2283" s="1">
        <v>1270</v>
      </c>
      <c r="B2283" s="2" t="str">
        <f>HYPERLINK("https://leetcode.com/problems/all-people-report-to-the-given-manager/", "All People Report to the Given Manager")</f>
        <v>All People Report to the Given Manager</v>
      </c>
      <c r="C2283" s="1">
        <v>443</v>
      </c>
      <c r="D2283" s="1">
        <v>32</v>
      </c>
      <c r="E2283" s="3">
        <f t="shared" si="16"/>
        <v>0.93263157894736837</v>
      </c>
      <c r="F2283" s="1" t="s">
        <v>297</v>
      </c>
      <c r="G2283" s="1" t="s">
        <v>24</v>
      </c>
      <c r="H2283" s="1">
        <v>65969</v>
      </c>
      <c r="I2283" s="1">
        <v>78479</v>
      </c>
      <c r="J2283" s="7">
        <v>0.84099999999999997</v>
      </c>
      <c r="K2283" s="1" t="s">
        <v>29</v>
      </c>
      <c r="L2283" s="1" t="s">
        <v>29</v>
      </c>
      <c r="M2283" s="1" t="s">
        <v>29</v>
      </c>
      <c r="N2283" s="1" t="s">
        <v>297</v>
      </c>
      <c r="O2283" s="1" t="str">
        <f t="shared" ca="1" si="17"/>
        <v>Please solve the LeetCode problem '1270. All People Report to the Given Manager'.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84" spans="1:15" x14ac:dyDescent="0.25">
      <c r="A2284" s="1">
        <v>2772</v>
      </c>
      <c r="B2284" s="2" t="str">
        <f>HYPERLINK("https://leetcode.com/problems/apply-operations-to-make-all-array-elements-equal-to-zero/", "Apply Operations to Make All Array Elements Equal to Zero")</f>
        <v>Apply Operations to Make All Array Elements Equal to Zero</v>
      </c>
      <c r="C2284" s="1">
        <v>443</v>
      </c>
      <c r="D2284" s="1">
        <v>32</v>
      </c>
      <c r="E2284" s="3">
        <f t="shared" si="16"/>
        <v>0.93263157894736837</v>
      </c>
      <c r="F2284" s="1" t="s">
        <v>37</v>
      </c>
      <c r="G2284" s="1" t="s">
        <v>24</v>
      </c>
      <c r="H2284" s="1">
        <v>17666</v>
      </c>
      <c r="I2284" s="1">
        <v>53286</v>
      </c>
      <c r="J2284" s="7">
        <v>0.33200000000000002</v>
      </c>
      <c r="K2284" s="1" t="s">
        <v>21</v>
      </c>
      <c r="L2284" s="1" t="s">
        <v>29</v>
      </c>
      <c r="M2284" s="1" t="s">
        <v>29</v>
      </c>
      <c r="N2284" s="1" t="s">
        <v>22</v>
      </c>
      <c r="O2284" s="1" t="str">
        <f t="shared" ca="1" si="17"/>
        <v>Please solve the LeetCode problem '2772. Apply Operations to Make All Array Elements Equal to Zero'.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85" spans="1:15" x14ac:dyDescent="0.25">
      <c r="A2285" s="1">
        <v>422</v>
      </c>
      <c r="B2285" s="2" t="str">
        <f>HYPERLINK("https://leetcode.com/problems/valid-word-square/", "Valid Word Square")</f>
        <v>Valid Word Square</v>
      </c>
      <c r="C2285" s="1">
        <v>442</v>
      </c>
      <c r="D2285" s="1">
        <v>271</v>
      </c>
      <c r="E2285" s="3">
        <f t="shared" si="16"/>
        <v>0.61991584852734927</v>
      </c>
      <c r="F2285" s="1" t="s">
        <v>266</v>
      </c>
      <c r="G2285" s="1" t="s">
        <v>20</v>
      </c>
      <c r="H2285" s="1">
        <v>67648</v>
      </c>
      <c r="I2285" s="1">
        <v>160093</v>
      </c>
      <c r="J2285" s="7">
        <v>0.42299999999999999</v>
      </c>
      <c r="K2285" s="1" t="s">
        <v>29</v>
      </c>
      <c r="L2285" s="1" t="s">
        <v>21</v>
      </c>
      <c r="M2285" s="1" t="s">
        <v>29</v>
      </c>
      <c r="N2285" s="1" t="s">
        <v>22</v>
      </c>
      <c r="O2285" s="1" t="str">
        <f t="shared" ca="1" si="17"/>
        <v>Please solve the LeetCode problem '422. Valid Word Square'.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86" spans="1:15" x14ac:dyDescent="0.25">
      <c r="A2286" s="1">
        <v>1064</v>
      </c>
      <c r="B2286" s="2" t="str">
        <f>HYPERLINK("https://leetcode.com/problems/fixed-point/", "Fixed Point")</f>
        <v>Fixed Point</v>
      </c>
      <c r="C2286" s="1">
        <v>441</v>
      </c>
      <c r="D2286" s="1">
        <v>67</v>
      </c>
      <c r="E2286" s="3">
        <f t="shared" si="16"/>
        <v>0.86811023622047245</v>
      </c>
      <c r="F2286" s="1" t="s">
        <v>35</v>
      </c>
      <c r="G2286" s="1" t="s">
        <v>20</v>
      </c>
      <c r="H2286" s="1">
        <v>48970</v>
      </c>
      <c r="I2286" s="1">
        <v>76767</v>
      </c>
      <c r="J2286" s="7">
        <v>0.63800000000000001</v>
      </c>
      <c r="K2286" s="1" t="s">
        <v>29</v>
      </c>
      <c r="L2286" s="1" t="s">
        <v>21</v>
      </c>
      <c r="M2286" s="1" t="s">
        <v>29</v>
      </c>
      <c r="N2286" s="1" t="s">
        <v>22</v>
      </c>
      <c r="O2286" s="1" t="str">
        <f t="shared" ca="1" si="17"/>
        <v>Please solve the LeetCode problem '1064. Fixed Point'.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87" spans="1:15" x14ac:dyDescent="0.25">
      <c r="A2287" s="1">
        <v>1447</v>
      </c>
      <c r="B2287" s="2" t="str">
        <f>HYPERLINK("https://leetcode.com/problems/simplified-fractions/", "Simplified Fractions")</f>
        <v>Simplified Fractions</v>
      </c>
      <c r="C2287" s="1">
        <v>441</v>
      </c>
      <c r="D2287" s="1">
        <v>48</v>
      </c>
      <c r="E2287" s="3">
        <f t="shared" si="16"/>
        <v>0.90184049079754602</v>
      </c>
      <c r="F2287" s="1" t="s">
        <v>953</v>
      </c>
      <c r="G2287" s="1" t="s">
        <v>24</v>
      </c>
      <c r="H2287" s="1">
        <v>43753</v>
      </c>
      <c r="I2287" s="1">
        <v>63040</v>
      </c>
      <c r="J2287" s="7">
        <v>0.69399999999999995</v>
      </c>
      <c r="K2287" s="1" t="s">
        <v>21</v>
      </c>
      <c r="L2287" s="1" t="s">
        <v>29</v>
      </c>
      <c r="M2287" s="1" t="s">
        <v>29</v>
      </c>
      <c r="N2287" s="1" t="s">
        <v>22</v>
      </c>
      <c r="O2287" s="1" t="str">
        <f t="shared" ca="1" si="17"/>
        <v>Please solve the LeetCode problem '1447. Simplified Fractions'.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88" spans="1:15" x14ac:dyDescent="0.25">
      <c r="A2288" s="1">
        <v>2541</v>
      </c>
      <c r="B2288" s="2" t="str">
        <f>HYPERLINK("https://leetcode.com/problems/minimum-operations-to-make-array-equal-ii/", "Minimum Operations to Make Array Equal II")</f>
        <v>Minimum Operations to Make Array Equal II</v>
      </c>
      <c r="C2288" s="1">
        <v>441</v>
      </c>
      <c r="D2288" s="1">
        <v>26</v>
      </c>
      <c r="E2288" s="3">
        <f t="shared" si="16"/>
        <v>0.94432548179871523</v>
      </c>
      <c r="F2288" s="1" t="s">
        <v>435</v>
      </c>
      <c r="G2288" s="1" t="s">
        <v>24</v>
      </c>
      <c r="H2288" s="1">
        <v>27632</v>
      </c>
      <c r="I2288" s="1">
        <v>83827</v>
      </c>
      <c r="J2288" s="7">
        <v>0.33</v>
      </c>
      <c r="K2288" s="1" t="s">
        <v>21</v>
      </c>
      <c r="L2288" s="1" t="s">
        <v>29</v>
      </c>
      <c r="M2288" s="1" t="s">
        <v>29</v>
      </c>
      <c r="N2288" s="1" t="s">
        <v>22</v>
      </c>
      <c r="O2288" s="1" t="str">
        <f t="shared" ca="1" si="17"/>
        <v>Please solve the LeetCode problem '2541. Minimum Operations to Make Array Equal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89" spans="1:15" x14ac:dyDescent="0.25">
      <c r="A2289" s="1">
        <v>1175</v>
      </c>
      <c r="B2289" s="2" t="str">
        <f>HYPERLINK("https://leetcode.com/problems/prime-arrangements/", "Prime Arrangements")</f>
        <v>Prime Arrangements</v>
      </c>
      <c r="C2289" s="1">
        <v>439</v>
      </c>
      <c r="D2289" s="1">
        <v>537</v>
      </c>
      <c r="E2289" s="3">
        <f t="shared" si="16"/>
        <v>0.44979508196721313</v>
      </c>
      <c r="F2289" s="1" t="s">
        <v>84</v>
      </c>
      <c r="G2289" s="1" t="s">
        <v>20</v>
      </c>
      <c r="H2289" s="1">
        <v>41737</v>
      </c>
      <c r="I2289" s="1">
        <v>68965</v>
      </c>
      <c r="J2289" s="7">
        <v>0.60499999999999998</v>
      </c>
      <c r="K2289" s="1" t="s">
        <v>21</v>
      </c>
      <c r="L2289" s="1" t="s">
        <v>29</v>
      </c>
      <c r="M2289" s="1" t="s">
        <v>29</v>
      </c>
      <c r="N2289" s="1" t="s">
        <v>22</v>
      </c>
      <c r="O2289" s="1" t="str">
        <f t="shared" ca="1" si="17"/>
        <v>Please solve the LeetCode problem '1175. Prime Arrangements'.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90" spans="1:15" x14ac:dyDescent="0.25">
      <c r="A2290" s="1">
        <v>1238</v>
      </c>
      <c r="B2290" s="2" t="str">
        <f>HYPERLINK("https://leetcode.com/problems/circular-permutation-in-binary-representation/", "Circular Permutation in Binary Representation")</f>
        <v>Circular Permutation in Binary Representation</v>
      </c>
      <c r="C2290" s="1">
        <v>439</v>
      </c>
      <c r="D2290" s="1">
        <v>194</v>
      </c>
      <c r="E2290" s="3">
        <f t="shared" si="16"/>
        <v>0.69352290679304895</v>
      </c>
      <c r="F2290" s="1" t="s">
        <v>421</v>
      </c>
      <c r="G2290" s="1" t="s">
        <v>24</v>
      </c>
      <c r="H2290" s="1">
        <v>23738</v>
      </c>
      <c r="I2290" s="1">
        <v>32769</v>
      </c>
      <c r="J2290" s="7">
        <v>0.72399999999999998</v>
      </c>
      <c r="K2290" s="1" t="s">
        <v>21</v>
      </c>
      <c r="L2290" s="1" t="s">
        <v>29</v>
      </c>
      <c r="M2290" s="1" t="s">
        <v>29</v>
      </c>
      <c r="N2290" s="1" t="s">
        <v>22</v>
      </c>
      <c r="O2290" s="1" t="str">
        <f t="shared" ca="1" si="17"/>
        <v>Please solve the LeetCode problem '1238. Circular Permutation in Binary Representation'.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91" spans="1:15" x14ac:dyDescent="0.25">
      <c r="A2291" s="1">
        <v>2158</v>
      </c>
      <c r="B2291" s="2" t="str">
        <f>HYPERLINK("https://leetcode.com/problems/amount-of-new-area-painted-each-day/", "Amount of New Area Painted Each Day")</f>
        <v>Amount of New Area Painted Each Day</v>
      </c>
      <c r="C2291" s="1">
        <v>439</v>
      </c>
      <c r="D2291" s="1">
        <v>44</v>
      </c>
      <c r="E2291" s="3">
        <f t="shared" si="16"/>
        <v>0.90890269151138714</v>
      </c>
      <c r="F2291" s="1" t="s">
        <v>810</v>
      </c>
      <c r="G2291" s="1" t="s">
        <v>28</v>
      </c>
      <c r="H2291" s="1">
        <v>32733</v>
      </c>
      <c r="I2291" s="1">
        <v>58897</v>
      </c>
      <c r="J2291" s="7">
        <v>0.55600000000000005</v>
      </c>
      <c r="K2291" s="1" t="s">
        <v>29</v>
      </c>
      <c r="L2291" s="1" t="s">
        <v>29</v>
      </c>
      <c r="M2291" s="1" t="s">
        <v>29</v>
      </c>
      <c r="N2291" s="1" t="s">
        <v>22</v>
      </c>
      <c r="O2291" s="1" t="str">
        <f t="shared" ca="1" si="17"/>
        <v>Please solve the LeetCode problem '2158. Amount of New Area Painted Each Day'.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92" spans="1:15" x14ac:dyDescent="0.25">
      <c r="A2292" s="1">
        <v>2440</v>
      </c>
      <c r="B2292" s="2" t="str">
        <f>HYPERLINK("https://leetcode.com/problems/create-components-with-same-value/", "Create Components With Same Value")</f>
        <v>Create Components With Same Value</v>
      </c>
      <c r="C2292" s="1">
        <v>438</v>
      </c>
      <c r="D2292" s="1">
        <v>7</v>
      </c>
      <c r="E2292" s="3">
        <f t="shared" si="16"/>
        <v>0.98426966292134832</v>
      </c>
      <c r="F2292" s="1" t="s">
        <v>956</v>
      </c>
      <c r="G2292" s="1" t="s">
        <v>28</v>
      </c>
      <c r="H2292" s="1">
        <v>10754</v>
      </c>
      <c r="I2292" s="1">
        <v>20224</v>
      </c>
      <c r="J2292" s="7">
        <v>0.53200000000000003</v>
      </c>
      <c r="K2292" s="1" t="s">
        <v>21</v>
      </c>
      <c r="L2292" s="1" t="s">
        <v>29</v>
      </c>
      <c r="M2292" s="1" t="s">
        <v>29</v>
      </c>
      <c r="N2292" s="1" t="s">
        <v>22</v>
      </c>
      <c r="O2292" s="1" t="str">
        <f t="shared" ca="1" si="17"/>
        <v>Please solve the LeetCode problem '2440. Create Components With Same Value'.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93" spans="1:15" x14ac:dyDescent="0.25">
      <c r="A2293" s="1">
        <v>2975</v>
      </c>
      <c r="B2293" s="2" t="str">
        <f>HYPERLINK("https://leetcode.com/problems/maximum-square-area-by-removing-fences-from-a-field/", "Maximum Square Area by Removing Fences From a Field")</f>
        <v>Maximum Square Area by Removing Fences From a Field</v>
      </c>
      <c r="C2293" s="1">
        <v>438</v>
      </c>
      <c r="D2293" s="1">
        <v>159</v>
      </c>
      <c r="E2293" s="3">
        <f t="shared" si="16"/>
        <v>0.73366834170854267</v>
      </c>
      <c r="F2293" s="1" t="s">
        <v>804</v>
      </c>
      <c r="G2293" s="1" t="s">
        <v>24</v>
      </c>
      <c r="H2293" s="1">
        <v>93331</v>
      </c>
      <c r="I2293" s="1">
        <v>189491</v>
      </c>
      <c r="J2293" s="7">
        <v>0.49299999999999999</v>
      </c>
      <c r="K2293" s="1" t="s">
        <v>21</v>
      </c>
      <c r="L2293" s="1" t="s">
        <v>21</v>
      </c>
      <c r="M2293" s="1" t="s">
        <v>29</v>
      </c>
      <c r="N2293" s="1" t="s">
        <v>22</v>
      </c>
      <c r="O2293" s="1" t="str">
        <f t="shared" ca="1" si="17"/>
        <v>Please solve the LeetCode problem '2975. Maximum Square Area by Removing Fences From a Field'.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94" spans="1:15" x14ac:dyDescent="0.25">
      <c r="A2294" s="1">
        <v>749</v>
      </c>
      <c r="B2294" s="2" t="str">
        <f>HYPERLINK("https://leetcode.com/problems/contain-virus/", "Contain Virus")</f>
        <v>Contain Virus</v>
      </c>
      <c r="C2294" s="1">
        <v>437</v>
      </c>
      <c r="D2294" s="1">
        <v>465</v>
      </c>
      <c r="E2294" s="3">
        <f t="shared" si="16"/>
        <v>0.48447893569844791</v>
      </c>
      <c r="F2294" s="1" t="s">
        <v>903</v>
      </c>
      <c r="G2294" s="1" t="s">
        <v>28</v>
      </c>
      <c r="H2294" s="1">
        <v>17618</v>
      </c>
      <c r="I2294" s="1">
        <v>32612</v>
      </c>
      <c r="J2294" s="7">
        <v>0.54</v>
      </c>
      <c r="K2294" s="1" t="s">
        <v>21</v>
      </c>
      <c r="L2294" s="1" t="s">
        <v>21</v>
      </c>
      <c r="M2294" s="1" t="s">
        <v>29</v>
      </c>
      <c r="N2294" s="1" t="s">
        <v>22</v>
      </c>
      <c r="O2294" s="1" t="str">
        <f t="shared" ca="1" si="17"/>
        <v>Please solve the LeetCode problem '749. Contain Virus'.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95" spans="1:15" x14ac:dyDescent="0.25">
      <c r="A2295" s="1">
        <v>1006</v>
      </c>
      <c r="B2295" s="2" t="str">
        <f>HYPERLINK("https://leetcode.com/problems/clumsy-factorial/", "Clumsy Factorial")</f>
        <v>Clumsy Factorial</v>
      </c>
      <c r="C2295" s="1">
        <v>437</v>
      </c>
      <c r="D2295" s="1">
        <v>365</v>
      </c>
      <c r="E2295" s="3">
        <f t="shared" si="16"/>
        <v>0.54488778054862841</v>
      </c>
      <c r="F2295" s="1" t="s">
        <v>955</v>
      </c>
      <c r="G2295" s="1" t="s">
        <v>24</v>
      </c>
      <c r="H2295" s="1">
        <v>46059</v>
      </c>
      <c r="I2295" s="1">
        <v>75733</v>
      </c>
      <c r="J2295" s="7">
        <v>0.60799999999999998</v>
      </c>
      <c r="K2295" s="1" t="s">
        <v>21</v>
      </c>
      <c r="L2295" s="1" t="s">
        <v>29</v>
      </c>
      <c r="M2295" s="1" t="s">
        <v>29</v>
      </c>
      <c r="N2295" s="1" t="s">
        <v>22</v>
      </c>
      <c r="O2295" s="1" t="str">
        <f t="shared" ca="1" si="17"/>
        <v>Please solve the LeetCode problem '1006. Clumsy Factorial'.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96" spans="1:15" x14ac:dyDescent="0.25">
      <c r="A2296" s="1">
        <v>1474</v>
      </c>
      <c r="B2296" s="2" t="str">
        <f>HYPERLINK("https://leetcode.com/problems/delete-n-nodes-after-m-nodes-of-a-linked-list/", "Delete N Nodes After M Nodes of a Linked List")</f>
        <v>Delete N Nodes After M Nodes of a Linked List</v>
      </c>
      <c r="C2296" s="1">
        <v>434</v>
      </c>
      <c r="D2296" s="1">
        <v>17</v>
      </c>
      <c r="E2296" s="3">
        <f t="shared" si="16"/>
        <v>0.96230598669623058</v>
      </c>
      <c r="F2296" s="1" t="s">
        <v>104</v>
      </c>
      <c r="G2296" s="1" t="s">
        <v>20</v>
      </c>
      <c r="H2296" s="1">
        <v>41275</v>
      </c>
      <c r="I2296" s="1">
        <v>55493</v>
      </c>
      <c r="J2296" s="7">
        <v>0.74399999999999999</v>
      </c>
      <c r="K2296" s="1" t="s">
        <v>29</v>
      </c>
      <c r="L2296" s="1" t="s">
        <v>21</v>
      </c>
      <c r="M2296" s="1" t="s">
        <v>29</v>
      </c>
      <c r="N2296" s="1" t="s">
        <v>22</v>
      </c>
      <c r="O2296" s="1" t="str">
        <f t="shared" ca="1" si="17"/>
        <v>Please solve the LeetCode problem '1474. Delete N Nodes After M Nodes of a Linked List'.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97" spans="1:15" x14ac:dyDescent="0.25">
      <c r="A2297" s="1">
        <v>1819</v>
      </c>
      <c r="B2297" s="2" t="str">
        <f>HYPERLINK("https://leetcode.com/problems/number-of-different-subsequences-gcds/", "Number of Different Subsequences GCDs")</f>
        <v>Number of Different Subsequences GCDs</v>
      </c>
      <c r="C2297" s="1">
        <v>434</v>
      </c>
      <c r="D2297" s="1">
        <v>48</v>
      </c>
      <c r="E2297" s="3">
        <f t="shared" si="16"/>
        <v>0.90041493775933612</v>
      </c>
      <c r="F2297" s="1" t="s">
        <v>957</v>
      </c>
      <c r="G2297" s="1" t="s">
        <v>28</v>
      </c>
      <c r="H2297" s="1">
        <v>12635</v>
      </c>
      <c r="I2297" s="1">
        <v>28236</v>
      </c>
      <c r="J2297" s="7">
        <v>0.44700000000000001</v>
      </c>
      <c r="K2297" s="1" t="s">
        <v>21</v>
      </c>
      <c r="L2297" s="1" t="s">
        <v>29</v>
      </c>
      <c r="M2297" s="1" t="s">
        <v>29</v>
      </c>
      <c r="N2297" s="1" t="s">
        <v>22</v>
      </c>
      <c r="O2297" s="1" t="str">
        <f t="shared" ca="1" si="17"/>
        <v>Please solve the LeetCode problem '1819. Number of Different Subsequences GCDs'.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98" spans="1:15" x14ac:dyDescent="0.25">
      <c r="A2298" s="1">
        <v>2791</v>
      </c>
      <c r="B2298" s="2" t="str">
        <f>HYPERLINK("https://leetcode.com/problems/count-paths-that-can-form-a-palindrome-in-a-tree/", "Count Paths That Can Form a Palindrome in a Tree")</f>
        <v>Count Paths That Can Form a Palindrome in a Tree</v>
      </c>
      <c r="C2298" s="1">
        <v>434</v>
      </c>
      <c r="D2298" s="1">
        <v>17</v>
      </c>
      <c r="E2298" s="3">
        <f t="shared" si="16"/>
        <v>0.96230598669623058</v>
      </c>
      <c r="F2298" s="1" t="s">
        <v>1383</v>
      </c>
      <c r="G2298" s="1" t="s">
        <v>28</v>
      </c>
      <c r="H2298" s="1">
        <v>9767</v>
      </c>
      <c r="I2298" s="1">
        <v>20602</v>
      </c>
      <c r="J2298" s="7">
        <v>0.47399999999999998</v>
      </c>
      <c r="K2298" s="1" t="s">
        <v>21</v>
      </c>
      <c r="L2298" s="1" t="s">
        <v>29</v>
      </c>
      <c r="M2298" s="1" t="s">
        <v>29</v>
      </c>
      <c r="N2298" s="1" t="s">
        <v>22</v>
      </c>
      <c r="O2298" s="1" t="str">
        <f t="shared" ca="1" si="17"/>
        <v>Please solve the LeetCode problem '2791. Count Paths That Can Form a Palindrome in a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299" spans="1:15" x14ac:dyDescent="0.25">
      <c r="A2299" s="1">
        <v>3003</v>
      </c>
      <c r="B2299" s="2" t="str">
        <f>HYPERLINK("https://leetcode.com/problems/maximize-the-number-of-partitions-after-operations/", "Maximize the Number of Partitions After Operations")</f>
        <v>Maximize the Number of Partitions After Operations</v>
      </c>
      <c r="C2299" s="1">
        <v>433</v>
      </c>
      <c r="D2299" s="1">
        <v>88</v>
      </c>
      <c r="E2299" s="3">
        <f t="shared" ref="E2299:E2553" si="18">IF(INDEX(C:C, ROW())+INDEX(D:D, ROW())=0, 0, INDEX(C:C, ROW())/(INDEX(C:C, ROW())+INDEX(D:D, ROW())))</f>
        <v>0.83109404990403069</v>
      </c>
      <c r="F2299" s="1" t="s">
        <v>1384</v>
      </c>
      <c r="G2299" s="1" t="s">
        <v>28</v>
      </c>
      <c r="H2299" s="1">
        <v>54096</v>
      </c>
      <c r="I2299" s="1">
        <v>100805</v>
      </c>
      <c r="J2299" s="7">
        <v>0.53700000000000003</v>
      </c>
      <c r="K2299" s="1" t="s">
        <v>21</v>
      </c>
      <c r="L2299" s="1" t="s">
        <v>21</v>
      </c>
      <c r="M2299" s="1" t="s">
        <v>29</v>
      </c>
      <c r="N2299" s="1" t="s">
        <v>22</v>
      </c>
      <c r="O2299" s="1" t="str">
        <f t="shared" ref="O2299:O2553" ca="1" si="19"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>Please solve the LeetCode problem '3003. Maximize the Number of Partitions After Operations'.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00" spans="1:15" x14ac:dyDescent="0.25">
      <c r="A2300" s="1">
        <v>1485</v>
      </c>
      <c r="B2300" s="2" t="str">
        <f>HYPERLINK("https://leetcode.com/problems/clone-binary-tree-with-random-pointer/", "Clone Binary Tree With Random Pointer")</f>
        <v>Clone Binary Tree With Random Pointer</v>
      </c>
      <c r="C2300" s="1">
        <v>432</v>
      </c>
      <c r="D2300" s="1">
        <v>93</v>
      </c>
      <c r="E2300" s="3">
        <f t="shared" si="18"/>
        <v>0.82285714285714284</v>
      </c>
      <c r="F2300" s="1" t="s">
        <v>107</v>
      </c>
      <c r="G2300" s="1" t="s">
        <v>24</v>
      </c>
      <c r="H2300" s="1">
        <v>35538</v>
      </c>
      <c r="I2300" s="1">
        <v>43936</v>
      </c>
      <c r="J2300" s="7">
        <v>0.80900000000000005</v>
      </c>
      <c r="K2300" s="1" t="s">
        <v>29</v>
      </c>
      <c r="L2300" s="1" t="s">
        <v>21</v>
      </c>
      <c r="M2300" s="1" t="s">
        <v>29</v>
      </c>
      <c r="N2300" s="1" t="s">
        <v>22</v>
      </c>
      <c r="O2300" s="1" t="str">
        <f t="shared" ca="1" si="19"/>
        <v>Please solve the LeetCode problem '1485. Clone Binary Tree With Random Pointer'.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01" spans="1:15" x14ac:dyDescent="0.25">
      <c r="A2301" s="1">
        <v>1360</v>
      </c>
      <c r="B2301" s="2" t="str">
        <f>HYPERLINK("https://leetcode.com/problems/number-of-days-between-two-dates/", "Number of Days Between Two Dates")</f>
        <v>Number of Days Between Two Dates</v>
      </c>
      <c r="C2301" s="1">
        <v>430</v>
      </c>
      <c r="D2301" s="1">
        <v>1321</v>
      </c>
      <c r="E2301" s="3">
        <f t="shared" si="18"/>
        <v>0.24557395773843518</v>
      </c>
      <c r="F2301" s="1" t="s">
        <v>228</v>
      </c>
      <c r="G2301" s="1" t="s">
        <v>20</v>
      </c>
      <c r="H2301" s="1">
        <v>71216</v>
      </c>
      <c r="I2301" s="1">
        <v>136396</v>
      </c>
      <c r="J2301" s="7">
        <v>0.52200000000000002</v>
      </c>
      <c r="K2301" s="1" t="s">
        <v>21</v>
      </c>
      <c r="L2301" s="1" t="s">
        <v>29</v>
      </c>
      <c r="M2301" s="1" t="s">
        <v>29</v>
      </c>
      <c r="N2301" s="1" t="s">
        <v>22</v>
      </c>
      <c r="O2301" s="1" t="str">
        <f t="shared" ca="1" si="19"/>
        <v>Please solve the LeetCode problem '1360. Number of Days Between Two Dates'.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02" spans="1:15" x14ac:dyDescent="0.25">
      <c r="A2302" s="1">
        <v>2815</v>
      </c>
      <c r="B2302" s="2" t="str">
        <f>HYPERLINK("https://leetcode.com/problems/max-pair-sum-in-an-array/", "Max Pair Sum in an Array")</f>
        <v>Max Pair Sum in an Array</v>
      </c>
      <c r="C2302" s="1">
        <v>430</v>
      </c>
      <c r="D2302" s="1">
        <v>133</v>
      </c>
      <c r="E2302" s="3">
        <f t="shared" si="18"/>
        <v>0.7637655417406749</v>
      </c>
      <c r="F2302" s="1" t="s">
        <v>19</v>
      </c>
      <c r="G2302" s="1" t="s">
        <v>20</v>
      </c>
      <c r="H2302" s="1">
        <v>58591</v>
      </c>
      <c r="I2302" s="1">
        <v>97364</v>
      </c>
      <c r="J2302" s="7">
        <v>0.60199999999999998</v>
      </c>
      <c r="K2302" s="1" t="s">
        <v>21</v>
      </c>
      <c r="L2302" s="1" t="s">
        <v>29</v>
      </c>
      <c r="M2302" s="1" t="s">
        <v>29</v>
      </c>
      <c r="N2302" s="1" t="s">
        <v>22</v>
      </c>
      <c r="O2302" s="1" t="str">
        <f t="shared" ca="1" si="19"/>
        <v>Please solve the LeetCode problem '2815. Max Pair Sum in an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03" spans="1:15" x14ac:dyDescent="0.25">
      <c r="A2303" s="1">
        <v>2081</v>
      </c>
      <c r="B2303" s="2" t="str">
        <f>HYPERLINK("https://leetcode.com/problems/sum-of-k-mirror-numbers/", "Sum of k-Mirror Numbers")</f>
        <v>Sum of k-Mirror Numbers</v>
      </c>
      <c r="C2303" s="1">
        <v>429</v>
      </c>
      <c r="D2303" s="1">
        <v>210</v>
      </c>
      <c r="E2303" s="3">
        <f t="shared" si="18"/>
        <v>0.67136150234741787</v>
      </c>
      <c r="F2303" s="1" t="s">
        <v>602</v>
      </c>
      <c r="G2303" s="1" t="s">
        <v>28</v>
      </c>
      <c r="H2303" s="1">
        <v>77261</v>
      </c>
      <c r="I2303" s="1">
        <v>121166</v>
      </c>
      <c r="J2303" s="7">
        <v>0.63800000000000001</v>
      </c>
      <c r="K2303" s="1" t="s">
        <v>21</v>
      </c>
      <c r="L2303" s="1" t="s">
        <v>21</v>
      </c>
      <c r="M2303" s="1" t="s">
        <v>29</v>
      </c>
      <c r="N2303" s="1" t="s">
        <v>22</v>
      </c>
      <c r="O2303" s="1" t="str">
        <f t="shared" ca="1" si="19"/>
        <v>Please solve the LeetCode problem '2081. Sum of k-Mirror Numbers'.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04" spans="1:15" x14ac:dyDescent="0.25">
      <c r="A2304" s="1">
        <v>2496</v>
      </c>
      <c r="B2304" s="2" t="str">
        <f>HYPERLINK("https://leetcode.com/problems/maximum-value-of-a-string-in-an-array/", "Maximum Value of a String in an Array")</f>
        <v>Maximum Value of a String in an Array</v>
      </c>
      <c r="C2304" s="1">
        <v>429</v>
      </c>
      <c r="D2304" s="1">
        <v>24</v>
      </c>
      <c r="E2304" s="3">
        <f t="shared" si="18"/>
        <v>0.94701986754966883</v>
      </c>
      <c r="F2304" s="1" t="s">
        <v>369</v>
      </c>
      <c r="G2304" s="1" t="s">
        <v>20</v>
      </c>
      <c r="H2304" s="1">
        <v>62345</v>
      </c>
      <c r="I2304" s="1">
        <v>84178</v>
      </c>
      <c r="J2304" s="7">
        <v>0.74099999999999999</v>
      </c>
      <c r="K2304" s="1" t="s">
        <v>21</v>
      </c>
      <c r="L2304" s="1" t="s">
        <v>29</v>
      </c>
      <c r="M2304" s="1" t="s">
        <v>29</v>
      </c>
      <c r="N2304" s="1" t="s">
        <v>22</v>
      </c>
      <c r="O2304" s="1" t="str">
        <f t="shared" ca="1" si="19"/>
        <v>Please solve the LeetCode problem '2496. Maximum Value of a String in an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05" spans="1:15" x14ac:dyDescent="0.25">
      <c r="A2305" s="1">
        <v>3531</v>
      </c>
      <c r="B2305" s="2" t="str">
        <f>HYPERLINK("https://leetcode.com/problems/count-covered-buildings/", "Count Covered Buildings")</f>
        <v>Count Covered Buildings</v>
      </c>
      <c r="C2305" s="1">
        <v>429</v>
      </c>
      <c r="D2305" s="1">
        <v>27</v>
      </c>
      <c r="E2305" s="3">
        <f t="shared" si="18"/>
        <v>0.94078947368421051</v>
      </c>
      <c r="F2305" s="1" t="s">
        <v>92</v>
      </c>
      <c r="G2305" s="1" t="s">
        <v>24</v>
      </c>
      <c r="H2305" s="1">
        <v>102270</v>
      </c>
      <c r="I2305" s="1">
        <v>174130</v>
      </c>
      <c r="J2305" s="7">
        <v>0.58699999999999997</v>
      </c>
      <c r="K2305" s="1" t="s">
        <v>21</v>
      </c>
      <c r="L2305" s="1" t="s">
        <v>21</v>
      </c>
      <c r="M2305" s="1" t="s">
        <v>29</v>
      </c>
      <c r="N2305" s="1" t="s">
        <v>22</v>
      </c>
      <c r="O2305" s="1" t="str">
        <f t="shared" ca="1" si="19"/>
        <v>Please solve the LeetCode problem '3531. Count Covered Buildings'.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06" spans="1:15" x14ac:dyDescent="0.25">
      <c r="A2306" s="1">
        <v>2274</v>
      </c>
      <c r="B2306" s="2" t="str">
        <f>HYPERLINK("https://leetcode.com/problems/maximum-consecutive-floors-without-special-floors/", "Maximum Consecutive Floors Without Special Floors")</f>
        <v>Maximum Consecutive Floors Without Special Floors</v>
      </c>
      <c r="C2306" s="1">
        <v>428</v>
      </c>
      <c r="D2306" s="1">
        <v>41</v>
      </c>
      <c r="E2306" s="3">
        <f t="shared" si="18"/>
        <v>0.91257995735607678</v>
      </c>
      <c r="F2306" s="1" t="s">
        <v>42</v>
      </c>
      <c r="G2306" s="1" t="s">
        <v>24</v>
      </c>
      <c r="H2306" s="1">
        <v>40325</v>
      </c>
      <c r="I2306" s="1">
        <v>76900</v>
      </c>
      <c r="J2306" s="7">
        <v>0.52400000000000002</v>
      </c>
      <c r="K2306" s="1" t="s">
        <v>21</v>
      </c>
      <c r="L2306" s="1" t="s">
        <v>29</v>
      </c>
      <c r="M2306" s="1" t="s">
        <v>29</v>
      </c>
      <c r="N2306" s="1" t="s">
        <v>22</v>
      </c>
      <c r="O2306" s="1" t="str">
        <f t="shared" ca="1" si="19"/>
        <v>Please solve the LeetCode problem '2274. Maximum Consecutive Floors Without Special Floors'.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07" spans="1:15" x14ac:dyDescent="0.25">
      <c r="A2307" s="1">
        <v>1418</v>
      </c>
      <c r="B2307" s="2" t="str">
        <f>HYPERLINK("https://leetcode.com/problems/display-table-of-food-orders-in-a-restaurant/", "Display Table of Food Orders in a Restaurant")</f>
        <v>Display Table of Food Orders in a Restaurant</v>
      </c>
      <c r="C2307" s="1">
        <v>427</v>
      </c>
      <c r="D2307" s="1">
        <v>493</v>
      </c>
      <c r="E2307" s="3">
        <f t="shared" si="18"/>
        <v>0.46413043478260868</v>
      </c>
      <c r="F2307" s="1" t="s">
        <v>959</v>
      </c>
      <c r="G2307" s="1" t="s">
        <v>24</v>
      </c>
      <c r="H2307" s="1">
        <v>36300</v>
      </c>
      <c r="I2307" s="1">
        <v>47577</v>
      </c>
      <c r="J2307" s="7">
        <v>0.76300000000000001</v>
      </c>
      <c r="K2307" s="1" t="s">
        <v>21</v>
      </c>
      <c r="L2307" s="1" t="s">
        <v>29</v>
      </c>
      <c r="M2307" s="1" t="s">
        <v>29</v>
      </c>
      <c r="N2307" s="1" t="s">
        <v>22</v>
      </c>
      <c r="O2307" s="1" t="str">
        <f t="shared" ca="1" si="19"/>
        <v>Please solve the LeetCode problem '1418. Display Table of Food Orders in a Restaurant'.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08" spans="1:15" x14ac:dyDescent="0.25">
      <c r="A2308" s="1">
        <v>1490</v>
      </c>
      <c r="B2308" s="2" t="str">
        <f>HYPERLINK("https://leetcode.com/problems/clone-n-ary-tree/", "Clone N-ary Tree")</f>
        <v>Clone N-ary Tree</v>
      </c>
      <c r="C2308" s="1">
        <v>427</v>
      </c>
      <c r="D2308" s="1">
        <v>17</v>
      </c>
      <c r="E2308" s="3">
        <f t="shared" si="18"/>
        <v>0.96171171171171166</v>
      </c>
      <c r="F2308" s="1" t="s">
        <v>320</v>
      </c>
      <c r="G2308" s="1" t="s">
        <v>24</v>
      </c>
      <c r="H2308" s="1">
        <v>33840</v>
      </c>
      <c r="I2308" s="1">
        <v>40719</v>
      </c>
      <c r="J2308" s="7">
        <v>0.83099999999999996</v>
      </c>
      <c r="K2308" s="1" t="s">
        <v>29</v>
      </c>
      <c r="L2308" s="1" t="s">
        <v>21</v>
      </c>
      <c r="M2308" s="1" t="s">
        <v>29</v>
      </c>
      <c r="N2308" s="1" t="s">
        <v>22</v>
      </c>
      <c r="O2308" s="1" t="str">
        <f t="shared" ca="1" si="19"/>
        <v>Please solve the LeetCode problem '1490. Clone N-ary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09" spans="1:15" x14ac:dyDescent="0.25">
      <c r="A2309" s="1">
        <v>2310</v>
      </c>
      <c r="B2309" s="2" t="str">
        <f>HYPERLINK("https://leetcode.com/problems/sum-of-numbers-with-units-digit-k/", "Sum of Numbers With Units Digit K")</f>
        <v>Sum of Numbers With Units Digit K</v>
      </c>
      <c r="C2309" s="1">
        <v>427</v>
      </c>
      <c r="D2309" s="1">
        <v>337</v>
      </c>
      <c r="E2309" s="3">
        <f t="shared" si="18"/>
        <v>0.55890052356020947</v>
      </c>
      <c r="F2309" s="1" t="s">
        <v>961</v>
      </c>
      <c r="G2309" s="1" t="s">
        <v>24</v>
      </c>
      <c r="H2309" s="1">
        <v>31782</v>
      </c>
      <c r="I2309" s="1">
        <v>113483</v>
      </c>
      <c r="J2309" s="7">
        <v>0.28000000000000003</v>
      </c>
      <c r="K2309" s="1" t="s">
        <v>21</v>
      </c>
      <c r="L2309" s="1" t="s">
        <v>29</v>
      </c>
      <c r="M2309" s="1" t="s">
        <v>29</v>
      </c>
      <c r="N2309" s="1" t="s">
        <v>22</v>
      </c>
      <c r="O2309" s="1" t="str">
        <f t="shared" ca="1" si="19"/>
        <v>Please solve the LeetCode problem '2310. Sum of Numbers With Units Digit K'.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10" spans="1:15" x14ac:dyDescent="0.25">
      <c r="A2310" s="1">
        <v>2451</v>
      </c>
      <c r="B2310" s="2" t="str">
        <f>HYPERLINK("https://leetcode.com/problems/odd-string-difference/", "Odd String Difference")</f>
        <v>Odd String Difference</v>
      </c>
      <c r="C2310" s="1">
        <v>427</v>
      </c>
      <c r="D2310" s="1">
        <v>123</v>
      </c>
      <c r="E2310" s="3">
        <f t="shared" si="18"/>
        <v>0.77636363636363637</v>
      </c>
      <c r="F2310" s="1" t="s">
        <v>258</v>
      </c>
      <c r="G2310" s="1" t="s">
        <v>20</v>
      </c>
      <c r="H2310" s="1">
        <v>42943</v>
      </c>
      <c r="I2310" s="1">
        <v>69540</v>
      </c>
      <c r="J2310" s="7">
        <v>0.61799999999999999</v>
      </c>
      <c r="K2310" s="1" t="s">
        <v>21</v>
      </c>
      <c r="L2310" s="1" t="s">
        <v>29</v>
      </c>
      <c r="M2310" s="1" t="s">
        <v>29</v>
      </c>
      <c r="N2310" s="1" t="s">
        <v>22</v>
      </c>
      <c r="O2310" s="1" t="str">
        <f t="shared" ca="1" si="19"/>
        <v>Please solve the LeetCode problem '2451. Odd String Difference'.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11" spans="1:15" x14ac:dyDescent="0.25">
      <c r="A2311" s="1">
        <v>3405</v>
      </c>
      <c r="B2311" s="2" t="str">
        <f>HYPERLINK("https://leetcode.com/problems/count-the-number-of-arrays-with-k-matching-adjacent-elements/", "Count the Number of Arrays with K Matching Adjacent Elements")</f>
        <v>Count the Number of Arrays with K Matching Adjacent Elements</v>
      </c>
      <c r="C2311" s="1">
        <v>427</v>
      </c>
      <c r="D2311" s="1">
        <v>68</v>
      </c>
      <c r="E2311" s="3">
        <f t="shared" si="18"/>
        <v>0.86262626262626263</v>
      </c>
      <c r="F2311" s="1" t="s">
        <v>960</v>
      </c>
      <c r="G2311" s="1" t="s">
        <v>28</v>
      </c>
      <c r="H2311" s="1">
        <v>67883</v>
      </c>
      <c r="I2311" s="1">
        <v>116353</v>
      </c>
      <c r="J2311" s="7">
        <v>0.58299999999999996</v>
      </c>
      <c r="K2311" s="1" t="s">
        <v>21</v>
      </c>
      <c r="L2311" s="1" t="s">
        <v>21</v>
      </c>
      <c r="M2311" s="1" t="s">
        <v>29</v>
      </c>
      <c r="N2311" s="1" t="s">
        <v>22</v>
      </c>
      <c r="O2311" s="1" t="str">
        <f t="shared" ca="1" si="19"/>
        <v>Please solve the LeetCode problem '3405. Count the Number of Arrays with K Matching Adjacent Elements'.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12" spans="1:15" x14ac:dyDescent="0.25">
      <c r="A2312" s="1">
        <v>666</v>
      </c>
      <c r="B2312" s="2" t="str">
        <f>HYPERLINK("https://leetcode.com/problems/path-sum-iv/", "Path Sum IV")</f>
        <v>Path Sum IV</v>
      </c>
      <c r="C2312" s="1">
        <v>426</v>
      </c>
      <c r="D2312" s="1">
        <v>521</v>
      </c>
      <c r="E2312" s="3">
        <f t="shared" si="18"/>
        <v>0.4498416050686378</v>
      </c>
      <c r="F2312" s="1" t="s">
        <v>271</v>
      </c>
      <c r="G2312" s="1" t="s">
        <v>24</v>
      </c>
      <c r="H2312" s="1">
        <v>41307</v>
      </c>
      <c r="I2312" s="1">
        <v>65772</v>
      </c>
      <c r="J2312" s="7">
        <v>0.628</v>
      </c>
      <c r="K2312" s="1" t="s">
        <v>29</v>
      </c>
      <c r="L2312" s="1" t="s">
        <v>21</v>
      </c>
      <c r="M2312" s="1" t="s">
        <v>29</v>
      </c>
      <c r="N2312" s="1" t="s">
        <v>22</v>
      </c>
      <c r="O2312" s="1" t="str">
        <f t="shared" ca="1" si="19"/>
        <v>Please solve the LeetCode problem '666. Path Sum IV'.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13" spans="1:15" x14ac:dyDescent="0.25">
      <c r="A2313" s="1">
        <v>1766</v>
      </c>
      <c r="B2313" s="2" t="str">
        <f>HYPERLINK("https://leetcode.com/problems/tree-of-coprimes/", "Tree of Coprimes")</f>
        <v>Tree of Coprimes</v>
      </c>
      <c r="C2313" s="1">
        <v>426</v>
      </c>
      <c r="D2313" s="1">
        <v>36</v>
      </c>
      <c r="E2313" s="3">
        <f t="shared" si="18"/>
        <v>0.92207792207792205</v>
      </c>
      <c r="F2313" s="1" t="s">
        <v>962</v>
      </c>
      <c r="G2313" s="1" t="s">
        <v>28</v>
      </c>
      <c r="H2313" s="1">
        <v>13507</v>
      </c>
      <c r="I2313" s="1">
        <v>30955</v>
      </c>
      <c r="J2313" s="7">
        <v>0.436</v>
      </c>
      <c r="K2313" s="1" t="s">
        <v>21</v>
      </c>
      <c r="L2313" s="1" t="s">
        <v>29</v>
      </c>
      <c r="M2313" s="1" t="s">
        <v>29</v>
      </c>
      <c r="N2313" s="1" t="s">
        <v>22</v>
      </c>
      <c r="O2313" s="1" t="str">
        <f t="shared" ca="1" si="19"/>
        <v>Please solve the LeetCode problem '1766. Tree of Coprimes'.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14" spans="1:15" x14ac:dyDescent="0.25">
      <c r="A2314" s="1">
        <v>2656</v>
      </c>
      <c r="B2314" s="2" t="str">
        <f>HYPERLINK("https://leetcode.com/problems/maximum-sum-with-exactly-k-elements/", "Maximum Sum With Exactly K Elements ")</f>
        <v xml:space="preserve">Maximum Sum With Exactly K Elements </v>
      </c>
      <c r="C2314" s="1">
        <v>426</v>
      </c>
      <c r="D2314" s="1">
        <v>52</v>
      </c>
      <c r="E2314" s="3">
        <f t="shared" si="18"/>
        <v>0.89121338912133896</v>
      </c>
      <c r="F2314" s="1" t="s">
        <v>96</v>
      </c>
      <c r="G2314" s="1" t="s">
        <v>20</v>
      </c>
      <c r="H2314" s="1">
        <v>101175</v>
      </c>
      <c r="I2314" s="1">
        <v>125858</v>
      </c>
      <c r="J2314" s="7">
        <v>0.80400000000000005</v>
      </c>
      <c r="K2314" s="1" t="s">
        <v>21</v>
      </c>
      <c r="L2314" s="1" t="s">
        <v>29</v>
      </c>
      <c r="M2314" s="1" t="s">
        <v>29</v>
      </c>
      <c r="N2314" s="1" t="s">
        <v>22</v>
      </c>
      <c r="O2314" s="1" t="str">
        <f t="shared" ca="1" si="19"/>
        <v>Please solve the LeetCode problem '2656. Maximum Sum With Exactly K Elements 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15" spans="1:15" x14ac:dyDescent="0.25">
      <c r="A2315" s="1">
        <v>2465</v>
      </c>
      <c r="B2315" s="2" t="str">
        <f>HYPERLINK("https://leetcode.com/problems/number-of-distinct-averages/", "Number of Distinct Averages")</f>
        <v>Number of Distinct Averages</v>
      </c>
      <c r="C2315" s="1">
        <v>425</v>
      </c>
      <c r="D2315" s="1">
        <v>35</v>
      </c>
      <c r="E2315" s="3">
        <f t="shared" si="18"/>
        <v>0.92391304347826086</v>
      </c>
      <c r="F2315" s="1" t="s">
        <v>347</v>
      </c>
      <c r="G2315" s="1" t="s">
        <v>20</v>
      </c>
      <c r="H2315" s="1">
        <v>71337</v>
      </c>
      <c r="I2315" s="1">
        <v>121250</v>
      </c>
      <c r="J2315" s="7">
        <v>0.58799999999999997</v>
      </c>
      <c r="K2315" s="1" t="s">
        <v>21</v>
      </c>
      <c r="L2315" s="1" t="s">
        <v>29</v>
      </c>
      <c r="M2315" s="1" t="s">
        <v>29</v>
      </c>
      <c r="N2315" s="1" t="s">
        <v>22</v>
      </c>
      <c r="O2315" s="1" t="str">
        <f t="shared" ca="1" si="19"/>
        <v>Please solve the LeetCode problem '2465. Number of Distinct Averages'.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16" spans="1:15" x14ac:dyDescent="0.25">
      <c r="A2316" s="1">
        <v>483</v>
      </c>
      <c r="B2316" s="2" t="str">
        <f>HYPERLINK("https://leetcode.com/problems/smallest-good-base/", "Smallest Good Base")</f>
        <v>Smallest Good Base</v>
      </c>
      <c r="C2316" s="1">
        <v>423</v>
      </c>
      <c r="D2316" s="1">
        <v>539</v>
      </c>
      <c r="E2316" s="3">
        <f t="shared" si="18"/>
        <v>0.43970893970893971</v>
      </c>
      <c r="F2316" s="1" t="s">
        <v>139</v>
      </c>
      <c r="G2316" s="1" t="s">
        <v>28</v>
      </c>
      <c r="H2316" s="1">
        <v>29957</v>
      </c>
      <c r="I2316" s="1">
        <v>66240</v>
      </c>
      <c r="J2316" s="7">
        <v>0.45200000000000001</v>
      </c>
      <c r="K2316" s="1" t="s">
        <v>21</v>
      </c>
      <c r="L2316" s="1" t="s">
        <v>29</v>
      </c>
      <c r="M2316" s="1" t="s">
        <v>29</v>
      </c>
      <c r="N2316" s="1" t="s">
        <v>22</v>
      </c>
      <c r="O2316" s="1" t="str">
        <f t="shared" ca="1" si="19"/>
        <v>Please solve the LeetCode problem '483. Smallest Good Base'.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17" spans="1:15" x14ac:dyDescent="0.25">
      <c r="A2317" s="1">
        <v>2578</v>
      </c>
      <c r="B2317" s="2" t="str">
        <f>HYPERLINK("https://leetcode.com/problems/split-with-minimum-sum/", "Split With Minimum Sum")</f>
        <v>Split With Minimum Sum</v>
      </c>
      <c r="C2317" s="1">
        <v>423</v>
      </c>
      <c r="D2317" s="1">
        <v>35</v>
      </c>
      <c r="E2317" s="3">
        <f t="shared" si="18"/>
        <v>0.92358078602620086</v>
      </c>
      <c r="F2317" s="1" t="s">
        <v>587</v>
      </c>
      <c r="G2317" s="1" t="s">
        <v>20</v>
      </c>
      <c r="H2317" s="1">
        <v>50022</v>
      </c>
      <c r="I2317" s="1">
        <v>68430</v>
      </c>
      <c r="J2317" s="7">
        <v>0.73099999999999998</v>
      </c>
      <c r="K2317" s="1" t="s">
        <v>21</v>
      </c>
      <c r="L2317" s="1" t="s">
        <v>29</v>
      </c>
      <c r="M2317" s="1" t="s">
        <v>29</v>
      </c>
      <c r="N2317" s="1" t="s">
        <v>22</v>
      </c>
      <c r="O2317" s="1" t="str">
        <f t="shared" ca="1" si="19"/>
        <v>Please solve the LeetCode problem '2578. Split With Minimum Sum'.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18" spans="1:15" x14ac:dyDescent="0.25">
      <c r="A2318" s="1">
        <v>2952</v>
      </c>
      <c r="B2318" s="2" t="str">
        <f>HYPERLINK("https://leetcode.com/problems/minimum-number-of-coins-to-be-added/", "Minimum Number of Coins to be Added")</f>
        <v>Minimum Number of Coins to be Added</v>
      </c>
      <c r="C2318" s="1">
        <v>423</v>
      </c>
      <c r="D2318" s="1">
        <v>65</v>
      </c>
      <c r="E2318" s="3">
        <f t="shared" si="18"/>
        <v>0.86680327868852458</v>
      </c>
      <c r="F2318" s="1" t="s">
        <v>169</v>
      </c>
      <c r="G2318" s="1" t="s">
        <v>24</v>
      </c>
      <c r="H2318" s="1">
        <v>26233</v>
      </c>
      <c r="I2318" s="1">
        <v>45414</v>
      </c>
      <c r="J2318" s="7">
        <v>0.57799999999999996</v>
      </c>
      <c r="K2318" s="1" t="s">
        <v>21</v>
      </c>
      <c r="L2318" s="1" t="s">
        <v>29</v>
      </c>
      <c r="M2318" s="1" t="s">
        <v>29</v>
      </c>
      <c r="N2318" s="1" t="s">
        <v>22</v>
      </c>
      <c r="O2318" s="1" t="str">
        <f t="shared" ca="1" si="19"/>
        <v>Please solve the LeetCode problem '2952. Minimum Number of Coins to be Added'.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19" spans="1:15" x14ac:dyDescent="0.25">
      <c r="A2319" s="1">
        <v>534</v>
      </c>
      <c r="B2319" s="2" t="str">
        <f>HYPERLINK("https://leetcode.com/problems/game-play-analysis-iii/", "Game Play Analysis III")</f>
        <v>Game Play Analysis III</v>
      </c>
      <c r="C2319" s="1">
        <v>422</v>
      </c>
      <c r="D2319" s="1">
        <v>18</v>
      </c>
      <c r="E2319" s="3">
        <f t="shared" si="18"/>
        <v>0.95909090909090911</v>
      </c>
      <c r="F2319" s="1" t="s">
        <v>297</v>
      </c>
      <c r="G2319" s="1" t="s">
        <v>24</v>
      </c>
      <c r="H2319" s="1">
        <v>94069</v>
      </c>
      <c r="I2319" s="1">
        <v>115635</v>
      </c>
      <c r="J2319" s="7">
        <v>0.81299999999999994</v>
      </c>
      <c r="K2319" s="1" t="s">
        <v>29</v>
      </c>
      <c r="L2319" s="1" t="s">
        <v>21</v>
      </c>
      <c r="M2319" s="1" t="s">
        <v>29</v>
      </c>
      <c r="N2319" s="1" t="s">
        <v>297</v>
      </c>
      <c r="O2319" s="1" t="str">
        <f t="shared" ca="1" si="19"/>
        <v>Please solve the LeetCode problem '534. Game Play Analysis III'.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20" spans="1:15" x14ac:dyDescent="0.25">
      <c r="A2320" s="1">
        <v>1889</v>
      </c>
      <c r="B2320" s="2" t="str">
        <f>HYPERLINK("https://leetcode.com/problems/minimum-space-wasted-from-packaging/", "Minimum Space Wasted From Packaging")</f>
        <v>Minimum Space Wasted From Packaging</v>
      </c>
      <c r="C2320" s="1">
        <v>421</v>
      </c>
      <c r="D2320" s="1">
        <v>39</v>
      </c>
      <c r="E2320" s="3">
        <f t="shared" si="18"/>
        <v>0.91521739130434787</v>
      </c>
      <c r="F2320" s="1" t="s">
        <v>750</v>
      </c>
      <c r="G2320" s="1" t="s">
        <v>28</v>
      </c>
      <c r="H2320" s="1">
        <v>17133</v>
      </c>
      <c r="I2320" s="1">
        <v>51446</v>
      </c>
      <c r="J2320" s="7">
        <v>0.33300000000000002</v>
      </c>
      <c r="K2320" s="1" t="s">
        <v>21</v>
      </c>
      <c r="L2320" s="1" t="s">
        <v>29</v>
      </c>
      <c r="M2320" s="1" t="s">
        <v>29</v>
      </c>
      <c r="N2320" s="1" t="s">
        <v>22</v>
      </c>
      <c r="O2320" s="1" t="str">
        <f t="shared" ca="1" si="19"/>
        <v>Please solve the LeetCode problem '1889. Minimum Space Wasted From Packaging'.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21" spans="1:15" x14ac:dyDescent="0.25">
      <c r="A2321" s="1">
        <v>573</v>
      </c>
      <c r="B2321" s="2" t="str">
        <f>HYPERLINK("https://leetcode.com/problems/squirrel-simulation/", "Squirrel Simulation")</f>
        <v>Squirrel Simulation</v>
      </c>
      <c r="C2321" s="1">
        <v>420</v>
      </c>
      <c r="D2321" s="1">
        <v>40</v>
      </c>
      <c r="E2321" s="3">
        <f t="shared" si="18"/>
        <v>0.91304347826086951</v>
      </c>
      <c r="F2321" s="1" t="s">
        <v>115</v>
      </c>
      <c r="G2321" s="1" t="s">
        <v>24</v>
      </c>
      <c r="H2321" s="1">
        <v>23994</v>
      </c>
      <c r="I2321" s="1">
        <v>41843</v>
      </c>
      <c r="J2321" s="7">
        <v>0.57299999999999995</v>
      </c>
      <c r="K2321" s="1" t="s">
        <v>29</v>
      </c>
      <c r="L2321" s="1" t="s">
        <v>21</v>
      </c>
      <c r="M2321" s="1" t="s">
        <v>21</v>
      </c>
      <c r="N2321" s="1" t="s">
        <v>22</v>
      </c>
      <c r="O2321" s="1" t="str">
        <f t="shared" ca="1" si="19"/>
        <v>Please solve the LeetCode problem '573. Squirrel Simulation'.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22" spans="1:15" x14ac:dyDescent="0.25">
      <c r="A2322" s="1">
        <v>1787</v>
      </c>
      <c r="B2322" s="2" t="str">
        <f>HYPERLINK("https://leetcode.com/problems/make-the-xor-of-all-segments-equal-to-zero/", "Make the XOR of All Segments Equal to Zero")</f>
        <v>Make the XOR of All Segments Equal to Zero</v>
      </c>
      <c r="C2322" s="1">
        <v>420</v>
      </c>
      <c r="D2322" s="1">
        <v>27</v>
      </c>
      <c r="E2322" s="3">
        <f t="shared" si="18"/>
        <v>0.93959731543624159</v>
      </c>
      <c r="F2322" s="1" t="s">
        <v>508</v>
      </c>
      <c r="G2322" s="1" t="s">
        <v>28</v>
      </c>
      <c r="H2322" s="1">
        <v>6757</v>
      </c>
      <c r="I2322" s="1">
        <v>16562</v>
      </c>
      <c r="J2322" s="7">
        <v>0.40799999999999997</v>
      </c>
      <c r="K2322" s="1" t="s">
        <v>21</v>
      </c>
      <c r="L2322" s="1" t="s">
        <v>29</v>
      </c>
      <c r="M2322" s="1" t="s">
        <v>29</v>
      </c>
      <c r="N2322" s="1" t="s">
        <v>22</v>
      </c>
      <c r="O2322" s="1" t="str">
        <f t="shared" ca="1" si="19"/>
        <v>Please solve the LeetCode problem '1787. Make the XOR of All Segments Equal to Zero'.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23" spans="1:15" x14ac:dyDescent="0.25">
      <c r="A2323" s="1">
        <v>2680</v>
      </c>
      <c r="B2323" s="2" t="str">
        <f>HYPERLINK("https://leetcode.com/problems/maximum-or/", "Maximum OR")</f>
        <v>Maximum OR</v>
      </c>
      <c r="C2323" s="1">
        <v>420</v>
      </c>
      <c r="D2323" s="1">
        <v>49</v>
      </c>
      <c r="E2323" s="3">
        <f t="shared" si="18"/>
        <v>0.89552238805970152</v>
      </c>
      <c r="F2323" s="1" t="s">
        <v>964</v>
      </c>
      <c r="G2323" s="1" t="s">
        <v>24</v>
      </c>
      <c r="H2323" s="1">
        <v>18381</v>
      </c>
      <c r="I2323" s="1">
        <v>43264</v>
      </c>
      <c r="J2323" s="7">
        <v>0.42499999999999999</v>
      </c>
      <c r="K2323" s="1" t="s">
        <v>21</v>
      </c>
      <c r="L2323" s="1" t="s">
        <v>29</v>
      </c>
      <c r="M2323" s="1" t="s">
        <v>29</v>
      </c>
      <c r="N2323" s="1" t="s">
        <v>22</v>
      </c>
      <c r="O2323" s="1" t="str">
        <f t="shared" ca="1" si="19"/>
        <v>Please solve the LeetCode problem '2680. Maximum OR'.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24" spans="1:15" x14ac:dyDescent="0.25">
      <c r="A2324" s="1">
        <v>2790</v>
      </c>
      <c r="B2324" s="2" t="str">
        <f>HYPERLINK("https://leetcode.com/problems/maximum-number-of-groups-with-increasing-length/", "Maximum Number of Groups With Increasing Length")</f>
        <v>Maximum Number of Groups With Increasing Length</v>
      </c>
      <c r="C2324" s="1">
        <v>420</v>
      </c>
      <c r="D2324" s="1">
        <v>44</v>
      </c>
      <c r="E2324" s="3">
        <f t="shared" si="18"/>
        <v>0.90517241379310343</v>
      </c>
      <c r="F2324" s="1" t="s">
        <v>967</v>
      </c>
      <c r="G2324" s="1" t="s">
        <v>28</v>
      </c>
      <c r="H2324" s="1">
        <v>13515</v>
      </c>
      <c r="I2324" s="1">
        <v>58980</v>
      </c>
      <c r="J2324" s="7">
        <v>0.22900000000000001</v>
      </c>
      <c r="K2324" s="1" t="s">
        <v>21</v>
      </c>
      <c r="L2324" s="1" t="s">
        <v>29</v>
      </c>
      <c r="M2324" s="1" t="s">
        <v>29</v>
      </c>
      <c r="N2324" s="1" t="s">
        <v>22</v>
      </c>
      <c r="O2324" s="1" t="str">
        <f t="shared" ca="1" si="19"/>
        <v>Please solve the LeetCode problem '2790. Maximum Number of Groups With Increasing Length'.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25" spans="1:15" x14ac:dyDescent="0.25">
      <c r="A2325" s="1">
        <v>195</v>
      </c>
      <c r="B2325" s="2" t="str">
        <f>HYPERLINK("https://leetcode.com/problems/tenth-line/", "Tenth Line")</f>
        <v>Tenth Line</v>
      </c>
      <c r="C2325" s="1">
        <v>419</v>
      </c>
      <c r="D2325" s="1">
        <v>485</v>
      </c>
      <c r="E2325" s="3">
        <f t="shared" si="18"/>
        <v>0.46349557522123896</v>
      </c>
      <c r="F2325" s="1" t="s">
        <v>860</v>
      </c>
      <c r="G2325" s="1" t="s">
        <v>20</v>
      </c>
      <c r="H2325" s="1">
        <v>150726</v>
      </c>
      <c r="I2325" s="1">
        <v>420375</v>
      </c>
      <c r="J2325" s="7">
        <v>0.35899999999999999</v>
      </c>
      <c r="K2325" s="1" t="s">
        <v>21</v>
      </c>
      <c r="L2325" s="1" t="s">
        <v>29</v>
      </c>
      <c r="M2325" s="1" t="s">
        <v>29</v>
      </c>
      <c r="N2325" s="1" t="s">
        <v>860</v>
      </c>
      <c r="O2325" s="1" t="str">
        <f t="shared" ca="1" si="19"/>
        <v>Please solve the LeetCode problem '195. Tenth Line'.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26" spans="1:15" x14ac:dyDescent="0.25">
      <c r="A2326" s="1">
        <v>970</v>
      </c>
      <c r="B2326" s="2" t="str">
        <f>HYPERLINK("https://leetcode.com/problems/powerful-integers/", "Powerful Integers")</f>
        <v>Powerful Integers</v>
      </c>
      <c r="C2326" s="1">
        <v>419</v>
      </c>
      <c r="D2326" s="1">
        <v>85</v>
      </c>
      <c r="E2326" s="3">
        <f t="shared" si="18"/>
        <v>0.83134920634920639</v>
      </c>
      <c r="F2326" s="1" t="s">
        <v>966</v>
      </c>
      <c r="G2326" s="1" t="s">
        <v>24</v>
      </c>
      <c r="H2326" s="1">
        <v>62982</v>
      </c>
      <c r="I2326" s="1">
        <v>141671</v>
      </c>
      <c r="J2326" s="7">
        <v>0.44500000000000001</v>
      </c>
      <c r="K2326" s="1" t="s">
        <v>21</v>
      </c>
      <c r="L2326" s="1" t="s">
        <v>21</v>
      </c>
      <c r="M2326" s="1" t="s">
        <v>29</v>
      </c>
      <c r="N2326" s="1" t="s">
        <v>22</v>
      </c>
      <c r="O2326" s="1" t="str">
        <f t="shared" ca="1" si="19"/>
        <v>Please solve the LeetCode problem '970. Powerful Integers'.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27" spans="1:15" x14ac:dyDescent="0.25">
      <c r="A2327" s="1">
        <v>1454</v>
      </c>
      <c r="B2327" s="2" t="str">
        <f>HYPERLINK("https://leetcode.com/problems/active-users/", "Active Users")</f>
        <v>Active Users</v>
      </c>
      <c r="C2327" s="1">
        <v>419</v>
      </c>
      <c r="D2327" s="1">
        <v>40</v>
      </c>
      <c r="E2327" s="3">
        <f t="shared" si="18"/>
        <v>0.91285403050108938</v>
      </c>
      <c r="F2327" s="1" t="s">
        <v>297</v>
      </c>
      <c r="G2327" s="1" t="s">
        <v>24</v>
      </c>
      <c r="H2327" s="1">
        <v>46349</v>
      </c>
      <c r="I2327" s="1">
        <v>126627</v>
      </c>
      <c r="J2327" s="7">
        <v>0.36599999999999999</v>
      </c>
      <c r="K2327" s="1" t="s">
        <v>29</v>
      </c>
      <c r="L2327" s="1" t="s">
        <v>29</v>
      </c>
      <c r="M2327" s="1" t="s">
        <v>29</v>
      </c>
      <c r="N2327" s="1" t="s">
        <v>297</v>
      </c>
      <c r="O2327" s="1" t="str">
        <f t="shared" ca="1" si="19"/>
        <v>Please solve the LeetCode problem '1454. Active Users'.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28" spans="1:15" x14ac:dyDescent="0.25">
      <c r="A2328" s="1">
        <v>1797</v>
      </c>
      <c r="B2328" s="2" t="str">
        <f>HYPERLINK("https://leetcode.com/problems/design-authentication-manager/", "Design Authentication Manager")</f>
        <v>Design Authentication Manager</v>
      </c>
      <c r="C2328" s="1">
        <v>419</v>
      </c>
      <c r="D2328" s="1">
        <v>56</v>
      </c>
      <c r="E2328" s="3">
        <f t="shared" si="18"/>
        <v>0.88210526315789473</v>
      </c>
      <c r="F2328" s="1" t="s">
        <v>45</v>
      </c>
      <c r="G2328" s="1" t="s">
        <v>24</v>
      </c>
      <c r="H2328" s="1">
        <v>51403</v>
      </c>
      <c r="I2328" s="1">
        <v>88205</v>
      </c>
      <c r="J2328" s="7">
        <v>0.58299999999999996</v>
      </c>
      <c r="K2328" s="1" t="s">
        <v>21</v>
      </c>
      <c r="L2328" s="1" t="s">
        <v>29</v>
      </c>
      <c r="M2328" s="1" t="s">
        <v>29</v>
      </c>
      <c r="N2328" s="1" t="s">
        <v>22</v>
      </c>
      <c r="O2328" s="1" t="str">
        <f t="shared" ca="1" si="19"/>
        <v>Please solve the LeetCode problem '1797. Design Authentication Manager'.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29" spans="1:15" x14ac:dyDescent="0.25">
      <c r="A2329" s="1">
        <v>2625</v>
      </c>
      <c r="B2329" s="2" t="str">
        <f>HYPERLINK("https://leetcode.com/problems/flatten-deeply-nested-array/", "Flatten Deeply Nested Array")</f>
        <v>Flatten Deeply Nested Array</v>
      </c>
      <c r="C2329" s="1">
        <v>419</v>
      </c>
      <c r="D2329" s="1">
        <v>30</v>
      </c>
      <c r="E2329" s="3">
        <f t="shared" si="18"/>
        <v>0.93318485523385297</v>
      </c>
      <c r="G2329" s="1" t="s">
        <v>24</v>
      </c>
      <c r="H2329" s="1">
        <v>76488</v>
      </c>
      <c r="I2329" s="1">
        <v>117176</v>
      </c>
      <c r="J2329" s="7">
        <v>0.65300000000000002</v>
      </c>
      <c r="K2329" s="1" t="s">
        <v>21</v>
      </c>
      <c r="L2329" s="1" t="s">
        <v>21</v>
      </c>
      <c r="M2329" s="1" t="s">
        <v>29</v>
      </c>
      <c r="N2329" s="1" t="s">
        <v>555</v>
      </c>
      <c r="O2329" s="1" t="str">
        <f t="shared" ca="1" si="19"/>
        <v>Please solve the LeetCode problem '2625. Flatten Deeply Nested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30" spans="1:15" x14ac:dyDescent="0.25">
      <c r="A2330" s="1">
        <v>2856</v>
      </c>
      <c r="B2330" s="2" t="str">
        <f>HYPERLINK("https://leetcode.com/problems/minimum-array-length-after-pair-removals/", "Minimum Array Length After Pair Removals")</f>
        <v>Minimum Array Length After Pair Removals</v>
      </c>
      <c r="C2330" s="1">
        <v>419</v>
      </c>
      <c r="D2330" s="1">
        <v>107</v>
      </c>
      <c r="E2330" s="3">
        <f t="shared" si="18"/>
        <v>0.79657794676806082</v>
      </c>
      <c r="F2330" s="1" t="s">
        <v>965</v>
      </c>
      <c r="G2330" s="1" t="s">
        <v>24</v>
      </c>
      <c r="H2330" s="1">
        <v>31369</v>
      </c>
      <c r="I2330" s="1">
        <v>117200</v>
      </c>
      <c r="J2330" s="7">
        <v>0.26800000000000002</v>
      </c>
      <c r="K2330" s="1" t="s">
        <v>21</v>
      </c>
      <c r="L2330" s="1" t="s">
        <v>29</v>
      </c>
      <c r="M2330" s="1" t="s">
        <v>29</v>
      </c>
      <c r="N2330" s="1" t="s">
        <v>22</v>
      </c>
      <c r="O2330" s="1" t="str">
        <f t="shared" ca="1" si="19"/>
        <v>Please solve the LeetCode problem '2856. Minimum Array Length After Pair Removals'.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31" spans="1:15" x14ac:dyDescent="0.25">
      <c r="A2331" s="1">
        <v>548</v>
      </c>
      <c r="B2331" s="2" t="str">
        <f>HYPERLINK("https://leetcode.com/problems/split-array-with-equal-sum/", "Split Array with Equal Sum")</f>
        <v>Split Array with Equal Sum</v>
      </c>
      <c r="C2331" s="1">
        <v>418</v>
      </c>
      <c r="D2331" s="1">
        <v>131</v>
      </c>
      <c r="E2331" s="3">
        <f t="shared" si="18"/>
        <v>0.76138433515482695</v>
      </c>
      <c r="F2331" s="1" t="s">
        <v>39</v>
      </c>
      <c r="G2331" s="1" t="s">
        <v>28</v>
      </c>
      <c r="H2331" s="1">
        <v>24894</v>
      </c>
      <c r="I2331" s="1">
        <v>49708</v>
      </c>
      <c r="J2331" s="7">
        <v>0.501</v>
      </c>
      <c r="K2331" s="1" t="s">
        <v>29</v>
      </c>
      <c r="L2331" s="1" t="s">
        <v>21</v>
      </c>
      <c r="M2331" s="1" t="s">
        <v>29</v>
      </c>
      <c r="N2331" s="1" t="s">
        <v>22</v>
      </c>
      <c r="O2331" s="1" t="str">
        <f t="shared" ca="1" si="19"/>
        <v>Please solve the LeetCode problem '548. Split Array with Equal Sum'.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32" spans="1:15" x14ac:dyDescent="0.25">
      <c r="A2332" s="1">
        <v>2132</v>
      </c>
      <c r="B2332" s="2" t="str">
        <f>HYPERLINK("https://leetcode.com/problems/stamping-the-grid/", "Stamping the Grid")</f>
        <v>Stamping the Grid</v>
      </c>
      <c r="C2332" s="1">
        <v>417</v>
      </c>
      <c r="D2332" s="1">
        <v>47</v>
      </c>
      <c r="E2332" s="3">
        <f t="shared" si="18"/>
        <v>0.89870689655172409</v>
      </c>
      <c r="F2332" s="1" t="s">
        <v>968</v>
      </c>
      <c r="G2332" s="1" t="s">
        <v>28</v>
      </c>
      <c r="H2332" s="1">
        <v>9754</v>
      </c>
      <c r="I2332" s="1">
        <v>28092</v>
      </c>
      <c r="J2332" s="7">
        <v>0.34699999999999998</v>
      </c>
      <c r="K2332" s="1" t="s">
        <v>21</v>
      </c>
      <c r="L2332" s="1" t="s">
        <v>29</v>
      </c>
      <c r="M2332" s="1" t="s">
        <v>29</v>
      </c>
      <c r="N2332" s="1" t="s">
        <v>22</v>
      </c>
      <c r="O2332" s="1" t="str">
        <f t="shared" ca="1" si="19"/>
        <v>Please solve the LeetCode problem '2132. Stamping the Grid'.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33" spans="1:15" x14ac:dyDescent="0.25">
      <c r="A2333" s="1">
        <v>1540</v>
      </c>
      <c r="B2333" s="2" t="str">
        <f>HYPERLINK("https://leetcode.com/problems/can-convert-string-in-k-moves/", "Can Convert String in K Moves")</f>
        <v>Can Convert String in K Moves</v>
      </c>
      <c r="C2333" s="1">
        <v>416</v>
      </c>
      <c r="D2333" s="1">
        <v>332</v>
      </c>
      <c r="E2333" s="3">
        <f t="shared" si="18"/>
        <v>0.55614973262032086</v>
      </c>
      <c r="F2333" s="1" t="s">
        <v>131</v>
      </c>
      <c r="G2333" s="1" t="s">
        <v>24</v>
      </c>
      <c r="H2333" s="1">
        <v>24491</v>
      </c>
      <c r="I2333" s="1">
        <v>66619</v>
      </c>
      <c r="J2333" s="7">
        <v>0.36799999999999999</v>
      </c>
      <c r="K2333" s="1" t="s">
        <v>21</v>
      </c>
      <c r="L2333" s="1" t="s">
        <v>29</v>
      </c>
      <c r="M2333" s="1" t="s">
        <v>29</v>
      </c>
      <c r="N2333" s="1" t="s">
        <v>22</v>
      </c>
      <c r="O2333" s="1" t="str">
        <f t="shared" ca="1" si="19"/>
        <v>Please solve the LeetCode problem '1540. Can Convert String in K Moves'.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34" spans="1:15" x14ac:dyDescent="0.25">
      <c r="A2334" s="1">
        <v>335</v>
      </c>
      <c r="B2334" s="2" t="str">
        <f>HYPERLINK("https://leetcode.com/problems/self-crossing/", "Self Crossing")</f>
        <v>Self Crossing</v>
      </c>
      <c r="C2334" s="1">
        <v>415</v>
      </c>
      <c r="D2334" s="1">
        <v>521</v>
      </c>
      <c r="E2334" s="3">
        <f t="shared" si="18"/>
        <v>0.44337606837606836</v>
      </c>
      <c r="F2334" s="1" t="s">
        <v>397</v>
      </c>
      <c r="G2334" s="1" t="s">
        <v>28</v>
      </c>
      <c r="H2334" s="1">
        <v>45660</v>
      </c>
      <c r="I2334" s="1">
        <v>134576</v>
      </c>
      <c r="J2334" s="7">
        <v>0.33900000000000002</v>
      </c>
      <c r="K2334" s="1" t="s">
        <v>21</v>
      </c>
      <c r="L2334" s="1" t="s">
        <v>29</v>
      </c>
      <c r="M2334" s="1" t="s">
        <v>29</v>
      </c>
      <c r="N2334" s="1" t="s">
        <v>22</v>
      </c>
      <c r="O2334" s="1" t="str">
        <f t="shared" ca="1" si="19"/>
        <v>Please solve the LeetCode problem '335. Self Crossing'.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35" spans="1:15" x14ac:dyDescent="0.25">
      <c r="A2335" s="1">
        <v>553</v>
      </c>
      <c r="B2335" s="2" t="str">
        <f>HYPERLINK("https://leetcode.com/problems/optimal-division/", "Optimal Division")</f>
        <v>Optimal Division</v>
      </c>
      <c r="C2335" s="1">
        <v>415</v>
      </c>
      <c r="D2335" s="1">
        <v>1634</v>
      </c>
      <c r="E2335" s="3">
        <f t="shared" si="18"/>
        <v>0.20253782332845291</v>
      </c>
      <c r="F2335" s="1" t="s">
        <v>457</v>
      </c>
      <c r="G2335" s="1" t="s">
        <v>24</v>
      </c>
      <c r="H2335" s="1">
        <v>50159</v>
      </c>
      <c r="I2335" s="1">
        <v>80053</v>
      </c>
      <c r="J2335" s="7">
        <v>0.627</v>
      </c>
      <c r="K2335" s="1" t="s">
        <v>21</v>
      </c>
      <c r="L2335" s="1" t="s">
        <v>21</v>
      </c>
      <c r="M2335" s="1" t="s">
        <v>29</v>
      </c>
      <c r="N2335" s="1" t="s">
        <v>22</v>
      </c>
      <c r="O2335" s="1" t="str">
        <f t="shared" ca="1" si="19"/>
        <v>Please solve the LeetCode problem '553. Optimal Division'.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36" spans="1:15" x14ac:dyDescent="0.25">
      <c r="A2336" s="1">
        <v>2412</v>
      </c>
      <c r="B2336" s="2" t="str">
        <f>HYPERLINK("https://leetcode.com/problems/minimum-money-required-before-transactions/", "Minimum Money Required Before Transactions")</f>
        <v>Minimum Money Required Before Transactions</v>
      </c>
      <c r="C2336" s="1">
        <v>415</v>
      </c>
      <c r="D2336" s="1">
        <v>37</v>
      </c>
      <c r="E2336" s="3">
        <f t="shared" si="18"/>
        <v>0.91814159292035402</v>
      </c>
      <c r="F2336" s="1" t="s">
        <v>169</v>
      </c>
      <c r="G2336" s="1" t="s">
        <v>28</v>
      </c>
      <c r="H2336" s="1">
        <v>13284</v>
      </c>
      <c r="I2336" s="1">
        <v>31635</v>
      </c>
      <c r="J2336" s="7">
        <v>0.42</v>
      </c>
      <c r="K2336" s="1" t="s">
        <v>21</v>
      </c>
      <c r="L2336" s="1" t="s">
        <v>29</v>
      </c>
      <c r="M2336" s="1" t="s">
        <v>29</v>
      </c>
      <c r="N2336" s="1" t="s">
        <v>22</v>
      </c>
      <c r="O2336" s="1" t="str">
        <f t="shared" ca="1" si="19"/>
        <v>Please solve the LeetCode problem '2412. Minimum Money Required Before Transactions'.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37" spans="1:15" x14ac:dyDescent="0.25">
      <c r="A2337" s="1">
        <v>1868</v>
      </c>
      <c r="B2337" s="2" t="str">
        <f>HYPERLINK("https://leetcode.com/problems/product-of-two-run-length-encoded-arrays/", "Product of Two Run-Length Encoded Arrays")</f>
        <v>Product of Two Run-Length Encoded Arrays</v>
      </c>
      <c r="C2337" s="1">
        <v>414</v>
      </c>
      <c r="D2337" s="1">
        <v>83</v>
      </c>
      <c r="E2337" s="3">
        <f t="shared" si="18"/>
        <v>0.83299798792756541</v>
      </c>
      <c r="F2337" s="1" t="s">
        <v>51</v>
      </c>
      <c r="G2337" s="1" t="s">
        <v>24</v>
      </c>
      <c r="H2337" s="1">
        <v>63026</v>
      </c>
      <c r="I2337" s="1">
        <v>105834</v>
      </c>
      <c r="J2337" s="7">
        <v>0.59599999999999997</v>
      </c>
      <c r="K2337" s="1" t="s">
        <v>29</v>
      </c>
      <c r="L2337" s="1" t="s">
        <v>29</v>
      </c>
      <c r="M2337" s="1" t="s">
        <v>29</v>
      </c>
      <c r="N2337" s="1" t="s">
        <v>22</v>
      </c>
      <c r="O2337" s="1" t="str">
        <f t="shared" ca="1" si="19"/>
        <v>Please solve the LeetCode problem '1868. Product of Two Run-Length Encoded Arrays'.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38" spans="1:15" x14ac:dyDescent="0.25">
      <c r="A2338" s="1">
        <v>2617</v>
      </c>
      <c r="B2338" s="2" t="str">
        <f>HYPERLINK("https://leetcode.com/problems/minimum-number-of-visited-cells-in-a-grid/", "Minimum Number of Visited Cells in a Grid")</f>
        <v>Minimum Number of Visited Cells in a Grid</v>
      </c>
      <c r="C2338" s="1">
        <v>414</v>
      </c>
      <c r="D2338" s="1">
        <v>39</v>
      </c>
      <c r="E2338" s="3">
        <f t="shared" si="18"/>
        <v>0.91390728476821192</v>
      </c>
      <c r="F2338" s="1" t="s">
        <v>969</v>
      </c>
      <c r="G2338" s="1" t="s">
        <v>28</v>
      </c>
      <c r="H2338" s="1">
        <v>11574</v>
      </c>
      <c r="I2338" s="1">
        <v>49420</v>
      </c>
      <c r="J2338" s="7">
        <v>0.23400000000000001</v>
      </c>
      <c r="K2338" s="1" t="s">
        <v>21</v>
      </c>
      <c r="L2338" s="1" t="s">
        <v>29</v>
      </c>
      <c r="M2338" s="1" t="s">
        <v>29</v>
      </c>
      <c r="N2338" s="1" t="s">
        <v>22</v>
      </c>
      <c r="O2338" s="1" t="str">
        <f t="shared" ca="1" si="19"/>
        <v>Please solve the LeetCode problem '2617. Minimum Number of Visited Cells in a Grid'.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39" spans="1:15" x14ac:dyDescent="0.25">
      <c r="A2339" s="1">
        <v>2875</v>
      </c>
      <c r="B2339" s="2" t="str">
        <f>HYPERLINK("https://leetcode.com/problems/minimum-size-subarray-in-infinite-array/", "Minimum Size Subarray in Infinite Array")</f>
        <v>Minimum Size Subarray in Infinite Array</v>
      </c>
      <c r="C2339" s="1">
        <v>414</v>
      </c>
      <c r="D2339" s="1">
        <v>32</v>
      </c>
      <c r="E2339" s="3">
        <f t="shared" si="18"/>
        <v>0.9282511210762332</v>
      </c>
      <c r="F2339" s="1" t="s">
        <v>272</v>
      </c>
      <c r="G2339" s="1" t="s">
        <v>24</v>
      </c>
      <c r="H2339" s="1">
        <v>24979</v>
      </c>
      <c r="I2339" s="1">
        <v>78337</v>
      </c>
      <c r="J2339" s="7">
        <v>0.31900000000000001</v>
      </c>
      <c r="K2339" s="1" t="s">
        <v>21</v>
      </c>
      <c r="L2339" s="1" t="s">
        <v>29</v>
      </c>
      <c r="M2339" s="1" t="s">
        <v>29</v>
      </c>
      <c r="N2339" s="1" t="s">
        <v>22</v>
      </c>
      <c r="O2339" s="1" t="str">
        <f t="shared" ca="1" si="19"/>
        <v>Please solve the LeetCode problem '2875. Minimum Size Subarray in Infinite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40" spans="1:15" x14ac:dyDescent="0.25">
      <c r="A2340" s="1">
        <v>1938</v>
      </c>
      <c r="B2340" s="2" t="str">
        <f>HYPERLINK("https://leetcode.com/problems/maximum-genetic-difference-query/", "Maximum Genetic Difference Query")</f>
        <v>Maximum Genetic Difference Query</v>
      </c>
      <c r="C2340" s="1">
        <v>413</v>
      </c>
      <c r="D2340" s="1">
        <v>24</v>
      </c>
      <c r="E2340" s="3">
        <f t="shared" si="18"/>
        <v>0.94508009153318073</v>
      </c>
      <c r="F2340" s="1" t="s">
        <v>970</v>
      </c>
      <c r="G2340" s="1" t="s">
        <v>28</v>
      </c>
      <c r="H2340" s="1">
        <v>7552</v>
      </c>
      <c r="I2340" s="1">
        <v>16386</v>
      </c>
      <c r="J2340" s="7">
        <v>0.46100000000000002</v>
      </c>
      <c r="K2340" s="1" t="s">
        <v>21</v>
      </c>
      <c r="L2340" s="1" t="s">
        <v>29</v>
      </c>
      <c r="M2340" s="1" t="s">
        <v>29</v>
      </c>
      <c r="N2340" s="1" t="s">
        <v>22</v>
      </c>
      <c r="O2340" s="1" t="str">
        <f t="shared" ca="1" si="19"/>
        <v>Please solve the LeetCode problem '1938. Maximum Genetic Difference Query'.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41" spans="1:15" x14ac:dyDescent="0.25">
      <c r="A2341" s="1">
        <v>3516</v>
      </c>
      <c r="B2341" s="2" t="str">
        <f>HYPERLINK("https://leetcode.com/problems/find-closest-person/", "Find Closest Person")</f>
        <v>Find Closest Person</v>
      </c>
      <c r="C2341" s="1">
        <v>413</v>
      </c>
      <c r="D2341" s="1">
        <v>44</v>
      </c>
      <c r="E2341" s="3">
        <f t="shared" si="18"/>
        <v>0.90371991247264771</v>
      </c>
      <c r="F2341" s="1" t="s">
        <v>84</v>
      </c>
      <c r="G2341" s="1" t="s">
        <v>20</v>
      </c>
      <c r="H2341" s="1">
        <v>205209</v>
      </c>
      <c r="I2341" s="1">
        <v>230634</v>
      </c>
      <c r="J2341" s="7">
        <v>0.89</v>
      </c>
      <c r="K2341" s="1" t="s">
        <v>21</v>
      </c>
      <c r="L2341" s="1" t="s">
        <v>21</v>
      </c>
      <c r="M2341" s="1" t="s">
        <v>29</v>
      </c>
      <c r="N2341" s="1" t="s">
        <v>22</v>
      </c>
      <c r="O2341" s="1" t="str">
        <f t="shared" ca="1" si="19"/>
        <v>Please solve the LeetCode problem '3516. Find Closest Person'.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42" spans="1:15" x14ac:dyDescent="0.25">
      <c r="A2342" s="1">
        <v>963</v>
      </c>
      <c r="B2342" s="2" t="str">
        <f>HYPERLINK("https://leetcode.com/problems/minimum-area-rectangle-ii/", "Minimum Area Rectangle II")</f>
        <v>Minimum Area Rectangle II</v>
      </c>
      <c r="C2342" s="1">
        <v>411</v>
      </c>
      <c r="D2342" s="1">
        <v>486</v>
      </c>
      <c r="E2342" s="3">
        <f t="shared" si="18"/>
        <v>0.45819397993311034</v>
      </c>
      <c r="F2342" s="1" t="s">
        <v>286</v>
      </c>
      <c r="G2342" s="1" t="s">
        <v>24</v>
      </c>
      <c r="H2342" s="1">
        <v>35364</v>
      </c>
      <c r="I2342" s="1">
        <v>63308</v>
      </c>
      <c r="J2342" s="7">
        <v>0.55900000000000005</v>
      </c>
      <c r="K2342" s="1" t="s">
        <v>21</v>
      </c>
      <c r="L2342" s="1" t="s">
        <v>21</v>
      </c>
      <c r="M2342" s="1" t="s">
        <v>29</v>
      </c>
      <c r="N2342" s="1" t="s">
        <v>22</v>
      </c>
      <c r="O2342" s="1" t="str">
        <f t="shared" ca="1" si="19"/>
        <v>Please solve the LeetCode problem '963. Minimum Area Rectangle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43" spans="1:15" x14ac:dyDescent="0.25">
      <c r="A2343" s="1">
        <v>1230</v>
      </c>
      <c r="B2343" s="2" t="str">
        <f>HYPERLINK("https://leetcode.com/problems/toss-strange-coins/", "Toss Strange Coins")</f>
        <v>Toss Strange Coins</v>
      </c>
      <c r="C2343" s="1">
        <v>409</v>
      </c>
      <c r="D2343" s="1">
        <v>52</v>
      </c>
      <c r="E2343" s="3">
        <f t="shared" si="18"/>
        <v>0.88720173535791758</v>
      </c>
      <c r="F2343" s="1" t="s">
        <v>973</v>
      </c>
      <c r="G2343" s="1" t="s">
        <v>24</v>
      </c>
      <c r="H2343" s="1">
        <v>22848</v>
      </c>
      <c r="I2343" s="1">
        <v>39319</v>
      </c>
      <c r="J2343" s="7">
        <v>0.58099999999999996</v>
      </c>
      <c r="K2343" s="1" t="s">
        <v>29</v>
      </c>
      <c r="L2343" s="1" t="s">
        <v>21</v>
      </c>
      <c r="M2343" s="1" t="s">
        <v>29</v>
      </c>
      <c r="N2343" s="1" t="s">
        <v>22</v>
      </c>
      <c r="O2343" s="1" t="str">
        <f t="shared" ca="1" si="19"/>
        <v>Please solve the LeetCode problem '1230. Toss Strange Coins'.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44" spans="1:15" x14ac:dyDescent="0.25">
      <c r="A2344" s="1">
        <v>2190</v>
      </c>
      <c r="B2344" s="2" t="str">
        <f>HYPERLINK("https://leetcode.com/problems/most-frequent-number-following-key-in-an-array/", "Most Frequent Number Following Key In an Array")</f>
        <v>Most Frequent Number Following Key In an Array</v>
      </c>
      <c r="C2344" s="1">
        <v>409</v>
      </c>
      <c r="D2344" s="1">
        <v>253</v>
      </c>
      <c r="E2344" s="3">
        <f t="shared" si="18"/>
        <v>0.6178247734138973</v>
      </c>
      <c r="F2344" s="1" t="s">
        <v>294</v>
      </c>
      <c r="G2344" s="1" t="s">
        <v>20</v>
      </c>
      <c r="H2344" s="1">
        <v>49102</v>
      </c>
      <c r="I2344" s="1">
        <v>82783</v>
      </c>
      <c r="J2344" s="7">
        <v>0.59299999999999997</v>
      </c>
      <c r="K2344" s="1" t="s">
        <v>21</v>
      </c>
      <c r="L2344" s="1" t="s">
        <v>29</v>
      </c>
      <c r="M2344" s="1" t="s">
        <v>29</v>
      </c>
      <c r="N2344" s="1" t="s">
        <v>22</v>
      </c>
      <c r="O2344" s="1" t="str">
        <f t="shared" ca="1" si="19"/>
        <v>Please solve the LeetCode problem '2190. Most Frequent Number Following Key In an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45" spans="1:15" x14ac:dyDescent="0.25">
      <c r="A2345" s="1">
        <v>1836</v>
      </c>
      <c r="B2345" s="2" t="str">
        <f>HYPERLINK("https://leetcode.com/problems/remove-duplicates-from-an-unsorted-linked-list/", "Remove Duplicates From an Unsorted Linked List")</f>
        <v>Remove Duplicates From an Unsorted Linked List</v>
      </c>
      <c r="C2345" s="1">
        <v>408</v>
      </c>
      <c r="D2345" s="1">
        <v>12</v>
      </c>
      <c r="E2345" s="3">
        <f t="shared" si="18"/>
        <v>0.97142857142857142</v>
      </c>
      <c r="F2345" s="1" t="s">
        <v>85</v>
      </c>
      <c r="G2345" s="1" t="s">
        <v>24</v>
      </c>
      <c r="H2345" s="1">
        <v>39476</v>
      </c>
      <c r="I2345" s="1">
        <v>52192</v>
      </c>
      <c r="J2345" s="7">
        <v>0.75600000000000001</v>
      </c>
      <c r="K2345" s="1" t="s">
        <v>29</v>
      </c>
      <c r="L2345" s="1" t="s">
        <v>21</v>
      </c>
      <c r="M2345" s="1" t="s">
        <v>29</v>
      </c>
      <c r="N2345" s="1" t="s">
        <v>22</v>
      </c>
      <c r="O2345" s="1" t="str">
        <f t="shared" ca="1" si="19"/>
        <v>Please solve the LeetCode problem '1836. Remove Duplicates From an Unsorted Linked List'.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46" spans="1:15" x14ac:dyDescent="0.25">
      <c r="A2346" s="1">
        <v>1040</v>
      </c>
      <c r="B2346" s="2" t="str">
        <f>HYPERLINK("https://leetcode.com/problems/moving-stones-until-consecutive-ii/", "Moving Stones Until Consecutive II")</f>
        <v>Moving Stones Until Consecutive II</v>
      </c>
      <c r="C2346" s="1">
        <v>406</v>
      </c>
      <c r="D2346" s="1">
        <v>744</v>
      </c>
      <c r="E2346" s="3">
        <f t="shared" si="18"/>
        <v>0.35304347826086957</v>
      </c>
      <c r="F2346" s="1" t="s">
        <v>975</v>
      </c>
      <c r="G2346" s="1" t="s">
        <v>24</v>
      </c>
      <c r="H2346" s="1">
        <v>14503</v>
      </c>
      <c r="I2346" s="1">
        <v>24727</v>
      </c>
      <c r="J2346" s="7">
        <v>0.58699999999999997</v>
      </c>
      <c r="K2346" s="1" t="s">
        <v>21</v>
      </c>
      <c r="L2346" s="1" t="s">
        <v>29</v>
      </c>
      <c r="M2346" s="1" t="s">
        <v>29</v>
      </c>
      <c r="N2346" s="1" t="s">
        <v>22</v>
      </c>
      <c r="O2346" s="1" t="str">
        <f t="shared" ca="1" si="19"/>
        <v>Please solve the LeetCode problem '1040. Moving Stones Until Consecutive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47" spans="1:15" x14ac:dyDescent="0.25">
      <c r="A2347" s="1">
        <v>1954</v>
      </c>
      <c r="B2347" s="2" t="str">
        <f>HYPERLINK("https://leetcode.com/problems/minimum-garden-perimeter-to-collect-enough-apples/", "Minimum Garden Perimeter to Collect Enough Apples")</f>
        <v>Minimum Garden Perimeter to Collect Enough Apples</v>
      </c>
      <c r="C2347" s="1">
        <v>406</v>
      </c>
      <c r="D2347" s="1">
        <v>98</v>
      </c>
      <c r="E2347" s="3">
        <f t="shared" si="18"/>
        <v>0.80555555555555558</v>
      </c>
      <c r="F2347" s="1" t="s">
        <v>139</v>
      </c>
      <c r="G2347" s="1" t="s">
        <v>24</v>
      </c>
      <c r="H2347" s="1">
        <v>20855</v>
      </c>
      <c r="I2347" s="1">
        <v>37703</v>
      </c>
      <c r="J2347" s="7">
        <v>0.55300000000000005</v>
      </c>
      <c r="K2347" s="1" t="s">
        <v>21</v>
      </c>
      <c r="L2347" s="1" t="s">
        <v>29</v>
      </c>
      <c r="M2347" s="1" t="s">
        <v>29</v>
      </c>
      <c r="N2347" s="1" t="s">
        <v>22</v>
      </c>
      <c r="O2347" s="1" t="str">
        <f t="shared" ca="1" si="19"/>
        <v>Please solve the LeetCode problem '1954. Minimum Garden Perimeter to Collect Enough Apples'.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48" spans="1:15" x14ac:dyDescent="0.25">
      <c r="A2348" s="1">
        <v>2761</v>
      </c>
      <c r="B2348" s="2" t="str">
        <f>HYPERLINK("https://leetcode.com/problems/prime-pairs-with-target-sum/", "Prime Pairs With Target Sum")</f>
        <v>Prime Pairs With Target Sum</v>
      </c>
      <c r="C2348" s="1">
        <v>406</v>
      </c>
      <c r="D2348" s="1">
        <v>34</v>
      </c>
      <c r="E2348" s="3">
        <f t="shared" si="18"/>
        <v>0.92272727272727273</v>
      </c>
      <c r="F2348" s="1" t="s">
        <v>161</v>
      </c>
      <c r="G2348" s="1" t="s">
        <v>24</v>
      </c>
      <c r="H2348" s="1">
        <v>38625</v>
      </c>
      <c r="I2348" s="1">
        <v>105037</v>
      </c>
      <c r="J2348" s="7">
        <v>0.36799999999999999</v>
      </c>
      <c r="K2348" s="1" t="s">
        <v>21</v>
      </c>
      <c r="L2348" s="1" t="s">
        <v>29</v>
      </c>
      <c r="M2348" s="1" t="s">
        <v>29</v>
      </c>
      <c r="N2348" s="1" t="s">
        <v>22</v>
      </c>
      <c r="O2348" s="1" t="str">
        <f t="shared" ca="1" si="19"/>
        <v>Please solve the LeetCode problem '2761. Prime Pairs With Target Sum'.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49" spans="1:15" x14ac:dyDescent="0.25">
      <c r="A2349" s="1">
        <v>527</v>
      </c>
      <c r="B2349" s="2" t="str">
        <f>HYPERLINK("https://leetcode.com/problems/word-abbreviation/", "Word Abbreviation")</f>
        <v>Word Abbreviation</v>
      </c>
      <c r="C2349" s="1">
        <v>405</v>
      </c>
      <c r="D2349" s="1">
        <v>298</v>
      </c>
      <c r="E2349" s="3">
        <f t="shared" si="18"/>
        <v>0.57610241820768138</v>
      </c>
      <c r="F2349" s="1" t="s">
        <v>977</v>
      </c>
      <c r="G2349" s="1" t="s">
        <v>28</v>
      </c>
      <c r="H2349" s="1">
        <v>33391</v>
      </c>
      <c r="I2349" s="1">
        <v>53320</v>
      </c>
      <c r="J2349" s="7">
        <v>0.626</v>
      </c>
      <c r="K2349" s="1" t="s">
        <v>29</v>
      </c>
      <c r="L2349" s="1" t="s">
        <v>21</v>
      </c>
      <c r="M2349" s="1" t="s">
        <v>29</v>
      </c>
      <c r="N2349" s="1" t="s">
        <v>22</v>
      </c>
      <c r="O2349" s="1" t="str">
        <f t="shared" ca="1" si="19"/>
        <v>Please solve the LeetCode problem '527. Word Abbreviation'.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50" spans="1:15" x14ac:dyDescent="0.25">
      <c r="A2350" s="1">
        <v>2102</v>
      </c>
      <c r="B2350" s="2" t="str">
        <f>HYPERLINK("https://leetcode.com/problems/sequentially-ordinal-rank-tracker/", "Sequentially Ordinal Rank Tracker")</f>
        <v>Sequentially Ordinal Rank Tracker</v>
      </c>
      <c r="C2350" s="1">
        <v>405</v>
      </c>
      <c r="D2350" s="1">
        <v>47</v>
      </c>
      <c r="E2350" s="3">
        <f t="shared" si="18"/>
        <v>0.89601769911504425</v>
      </c>
      <c r="F2350" s="1" t="s">
        <v>974</v>
      </c>
      <c r="G2350" s="1" t="s">
        <v>28</v>
      </c>
      <c r="H2350" s="1">
        <v>19688</v>
      </c>
      <c r="I2350" s="1">
        <v>32025</v>
      </c>
      <c r="J2350" s="7">
        <v>0.61499999999999999</v>
      </c>
      <c r="K2350" s="1" t="s">
        <v>21</v>
      </c>
      <c r="L2350" s="1" t="s">
        <v>29</v>
      </c>
      <c r="M2350" s="1" t="s">
        <v>29</v>
      </c>
      <c r="N2350" s="1" t="s">
        <v>22</v>
      </c>
      <c r="O2350" s="1" t="str">
        <f t="shared" ca="1" si="19"/>
        <v>Please solve the LeetCode problem '2102. Sequentially Ordinal Rank Tracker'.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51" spans="1:15" x14ac:dyDescent="0.25">
      <c r="A2351" s="1">
        <v>2703</v>
      </c>
      <c r="B2351" s="2" t="str">
        <f>HYPERLINK("https://leetcode.com/problems/return-length-of-arguments-passed/", "Return Length of Arguments Passed")</f>
        <v>Return Length of Arguments Passed</v>
      </c>
      <c r="C2351" s="1">
        <v>405</v>
      </c>
      <c r="D2351" s="1">
        <v>174</v>
      </c>
      <c r="E2351" s="3">
        <f t="shared" si="18"/>
        <v>0.69948186528497414</v>
      </c>
      <c r="G2351" s="1" t="s">
        <v>20</v>
      </c>
      <c r="H2351" s="1">
        <v>285167</v>
      </c>
      <c r="I2351" s="1">
        <v>301719</v>
      </c>
      <c r="J2351" s="7">
        <v>0.94499999999999995</v>
      </c>
      <c r="K2351" s="1" t="s">
        <v>21</v>
      </c>
      <c r="L2351" s="1" t="s">
        <v>21</v>
      </c>
      <c r="M2351" s="1" t="s">
        <v>29</v>
      </c>
      <c r="N2351" s="1" t="s">
        <v>555</v>
      </c>
      <c r="O2351" s="1" t="str">
        <f t="shared" ca="1" si="19"/>
        <v>Please solve the LeetCode problem '2703. Return Length of Arguments Passed'.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52" spans="1:15" x14ac:dyDescent="0.25">
      <c r="A2352" s="1">
        <v>3074</v>
      </c>
      <c r="B2352" s="2" t="str">
        <f>HYPERLINK("https://leetcode.com/problems/apple-redistribution-into-boxes/", "Apple Redistribution into Boxes")</f>
        <v>Apple Redistribution into Boxes</v>
      </c>
      <c r="C2352" s="1">
        <v>405</v>
      </c>
      <c r="D2352" s="1">
        <v>24</v>
      </c>
      <c r="E2352" s="3">
        <f t="shared" si="18"/>
        <v>0.94405594405594406</v>
      </c>
      <c r="F2352" s="1" t="s">
        <v>169</v>
      </c>
      <c r="G2352" s="1" t="s">
        <v>20</v>
      </c>
      <c r="H2352" s="1">
        <v>161917</v>
      </c>
      <c r="I2352" s="1">
        <v>206389</v>
      </c>
      <c r="J2352" s="7">
        <v>0.78500000000000003</v>
      </c>
      <c r="K2352" s="1" t="s">
        <v>21</v>
      </c>
      <c r="L2352" s="1" t="s">
        <v>21</v>
      </c>
      <c r="M2352" s="1" t="s">
        <v>29</v>
      </c>
      <c r="N2352" s="1" t="s">
        <v>22</v>
      </c>
      <c r="O2352" s="1" t="str">
        <f t="shared" ca="1" si="19"/>
        <v>Please solve the LeetCode problem '3074. Apple Redistribution into Boxes'.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53" spans="1:15" x14ac:dyDescent="0.25">
      <c r="A2353" s="1">
        <v>3375</v>
      </c>
      <c r="B2353" s="2" t="str">
        <f>HYPERLINK("https://leetcode.com/problems/minimum-operations-to-make-array-values-equal-to-k/", "Minimum Operations to Make Array Values Equal to K")</f>
        <v>Minimum Operations to Make Array Values Equal to K</v>
      </c>
      <c r="C2353" s="1">
        <v>405</v>
      </c>
      <c r="D2353" s="1">
        <v>529</v>
      </c>
      <c r="E2353" s="3">
        <f t="shared" si="18"/>
        <v>0.43361884368308351</v>
      </c>
      <c r="F2353" s="1" t="s">
        <v>19</v>
      </c>
      <c r="G2353" s="1" t="s">
        <v>20</v>
      </c>
      <c r="H2353" s="1">
        <v>166996</v>
      </c>
      <c r="I2353" s="1">
        <v>227840</v>
      </c>
      <c r="J2353" s="7">
        <v>0.73299999999999998</v>
      </c>
      <c r="K2353" s="1" t="s">
        <v>21</v>
      </c>
      <c r="L2353" s="1" t="s">
        <v>21</v>
      </c>
      <c r="M2353" s="1" t="s">
        <v>29</v>
      </c>
      <c r="N2353" s="1" t="s">
        <v>22</v>
      </c>
      <c r="O2353" s="1" t="str">
        <f t="shared" ca="1" si="19"/>
        <v>Please solve the LeetCode problem '3375. Minimum Operations to Make Array Values Equal to K'.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54" spans="1:15" x14ac:dyDescent="0.25">
      <c r="A2354" s="1">
        <v>2565</v>
      </c>
      <c r="B2354" s="2" t="str">
        <f>HYPERLINK("https://leetcode.com/problems/subsequence-with-the-minimum-score/", "Subsequence With the Minimum Score")</f>
        <v>Subsequence With the Minimum Score</v>
      </c>
      <c r="C2354" s="1">
        <v>404</v>
      </c>
      <c r="D2354" s="1">
        <v>7</v>
      </c>
      <c r="E2354" s="3">
        <f t="shared" si="18"/>
        <v>0.98296836982968372</v>
      </c>
      <c r="F2354" s="1" t="s">
        <v>978</v>
      </c>
      <c r="G2354" s="1" t="s">
        <v>28</v>
      </c>
      <c r="H2354" s="1">
        <v>10099</v>
      </c>
      <c r="I2354" s="1">
        <v>30575</v>
      </c>
      <c r="J2354" s="7">
        <v>0.33</v>
      </c>
      <c r="K2354" s="1" t="s">
        <v>21</v>
      </c>
      <c r="L2354" s="1" t="s">
        <v>29</v>
      </c>
      <c r="M2354" s="1" t="s">
        <v>29</v>
      </c>
      <c r="N2354" s="1" t="s">
        <v>22</v>
      </c>
      <c r="O2354" s="1" t="str">
        <f t="shared" ca="1" si="19"/>
        <v>Please solve the LeetCode problem '2565. Subsequence With the Minimum Score'.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55" spans="1:15" x14ac:dyDescent="0.25">
      <c r="A2355" s="1">
        <v>2697</v>
      </c>
      <c r="B2355" s="2" t="str">
        <f>HYPERLINK("https://leetcode.com/problems/lexicographically-smallest-palindrome/", "Lexicographically Smallest Palindrome")</f>
        <v>Lexicographically Smallest Palindrome</v>
      </c>
      <c r="C2355" s="1">
        <v>404</v>
      </c>
      <c r="D2355" s="1">
        <v>28</v>
      </c>
      <c r="E2355" s="3">
        <f t="shared" si="18"/>
        <v>0.93518518518518523</v>
      </c>
      <c r="F2355" s="1" t="s">
        <v>158</v>
      </c>
      <c r="G2355" s="1" t="s">
        <v>20</v>
      </c>
      <c r="H2355" s="1">
        <v>79142</v>
      </c>
      <c r="I2355" s="1">
        <v>98069</v>
      </c>
      <c r="J2355" s="7">
        <v>0.80700000000000005</v>
      </c>
      <c r="K2355" s="1" t="s">
        <v>21</v>
      </c>
      <c r="L2355" s="1" t="s">
        <v>29</v>
      </c>
      <c r="M2355" s="1" t="s">
        <v>29</v>
      </c>
      <c r="N2355" s="1" t="s">
        <v>22</v>
      </c>
      <c r="O2355" s="1" t="str">
        <f t="shared" ca="1" si="19"/>
        <v>Please solve the LeetCode problem '2697. Lexicographically Smallest Palindrome'.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56" spans="1:15" x14ac:dyDescent="0.25">
      <c r="A2356" s="1">
        <v>2982</v>
      </c>
      <c r="B2356" s="2" t="str">
        <f>HYPERLINK("https://leetcode.com/problems/find-longest-special-substring-that-occurs-thrice-ii/", "Find Longest Special Substring That Occurs Thrice II")</f>
        <v>Find Longest Special Substring That Occurs Thrice II</v>
      </c>
      <c r="C2356" s="1">
        <v>404</v>
      </c>
      <c r="D2356" s="1">
        <v>33</v>
      </c>
      <c r="E2356" s="3">
        <f t="shared" si="18"/>
        <v>0.92448512585812359</v>
      </c>
      <c r="F2356" s="1" t="s">
        <v>792</v>
      </c>
      <c r="G2356" s="1" t="s">
        <v>24</v>
      </c>
      <c r="H2356" s="1">
        <v>30841</v>
      </c>
      <c r="I2356" s="1">
        <v>79218</v>
      </c>
      <c r="J2356" s="7">
        <v>0.38900000000000001</v>
      </c>
      <c r="K2356" s="1" t="s">
        <v>21</v>
      </c>
      <c r="L2356" s="1" t="s">
        <v>21</v>
      </c>
      <c r="M2356" s="1" t="s">
        <v>29</v>
      </c>
      <c r="N2356" s="1" t="s">
        <v>22</v>
      </c>
      <c r="O2356" s="1" t="str">
        <f t="shared" ca="1" si="19"/>
        <v>Please solve the LeetCode problem '2982. Find Longest Special Substring That Occurs Thrice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57" spans="1:15" x14ac:dyDescent="0.25">
      <c r="A2357" s="1">
        <v>3573</v>
      </c>
      <c r="B2357" s="2" t="str">
        <f>HYPERLINK("https://leetcode.com/problems/best-time-to-buy-and-sell-stock-v/", "Best Time to Buy and Sell Stock V")</f>
        <v>Best Time to Buy and Sell Stock V</v>
      </c>
      <c r="C2357" s="1">
        <v>404</v>
      </c>
      <c r="D2357" s="1">
        <v>59</v>
      </c>
      <c r="E2357" s="3">
        <f t="shared" si="18"/>
        <v>0.87257019438444927</v>
      </c>
      <c r="F2357" s="1" t="s">
        <v>30</v>
      </c>
      <c r="G2357" s="1" t="s">
        <v>24</v>
      </c>
      <c r="H2357" s="1">
        <v>77323</v>
      </c>
      <c r="I2357" s="1">
        <v>126939</v>
      </c>
      <c r="J2357" s="7">
        <v>0.60899999999999999</v>
      </c>
      <c r="K2357" s="1" t="s">
        <v>21</v>
      </c>
      <c r="L2357" s="1" t="s">
        <v>21</v>
      </c>
      <c r="M2357" s="1" t="s">
        <v>29</v>
      </c>
      <c r="N2357" s="1" t="s">
        <v>22</v>
      </c>
      <c r="O2357" s="1" t="str">
        <f t="shared" ca="1" si="19"/>
        <v>Please solve the LeetCode problem '3573. Best Time to Buy and Sell Stock V'.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58" spans="1:15" x14ac:dyDescent="0.25">
      <c r="A2358" s="1">
        <v>1521</v>
      </c>
      <c r="B2358" s="2" t="str">
        <f>HYPERLINK("https://leetcode.com/problems/find-a-value-of-a-mysterious-function-closest-to-target/", "Find a Value of a Mysterious Function Closest to Target")</f>
        <v>Find a Value of a Mysterious Function Closest to Target</v>
      </c>
      <c r="C2358" s="1">
        <v>403</v>
      </c>
      <c r="D2358" s="1">
        <v>20</v>
      </c>
      <c r="E2358" s="3">
        <f t="shared" si="18"/>
        <v>0.95271867612293148</v>
      </c>
      <c r="F2358" s="1" t="s">
        <v>979</v>
      </c>
      <c r="G2358" s="1" t="s">
        <v>28</v>
      </c>
      <c r="H2358" s="1">
        <v>13555</v>
      </c>
      <c r="I2358" s="1">
        <v>28978</v>
      </c>
      <c r="J2358" s="7">
        <v>0.46800000000000003</v>
      </c>
      <c r="K2358" s="1" t="s">
        <v>21</v>
      </c>
      <c r="L2358" s="1" t="s">
        <v>29</v>
      </c>
      <c r="M2358" s="1" t="s">
        <v>29</v>
      </c>
      <c r="N2358" s="1" t="s">
        <v>22</v>
      </c>
      <c r="O2358" s="1" t="str">
        <f t="shared" ca="1" si="19"/>
        <v>Please solve the LeetCode problem '1521. Find a Value of a Mysterious Function Closest to Target'.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59" spans="1:15" x14ac:dyDescent="0.25">
      <c r="A2359" s="1">
        <v>1687</v>
      </c>
      <c r="B2359" s="2" t="str">
        <f>HYPERLINK("https://leetcode.com/problems/delivering-boxes-from-storage-to-ports/", "Delivering Boxes from Storage to Ports")</f>
        <v>Delivering Boxes from Storage to Ports</v>
      </c>
      <c r="C2359" s="1">
        <v>403</v>
      </c>
      <c r="D2359" s="1">
        <v>33</v>
      </c>
      <c r="E2359" s="3">
        <f t="shared" si="18"/>
        <v>0.92431192660550454</v>
      </c>
      <c r="F2359" s="1" t="s">
        <v>980</v>
      </c>
      <c r="G2359" s="1" t="s">
        <v>28</v>
      </c>
      <c r="H2359" s="1">
        <v>8749</v>
      </c>
      <c r="I2359" s="1">
        <v>21970</v>
      </c>
      <c r="J2359" s="7">
        <v>0.39800000000000002</v>
      </c>
      <c r="K2359" s="1" t="s">
        <v>21</v>
      </c>
      <c r="L2359" s="1" t="s">
        <v>29</v>
      </c>
      <c r="M2359" s="1" t="s">
        <v>29</v>
      </c>
      <c r="N2359" s="1" t="s">
        <v>22</v>
      </c>
      <c r="O2359" s="1" t="str">
        <f t="shared" ca="1" si="19"/>
        <v>Please solve the LeetCode problem '1687. Delivering Boxes from Storage to Ports'.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60" spans="1:15" x14ac:dyDescent="0.25">
      <c r="A2360" s="1">
        <v>3541</v>
      </c>
      <c r="B2360" s="2" t="str">
        <f>HYPERLINK("https://leetcode.com/problems/find-most-frequent-vowel-and-consonant/", "Find Most Frequent Vowel and Consonant")</f>
        <v>Find Most Frequent Vowel and Consonant</v>
      </c>
      <c r="C2360" s="1">
        <v>403</v>
      </c>
      <c r="D2360" s="1">
        <v>15</v>
      </c>
      <c r="E2360" s="3">
        <f t="shared" si="18"/>
        <v>0.96411483253588515</v>
      </c>
      <c r="F2360" s="1" t="s">
        <v>237</v>
      </c>
      <c r="G2360" s="1" t="s">
        <v>20</v>
      </c>
      <c r="H2360" s="1">
        <v>195811</v>
      </c>
      <c r="I2360" s="1">
        <v>218707</v>
      </c>
      <c r="J2360" s="7">
        <v>0.89500000000000002</v>
      </c>
      <c r="K2360" s="1" t="s">
        <v>21</v>
      </c>
      <c r="L2360" s="1" t="s">
        <v>21</v>
      </c>
      <c r="M2360" s="1" t="s">
        <v>29</v>
      </c>
      <c r="N2360" s="1" t="s">
        <v>22</v>
      </c>
      <c r="O2360" s="1" t="str">
        <f t="shared" ca="1" si="19"/>
        <v>Please solve the LeetCode problem '3541. Find Most Frequent Vowel and Consonant'.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61" spans="1:15" x14ac:dyDescent="0.25">
      <c r="A2361" s="1">
        <v>1226</v>
      </c>
      <c r="B2361" s="2" t="str">
        <f>HYPERLINK("https://leetcode.com/problems/the-dining-philosophers/", "The Dining Philosophers")</f>
        <v>The Dining Philosophers</v>
      </c>
      <c r="C2361" s="1">
        <v>402</v>
      </c>
      <c r="D2361" s="1">
        <v>366</v>
      </c>
      <c r="E2361" s="3">
        <f t="shared" si="18"/>
        <v>0.5234375</v>
      </c>
      <c r="F2361" s="1" t="s">
        <v>561</v>
      </c>
      <c r="G2361" s="1" t="s">
        <v>24</v>
      </c>
      <c r="H2361" s="1">
        <v>52275</v>
      </c>
      <c r="I2361" s="1">
        <v>95909</v>
      </c>
      <c r="J2361" s="7">
        <v>0.54500000000000004</v>
      </c>
      <c r="K2361" s="1" t="s">
        <v>21</v>
      </c>
      <c r="L2361" s="1" t="s">
        <v>29</v>
      </c>
      <c r="M2361" s="1" t="s">
        <v>29</v>
      </c>
      <c r="N2361" s="1" t="s">
        <v>561</v>
      </c>
      <c r="O2361" s="1" t="str">
        <f t="shared" ca="1" si="19"/>
        <v>Please solve the LeetCode problem '1226. The Dining Philosophers'.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62" spans="1:15" x14ac:dyDescent="0.25">
      <c r="A2362" s="1">
        <v>1401</v>
      </c>
      <c r="B2362" s="2" t="str">
        <f>HYPERLINK("https://leetcode.com/problems/circle-and-rectangle-overlapping/", "Circle and Rectangle Overlapping")</f>
        <v>Circle and Rectangle Overlapping</v>
      </c>
      <c r="C2362" s="1">
        <v>402</v>
      </c>
      <c r="D2362" s="1">
        <v>85</v>
      </c>
      <c r="E2362" s="3">
        <f t="shared" si="18"/>
        <v>0.82546201232032856</v>
      </c>
      <c r="F2362" s="1" t="s">
        <v>477</v>
      </c>
      <c r="G2362" s="1" t="s">
        <v>24</v>
      </c>
      <c r="H2362" s="1">
        <v>23511</v>
      </c>
      <c r="I2362" s="1">
        <v>47361</v>
      </c>
      <c r="J2362" s="7">
        <v>0.496</v>
      </c>
      <c r="K2362" s="1" t="s">
        <v>21</v>
      </c>
      <c r="L2362" s="1" t="s">
        <v>29</v>
      </c>
      <c r="M2362" s="1" t="s">
        <v>29</v>
      </c>
      <c r="N2362" s="1" t="s">
        <v>22</v>
      </c>
      <c r="O2362" s="1" t="str">
        <f t="shared" ca="1" si="19"/>
        <v>Please solve the LeetCode problem '1401. Circle and Rectangle Overlapping'.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63" spans="1:15" x14ac:dyDescent="0.25">
      <c r="A2363" s="1">
        <v>1840</v>
      </c>
      <c r="B2363" s="2" t="str">
        <f>HYPERLINK("https://leetcode.com/problems/maximum-building-height/", "Maximum Building Height")</f>
        <v>Maximum Building Height</v>
      </c>
      <c r="C2363" s="1">
        <v>402</v>
      </c>
      <c r="D2363" s="1">
        <v>22</v>
      </c>
      <c r="E2363" s="3">
        <f t="shared" si="18"/>
        <v>0.94811320754716977</v>
      </c>
      <c r="F2363" s="1" t="s">
        <v>284</v>
      </c>
      <c r="G2363" s="1" t="s">
        <v>28</v>
      </c>
      <c r="H2363" s="1">
        <v>9359</v>
      </c>
      <c r="I2363" s="1">
        <v>24528</v>
      </c>
      <c r="J2363" s="7">
        <v>0.38200000000000001</v>
      </c>
      <c r="K2363" s="1" t="s">
        <v>21</v>
      </c>
      <c r="L2363" s="1" t="s">
        <v>29</v>
      </c>
      <c r="M2363" s="1" t="s">
        <v>29</v>
      </c>
      <c r="N2363" s="1" t="s">
        <v>22</v>
      </c>
      <c r="O2363" s="1" t="str">
        <f t="shared" ca="1" si="19"/>
        <v>Please solve the LeetCode problem '1840. Maximum Building Height'.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64" spans="1:15" x14ac:dyDescent="0.25">
      <c r="A2364" s="1">
        <v>2677</v>
      </c>
      <c r="B2364" s="2" t="str">
        <f>HYPERLINK("https://leetcode.com/problems/chunk-array/", "Chunk Array")</f>
        <v>Chunk Array</v>
      </c>
      <c r="C2364" s="1">
        <v>402</v>
      </c>
      <c r="D2364" s="1">
        <v>12</v>
      </c>
      <c r="E2364" s="3">
        <f t="shared" si="18"/>
        <v>0.97101449275362317</v>
      </c>
      <c r="G2364" s="1" t="s">
        <v>20</v>
      </c>
      <c r="H2364" s="1">
        <v>109144</v>
      </c>
      <c r="I2364" s="1">
        <v>129062</v>
      </c>
      <c r="J2364" s="7">
        <v>0.84599999999999997</v>
      </c>
      <c r="K2364" s="1" t="s">
        <v>21</v>
      </c>
      <c r="L2364" s="1" t="s">
        <v>21</v>
      </c>
      <c r="M2364" s="1" t="s">
        <v>29</v>
      </c>
      <c r="N2364" s="1" t="s">
        <v>555</v>
      </c>
      <c r="O2364" s="1" t="str">
        <f t="shared" ca="1" si="19"/>
        <v>Please solve the LeetCode problem '2677. Chunk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65" spans="1:15" x14ac:dyDescent="0.25">
      <c r="A2365" s="1">
        <v>2347</v>
      </c>
      <c r="B2365" s="2" t="str">
        <f>HYPERLINK("https://leetcode.com/problems/best-poker-hand/", "Best Poker Hand")</f>
        <v>Best Poker Hand</v>
      </c>
      <c r="C2365" s="1">
        <v>401</v>
      </c>
      <c r="D2365" s="1">
        <v>43</v>
      </c>
      <c r="E2365" s="3">
        <f t="shared" si="18"/>
        <v>0.90315315315315314</v>
      </c>
      <c r="F2365" s="1" t="s">
        <v>294</v>
      </c>
      <c r="G2365" s="1" t="s">
        <v>20</v>
      </c>
      <c r="H2365" s="1">
        <v>52669</v>
      </c>
      <c r="I2365" s="1">
        <v>85595</v>
      </c>
      <c r="J2365" s="7">
        <v>0.61499999999999999</v>
      </c>
      <c r="K2365" s="1" t="s">
        <v>21</v>
      </c>
      <c r="L2365" s="1" t="s">
        <v>29</v>
      </c>
      <c r="M2365" s="1" t="s">
        <v>29</v>
      </c>
      <c r="N2365" s="1" t="s">
        <v>22</v>
      </c>
      <c r="O2365" s="1" t="str">
        <f t="shared" ca="1" si="19"/>
        <v>Please solve the LeetCode problem '2347. Best Poker Hand'.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66" spans="1:15" x14ac:dyDescent="0.25">
      <c r="A2366" s="1">
        <v>2564</v>
      </c>
      <c r="B2366" s="2" t="str">
        <f>HYPERLINK("https://leetcode.com/problems/substring-xor-queries/", "Substring XOR Queries")</f>
        <v>Substring XOR Queries</v>
      </c>
      <c r="C2366" s="1">
        <v>401</v>
      </c>
      <c r="D2366" s="1">
        <v>85</v>
      </c>
      <c r="E2366" s="3">
        <f t="shared" si="18"/>
        <v>0.82510288065843618</v>
      </c>
      <c r="F2366" s="1" t="s">
        <v>981</v>
      </c>
      <c r="G2366" s="1" t="s">
        <v>24</v>
      </c>
      <c r="H2366" s="1">
        <v>15922</v>
      </c>
      <c r="I2366" s="1">
        <v>45084</v>
      </c>
      <c r="J2366" s="7">
        <v>0.35299999999999998</v>
      </c>
      <c r="K2366" s="1" t="s">
        <v>21</v>
      </c>
      <c r="L2366" s="1" t="s">
        <v>29</v>
      </c>
      <c r="M2366" s="1" t="s">
        <v>29</v>
      </c>
      <c r="N2366" s="1" t="s">
        <v>22</v>
      </c>
      <c r="O2366" s="1" t="str">
        <f t="shared" ca="1" si="19"/>
        <v>Please solve the LeetCode problem '2564. Substring XOR Queries'.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67" spans="1:15" x14ac:dyDescent="0.25">
      <c r="A2367" s="1">
        <v>1881</v>
      </c>
      <c r="B2367" s="2" t="str">
        <f>HYPERLINK("https://leetcode.com/problems/maximum-value-after-insertion/", "Maximum Value after Insertion")</f>
        <v>Maximum Value after Insertion</v>
      </c>
      <c r="C2367" s="1">
        <v>400</v>
      </c>
      <c r="D2367" s="1">
        <v>65</v>
      </c>
      <c r="E2367" s="3">
        <f t="shared" si="18"/>
        <v>0.86021505376344087</v>
      </c>
      <c r="F2367" s="1" t="s">
        <v>424</v>
      </c>
      <c r="G2367" s="1" t="s">
        <v>24</v>
      </c>
      <c r="H2367" s="1">
        <v>33016</v>
      </c>
      <c r="I2367" s="1">
        <v>84532</v>
      </c>
      <c r="J2367" s="7">
        <v>0.39100000000000001</v>
      </c>
      <c r="K2367" s="1" t="s">
        <v>21</v>
      </c>
      <c r="L2367" s="1" t="s">
        <v>29</v>
      </c>
      <c r="M2367" s="1" t="s">
        <v>29</v>
      </c>
      <c r="N2367" s="1" t="s">
        <v>22</v>
      </c>
      <c r="O2367" s="1" t="str">
        <f t="shared" ca="1" si="19"/>
        <v>Please solve the LeetCode problem '1881. Maximum Value after Insertion'.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68" spans="1:15" x14ac:dyDescent="0.25">
      <c r="A2368" s="1">
        <v>2679</v>
      </c>
      <c r="B2368" s="2" t="str">
        <f>HYPERLINK("https://leetcode.com/problems/sum-in-a-matrix/", "Sum in a Matrix")</f>
        <v>Sum in a Matrix</v>
      </c>
      <c r="C2368" s="1">
        <v>400</v>
      </c>
      <c r="D2368" s="1">
        <v>66</v>
      </c>
      <c r="E2368" s="3">
        <f t="shared" si="18"/>
        <v>0.85836909871244638</v>
      </c>
      <c r="F2368" s="1" t="s">
        <v>801</v>
      </c>
      <c r="G2368" s="1" t="s">
        <v>24</v>
      </c>
      <c r="H2368" s="1">
        <v>47053</v>
      </c>
      <c r="I2368" s="1">
        <v>78203</v>
      </c>
      <c r="J2368" s="7">
        <v>0.60199999999999998</v>
      </c>
      <c r="K2368" s="1" t="s">
        <v>21</v>
      </c>
      <c r="L2368" s="1" t="s">
        <v>29</v>
      </c>
      <c r="M2368" s="1" t="s">
        <v>29</v>
      </c>
      <c r="N2368" s="1" t="s">
        <v>22</v>
      </c>
      <c r="O2368" s="1" t="str">
        <f t="shared" ca="1" si="19"/>
        <v>Please solve the LeetCode problem '2679. Sum in a Matrix'.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69" spans="1:15" x14ac:dyDescent="0.25">
      <c r="A2369" s="1">
        <v>2747</v>
      </c>
      <c r="B2369" s="2" t="str">
        <f>HYPERLINK("https://leetcode.com/problems/count-zero-request-servers/", "Count Zero Request Servers")</f>
        <v>Count Zero Request Servers</v>
      </c>
      <c r="C2369" s="1">
        <v>399</v>
      </c>
      <c r="D2369" s="1">
        <v>55</v>
      </c>
      <c r="E2369" s="3">
        <f t="shared" si="18"/>
        <v>0.87885462555066074</v>
      </c>
      <c r="F2369" s="1" t="s">
        <v>984</v>
      </c>
      <c r="G2369" s="1" t="s">
        <v>24</v>
      </c>
      <c r="H2369" s="1">
        <v>12220</v>
      </c>
      <c r="I2369" s="1">
        <v>34508</v>
      </c>
      <c r="J2369" s="7">
        <v>0.35399999999999998</v>
      </c>
      <c r="K2369" s="1" t="s">
        <v>21</v>
      </c>
      <c r="L2369" s="1" t="s">
        <v>29</v>
      </c>
      <c r="M2369" s="1" t="s">
        <v>29</v>
      </c>
      <c r="N2369" s="1" t="s">
        <v>22</v>
      </c>
      <c r="O2369" s="1" t="str">
        <f t="shared" ca="1" si="19"/>
        <v>Please solve the LeetCode problem '2747. Count Zero Request Servers'.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70" spans="1:15" x14ac:dyDescent="0.25">
      <c r="A2370" s="1">
        <v>544</v>
      </c>
      <c r="B2370" s="2" t="str">
        <f>HYPERLINK("https://leetcode.com/problems/output-contest-matches/", "Output Contest Matches")</f>
        <v>Output Contest Matches</v>
      </c>
      <c r="C2370" s="1">
        <v>398</v>
      </c>
      <c r="D2370" s="1">
        <v>140</v>
      </c>
      <c r="E2370" s="3">
        <f t="shared" si="18"/>
        <v>0.7397769516728625</v>
      </c>
      <c r="F2370" s="1" t="s">
        <v>583</v>
      </c>
      <c r="G2370" s="1" t="s">
        <v>24</v>
      </c>
      <c r="H2370" s="1">
        <v>28325</v>
      </c>
      <c r="I2370" s="1">
        <v>36559</v>
      </c>
      <c r="J2370" s="7">
        <v>0.77500000000000002</v>
      </c>
      <c r="K2370" s="1" t="s">
        <v>29</v>
      </c>
      <c r="L2370" s="1" t="s">
        <v>21</v>
      </c>
      <c r="M2370" s="1" t="s">
        <v>29</v>
      </c>
      <c r="N2370" s="1" t="s">
        <v>22</v>
      </c>
      <c r="O2370" s="1" t="str">
        <f t="shared" ca="1" si="19"/>
        <v>Please solve the LeetCode problem '544. Output Contest Matches'.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71" spans="1:15" x14ac:dyDescent="0.25">
      <c r="A2371" s="1">
        <v>2552</v>
      </c>
      <c r="B2371" s="2" t="str">
        <f>HYPERLINK("https://leetcode.com/problems/count-increasing-quadruplets/", "Count Increasing Quadruplets")</f>
        <v>Count Increasing Quadruplets</v>
      </c>
      <c r="C2371" s="1">
        <v>398</v>
      </c>
      <c r="D2371" s="1">
        <v>73</v>
      </c>
      <c r="E2371" s="3">
        <f t="shared" si="18"/>
        <v>0.84501061571125269</v>
      </c>
      <c r="F2371" s="1" t="s">
        <v>983</v>
      </c>
      <c r="G2371" s="1" t="s">
        <v>28</v>
      </c>
      <c r="H2371" s="1">
        <v>12040</v>
      </c>
      <c r="I2371" s="1">
        <v>34996</v>
      </c>
      <c r="J2371" s="7">
        <v>0.34399999999999997</v>
      </c>
      <c r="K2371" s="1" t="s">
        <v>21</v>
      </c>
      <c r="L2371" s="1" t="s">
        <v>29</v>
      </c>
      <c r="M2371" s="1" t="s">
        <v>29</v>
      </c>
      <c r="N2371" s="1" t="s">
        <v>22</v>
      </c>
      <c r="O2371" s="1" t="str">
        <f t="shared" ca="1" si="19"/>
        <v>Please solve the LeetCode problem '2552. Count Increasing Quadruplets'.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72" spans="1:15" x14ac:dyDescent="0.25">
      <c r="A2372" s="1">
        <v>2614</v>
      </c>
      <c r="B2372" s="2" t="str">
        <f>HYPERLINK("https://leetcode.com/problems/prime-in-diagonal/", "Prime In Diagonal")</f>
        <v>Prime In Diagonal</v>
      </c>
      <c r="C2372" s="1">
        <v>398</v>
      </c>
      <c r="D2372" s="1">
        <v>46</v>
      </c>
      <c r="E2372" s="3">
        <f t="shared" si="18"/>
        <v>0.89639639639639634</v>
      </c>
      <c r="F2372" s="1" t="s">
        <v>976</v>
      </c>
      <c r="G2372" s="1" t="s">
        <v>20</v>
      </c>
      <c r="H2372" s="1">
        <v>67115</v>
      </c>
      <c r="I2372" s="1">
        <v>180433</v>
      </c>
      <c r="J2372" s="7">
        <v>0.372</v>
      </c>
      <c r="K2372" s="1" t="s">
        <v>21</v>
      </c>
      <c r="L2372" s="1" t="s">
        <v>29</v>
      </c>
      <c r="M2372" s="1" t="s">
        <v>29</v>
      </c>
      <c r="N2372" s="1" t="s">
        <v>22</v>
      </c>
      <c r="O2372" s="1" t="str">
        <f t="shared" ca="1" si="19"/>
        <v>Please solve the LeetCode problem '2614. Prime In Diagonal'.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73" spans="1:15" x14ac:dyDescent="0.25">
      <c r="A2373" s="1">
        <v>1736</v>
      </c>
      <c r="B2373" s="2" t="str">
        <f>HYPERLINK("https://leetcode.com/problems/latest-time-by-replacing-hidden-digits/", "Latest Time by Replacing Hidden Digits")</f>
        <v>Latest Time by Replacing Hidden Digits</v>
      </c>
      <c r="C2373" s="1">
        <v>397</v>
      </c>
      <c r="D2373" s="1">
        <v>188</v>
      </c>
      <c r="E2373" s="3">
        <f t="shared" si="18"/>
        <v>0.67863247863247866</v>
      </c>
      <c r="F2373" s="1" t="s">
        <v>424</v>
      </c>
      <c r="G2373" s="1" t="s">
        <v>20</v>
      </c>
      <c r="H2373" s="1">
        <v>46687</v>
      </c>
      <c r="I2373" s="1">
        <v>107132</v>
      </c>
      <c r="J2373" s="7">
        <v>0.436</v>
      </c>
      <c r="K2373" s="1" t="s">
        <v>21</v>
      </c>
      <c r="L2373" s="1" t="s">
        <v>29</v>
      </c>
      <c r="M2373" s="1" t="s">
        <v>29</v>
      </c>
      <c r="N2373" s="1" t="s">
        <v>22</v>
      </c>
      <c r="O2373" s="1" t="str">
        <f t="shared" ca="1" si="19"/>
        <v>Please solve the LeetCode problem '1736. Latest Time by Replacing Hidden Digits'.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74" spans="1:15" x14ac:dyDescent="0.25">
      <c r="A2374" s="1">
        <v>3197</v>
      </c>
      <c r="B2374" s="2" t="str">
        <f>HYPERLINK("https://leetcode.com/problems/find-the-minimum-area-to-cover-all-ones-ii/", "Find the Minimum Area to Cover All Ones II")</f>
        <v>Find the Minimum Area to Cover All Ones II</v>
      </c>
      <c r="C2374" s="1">
        <v>397</v>
      </c>
      <c r="D2374" s="1">
        <v>67</v>
      </c>
      <c r="E2374" s="3">
        <f t="shared" si="18"/>
        <v>0.8556034482758621</v>
      </c>
      <c r="F2374" s="1" t="s">
        <v>982</v>
      </c>
      <c r="G2374" s="1" t="s">
        <v>28</v>
      </c>
      <c r="H2374" s="1">
        <v>64589</v>
      </c>
      <c r="I2374" s="1">
        <v>101428</v>
      </c>
      <c r="J2374" s="7">
        <v>0.63700000000000001</v>
      </c>
      <c r="K2374" s="1" t="s">
        <v>21</v>
      </c>
      <c r="L2374" s="1" t="s">
        <v>21</v>
      </c>
      <c r="M2374" s="1" t="s">
        <v>29</v>
      </c>
      <c r="N2374" s="1" t="s">
        <v>22</v>
      </c>
      <c r="O2374" s="1" t="str">
        <f t="shared" ca="1" si="19"/>
        <v>Please solve the LeetCode problem '3197. Find the Minimum Area to Cover All Ones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75" spans="1:15" x14ac:dyDescent="0.25">
      <c r="A2375" s="1">
        <v>2858</v>
      </c>
      <c r="B2375" s="2" t="str">
        <f>HYPERLINK("https://leetcode.com/problems/minimum-edge-reversals-so-every-node-is-reachable/", "Minimum Edge Reversals So Every Node Is Reachable")</f>
        <v>Minimum Edge Reversals So Every Node Is Reachable</v>
      </c>
      <c r="C2375" s="1">
        <v>395</v>
      </c>
      <c r="D2375" s="1">
        <v>9</v>
      </c>
      <c r="E2375" s="3">
        <f t="shared" si="18"/>
        <v>0.9777227722772277</v>
      </c>
      <c r="F2375" s="1" t="s">
        <v>972</v>
      </c>
      <c r="G2375" s="1" t="s">
        <v>28</v>
      </c>
      <c r="H2375" s="1">
        <v>16161</v>
      </c>
      <c r="I2375" s="1">
        <v>28491</v>
      </c>
      <c r="J2375" s="7">
        <v>0.56699999999999995</v>
      </c>
      <c r="K2375" s="1" t="s">
        <v>21</v>
      </c>
      <c r="L2375" s="1" t="s">
        <v>29</v>
      </c>
      <c r="M2375" s="1" t="s">
        <v>29</v>
      </c>
      <c r="N2375" s="1" t="s">
        <v>22</v>
      </c>
      <c r="O2375" s="1" t="str">
        <f t="shared" ca="1" si="19"/>
        <v>Please solve the LeetCode problem '2858. Minimum Edge Reversals So Every Node Is Reachable'.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76" spans="1:15" x14ac:dyDescent="0.25">
      <c r="A2376" s="1">
        <v>1577</v>
      </c>
      <c r="B2376" s="2" t="str">
        <f>HYPERLINK("https://leetcode.com/problems/number-of-ways-where-square-of-number-is-equal-to-product-of-two-numbers/", "Number of Ways Where Square of Number Is Equal to Product of Two Numbers")</f>
        <v>Number of Ways Where Square of Number Is Equal to Product of Two Numbers</v>
      </c>
      <c r="C2376" s="1">
        <v>394</v>
      </c>
      <c r="D2376" s="1">
        <v>57</v>
      </c>
      <c r="E2376" s="3">
        <f t="shared" si="18"/>
        <v>0.87361419068736146</v>
      </c>
      <c r="F2376" s="1" t="s">
        <v>985</v>
      </c>
      <c r="G2376" s="1" t="s">
        <v>24</v>
      </c>
      <c r="H2376" s="1">
        <v>25974</v>
      </c>
      <c r="I2376" s="1">
        <v>60412</v>
      </c>
      <c r="J2376" s="7">
        <v>0.43</v>
      </c>
      <c r="K2376" s="1" t="s">
        <v>21</v>
      </c>
      <c r="L2376" s="1" t="s">
        <v>29</v>
      </c>
      <c r="M2376" s="1" t="s">
        <v>29</v>
      </c>
      <c r="N2376" s="1" t="s">
        <v>22</v>
      </c>
      <c r="O2376" s="1" t="str">
        <f t="shared" ca="1" si="19"/>
        <v>Please solve the LeetCode problem '1577. Number of Ways Where Square of Number Is Equal to Product of Two Numbers'.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77" spans="1:15" x14ac:dyDescent="0.25">
      <c r="A2377" s="1">
        <v>1936</v>
      </c>
      <c r="B2377" s="2" t="str">
        <f>HYPERLINK("https://leetcode.com/problems/add-minimum-number-of-rungs/", "Add Minimum Number of Rungs")</f>
        <v>Add Minimum Number of Rungs</v>
      </c>
      <c r="C2377" s="1">
        <v>394</v>
      </c>
      <c r="D2377" s="1">
        <v>31</v>
      </c>
      <c r="E2377" s="3">
        <f t="shared" si="18"/>
        <v>0.92705882352941171</v>
      </c>
      <c r="F2377" s="1" t="s">
        <v>96</v>
      </c>
      <c r="G2377" s="1" t="s">
        <v>24</v>
      </c>
      <c r="H2377" s="1">
        <v>34627</v>
      </c>
      <c r="I2377" s="1">
        <v>79211</v>
      </c>
      <c r="J2377" s="7">
        <v>0.437</v>
      </c>
      <c r="K2377" s="1" t="s">
        <v>21</v>
      </c>
      <c r="L2377" s="1" t="s">
        <v>29</v>
      </c>
      <c r="M2377" s="1" t="s">
        <v>29</v>
      </c>
      <c r="N2377" s="1" t="s">
        <v>22</v>
      </c>
      <c r="O2377" s="1" t="str">
        <f t="shared" ca="1" si="19"/>
        <v>Please solve the LeetCode problem '1936. Add Minimum Number of Rungs'.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78" spans="1:15" x14ac:dyDescent="0.25">
      <c r="A2378" s="1">
        <v>2088</v>
      </c>
      <c r="B2378" s="2" t="str">
        <f>HYPERLINK("https://leetcode.com/problems/count-fertile-pyramids-in-a-land/", "Count Fertile Pyramids in a Land")</f>
        <v>Count Fertile Pyramids in a Land</v>
      </c>
      <c r="C2378" s="1">
        <v>394</v>
      </c>
      <c r="D2378" s="1">
        <v>21</v>
      </c>
      <c r="E2378" s="3">
        <f t="shared" si="18"/>
        <v>0.94939759036144578</v>
      </c>
      <c r="F2378" s="1" t="s">
        <v>94</v>
      </c>
      <c r="G2378" s="1" t="s">
        <v>28</v>
      </c>
      <c r="H2378" s="1">
        <v>12726</v>
      </c>
      <c r="I2378" s="1">
        <v>19226</v>
      </c>
      <c r="J2378" s="7">
        <v>0.66200000000000003</v>
      </c>
      <c r="K2378" s="1" t="s">
        <v>21</v>
      </c>
      <c r="L2378" s="1" t="s">
        <v>29</v>
      </c>
      <c r="M2378" s="1" t="s">
        <v>29</v>
      </c>
      <c r="N2378" s="1" t="s">
        <v>22</v>
      </c>
      <c r="O2378" s="1" t="str">
        <f t="shared" ca="1" si="19"/>
        <v>Please solve the LeetCode problem '2088. Count Fertile Pyramids in a Land'.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79" spans="1:15" x14ac:dyDescent="0.25">
      <c r="A2379" s="1">
        <v>2910</v>
      </c>
      <c r="B2379" s="2" t="str">
        <f>HYPERLINK("https://leetcode.com/problems/minimum-number-of-groups-to-create-a-valid-assignment/", "Minimum Number of Groups to Create a Valid Assignment")</f>
        <v>Minimum Number of Groups to Create a Valid Assignment</v>
      </c>
      <c r="C2379" s="1">
        <v>394</v>
      </c>
      <c r="D2379" s="1">
        <v>187</v>
      </c>
      <c r="E2379" s="3">
        <f t="shared" si="18"/>
        <v>0.67814113597246128</v>
      </c>
      <c r="F2379" s="1" t="s">
        <v>368</v>
      </c>
      <c r="G2379" s="1" t="s">
        <v>24</v>
      </c>
      <c r="H2379" s="1">
        <v>15462</v>
      </c>
      <c r="I2379" s="1">
        <v>62730</v>
      </c>
      <c r="J2379" s="7">
        <v>0.246</v>
      </c>
      <c r="K2379" s="1" t="s">
        <v>21</v>
      </c>
      <c r="L2379" s="1" t="s">
        <v>29</v>
      </c>
      <c r="M2379" s="1" t="s">
        <v>29</v>
      </c>
      <c r="N2379" s="1" t="s">
        <v>22</v>
      </c>
      <c r="O2379" s="1" t="str">
        <f t="shared" ca="1" si="19"/>
        <v>Please solve the LeetCode problem '2910. Minimum Number of Groups to Create a Valid Assignment'.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80" spans="1:15" x14ac:dyDescent="0.25">
      <c r="A2380" s="1">
        <v>1694</v>
      </c>
      <c r="B2380" s="2" t="str">
        <f>HYPERLINK("https://leetcode.com/problems/reformat-phone-number/", "Reformat Phone Number")</f>
        <v>Reformat Phone Number</v>
      </c>
      <c r="C2380" s="1">
        <v>393</v>
      </c>
      <c r="D2380" s="1">
        <v>206</v>
      </c>
      <c r="E2380" s="3">
        <f t="shared" si="18"/>
        <v>0.65609348914858101</v>
      </c>
      <c r="F2380" s="1" t="s">
        <v>146</v>
      </c>
      <c r="G2380" s="1" t="s">
        <v>20</v>
      </c>
      <c r="H2380" s="1">
        <v>48114</v>
      </c>
      <c r="I2380" s="1">
        <v>71291</v>
      </c>
      <c r="J2380" s="7">
        <v>0.67500000000000004</v>
      </c>
      <c r="K2380" s="1" t="s">
        <v>21</v>
      </c>
      <c r="L2380" s="1" t="s">
        <v>29</v>
      </c>
      <c r="M2380" s="1" t="s">
        <v>29</v>
      </c>
      <c r="N2380" s="1" t="s">
        <v>22</v>
      </c>
      <c r="O2380" s="1" t="str">
        <f t="shared" ca="1" si="19"/>
        <v>Please solve the LeetCode problem '1694. Reformat Phone Number'.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81" spans="1:15" x14ac:dyDescent="0.25">
      <c r="A2381" s="1">
        <v>2733</v>
      </c>
      <c r="B2381" s="2" t="str">
        <f>HYPERLINK("https://leetcode.com/problems/neither-minimum-nor-maximum/", "Neither Minimum nor Maximum")</f>
        <v>Neither Minimum nor Maximum</v>
      </c>
      <c r="C2381" s="1">
        <v>393</v>
      </c>
      <c r="D2381" s="1">
        <v>19</v>
      </c>
      <c r="E2381" s="3">
        <f t="shared" si="18"/>
        <v>0.95388349514563109</v>
      </c>
      <c r="F2381" s="1" t="s">
        <v>42</v>
      </c>
      <c r="G2381" s="1" t="s">
        <v>20</v>
      </c>
      <c r="H2381" s="1">
        <v>130249</v>
      </c>
      <c r="I2381" s="1">
        <v>170756</v>
      </c>
      <c r="J2381" s="7">
        <v>0.76300000000000001</v>
      </c>
      <c r="K2381" s="1" t="s">
        <v>21</v>
      </c>
      <c r="L2381" s="1" t="s">
        <v>29</v>
      </c>
      <c r="M2381" s="1" t="s">
        <v>29</v>
      </c>
      <c r="N2381" s="1" t="s">
        <v>22</v>
      </c>
      <c r="O2381" s="1" t="str">
        <f t="shared" ca="1" si="19"/>
        <v>Please solve the LeetCode problem '2733. Neither Minimum nor Maximum'.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82" spans="1:15" x14ac:dyDescent="0.25">
      <c r="A2382" s="1">
        <v>2122</v>
      </c>
      <c r="B2382" s="2" t="str">
        <f>HYPERLINK("https://leetcode.com/problems/recover-the-original-array/", "Recover the Original Array")</f>
        <v>Recover the Original Array</v>
      </c>
      <c r="C2382" s="1">
        <v>392</v>
      </c>
      <c r="D2382" s="1">
        <v>33</v>
      </c>
      <c r="E2382" s="3">
        <f t="shared" si="18"/>
        <v>0.9223529411764706</v>
      </c>
      <c r="F2382" s="1" t="s">
        <v>988</v>
      </c>
      <c r="G2382" s="1" t="s">
        <v>28</v>
      </c>
      <c r="H2382" s="1">
        <v>13422</v>
      </c>
      <c r="I2382" s="1">
        <v>32785</v>
      </c>
      <c r="J2382" s="7">
        <v>0.40899999999999997</v>
      </c>
      <c r="K2382" s="1" t="s">
        <v>21</v>
      </c>
      <c r="L2382" s="1" t="s">
        <v>29</v>
      </c>
      <c r="M2382" s="1" t="s">
        <v>29</v>
      </c>
      <c r="N2382" s="1" t="s">
        <v>22</v>
      </c>
      <c r="O2382" s="1" t="str">
        <f t="shared" ca="1" si="19"/>
        <v>Please solve the LeetCode problem '2122. Recover the Original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83" spans="1:15" x14ac:dyDescent="0.25">
      <c r="A2383" s="1">
        <v>2522</v>
      </c>
      <c r="B2383" s="2" t="str">
        <f>HYPERLINK("https://leetcode.com/problems/partition-string-into-substrings-with-values-at-most-k/", "Partition String Into Substrings With Values at Most K")</f>
        <v>Partition String Into Substrings With Values at Most K</v>
      </c>
      <c r="C2383" s="1">
        <v>392</v>
      </c>
      <c r="D2383" s="1">
        <v>54</v>
      </c>
      <c r="E2383" s="3">
        <f t="shared" si="18"/>
        <v>0.87892376681614348</v>
      </c>
      <c r="F2383" s="1" t="s">
        <v>861</v>
      </c>
      <c r="G2383" s="1" t="s">
        <v>24</v>
      </c>
      <c r="H2383" s="1">
        <v>26225</v>
      </c>
      <c r="I2383" s="1">
        <v>55344</v>
      </c>
      <c r="J2383" s="7">
        <v>0.47399999999999998</v>
      </c>
      <c r="K2383" s="1" t="s">
        <v>21</v>
      </c>
      <c r="L2383" s="1" t="s">
        <v>29</v>
      </c>
      <c r="M2383" s="1" t="s">
        <v>29</v>
      </c>
      <c r="N2383" s="1" t="s">
        <v>22</v>
      </c>
      <c r="O2383" s="1" t="str">
        <f t="shared" ca="1" si="19"/>
        <v>Please solve the LeetCode problem '2522. Partition String Into Substrings With Values at Most K'.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84" spans="1:15" x14ac:dyDescent="0.25">
      <c r="A2384" s="1">
        <v>2527</v>
      </c>
      <c r="B2384" s="2" t="str">
        <f>HYPERLINK("https://leetcode.com/problems/find-xor-beauty-of-array/", "Find Xor-Beauty of Array")</f>
        <v>Find Xor-Beauty of Array</v>
      </c>
      <c r="C2384" s="1">
        <v>392</v>
      </c>
      <c r="D2384" s="1">
        <v>56</v>
      </c>
      <c r="E2384" s="3">
        <f t="shared" si="18"/>
        <v>0.875</v>
      </c>
      <c r="F2384" s="1" t="s">
        <v>456</v>
      </c>
      <c r="G2384" s="1" t="s">
        <v>24</v>
      </c>
      <c r="H2384" s="1">
        <v>25598</v>
      </c>
      <c r="I2384" s="1">
        <v>36390</v>
      </c>
      <c r="J2384" s="7">
        <v>0.70299999999999996</v>
      </c>
      <c r="K2384" s="1" t="s">
        <v>21</v>
      </c>
      <c r="L2384" s="1" t="s">
        <v>29</v>
      </c>
      <c r="M2384" s="1" t="s">
        <v>29</v>
      </c>
      <c r="N2384" s="1" t="s">
        <v>22</v>
      </c>
      <c r="O2384" s="1" t="str">
        <f t="shared" ca="1" si="19"/>
        <v>Please solve the LeetCode problem '2527. Find Xor-Beauty of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85" spans="1:15" x14ac:dyDescent="0.25">
      <c r="A2385" s="1">
        <v>2606</v>
      </c>
      <c r="B2385" s="2" t="str">
        <f>HYPERLINK("https://leetcode.com/problems/find-the-substring-with-maximum-cost/", "Find the Substring With Maximum Cost")</f>
        <v>Find the Substring With Maximum Cost</v>
      </c>
      <c r="C2385" s="1">
        <v>392</v>
      </c>
      <c r="D2385" s="1">
        <v>13</v>
      </c>
      <c r="E2385" s="3">
        <f t="shared" si="18"/>
        <v>0.96790123456790123</v>
      </c>
      <c r="F2385" s="1" t="s">
        <v>986</v>
      </c>
      <c r="G2385" s="1" t="s">
        <v>24</v>
      </c>
      <c r="H2385" s="1">
        <v>31220</v>
      </c>
      <c r="I2385" s="1">
        <v>54115</v>
      </c>
      <c r="J2385" s="7">
        <v>0.57699999999999996</v>
      </c>
      <c r="K2385" s="1" t="s">
        <v>21</v>
      </c>
      <c r="L2385" s="1" t="s">
        <v>29</v>
      </c>
      <c r="M2385" s="1" t="s">
        <v>29</v>
      </c>
      <c r="N2385" s="1" t="s">
        <v>22</v>
      </c>
      <c r="O2385" s="1" t="str">
        <f t="shared" ca="1" si="19"/>
        <v>Please solve the LeetCode problem '2606. Find the Substring With Maximum Cost'.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86" spans="1:15" x14ac:dyDescent="0.25">
      <c r="A2386" s="1">
        <v>2827</v>
      </c>
      <c r="B2386" s="2" t="str">
        <f>HYPERLINK("https://leetcode.com/problems/number-of-beautiful-integers-in-the-range/", "Number of Beautiful Integers in the Range")</f>
        <v>Number of Beautiful Integers in the Range</v>
      </c>
      <c r="C2386" s="1">
        <v>392</v>
      </c>
      <c r="D2386" s="1">
        <v>37</v>
      </c>
      <c r="E2386" s="3">
        <f t="shared" si="18"/>
        <v>0.91375291375291379</v>
      </c>
      <c r="F2386" s="1" t="s">
        <v>250</v>
      </c>
      <c r="G2386" s="1" t="s">
        <v>28</v>
      </c>
      <c r="H2386" s="1">
        <v>13115</v>
      </c>
      <c r="I2386" s="1">
        <v>61247</v>
      </c>
      <c r="J2386" s="7">
        <v>0.214</v>
      </c>
      <c r="K2386" s="1" t="s">
        <v>21</v>
      </c>
      <c r="L2386" s="1" t="s">
        <v>29</v>
      </c>
      <c r="M2386" s="1" t="s">
        <v>29</v>
      </c>
      <c r="N2386" s="1" t="s">
        <v>22</v>
      </c>
      <c r="O2386" s="1" t="str">
        <f t="shared" ca="1" si="19"/>
        <v>Please solve the LeetCode problem '2827. Number of Beautiful Integers in the Range'.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87" spans="1:15" x14ac:dyDescent="0.25">
      <c r="A2387" s="1">
        <v>2896</v>
      </c>
      <c r="B2387" s="2" t="str">
        <f>HYPERLINK("https://leetcode.com/problems/apply-operations-to-make-two-strings-equal/", "Apply Operations to Make Two Strings Equal")</f>
        <v>Apply Operations to Make Two Strings Equal</v>
      </c>
      <c r="C2387" s="1">
        <v>392</v>
      </c>
      <c r="D2387" s="1">
        <v>76</v>
      </c>
      <c r="E2387" s="3">
        <f t="shared" si="18"/>
        <v>0.83760683760683763</v>
      </c>
      <c r="F2387" s="1" t="s">
        <v>82</v>
      </c>
      <c r="G2387" s="1" t="s">
        <v>24</v>
      </c>
      <c r="H2387" s="1">
        <v>15082</v>
      </c>
      <c r="I2387" s="1">
        <v>54693</v>
      </c>
      <c r="J2387" s="7">
        <v>0.27600000000000002</v>
      </c>
      <c r="K2387" s="1" t="s">
        <v>21</v>
      </c>
      <c r="L2387" s="1" t="s">
        <v>29</v>
      </c>
      <c r="M2387" s="1" t="s">
        <v>29</v>
      </c>
      <c r="N2387" s="1" t="s">
        <v>22</v>
      </c>
      <c r="O2387" s="1" t="str">
        <f t="shared" ca="1" si="19"/>
        <v>Please solve the LeetCode problem '2896. Apply Operations to Make Two Strings Equal'.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88" spans="1:15" x14ac:dyDescent="0.25">
      <c r="A2388" s="1">
        <v>3432</v>
      </c>
      <c r="B2388" s="2" t="str">
        <f>HYPERLINK("https://leetcode.com/problems/count-partitions-with-even-sum-difference/", "Count Partitions with Even Sum Difference")</f>
        <v>Count Partitions with Even Sum Difference</v>
      </c>
      <c r="C2388" s="1">
        <v>392</v>
      </c>
      <c r="D2388" s="1">
        <v>12</v>
      </c>
      <c r="E2388" s="3">
        <f t="shared" si="18"/>
        <v>0.97029702970297027</v>
      </c>
      <c r="F2388" s="1" t="s">
        <v>317</v>
      </c>
      <c r="G2388" s="1" t="s">
        <v>20</v>
      </c>
      <c r="H2388" s="1">
        <v>164971</v>
      </c>
      <c r="I2388" s="1">
        <v>193843</v>
      </c>
      <c r="J2388" s="7">
        <v>0.85099999999999998</v>
      </c>
      <c r="K2388" s="1" t="s">
        <v>21</v>
      </c>
      <c r="L2388" s="1" t="s">
        <v>21</v>
      </c>
      <c r="M2388" s="1" t="s">
        <v>29</v>
      </c>
      <c r="N2388" s="1" t="s">
        <v>22</v>
      </c>
      <c r="O2388" s="1" t="str">
        <f t="shared" ca="1" si="19"/>
        <v>Please solve the LeetCode problem '3432. Count Partitions with Even Sum Difference'.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89" spans="1:15" x14ac:dyDescent="0.25">
      <c r="A2389" s="1">
        <v>2301</v>
      </c>
      <c r="B2389" s="2" t="str">
        <f>HYPERLINK("https://leetcode.com/problems/match-substring-after-replacement/", "Match Substring After Replacement")</f>
        <v>Match Substring After Replacement</v>
      </c>
      <c r="C2389" s="1">
        <v>391</v>
      </c>
      <c r="D2389" s="1">
        <v>81</v>
      </c>
      <c r="E2389" s="3">
        <f t="shared" si="18"/>
        <v>0.82838983050847459</v>
      </c>
      <c r="F2389" s="1" t="s">
        <v>987</v>
      </c>
      <c r="G2389" s="1" t="s">
        <v>28</v>
      </c>
      <c r="H2389" s="1">
        <v>17516</v>
      </c>
      <c r="I2389" s="1">
        <v>40758</v>
      </c>
      <c r="J2389" s="7">
        <v>0.43</v>
      </c>
      <c r="K2389" s="1" t="s">
        <v>21</v>
      </c>
      <c r="L2389" s="1" t="s">
        <v>29</v>
      </c>
      <c r="M2389" s="1" t="s">
        <v>29</v>
      </c>
      <c r="N2389" s="1" t="s">
        <v>22</v>
      </c>
      <c r="O2389" s="1" t="str">
        <f t="shared" ca="1" si="19"/>
        <v>Please solve the LeetCode problem '2301. Match Substring After Replacement'.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90" spans="1:15" x14ac:dyDescent="0.25">
      <c r="A2390" s="1">
        <v>2562</v>
      </c>
      <c r="B2390" s="2" t="str">
        <f>HYPERLINK("https://leetcode.com/problems/find-the-array-concatenation-value/", "Find the Array Concatenation Value")</f>
        <v>Find the Array Concatenation Value</v>
      </c>
      <c r="C2390" s="1">
        <v>391</v>
      </c>
      <c r="D2390" s="1">
        <v>19</v>
      </c>
      <c r="E2390" s="3">
        <f t="shared" si="18"/>
        <v>0.95365853658536581</v>
      </c>
      <c r="F2390" s="1" t="s">
        <v>303</v>
      </c>
      <c r="G2390" s="1" t="s">
        <v>20</v>
      </c>
      <c r="H2390" s="1">
        <v>66501</v>
      </c>
      <c r="I2390" s="1">
        <v>92757</v>
      </c>
      <c r="J2390" s="7">
        <v>0.71699999999999997</v>
      </c>
      <c r="K2390" s="1" t="s">
        <v>21</v>
      </c>
      <c r="L2390" s="1" t="s">
        <v>29</v>
      </c>
      <c r="M2390" s="1" t="s">
        <v>29</v>
      </c>
      <c r="N2390" s="1" t="s">
        <v>22</v>
      </c>
      <c r="O2390" s="1" t="str">
        <f t="shared" ca="1" si="19"/>
        <v>Please solve the LeetCode problem '2562. Find the Array Concatenation Value'.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91" spans="1:15" x14ac:dyDescent="0.25">
      <c r="A2391" s="1">
        <v>2672</v>
      </c>
      <c r="B2391" s="2" t="str">
        <f>HYPERLINK("https://leetcode.com/problems/number-of-adjacent-elements-with-the-same-color/", "Number of Adjacent Elements With the Same Color")</f>
        <v>Number of Adjacent Elements With the Same Color</v>
      </c>
      <c r="C2391" s="1">
        <v>390</v>
      </c>
      <c r="D2391" s="1">
        <v>111</v>
      </c>
      <c r="E2391" s="3">
        <f t="shared" si="18"/>
        <v>0.77844311377245512</v>
      </c>
      <c r="F2391" s="1" t="s">
        <v>113</v>
      </c>
      <c r="G2391" s="1" t="s">
        <v>24</v>
      </c>
      <c r="H2391" s="1">
        <v>27995</v>
      </c>
      <c r="I2391" s="1">
        <v>48275</v>
      </c>
      <c r="J2391" s="7">
        <v>0.57999999999999996</v>
      </c>
      <c r="K2391" s="1" t="s">
        <v>21</v>
      </c>
      <c r="L2391" s="1" t="s">
        <v>29</v>
      </c>
      <c r="M2391" s="1" t="s">
        <v>29</v>
      </c>
      <c r="N2391" s="1" t="s">
        <v>22</v>
      </c>
      <c r="O2391" s="1" t="str">
        <f t="shared" ca="1" si="19"/>
        <v>Please solve the LeetCode problem '2672. Number of Adjacent Elements With the Same Color'.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92" spans="1:15" x14ac:dyDescent="0.25">
      <c r="A2392" s="1">
        <v>3442</v>
      </c>
      <c r="B2392" s="2" t="str">
        <f>HYPERLINK("https://leetcode.com/problems/maximum-difference-between-even-and-odd-frequency-i/", "Maximum Difference Between Even and Odd Frequency I")</f>
        <v>Maximum Difference Between Even and Odd Frequency I</v>
      </c>
      <c r="C2392" s="1">
        <v>390</v>
      </c>
      <c r="D2392" s="1">
        <v>71</v>
      </c>
      <c r="E2392" s="3">
        <f t="shared" si="18"/>
        <v>0.84598698481561818</v>
      </c>
      <c r="F2392" s="1" t="s">
        <v>237</v>
      </c>
      <c r="G2392" s="1" t="s">
        <v>20</v>
      </c>
      <c r="H2392" s="1">
        <v>178956</v>
      </c>
      <c r="I2392" s="1">
        <v>294534</v>
      </c>
      <c r="J2392" s="7">
        <v>0.60799999999999998</v>
      </c>
      <c r="K2392" s="1" t="s">
        <v>21</v>
      </c>
      <c r="L2392" s="1" t="s">
        <v>21</v>
      </c>
      <c r="M2392" s="1" t="s">
        <v>29</v>
      </c>
      <c r="N2392" s="1" t="s">
        <v>22</v>
      </c>
      <c r="O2392" s="1" t="str">
        <f t="shared" ca="1" si="19"/>
        <v>Please solve the LeetCode problem '3442. Maximum Difference Between Even and Odd Frequency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93" spans="1:15" x14ac:dyDescent="0.25">
      <c r="A2393" s="1">
        <v>1848</v>
      </c>
      <c r="B2393" s="2" t="str">
        <f>HYPERLINK("https://leetcode.com/problems/minimum-distance-to-the-target-element/", "Minimum Distance to the Target Element")</f>
        <v>Minimum Distance to the Target Element</v>
      </c>
      <c r="C2393" s="1">
        <v>389</v>
      </c>
      <c r="D2393" s="1">
        <v>68</v>
      </c>
      <c r="E2393" s="3">
        <f t="shared" si="18"/>
        <v>0.85120350109409193</v>
      </c>
      <c r="F2393" s="1" t="s">
        <v>113</v>
      </c>
      <c r="G2393" s="1" t="s">
        <v>20</v>
      </c>
      <c r="H2393" s="1">
        <v>59001</v>
      </c>
      <c r="I2393" s="1">
        <v>108752</v>
      </c>
      <c r="J2393" s="7">
        <v>0.54300000000000004</v>
      </c>
      <c r="K2393" s="1" t="s">
        <v>21</v>
      </c>
      <c r="L2393" s="1" t="s">
        <v>29</v>
      </c>
      <c r="M2393" s="1" t="s">
        <v>29</v>
      </c>
      <c r="N2393" s="1" t="s">
        <v>22</v>
      </c>
      <c r="O2393" s="1" t="str">
        <f t="shared" ca="1" si="19"/>
        <v>Please solve the LeetCode problem '1848. Minimum Distance to the Target Element'.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94" spans="1:15" x14ac:dyDescent="0.25">
      <c r="A2394" s="1">
        <v>2609</v>
      </c>
      <c r="B2394" s="2" t="str">
        <f>HYPERLINK("https://leetcode.com/problems/find-the-longest-balanced-substring-of-a-binary-string/", "Find the Longest Balanced Substring of a Binary String")</f>
        <v>Find the Longest Balanced Substring of a Binary String</v>
      </c>
      <c r="C2394" s="1">
        <v>389</v>
      </c>
      <c r="D2394" s="1">
        <v>31</v>
      </c>
      <c r="E2394" s="3">
        <f t="shared" si="18"/>
        <v>0.92619047619047623</v>
      </c>
      <c r="F2394" s="1" t="s">
        <v>146</v>
      </c>
      <c r="G2394" s="1" t="s">
        <v>20</v>
      </c>
      <c r="H2394" s="1">
        <v>38057</v>
      </c>
      <c r="I2394" s="1">
        <v>82411</v>
      </c>
      <c r="J2394" s="7">
        <v>0.46200000000000002</v>
      </c>
      <c r="K2394" s="1" t="s">
        <v>21</v>
      </c>
      <c r="L2394" s="1" t="s">
        <v>29</v>
      </c>
      <c r="M2394" s="1" t="s">
        <v>29</v>
      </c>
      <c r="N2394" s="1" t="s">
        <v>22</v>
      </c>
      <c r="O2394" s="1" t="str">
        <f t="shared" ca="1" si="19"/>
        <v>Please solve the LeetCode problem '2609. Find the Longest Balanced Substring of a Binary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95" spans="1:15" x14ac:dyDescent="0.25">
      <c r="A2395" s="1">
        <v>1622</v>
      </c>
      <c r="B2395" s="2" t="str">
        <f>HYPERLINK("https://leetcode.com/problems/fancy-sequence/", "Fancy Sequence")</f>
        <v>Fancy Sequence</v>
      </c>
      <c r="C2395" s="1">
        <v>388</v>
      </c>
      <c r="D2395" s="1">
        <v>143</v>
      </c>
      <c r="E2395" s="3">
        <f t="shared" si="18"/>
        <v>0.73069679849340863</v>
      </c>
      <c r="F2395" s="1" t="s">
        <v>992</v>
      </c>
      <c r="G2395" s="1" t="s">
        <v>28</v>
      </c>
      <c r="H2395" s="1">
        <v>15041</v>
      </c>
      <c r="I2395" s="1">
        <v>81612</v>
      </c>
      <c r="J2395" s="7">
        <v>0.184</v>
      </c>
      <c r="K2395" s="1" t="s">
        <v>21</v>
      </c>
      <c r="L2395" s="1" t="s">
        <v>29</v>
      </c>
      <c r="M2395" s="1" t="s">
        <v>29</v>
      </c>
      <c r="N2395" s="1" t="s">
        <v>22</v>
      </c>
      <c r="O2395" s="1" t="str">
        <f t="shared" ca="1" si="19"/>
        <v>Please solve the LeetCode problem '1622. Fancy Sequence'.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96" spans="1:15" x14ac:dyDescent="0.25">
      <c r="A2396" s="1">
        <v>3433</v>
      </c>
      <c r="B2396" s="2" t="str">
        <f>HYPERLINK("https://leetcode.com/problems/count-mentions-per-user/", "Count Mentions Per User")</f>
        <v>Count Mentions Per User</v>
      </c>
      <c r="C2396" s="1">
        <v>388</v>
      </c>
      <c r="D2396" s="1">
        <v>247</v>
      </c>
      <c r="E2396" s="3">
        <f t="shared" si="18"/>
        <v>0.61102362204724414</v>
      </c>
      <c r="F2396" s="1" t="s">
        <v>991</v>
      </c>
      <c r="G2396" s="1" t="s">
        <v>24</v>
      </c>
      <c r="H2396" s="1">
        <v>83996</v>
      </c>
      <c r="I2396" s="1">
        <v>165257</v>
      </c>
      <c r="J2396" s="7">
        <v>0.50800000000000001</v>
      </c>
      <c r="K2396" s="1" t="s">
        <v>21</v>
      </c>
      <c r="L2396" s="1" t="s">
        <v>21</v>
      </c>
      <c r="M2396" s="1" t="s">
        <v>29</v>
      </c>
      <c r="N2396" s="1" t="s">
        <v>22</v>
      </c>
      <c r="O2396" s="1" t="str">
        <f t="shared" ca="1" si="19"/>
        <v>Please solve the LeetCode problem '3433. Count Mentions Per User'.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97" spans="1:15" x14ac:dyDescent="0.25">
      <c r="A2397" s="1">
        <v>3623</v>
      </c>
      <c r="B2397" s="2" t="str">
        <f>HYPERLINK("https://leetcode.com/problems/count-number-of-trapezoids-i/", "Count Number of Trapezoids I")</f>
        <v>Count Number of Trapezoids I</v>
      </c>
      <c r="C2397" s="1">
        <v>387</v>
      </c>
      <c r="D2397" s="1">
        <v>48</v>
      </c>
      <c r="E2397" s="3">
        <f t="shared" si="18"/>
        <v>0.8896551724137931</v>
      </c>
      <c r="F2397" s="1" t="s">
        <v>286</v>
      </c>
      <c r="G2397" s="1" t="s">
        <v>24</v>
      </c>
      <c r="H2397" s="1">
        <v>112693</v>
      </c>
      <c r="I2397" s="1">
        <v>236712</v>
      </c>
      <c r="J2397" s="7">
        <v>0.47599999999999998</v>
      </c>
      <c r="K2397" s="1" t="s">
        <v>21</v>
      </c>
      <c r="L2397" s="1" t="s">
        <v>21</v>
      </c>
      <c r="M2397" s="1" t="s">
        <v>29</v>
      </c>
      <c r="N2397" s="1" t="s">
        <v>22</v>
      </c>
      <c r="O2397" s="1" t="str">
        <f t="shared" ca="1" si="19"/>
        <v>Please solve the LeetCode problem '3623. Count Number of Trapezoids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98" spans="1:15" x14ac:dyDescent="0.25">
      <c r="A2398" s="1">
        <v>1554</v>
      </c>
      <c r="B2398" s="2" t="str">
        <f>HYPERLINK("https://leetcode.com/problems/strings-differ-by-one-character/", "Strings Differ by One Character")</f>
        <v>Strings Differ by One Character</v>
      </c>
      <c r="C2398" s="1">
        <v>386</v>
      </c>
      <c r="D2398" s="1">
        <v>104</v>
      </c>
      <c r="E2398" s="3">
        <f t="shared" si="18"/>
        <v>0.78775510204081634</v>
      </c>
      <c r="F2398" s="1" t="s">
        <v>994</v>
      </c>
      <c r="G2398" s="1" t="s">
        <v>24</v>
      </c>
      <c r="H2398" s="1">
        <v>27304</v>
      </c>
      <c r="I2398" s="1">
        <v>67707</v>
      </c>
      <c r="J2398" s="7">
        <v>0.40300000000000002</v>
      </c>
      <c r="K2398" s="1" t="s">
        <v>29</v>
      </c>
      <c r="L2398" s="1" t="s">
        <v>29</v>
      </c>
      <c r="M2398" s="1" t="s">
        <v>29</v>
      </c>
      <c r="N2398" s="1" t="s">
        <v>22</v>
      </c>
      <c r="O2398" s="1" t="str">
        <f t="shared" ca="1" si="19"/>
        <v>Please solve the LeetCode problem '1554. Strings Differ by One Character'.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399" spans="1:15" x14ac:dyDescent="0.25">
      <c r="A2399" s="1">
        <v>2383</v>
      </c>
      <c r="B2399" s="2" t="str">
        <f>HYPERLINK("https://leetcode.com/problems/minimum-hours-of-training-to-win-a-competition/", "Minimum Hours of Training to Win a Competition")</f>
        <v>Minimum Hours of Training to Win a Competition</v>
      </c>
      <c r="C2399" s="1">
        <v>386</v>
      </c>
      <c r="D2399" s="1">
        <v>298</v>
      </c>
      <c r="E2399" s="3">
        <f t="shared" si="18"/>
        <v>0.56432748538011701</v>
      </c>
      <c r="F2399" s="1" t="s">
        <v>96</v>
      </c>
      <c r="G2399" s="1" t="s">
        <v>20</v>
      </c>
      <c r="H2399" s="1">
        <v>38966</v>
      </c>
      <c r="I2399" s="1">
        <v>92099</v>
      </c>
      <c r="J2399" s="7">
        <v>0.42299999999999999</v>
      </c>
      <c r="K2399" s="1" t="s">
        <v>21</v>
      </c>
      <c r="L2399" s="1" t="s">
        <v>29</v>
      </c>
      <c r="M2399" s="1" t="s">
        <v>29</v>
      </c>
      <c r="N2399" s="1" t="s">
        <v>22</v>
      </c>
      <c r="O2399" s="1" t="str">
        <f t="shared" ca="1" si="19"/>
        <v>Please solve the LeetCode problem '2383. Minimum Hours of Training to Win a Competition'.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00" spans="1:15" x14ac:dyDescent="0.25">
      <c r="A2400" s="1">
        <v>3445</v>
      </c>
      <c r="B2400" s="2" t="str">
        <f>HYPERLINK("https://leetcode.com/problems/maximum-difference-between-even-and-odd-frequency-ii/", "Maximum Difference Between Even and Odd Frequency II")</f>
        <v>Maximum Difference Between Even and Odd Frequency II</v>
      </c>
      <c r="C2400" s="1">
        <v>386</v>
      </c>
      <c r="D2400" s="1">
        <v>104</v>
      </c>
      <c r="E2400" s="3">
        <f t="shared" si="18"/>
        <v>0.78775510204081634</v>
      </c>
      <c r="F2400" s="1" t="s">
        <v>989</v>
      </c>
      <c r="G2400" s="1" t="s">
        <v>28</v>
      </c>
      <c r="H2400" s="1">
        <v>58581</v>
      </c>
      <c r="I2400" s="1">
        <v>120263</v>
      </c>
      <c r="J2400" s="7">
        <v>0.48699999999999999</v>
      </c>
      <c r="K2400" s="1" t="s">
        <v>21</v>
      </c>
      <c r="L2400" s="1" t="s">
        <v>21</v>
      </c>
      <c r="M2400" s="1" t="s">
        <v>29</v>
      </c>
      <c r="N2400" s="1" t="s">
        <v>22</v>
      </c>
      <c r="O2400" s="1" t="str">
        <f t="shared" ca="1" si="19"/>
        <v>Please solve the LeetCode problem '3445. Maximum Difference Between Even and Odd Frequency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01" spans="1:15" x14ac:dyDescent="0.25">
      <c r="A2401" s="1">
        <v>2424</v>
      </c>
      <c r="B2401" s="2" t="str">
        <f>HYPERLINK("https://leetcode.com/problems/longest-uploaded-prefix/", "Longest Uploaded Prefix")</f>
        <v>Longest Uploaded Prefix</v>
      </c>
      <c r="C2401" s="1">
        <v>385</v>
      </c>
      <c r="D2401" s="1">
        <v>32</v>
      </c>
      <c r="E2401" s="3">
        <f t="shared" si="18"/>
        <v>0.9232613908872902</v>
      </c>
      <c r="F2401" s="1" t="s">
        <v>995</v>
      </c>
      <c r="G2401" s="1" t="s">
        <v>24</v>
      </c>
      <c r="H2401" s="1">
        <v>27707</v>
      </c>
      <c r="I2401" s="1">
        <v>50747</v>
      </c>
      <c r="J2401" s="7">
        <v>0.54600000000000004</v>
      </c>
      <c r="K2401" s="1" t="s">
        <v>21</v>
      </c>
      <c r="L2401" s="1" t="s">
        <v>29</v>
      </c>
      <c r="M2401" s="1" t="s">
        <v>29</v>
      </c>
      <c r="N2401" s="1" t="s">
        <v>22</v>
      </c>
      <c r="O2401" s="1" t="str">
        <f t="shared" ca="1" si="19"/>
        <v>Please solve the LeetCode problem '2424. Longest Uploaded Prefix'.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02" spans="1:15" x14ac:dyDescent="0.25">
      <c r="A2402" s="1">
        <v>2509</v>
      </c>
      <c r="B2402" s="2" t="str">
        <f>HYPERLINK("https://leetcode.com/problems/cycle-length-queries-in-a-tree/", "Cycle Length Queries in a Tree")</f>
        <v>Cycle Length Queries in a Tree</v>
      </c>
      <c r="C2402" s="1">
        <v>384</v>
      </c>
      <c r="D2402" s="1">
        <v>31</v>
      </c>
      <c r="E2402" s="3">
        <f t="shared" si="18"/>
        <v>0.92530120481927713</v>
      </c>
      <c r="F2402" s="1" t="s">
        <v>990</v>
      </c>
      <c r="G2402" s="1" t="s">
        <v>28</v>
      </c>
      <c r="H2402" s="1">
        <v>18390</v>
      </c>
      <c r="I2402" s="1">
        <v>30821</v>
      </c>
      <c r="J2402" s="7">
        <v>0.59699999999999998</v>
      </c>
      <c r="K2402" s="1" t="s">
        <v>21</v>
      </c>
      <c r="L2402" s="1" t="s">
        <v>29</v>
      </c>
      <c r="M2402" s="1" t="s">
        <v>29</v>
      </c>
      <c r="N2402" s="1" t="s">
        <v>22</v>
      </c>
      <c r="O2402" s="1" t="str">
        <f t="shared" ca="1" si="19"/>
        <v>Please solve the LeetCode problem '2509. Cycle Length Queries in a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03" spans="1:15" x14ac:dyDescent="0.25">
      <c r="A2403" s="1">
        <v>2708</v>
      </c>
      <c r="B2403" s="2" t="str">
        <f>HYPERLINK("https://leetcode.com/problems/maximum-strength-of-a-group/", "Maximum Strength of a Group")</f>
        <v>Maximum Strength of a Group</v>
      </c>
      <c r="C2403" s="1">
        <v>384</v>
      </c>
      <c r="D2403" s="1">
        <v>65</v>
      </c>
      <c r="E2403" s="3">
        <f t="shared" si="18"/>
        <v>0.85523385300668153</v>
      </c>
      <c r="F2403" s="1" t="s">
        <v>996</v>
      </c>
      <c r="G2403" s="1" t="s">
        <v>24</v>
      </c>
      <c r="H2403" s="1">
        <v>37212</v>
      </c>
      <c r="I2403" s="1">
        <v>146305</v>
      </c>
      <c r="J2403" s="7">
        <v>0.254</v>
      </c>
      <c r="K2403" s="1" t="s">
        <v>21</v>
      </c>
      <c r="L2403" s="1" t="s">
        <v>29</v>
      </c>
      <c r="M2403" s="1" t="s">
        <v>29</v>
      </c>
      <c r="N2403" s="1" t="s">
        <v>22</v>
      </c>
      <c r="O2403" s="1" t="str">
        <f t="shared" ca="1" si="19"/>
        <v>Please solve the LeetCode problem '2708. Maximum Strength of a Group'.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04" spans="1:15" x14ac:dyDescent="0.25">
      <c r="A2404" s="1">
        <v>3495</v>
      </c>
      <c r="B2404" s="2" t="str">
        <f>HYPERLINK("https://leetcode.com/problems/minimum-operations-to-make-array-elements-zero/", "Minimum Operations to Make Array Elements Zero")</f>
        <v>Minimum Operations to Make Array Elements Zero</v>
      </c>
      <c r="C2404" s="1">
        <v>384</v>
      </c>
      <c r="D2404" s="1">
        <v>53</v>
      </c>
      <c r="E2404" s="3">
        <f t="shared" si="18"/>
        <v>0.8787185354691075</v>
      </c>
      <c r="F2404" s="1" t="s">
        <v>456</v>
      </c>
      <c r="G2404" s="1" t="s">
        <v>28</v>
      </c>
      <c r="H2404" s="1">
        <v>78415</v>
      </c>
      <c r="I2404" s="1">
        <v>129788</v>
      </c>
      <c r="J2404" s="7">
        <v>0.60399999999999998</v>
      </c>
      <c r="K2404" s="1" t="s">
        <v>21</v>
      </c>
      <c r="L2404" s="1" t="s">
        <v>21</v>
      </c>
      <c r="M2404" s="1" t="s">
        <v>29</v>
      </c>
      <c r="N2404" s="1" t="s">
        <v>22</v>
      </c>
      <c r="O2404" s="1" t="str">
        <f t="shared" ca="1" si="19"/>
        <v>Please solve the LeetCode problem '3495. Minimum Operations to Make Array Elements Zero'.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05" spans="1:15" x14ac:dyDescent="0.25">
      <c r="A2405" s="1">
        <v>1065</v>
      </c>
      <c r="B2405" s="2" t="str">
        <f>HYPERLINK("https://leetcode.com/problems/index-pairs-of-a-string/", "Index Pairs of a String")</f>
        <v>Index Pairs of a String</v>
      </c>
      <c r="C2405" s="1">
        <v>383</v>
      </c>
      <c r="D2405" s="1">
        <v>109</v>
      </c>
      <c r="E2405" s="3">
        <f t="shared" si="18"/>
        <v>0.77845528455284552</v>
      </c>
      <c r="F2405" s="1" t="s">
        <v>997</v>
      </c>
      <c r="G2405" s="1" t="s">
        <v>20</v>
      </c>
      <c r="H2405" s="1">
        <v>31037</v>
      </c>
      <c r="I2405" s="1">
        <v>45242</v>
      </c>
      <c r="J2405" s="7">
        <v>0.68600000000000005</v>
      </c>
      <c r="K2405" s="1" t="s">
        <v>29</v>
      </c>
      <c r="L2405" s="1" t="s">
        <v>21</v>
      </c>
      <c r="M2405" s="1" t="s">
        <v>29</v>
      </c>
      <c r="N2405" s="1" t="s">
        <v>22</v>
      </c>
      <c r="O2405" s="1" t="str">
        <f t="shared" ca="1" si="19"/>
        <v>Please solve the LeetCode problem '1065. Index Pairs of a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06" spans="1:15" x14ac:dyDescent="0.25">
      <c r="A2406" s="1">
        <v>1016</v>
      </c>
      <c r="B2406" s="2" t="str">
        <f>HYPERLINK("https://leetcode.com/problems/binary-string-with-substrings-representing-1-to-n/", "Binary String With Substrings Representing 1 To N")</f>
        <v>Binary String With Substrings Representing 1 To N</v>
      </c>
      <c r="C2406" s="1">
        <v>382</v>
      </c>
      <c r="D2406" s="1">
        <v>540</v>
      </c>
      <c r="E2406" s="3">
        <f t="shared" si="18"/>
        <v>0.41431670281995664</v>
      </c>
      <c r="F2406" s="1" t="s">
        <v>993</v>
      </c>
      <c r="G2406" s="1" t="s">
        <v>24</v>
      </c>
      <c r="H2406" s="1">
        <v>47758</v>
      </c>
      <c r="I2406" s="1">
        <v>81845</v>
      </c>
      <c r="J2406" s="7">
        <v>0.58399999999999996</v>
      </c>
      <c r="K2406" s="1" t="s">
        <v>21</v>
      </c>
      <c r="L2406" s="1" t="s">
        <v>29</v>
      </c>
      <c r="M2406" s="1" t="s">
        <v>29</v>
      </c>
      <c r="N2406" s="1" t="s">
        <v>22</v>
      </c>
      <c r="O2406" s="1" t="str">
        <f t="shared" ca="1" si="19"/>
        <v>Please solve the LeetCode problem '1016. Binary String With Substrings Representing 1 To 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07" spans="1:15" x14ac:dyDescent="0.25">
      <c r="A2407" s="1">
        <v>1452</v>
      </c>
      <c r="B2407" s="2" t="str">
        <f>HYPERLINK("https://leetcode.com/problems/people-whose-list-of-favorite-companies-is-not-a-subset-of-another-list/", "People Whose List of Favorite Companies Is Not a Subset of Another List")</f>
        <v>People Whose List of Favorite Companies Is Not a Subset of Another List</v>
      </c>
      <c r="C2407" s="1">
        <v>382</v>
      </c>
      <c r="D2407" s="1">
        <v>230</v>
      </c>
      <c r="E2407" s="3">
        <f t="shared" si="18"/>
        <v>0.62418300653594772</v>
      </c>
      <c r="F2407" s="1" t="s">
        <v>258</v>
      </c>
      <c r="G2407" s="1" t="s">
        <v>24</v>
      </c>
      <c r="H2407" s="1">
        <v>34484</v>
      </c>
      <c r="I2407" s="1">
        <v>57118</v>
      </c>
      <c r="J2407" s="7">
        <v>0.60399999999999998</v>
      </c>
      <c r="K2407" s="1" t="s">
        <v>21</v>
      </c>
      <c r="L2407" s="1" t="s">
        <v>29</v>
      </c>
      <c r="M2407" s="1" t="s">
        <v>29</v>
      </c>
      <c r="N2407" s="1" t="s">
        <v>22</v>
      </c>
      <c r="O2407" s="1" t="str">
        <f t="shared" ca="1" si="19"/>
        <v>Please solve the LeetCode problem '1452. People Whose List of Favorite Companies Is Not a Subset of Another List'.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08" spans="1:15" x14ac:dyDescent="0.25">
      <c r="A2408" s="1">
        <v>2767</v>
      </c>
      <c r="B2408" s="2" t="str">
        <f>HYPERLINK("https://leetcode.com/problems/partition-string-into-minimum-beautiful-substrings/", "Partition String Into Minimum Beautiful Substrings")</f>
        <v>Partition String Into Minimum Beautiful Substrings</v>
      </c>
      <c r="C2408" s="1">
        <v>382</v>
      </c>
      <c r="D2408" s="1">
        <v>19</v>
      </c>
      <c r="E2408" s="3">
        <f t="shared" si="18"/>
        <v>0.95261845386533661</v>
      </c>
      <c r="F2408" s="1" t="s">
        <v>998</v>
      </c>
      <c r="G2408" s="1" t="s">
        <v>24</v>
      </c>
      <c r="H2408" s="1">
        <v>21612</v>
      </c>
      <c r="I2408" s="1">
        <v>40145</v>
      </c>
      <c r="J2408" s="7">
        <v>0.53800000000000003</v>
      </c>
      <c r="K2408" s="1" t="s">
        <v>21</v>
      </c>
      <c r="L2408" s="1" t="s">
        <v>29</v>
      </c>
      <c r="M2408" s="1" t="s">
        <v>29</v>
      </c>
      <c r="N2408" s="1" t="s">
        <v>22</v>
      </c>
      <c r="O2408" s="1" t="str">
        <f t="shared" ca="1" si="19"/>
        <v>Please solve the LeetCode problem '2767. Partition String Into Minimum Beautiful Substrings'.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09" spans="1:15" x14ac:dyDescent="0.25">
      <c r="A2409" s="1">
        <v>3337</v>
      </c>
      <c r="B2409" s="2" t="str">
        <f>HYPERLINK("https://leetcode.com/problems/total-characters-in-string-after-transformations-ii/", "Total Characters in String After Transformations II")</f>
        <v>Total Characters in String After Transformations II</v>
      </c>
      <c r="C2409" s="1">
        <v>382</v>
      </c>
      <c r="D2409" s="1">
        <v>83</v>
      </c>
      <c r="E2409" s="3">
        <f t="shared" si="18"/>
        <v>0.82150537634408605</v>
      </c>
      <c r="F2409" s="1" t="s">
        <v>844</v>
      </c>
      <c r="G2409" s="1" t="s">
        <v>28</v>
      </c>
      <c r="H2409" s="1">
        <v>63325</v>
      </c>
      <c r="I2409" s="1">
        <v>109075</v>
      </c>
      <c r="J2409" s="7">
        <v>0.58099999999999996</v>
      </c>
      <c r="K2409" s="1" t="s">
        <v>21</v>
      </c>
      <c r="L2409" s="1" t="s">
        <v>21</v>
      </c>
      <c r="M2409" s="1" t="s">
        <v>29</v>
      </c>
      <c r="N2409" s="1" t="s">
        <v>22</v>
      </c>
      <c r="O2409" s="1" t="str">
        <f t="shared" ca="1" si="19"/>
        <v>Please solve the LeetCode problem '3337. Total Characters in String After Transformations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10" spans="1:15" x14ac:dyDescent="0.25">
      <c r="A2410" s="1">
        <v>1548</v>
      </c>
      <c r="B2410" s="2" t="str">
        <f>HYPERLINK("https://leetcode.com/problems/the-most-similar-path-in-a-graph/", "The Most Similar Path in a Graph")</f>
        <v>The Most Similar Path in a Graph</v>
      </c>
      <c r="C2410" s="1">
        <v>380</v>
      </c>
      <c r="D2410" s="1">
        <v>187</v>
      </c>
      <c r="E2410" s="3">
        <f t="shared" si="18"/>
        <v>0.67019400352733682</v>
      </c>
      <c r="F2410" s="1" t="s">
        <v>999</v>
      </c>
      <c r="G2410" s="1" t="s">
        <v>28</v>
      </c>
      <c r="H2410" s="1">
        <v>17847</v>
      </c>
      <c r="I2410" s="1">
        <v>30047</v>
      </c>
      <c r="J2410" s="7">
        <v>0.59399999999999997</v>
      </c>
      <c r="K2410" s="1" t="s">
        <v>29</v>
      </c>
      <c r="L2410" s="1" t="s">
        <v>21</v>
      </c>
      <c r="M2410" s="1" t="s">
        <v>29</v>
      </c>
      <c r="N2410" s="1" t="s">
        <v>22</v>
      </c>
      <c r="O2410" s="1" t="str">
        <f t="shared" ca="1" si="19"/>
        <v>Please solve the LeetCode problem '1548. The Most Similar Path in a Graph'.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11" spans="1:15" x14ac:dyDescent="0.25">
      <c r="A2411" s="1">
        <v>2568</v>
      </c>
      <c r="B2411" s="2" t="str">
        <f>HYPERLINK("https://leetcode.com/problems/minimum-impossible-or/", "Minimum Impossible OR")</f>
        <v>Minimum Impossible OR</v>
      </c>
      <c r="C2411" s="1">
        <v>380</v>
      </c>
      <c r="D2411" s="1">
        <v>22</v>
      </c>
      <c r="E2411" s="3">
        <f t="shared" si="18"/>
        <v>0.94527363184079605</v>
      </c>
      <c r="F2411" s="1" t="s">
        <v>634</v>
      </c>
      <c r="G2411" s="1" t="s">
        <v>24</v>
      </c>
      <c r="H2411" s="1">
        <v>19639</v>
      </c>
      <c r="I2411" s="1">
        <v>33494</v>
      </c>
      <c r="J2411" s="7">
        <v>0.58599999999999997</v>
      </c>
      <c r="K2411" s="1" t="s">
        <v>21</v>
      </c>
      <c r="L2411" s="1" t="s">
        <v>29</v>
      </c>
      <c r="M2411" s="1" t="s">
        <v>29</v>
      </c>
      <c r="N2411" s="1" t="s">
        <v>22</v>
      </c>
      <c r="O2411" s="1" t="str">
        <f t="shared" ca="1" si="19"/>
        <v>Please solve the LeetCode problem '2568. Minimum Impossible OR'.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12" spans="1:15" x14ac:dyDescent="0.25">
      <c r="A2412" s="1">
        <v>2470</v>
      </c>
      <c r="B2412" s="2" t="str">
        <f>HYPERLINK("https://leetcode.com/problems/number-of-subarrays-with-lcm-equal-to-k/", "Number of Subarrays With LCM Equal to K")</f>
        <v>Number of Subarrays With LCM Equal to K</v>
      </c>
      <c r="C2412" s="1">
        <v>379</v>
      </c>
      <c r="D2412" s="1">
        <v>41</v>
      </c>
      <c r="E2412" s="3">
        <f t="shared" si="18"/>
        <v>0.90238095238095239</v>
      </c>
      <c r="F2412" s="1" t="s">
        <v>640</v>
      </c>
      <c r="G2412" s="1" t="s">
        <v>24</v>
      </c>
      <c r="H2412" s="1">
        <v>30003</v>
      </c>
      <c r="I2412" s="1">
        <v>70701</v>
      </c>
      <c r="J2412" s="7">
        <v>0.42399999999999999</v>
      </c>
      <c r="K2412" s="1" t="s">
        <v>21</v>
      </c>
      <c r="L2412" s="1" t="s">
        <v>29</v>
      </c>
      <c r="M2412" s="1" t="s">
        <v>29</v>
      </c>
      <c r="N2412" s="1" t="s">
        <v>22</v>
      </c>
      <c r="O2412" s="1" t="str">
        <f t="shared" ca="1" si="19"/>
        <v>Please solve the LeetCode problem '2470. Number of Subarrays With LCM Equal to K'.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13" spans="1:15" x14ac:dyDescent="0.25">
      <c r="A2413" s="1">
        <v>2299</v>
      </c>
      <c r="B2413" s="2" t="str">
        <f>HYPERLINK("https://leetcode.com/problems/strong-password-checker-ii/", "Strong Password Checker II")</f>
        <v>Strong Password Checker II</v>
      </c>
      <c r="C2413" s="1">
        <v>378</v>
      </c>
      <c r="D2413" s="1">
        <v>41</v>
      </c>
      <c r="E2413" s="3">
        <f t="shared" si="18"/>
        <v>0.90214797136038183</v>
      </c>
      <c r="F2413" s="1" t="s">
        <v>146</v>
      </c>
      <c r="G2413" s="1" t="s">
        <v>20</v>
      </c>
      <c r="H2413" s="1">
        <v>55834</v>
      </c>
      <c r="I2413" s="1">
        <v>101006</v>
      </c>
      <c r="J2413" s="7">
        <v>0.55300000000000005</v>
      </c>
      <c r="K2413" s="1" t="s">
        <v>21</v>
      </c>
      <c r="L2413" s="1" t="s">
        <v>29</v>
      </c>
      <c r="M2413" s="1" t="s">
        <v>29</v>
      </c>
      <c r="N2413" s="1" t="s">
        <v>22</v>
      </c>
      <c r="O2413" s="1" t="str">
        <f t="shared" ca="1" si="19"/>
        <v>Please solve the LeetCode problem '2299. Strong Password Checker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14" spans="1:15" x14ac:dyDescent="0.25">
      <c r="A2414" s="1">
        <v>906</v>
      </c>
      <c r="B2414" s="2" t="str">
        <f>HYPERLINK("https://leetcode.com/problems/super-palindromes/", "Super Palindromes")</f>
        <v>Super Palindromes</v>
      </c>
      <c r="C2414" s="1">
        <v>375</v>
      </c>
      <c r="D2414" s="1">
        <v>423</v>
      </c>
      <c r="E2414" s="3">
        <f t="shared" si="18"/>
        <v>0.46992481203007519</v>
      </c>
      <c r="F2414" s="1" t="s">
        <v>1002</v>
      </c>
      <c r="G2414" s="1" t="s">
        <v>28</v>
      </c>
      <c r="H2414" s="1">
        <v>28051</v>
      </c>
      <c r="I2414" s="1">
        <v>70542</v>
      </c>
      <c r="J2414" s="7">
        <v>0.39800000000000002</v>
      </c>
      <c r="K2414" s="1" t="s">
        <v>21</v>
      </c>
      <c r="L2414" s="1" t="s">
        <v>21</v>
      </c>
      <c r="M2414" s="1" t="s">
        <v>29</v>
      </c>
      <c r="N2414" s="1" t="s">
        <v>22</v>
      </c>
      <c r="O2414" s="1" t="str">
        <f t="shared" ca="1" si="19"/>
        <v>Please solve the LeetCode problem '906. Super Palindromes'.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15" spans="1:15" x14ac:dyDescent="0.25">
      <c r="A2415" s="1">
        <v>2586</v>
      </c>
      <c r="B2415" s="2" t="str">
        <f>HYPERLINK("https://leetcode.com/problems/count-the-number-of-vowel-strings-in-range/", "Count the Number of Vowel Strings in Range")</f>
        <v>Count the Number of Vowel Strings in Range</v>
      </c>
      <c r="C2415" s="1">
        <v>375</v>
      </c>
      <c r="D2415" s="1">
        <v>31</v>
      </c>
      <c r="E2415" s="3">
        <f t="shared" si="18"/>
        <v>0.92364532019704437</v>
      </c>
      <c r="F2415" s="1" t="s">
        <v>1001</v>
      </c>
      <c r="G2415" s="1" t="s">
        <v>20</v>
      </c>
      <c r="H2415" s="1">
        <v>86205</v>
      </c>
      <c r="I2415" s="1">
        <v>116401</v>
      </c>
      <c r="J2415" s="7">
        <v>0.74099999999999999</v>
      </c>
      <c r="K2415" s="1" t="s">
        <v>21</v>
      </c>
      <c r="L2415" s="1" t="s">
        <v>29</v>
      </c>
      <c r="M2415" s="1" t="s">
        <v>29</v>
      </c>
      <c r="N2415" s="1" t="s">
        <v>22</v>
      </c>
      <c r="O2415" s="1" t="str">
        <f t="shared" ca="1" si="19"/>
        <v>Please solve the LeetCode problem '2586. Count the Number of Vowel Strings in Range'.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16" spans="1:15" x14ac:dyDescent="0.25">
      <c r="A2416" s="1">
        <v>1784</v>
      </c>
      <c r="B2416" s="2" t="str">
        <f>HYPERLINK("https://leetcode.com/problems/check-if-binary-string-has-at-most-one-segment-of-ones/", "Check if Binary String Has at Most One Segment of Ones")</f>
        <v>Check if Binary String Has at Most One Segment of Ones</v>
      </c>
      <c r="C2416" s="1">
        <v>374</v>
      </c>
      <c r="D2416" s="1">
        <v>1007</v>
      </c>
      <c r="E2416" s="3">
        <f t="shared" si="18"/>
        <v>0.27081824764663287</v>
      </c>
      <c r="F2416" s="1" t="s">
        <v>146</v>
      </c>
      <c r="G2416" s="1" t="s">
        <v>20</v>
      </c>
      <c r="H2416" s="1">
        <v>57721</v>
      </c>
      <c r="I2416" s="1">
        <v>146907</v>
      </c>
      <c r="J2416" s="7">
        <v>0.39300000000000002</v>
      </c>
      <c r="K2416" s="1" t="s">
        <v>21</v>
      </c>
      <c r="L2416" s="1" t="s">
        <v>29</v>
      </c>
      <c r="M2416" s="1" t="s">
        <v>29</v>
      </c>
      <c r="N2416" s="1" t="s">
        <v>22</v>
      </c>
      <c r="O2416" s="1" t="str">
        <f t="shared" ca="1" si="19"/>
        <v>Please solve the LeetCode problem '1784. Check if Binary String Has at Most One Segment of Ones'.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17" spans="1:15" x14ac:dyDescent="0.25">
      <c r="A2417" s="1">
        <v>3047</v>
      </c>
      <c r="B2417" s="2" t="str">
        <f>HYPERLINK("https://leetcode.com/problems/find-the-largest-area-of-square-inside-two-rectangles/", "Find the Largest Area of Square Inside Two Rectangles")</f>
        <v>Find the Largest Area of Square Inside Two Rectangles</v>
      </c>
      <c r="C2417" s="1">
        <v>374</v>
      </c>
      <c r="D2417" s="1">
        <v>73</v>
      </c>
      <c r="E2417" s="3">
        <f t="shared" si="18"/>
        <v>0.83668903803131989</v>
      </c>
      <c r="F2417" s="1" t="s">
        <v>397</v>
      </c>
      <c r="G2417" s="1" t="s">
        <v>24</v>
      </c>
      <c r="H2417" s="1">
        <v>75721</v>
      </c>
      <c r="I2417" s="1">
        <v>117862</v>
      </c>
      <c r="J2417" s="7">
        <v>0.64200000000000002</v>
      </c>
      <c r="K2417" s="1" t="s">
        <v>21</v>
      </c>
      <c r="L2417" s="1" t="s">
        <v>21</v>
      </c>
      <c r="M2417" s="1" t="s">
        <v>29</v>
      </c>
      <c r="N2417" s="1" t="s">
        <v>22</v>
      </c>
      <c r="O2417" s="1" t="str">
        <f t="shared" ca="1" si="19"/>
        <v>Please solve the LeetCode problem '3047. Find the Largest Area of Square Inside Two Rectangles'.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18" spans="1:15" x14ac:dyDescent="0.25">
      <c r="A2418" s="1">
        <v>481</v>
      </c>
      <c r="B2418" s="2" t="str">
        <f>HYPERLINK("https://leetcode.com/problems/magical-string/", "Magical String")</f>
        <v>Magical String</v>
      </c>
      <c r="C2418" s="1">
        <v>373</v>
      </c>
      <c r="D2418" s="1">
        <v>1411</v>
      </c>
      <c r="E2418" s="3">
        <f t="shared" si="18"/>
        <v>0.20908071748878923</v>
      </c>
      <c r="F2418" s="1" t="s">
        <v>117</v>
      </c>
      <c r="G2418" s="1" t="s">
        <v>24</v>
      </c>
      <c r="H2418" s="1">
        <v>51127</v>
      </c>
      <c r="I2418" s="1">
        <v>94632</v>
      </c>
      <c r="J2418" s="7">
        <v>0.54</v>
      </c>
      <c r="K2418" s="1" t="s">
        <v>21</v>
      </c>
      <c r="L2418" s="1" t="s">
        <v>29</v>
      </c>
      <c r="M2418" s="1" t="s">
        <v>29</v>
      </c>
      <c r="N2418" s="1" t="s">
        <v>22</v>
      </c>
      <c r="O2418" s="1" t="str">
        <f t="shared" ca="1" si="19"/>
        <v>Please solve the LeetCode problem '481. Magical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19" spans="1:15" x14ac:dyDescent="0.25">
      <c r="A2419" s="1">
        <v>782</v>
      </c>
      <c r="B2419" s="2" t="str">
        <f>HYPERLINK("https://leetcode.com/problems/transform-to-chessboard/", "Transform to Chessboard")</f>
        <v>Transform to Chessboard</v>
      </c>
      <c r="C2419" s="1">
        <v>373</v>
      </c>
      <c r="D2419" s="1">
        <v>313</v>
      </c>
      <c r="E2419" s="3">
        <f t="shared" si="18"/>
        <v>0.54373177842565601</v>
      </c>
      <c r="F2419" s="1" t="s">
        <v>936</v>
      </c>
      <c r="G2419" s="1" t="s">
        <v>28</v>
      </c>
      <c r="H2419" s="1">
        <v>21137</v>
      </c>
      <c r="I2419" s="1">
        <v>41347</v>
      </c>
      <c r="J2419" s="7">
        <v>0.51100000000000001</v>
      </c>
      <c r="K2419" s="1" t="s">
        <v>21</v>
      </c>
      <c r="L2419" s="1" t="s">
        <v>21</v>
      </c>
      <c r="M2419" s="1" t="s">
        <v>29</v>
      </c>
      <c r="N2419" s="1" t="s">
        <v>22</v>
      </c>
      <c r="O2419" s="1" t="str">
        <f t="shared" ca="1" si="19"/>
        <v>Please solve the LeetCode problem '782. Transform to Chessboard'.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20" spans="1:15" x14ac:dyDescent="0.25">
      <c r="A2420" s="1">
        <v>1258</v>
      </c>
      <c r="B2420" s="2" t="str">
        <f>HYPERLINK("https://leetcode.com/problems/synonymous-sentences/", "Synonymous Sentences")</f>
        <v>Synonymous Sentences</v>
      </c>
      <c r="C2420" s="1">
        <v>373</v>
      </c>
      <c r="D2420" s="1">
        <v>171</v>
      </c>
      <c r="E2420" s="3">
        <f t="shared" si="18"/>
        <v>0.68566176470588236</v>
      </c>
      <c r="F2420" s="1" t="s">
        <v>1004</v>
      </c>
      <c r="G2420" s="1" t="s">
        <v>24</v>
      </c>
      <c r="H2420" s="1">
        <v>28840</v>
      </c>
      <c r="I2420" s="1">
        <v>50581</v>
      </c>
      <c r="J2420" s="7">
        <v>0.56999999999999995</v>
      </c>
      <c r="K2420" s="1" t="s">
        <v>29</v>
      </c>
      <c r="L2420" s="1" t="s">
        <v>29</v>
      </c>
      <c r="M2420" s="1" t="s">
        <v>29</v>
      </c>
      <c r="N2420" s="1" t="s">
        <v>22</v>
      </c>
      <c r="O2420" s="1" t="str">
        <f t="shared" ca="1" si="19"/>
        <v>Please solve the LeetCode problem '1258. Synonymous Sentences'.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21" spans="1:15" x14ac:dyDescent="0.25">
      <c r="A2421" s="1">
        <v>2455</v>
      </c>
      <c r="B2421" s="2" t="str">
        <f>HYPERLINK("https://leetcode.com/problems/average-value-of-even-numbers-that-are-divisible-by-three/", "Average Value of Even Numbers That Are Divisible by Three")</f>
        <v>Average Value of Even Numbers That Are Divisible by Three</v>
      </c>
      <c r="C2421" s="1">
        <v>373</v>
      </c>
      <c r="D2421" s="1">
        <v>42</v>
      </c>
      <c r="E2421" s="3">
        <f t="shared" si="18"/>
        <v>0.89879518072289155</v>
      </c>
      <c r="F2421" s="1" t="s">
        <v>115</v>
      </c>
      <c r="G2421" s="1" t="s">
        <v>20</v>
      </c>
      <c r="H2421" s="1">
        <v>90602</v>
      </c>
      <c r="I2421" s="1">
        <v>144391</v>
      </c>
      <c r="J2421" s="7">
        <v>0.627</v>
      </c>
      <c r="K2421" s="1" t="s">
        <v>21</v>
      </c>
      <c r="L2421" s="1" t="s">
        <v>29</v>
      </c>
      <c r="M2421" s="1" t="s">
        <v>29</v>
      </c>
      <c r="N2421" s="1" t="s">
        <v>22</v>
      </c>
      <c r="O2421" s="1" t="str">
        <f t="shared" ca="1" si="19"/>
        <v>Please solve the LeetCode problem '2455. Average Value of Even Numbers That Are Divisible by Three'.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22" spans="1:15" x14ac:dyDescent="0.25">
      <c r="A2422" s="1">
        <v>2515</v>
      </c>
      <c r="B2422" s="2" t="str">
        <f>HYPERLINK("https://leetcode.com/problems/shortest-distance-to-target-string-in-a-circular-array/", "Shortest Distance to Target String in a Circular Array")</f>
        <v>Shortest Distance to Target String in a Circular Array</v>
      </c>
      <c r="C2422" s="1">
        <v>373</v>
      </c>
      <c r="D2422" s="1">
        <v>24</v>
      </c>
      <c r="E2422" s="3">
        <f t="shared" si="18"/>
        <v>0.93954659949622166</v>
      </c>
      <c r="F2422" s="1" t="s">
        <v>369</v>
      </c>
      <c r="G2422" s="1" t="s">
        <v>20</v>
      </c>
      <c r="H2422" s="1">
        <v>38475</v>
      </c>
      <c r="I2422" s="1">
        <v>76209</v>
      </c>
      <c r="J2422" s="7">
        <v>0.505</v>
      </c>
      <c r="K2422" s="1" t="s">
        <v>21</v>
      </c>
      <c r="L2422" s="1" t="s">
        <v>29</v>
      </c>
      <c r="M2422" s="1" t="s">
        <v>29</v>
      </c>
      <c r="N2422" s="1" t="s">
        <v>22</v>
      </c>
      <c r="O2422" s="1" t="str">
        <f t="shared" ca="1" si="19"/>
        <v>Please solve the LeetCode problem '2515. Shortest Distance to Target String in a Circular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23" spans="1:15" x14ac:dyDescent="0.25">
      <c r="A2423" s="1">
        <v>2716</v>
      </c>
      <c r="B2423" s="2" t="str">
        <f>HYPERLINK("https://leetcode.com/problems/minimize-string-length/", "Minimize String Length")</f>
        <v>Minimize String Length</v>
      </c>
      <c r="C2423" s="1">
        <v>373</v>
      </c>
      <c r="D2423" s="1">
        <v>108</v>
      </c>
      <c r="E2423" s="3">
        <f t="shared" si="18"/>
        <v>0.77546777546777546</v>
      </c>
      <c r="F2423" s="1" t="s">
        <v>131</v>
      </c>
      <c r="G2423" s="1" t="s">
        <v>20</v>
      </c>
      <c r="H2423" s="1">
        <v>76418</v>
      </c>
      <c r="I2423" s="1">
        <v>97213</v>
      </c>
      <c r="J2423" s="7">
        <v>0.78600000000000003</v>
      </c>
      <c r="K2423" s="1" t="s">
        <v>21</v>
      </c>
      <c r="L2423" s="1" t="s">
        <v>29</v>
      </c>
      <c r="M2423" s="1" t="s">
        <v>29</v>
      </c>
      <c r="N2423" s="1" t="s">
        <v>22</v>
      </c>
      <c r="O2423" s="1" t="str">
        <f t="shared" ca="1" si="19"/>
        <v>Please solve the LeetCode problem '2716. Minimize String Length'.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24" spans="1:15" x14ac:dyDescent="0.25">
      <c r="A2424" s="1">
        <v>2746</v>
      </c>
      <c r="B2424" s="2" t="str">
        <f>HYPERLINK("https://leetcode.com/problems/decremental-string-concatenation/", "Decremental String Concatenation")</f>
        <v>Decremental String Concatenation</v>
      </c>
      <c r="C2424" s="1">
        <v>373</v>
      </c>
      <c r="D2424" s="1">
        <v>33</v>
      </c>
      <c r="E2424" s="3">
        <f t="shared" si="18"/>
        <v>0.91871921182266014</v>
      </c>
      <c r="F2424" s="1" t="s">
        <v>225</v>
      </c>
      <c r="G2424" s="1" t="s">
        <v>24</v>
      </c>
      <c r="H2424" s="1">
        <v>10795</v>
      </c>
      <c r="I2424" s="1">
        <v>39586</v>
      </c>
      <c r="J2424" s="7">
        <v>0.27300000000000002</v>
      </c>
      <c r="K2424" s="1" t="s">
        <v>21</v>
      </c>
      <c r="L2424" s="1" t="s">
        <v>29</v>
      </c>
      <c r="M2424" s="1" t="s">
        <v>29</v>
      </c>
      <c r="N2424" s="1" t="s">
        <v>22</v>
      </c>
      <c r="O2424" s="1" t="str">
        <f t="shared" ca="1" si="19"/>
        <v>Please solve the LeetCode problem '2746. Decremental String Concatenation'.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25" spans="1:15" x14ac:dyDescent="0.25">
      <c r="A2425" s="1">
        <v>3459</v>
      </c>
      <c r="B2425" s="2" t="str">
        <f>HYPERLINK("https://leetcode.com/problems/length-of-longest-v-shaped-diagonal-segment/", "Length of Longest V-Shaped Diagonal Segment")</f>
        <v>Length of Longest V-Shaped Diagonal Segment</v>
      </c>
      <c r="C2425" s="1">
        <v>372</v>
      </c>
      <c r="D2425" s="1">
        <v>63</v>
      </c>
      <c r="E2425" s="3">
        <f t="shared" si="18"/>
        <v>0.85517241379310349</v>
      </c>
      <c r="F2425" s="1" t="s">
        <v>1003</v>
      </c>
      <c r="G2425" s="1" t="s">
        <v>28</v>
      </c>
      <c r="H2425" s="1">
        <v>73170</v>
      </c>
      <c r="I2425" s="1">
        <v>129532</v>
      </c>
      <c r="J2425" s="7">
        <v>0.56499999999999995</v>
      </c>
      <c r="K2425" s="1" t="s">
        <v>21</v>
      </c>
      <c r="L2425" s="1" t="s">
        <v>21</v>
      </c>
      <c r="M2425" s="1" t="s">
        <v>29</v>
      </c>
      <c r="N2425" s="1" t="s">
        <v>22</v>
      </c>
      <c r="O2425" s="1" t="str">
        <f t="shared" ca="1" si="19"/>
        <v>Please solve the LeetCode problem '3459. Length of Longest V-Shaped Diagonal Segment'.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26" spans="1:15" x14ac:dyDescent="0.25">
      <c r="A2426" s="1">
        <v>2844</v>
      </c>
      <c r="B2426" s="2" t="str">
        <f>HYPERLINK("https://leetcode.com/problems/minimum-operations-to-make-a-special-number/", "Minimum Operations to Make a Special Number")</f>
        <v>Minimum Operations to Make a Special Number</v>
      </c>
      <c r="C2426" s="1">
        <v>371</v>
      </c>
      <c r="D2426" s="1">
        <v>57</v>
      </c>
      <c r="E2426" s="3">
        <f t="shared" si="18"/>
        <v>0.86682242990654201</v>
      </c>
      <c r="F2426" s="1" t="s">
        <v>1005</v>
      </c>
      <c r="G2426" s="1" t="s">
        <v>24</v>
      </c>
      <c r="H2426" s="1">
        <v>29124</v>
      </c>
      <c r="I2426" s="1">
        <v>75824</v>
      </c>
      <c r="J2426" s="7">
        <v>0.38400000000000001</v>
      </c>
      <c r="K2426" s="1" t="s">
        <v>21</v>
      </c>
      <c r="L2426" s="1" t="s">
        <v>29</v>
      </c>
      <c r="M2426" s="1" t="s">
        <v>29</v>
      </c>
      <c r="N2426" s="1" t="s">
        <v>22</v>
      </c>
      <c r="O2426" s="1" t="str">
        <f t="shared" ca="1" si="19"/>
        <v>Please solve the LeetCode problem '2844. Minimum Operations to Make a Special Number'.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27" spans="1:15" x14ac:dyDescent="0.25">
      <c r="A2427" s="1">
        <v>3562</v>
      </c>
      <c r="B2427" s="2" t="str">
        <f>HYPERLINK("https://leetcode.com/problems/maximum-profit-from-trading-stocks-with-discounts/", "Maximum Profit from Trading Stocks with Discounts")</f>
        <v>Maximum Profit from Trading Stocks with Discounts</v>
      </c>
      <c r="C2427" s="1">
        <v>370</v>
      </c>
      <c r="D2427" s="1">
        <v>52</v>
      </c>
      <c r="E2427" s="3">
        <f t="shared" si="18"/>
        <v>0.87677725118483407</v>
      </c>
      <c r="F2427" s="1" t="s">
        <v>939</v>
      </c>
      <c r="G2427" s="1" t="s">
        <v>28</v>
      </c>
      <c r="H2427" s="1">
        <v>49524</v>
      </c>
      <c r="I2427" s="1">
        <v>87068</v>
      </c>
      <c r="J2427" s="7">
        <v>0.56899999999999995</v>
      </c>
      <c r="K2427" s="1" t="s">
        <v>21</v>
      </c>
      <c r="L2427" s="1" t="s">
        <v>21</v>
      </c>
      <c r="M2427" s="1" t="s">
        <v>29</v>
      </c>
      <c r="N2427" s="1" t="s">
        <v>22</v>
      </c>
      <c r="O2427" s="1" t="str">
        <f t="shared" ca="1" si="19"/>
        <v>Please solve the LeetCode problem '3562. Maximum Profit from Trading Stocks with Discounts'.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28" spans="1:15" x14ac:dyDescent="0.25">
      <c r="A2428" s="1">
        <v>2478</v>
      </c>
      <c r="B2428" s="2" t="str">
        <f>HYPERLINK("https://leetcode.com/problems/number-of-beautiful-partitions/", "Number of Beautiful Partitions")</f>
        <v>Number of Beautiful Partitions</v>
      </c>
      <c r="C2428" s="1">
        <v>369</v>
      </c>
      <c r="D2428" s="1">
        <v>18</v>
      </c>
      <c r="E2428" s="3">
        <f t="shared" si="18"/>
        <v>0.95348837209302328</v>
      </c>
      <c r="F2428" s="1" t="s">
        <v>701</v>
      </c>
      <c r="G2428" s="1" t="s">
        <v>28</v>
      </c>
      <c r="H2428" s="1">
        <v>12941</v>
      </c>
      <c r="I2428" s="1">
        <v>39688</v>
      </c>
      <c r="J2428" s="7">
        <v>0.32600000000000001</v>
      </c>
      <c r="K2428" s="1" t="s">
        <v>21</v>
      </c>
      <c r="L2428" s="1" t="s">
        <v>29</v>
      </c>
      <c r="M2428" s="1" t="s">
        <v>29</v>
      </c>
      <c r="N2428" s="1" t="s">
        <v>22</v>
      </c>
      <c r="O2428" s="1" t="str">
        <f t="shared" ca="1" si="19"/>
        <v>Please solve the LeetCode problem '2478. Number of Beautiful Partitions'.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29" spans="1:15" x14ac:dyDescent="0.25">
      <c r="A2429" s="1">
        <v>2595</v>
      </c>
      <c r="B2429" s="2" t="str">
        <f>HYPERLINK("https://leetcode.com/problems/number-of-even-and-odd-bits/", "Number of Even and Odd Bits")</f>
        <v>Number of Even and Odd Bits</v>
      </c>
      <c r="C2429" s="1">
        <v>368</v>
      </c>
      <c r="D2429" s="1">
        <v>116</v>
      </c>
      <c r="E2429" s="3">
        <f t="shared" si="18"/>
        <v>0.76033057851239672</v>
      </c>
      <c r="F2429" s="1" t="s">
        <v>298</v>
      </c>
      <c r="G2429" s="1" t="s">
        <v>20</v>
      </c>
      <c r="H2429" s="1">
        <v>66251</v>
      </c>
      <c r="I2429" s="1">
        <v>90522</v>
      </c>
      <c r="J2429" s="7">
        <v>0.73199999999999998</v>
      </c>
      <c r="K2429" s="1" t="s">
        <v>21</v>
      </c>
      <c r="L2429" s="1" t="s">
        <v>29</v>
      </c>
      <c r="M2429" s="1" t="s">
        <v>29</v>
      </c>
      <c r="N2429" s="1" t="s">
        <v>22</v>
      </c>
      <c r="O2429" s="1" t="str">
        <f t="shared" ca="1" si="19"/>
        <v>Please solve the LeetCode problem '2595. Number of Even and Odd Bits'.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30" spans="1:15" x14ac:dyDescent="0.25">
      <c r="A2430" s="1">
        <v>2800</v>
      </c>
      <c r="B2430" s="2" t="str">
        <f>HYPERLINK("https://leetcode.com/problems/shortest-string-that-contains-three-strings/", "Shortest String That Contains Three Strings")</f>
        <v>Shortest String That Contains Three Strings</v>
      </c>
      <c r="C2430" s="1">
        <v>368</v>
      </c>
      <c r="D2430" s="1">
        <v>294</v>
      </c>
      <c r="E2430" s="3">
        <f t="shared" si="18"/>
        <v>0.5558912386706949</v>
      </c>
      <c r="F2430" s="1" t="s">
        <v>727</v>
      </c>
      <c r="G2430" s="1" t="s">
        <v>24</v>
      </c>
      <c r="H2430" s="1">
        <v>19046</v>
      </c>
      <c r="I2430" s="1">
        <v>60575</v>
      </c>
      <c r="J2430" s="7">
        <v>0.314</v>
      </c>
      <c r="K2430" s="1" t="s">
        <v>21</v>
      </c>
      <c r="L2430" s="1" t="s">
        <v>29</v>
      </c>
      <c r="M2430" s="1" t="s">
        <v>29</v>
      </c>
      <c r="N2430" s="1" t="s">
        <v>22</v>
      </c>
      <c r="O2430" s="1" t="str">
        <f t="shared" ca="1" si="19"/>
        <v>Please solve the LeetCode problem '2800. Shortest String That Contains Three Strings'.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31" spans="1:15" x14ac:dyDescent="0.25">
      <c r="A2431" s="1">
        <v>3373</v>
      </c>
      <c r="B2431" s="2" t="str">
        <f>HYPERLINK("https://leetcode.com/problems/maximize-the-number-of-target-nodes-after-connecting-trees-ii/", "Maximize the Number of Target Nodes After Connecting Trees II")</f>
        <v>Maximize the Number of Target Nodes After Connecting Trees II</v>
      </c>
      <c r="C2431" s="1">
        <v>368</v>
      </c>
      <c r="D2431" s="1">
        <v>44</v>
      </c>
      <c r="E2431" s="3">
        <f t="shared" si="18"/>
        <v>0.89320388349514568</v>
      </c>
      <c r="F2431" s="1" t="s">
        <v>300</v>
      </c>
      <c r="G2431" s="1" t="s">
        <v>28</v>
      </c>
      <c r="H2431" s="1">
        <v>69557</v>
      </c>
      <c r="I2431" s="1">
        <v>95065</v>
      </c>
      <c r="J2431" s="7">
        <v>0.73199999999999998</v>
      </c>
      <c r="K2431" s="1" t="s">
        <v>21</v>
      </c>
      <c r="L2431" s="1" t="s">
        <v>21</v>
      </c>
      <c r="M2431" s="1" t="s">
        <v>29</v>
      </c>
      <c r="N2431" s="1" t="s">
        <v>22</v>
      </c>
      <c r="O2431" s="1" t="str">
        <f t="shared" ca="1" si="19"/>
        <v>Please solve the LeetCode problem '3373. Maximize the Number of Target Nodes After Connecting Trees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32" spans="1:15" x14ac:dyDescent="0.25">
      <c r="A2432" s="1">
        <v>1119</v>
      </c>
      <c r="B2432" s="2" t="str">
        <f>HYPERLINK("https://leetcode.com/problems/remove-vowels-from-a-string/", "Remove Vowels from a String")</f>
        <v>Remove Vowels from a String</v>
      </c>
      <c r="C2432" s="1">
        <v>367</v>
      </c>
      <c r="D2432" s="1">
        <v>116</v>
      </c>
      <c r="E2432" s="3">
        <f t="shared" si="18"/>
        <v>0.75983436853002073</v>
      </c>
      <c r="F2432" s="1" t="s">
        <v>146</v>
      </c>
      <c r="G2432" s="1" t="s">
        <v>20</v>
      </c>
      <c r="H2432" s="1">
        <v>117325</v>
      </c>
      <c r="I2432" s="1">
        <v>128536</v>
      </c>
      <c r="J2432" s="7">
        <v>0.91300000000000003</v>
      </c>
      <c r="K2432" s="1" t="s">
        <v>29</v>
      </c>
      <c r="L2432" s="1" t="s">
        <v>21</v>
      </c>
      <c r="M2432" s="1" t="s">
        <v>29</v>
      </c>
      <c r="N2432" s="1" t="s">
        <v>22</v>
      </c>
      <c r="O2432" s="1" t="str">
        <f t="shared" ca="1" si="19"/>
        <v>Please solve the LeetCode problem '1119. Remove Vowels from a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33" spans="1:15" x14ac:dyDescent="0.25">
      <c r="A2433" s="1">
        <v>2670</v>
      </c>
      <c r="B2433" s="2" t="str">
        <f>HYPERLINK("https://leetcode.com/problems/find-the-distinct-difference-array/", "Find the Distinct Difference Array")</f>
        <v>Find the Distinct Difference Array</v>
      </c>
      <c r="C2433" s="1">
        <v>365</v>
      </c>
      <c r="D2433" s="1">
        <v>37</v>
      </c>
      <c r="E2433" s="3">
        <f t="shared" si="18"/>
        <v>0.90796019900497515</v>
      </c>
      <c r="F2433" s="1" t="s">
        <v>19</v>
      </c>
      <c r="G2433" s="1" t="s">
        <v>20</v>
      </c>
      <c r="H2433" s="1">
        <v>50134</v>
      </c>
      <c r="I2433" s="1">
        <v>65208</v>
      </c>
      <c r="J2433" s="7">
        <v>0.76900000000000002</v>
      </c>
      <c r="K2433" s="1" t="s">
        <v>21</v>
      </c>
      <c r="L2433" s="1" t="s">
        <v>29</v>
      </c>
      <c r="M2433" s="1" t="s">
        <v>29</v>
      </c>
      <c r="N2433" s="1" t="s">
        <v>22</v>
      </c>
      <c r="O2433" s="1" t="str">
        <f t="shared" ca="1" si="19"/>
        <v>Please solve the LeetCode problem '2670. Find the Distinct Difference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34" spans="1:15" x14ac:dyDescent="0.25">
      <c r="A2434" s="1">
        <v>2280</v>
      </c>
      <c r="B2434" s="2" t="str">
        <f>HYPERLINK("https://leetcode.com/problems/minimum-lines-to-represent-a-line-chart/", "Minimum Lines to Represent a Line Chart")</f>
        <v>Minimum Lines to Represent a Line Chart</v>
      </c>
      <c r="C2434" s="1">
        <v>364</v>
      </c>
      <c r="D2434" s="1">
        <v>534</v>
      </c>
      <c r="E2434" s="3">
        <f t="shared" si="18"/>
        <v>0.40534521158129178</v>
      </c>
      <c r="F2434" s="1" t="s">
        <v>1006</v>
      </c>
      <c r="G2434" s="1" t="s">
        <v>24</v>
      </c>
      <c r="H2434" s="1">
        <v>31499</v>
      </c>
      <c r="I2434" s="1">
        <v>117967</v>
      </c>
      <c r="J2434" s="7">
        <v>0.26700000000000002</v>
      </c>
      <c r="K2434" s="1" t="s">
        <v>21</v>
      </c>
      <c r="L2434" s="1" t="s">
        <v>29</v>
      </c>
      <c r="M2434" s="1" t="s">
        <v>29</v>
      </c>
      <c r="N2434" s="1" t="s">
        <v>22</v>
      </c>
      <c r="O2434" s="1" t="str">
        <f t="shared" ca="1" si="19"/>
        <v>Please solve the LeetCode problem '2280. Minimum Lines to Represent a Line Chart'.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35" spans="1:15" x14ac:dyDescent="0.25">
      <c r="A2435" s="1">
        <v>2828</v>
      </c>
      <c r="B2435" s="2" t="str">
        <f>HYPERLINK("https://leetcode.com/problems/check-if-a-string-is-an-acronym-of-words/", "Check if a String Is an Acronym of Words")</f>
        <v>Check if a String Is an Acronym of Words</v>
      </c>
      <c r="C2435" s="1">
        <v>364</v>
      </c>
      <c r="D2435" s="1">
        <v>12</v>
      </c>
      <c r="E2435" s="3">
        <f t="shared" si="18"/>
        <v>0.96808510638297873</v>
      </c>
      <c r="F2435" s="1" t="s">
        <v>369</v>
      </c>
      <c r="G2435" s="1" t="s">
        <v>20</v>
      </c>
      <c r="H2435" s="1">
        <v>124734</v>
      </c>
      <c r="I2435" s="1">
        <v>150546</v>
      </c>
      <c r="J2435" s="7">
        <v>0.82899999999999996</v>
      </c>
      <c r="K2435" s="1" t="s">
        <v>21</v>
      </c>
      <c r="L2435" s="1" t="s">
        <v>29</v>
      </c>
      <c r="M2435" s="1" t="s">
        <v>29</v>
      </c>
      <c r="N2435" s="1" t="s">
        <v>22</v>
      </c>
      <c r="O2435" s="1" t="str">
        <f t="shared" ca="1" si="19"/>
        <v>Please solve the LeetCode problem '2828. Check if a String Is an Acronym of Words'.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36" spans="1:15" x14ac:dyDescent="0.25">
      <c r="A2436" s="1">
        <v>2925</v>
      </c>
      <c r="B2436" s="2" t="str">
        <f>HYPERLINK("https://leetcode.com/problems/maximum-score-after-applying-operations-on-a-tree/", "Maximum Score After Applying Operations on a Tree")</f>
        <v>Maximum Score After Applying Operations on a Tree</v>
      </c>
      <c r="C2436" s="1">
        <v>364</v>
      </c>
      <c r="D2436" s="1">
        <v>76</v>
      </c>
      <c r="E2436" s="3">
        <f t="shared" si="18"/>
        <v>0.82727272727272727</v>
      </c>
      <c r="F2436" s="1" t="s">
        <v>1007</v>
      </c>
      <c r="G2436" s="1" t="s">
        <v>24</v>
      </c>
      <c r="H2436" s="1">
        <v>16629</v>
      </c>
      <c r="I2436" s="1">
        <v>35372</v>
      </c>
      <c r="J2436" s="7">
        <v>0.47</v>
      </c>
      <c r="K2436" s="1" t="s">
        <v>21</v>
      </c>
      <c r="L2436" s="1" t="s">
        <v>29</v>
      </c>
      <c r="M2436" s="1" t="s">
        <v>29</v>
      </c>
      <c r="N2436" s="1" t="s">
        <v>22</v>
      </c>
      <c r="O2436" s="1" t="str">
        <f t="shared" ca="1" si="19"/>
        <v>Please solve the LeetCode problem '2925. Maximum Score After Applying Operations on a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37" spans="1:15" x14ac:dyDescent="0.25">
      <c r="A2437" s="1">
        <v>379</v>
      </c>
      <c r="B2437" s="2" t="str">
        <f>HYPERLINK("https://leetcode.com/problems/design-phone-directory/", "Design Phone Directory")</f>
        <v>Design Phone Directory</v>
      </c>
      <c r="C2437" s="1">
        <v>363</v>
      </c>
      <c r="D2437" s="1">
        <v>480</v>
      </c>
      <c r="E2437" s="3">
        <f t="shared" si="18"/>
        <v>0.4306049822064057</v>
      </c>
      <c r="F2437" s="1" t="s">
        <v>1008</v>
      </c>
      <c r="G2437" s="1" t="s">
        <v>24</v>
      </c>
      <c r="H2437" s="1">
        <v>73878</v>
      </c>
      <c r="I2437" s="1">
        <v>140223</v>
      </c>
      <c r="J2437" s="7">
        <v>0.52700000000000002</v>
      </c>
      <c r="K2437" s="1" t="s">
        <v>29</v>
      </c>
      <c r="L2437" s="1" t="s">
        <v>21</v>
      </c>
      <c r="M2437" s="1" t="s">
        <v>29</v>
      </c>
      <c r="N2437" s="1" t="s">
        <v>22</v>
      </c>
      <c r="O2437" s="1" t="str">
        <f t="shared" ca="1" si="19"/>
        <v>Please solve the LeetCode problem '379. Design Phone Directory'.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38" spans="1:15" x14ac:dyDescent="0.25">
      <c r="A2438" s="1">
        <v>1180</v>
      </c>
      <c r="B2438" s="2" t="str">
        <f>HYPERLINK("https://leetcode.com/problems/count-substrings-with-only-one-distinct-letter/", "Count Substrings with Only One Distinct Letter")</f>
        <v>Count Substrings with Only One Distinct Letter</v>
      </c>
      <c r="C2438" s="1">
        <v>363</v>
      </c>
      <c r="D2438" s="1">
        <v>52</v>
      </c>
      <c r="E2438" s="3">
        <f t="shared" si="18"/>
        <v>0.87469879518072291</v>
      </c>
      <c r="F2438" s="1" t="s">
        <v>228</v>
      </c>
      <c r="G2438" s="1" t="s">
        <v>20</v>
      </c>
      <c r="H2438" s="1">
        <v>30949</v>
      </c>
      <c r="I2438" s="1">
        <v>38280</v>
      </c>
      <c r="J2438" s="7">
        <v>0.80800000000000005</v>
      </c>
      <c r="K2438" s="1" t="s">
        <v>29</v>
      </c>
      <c r="L2438" s="1" t="s">
        <v>21</v>
      </c>
      <c r="M2438" s="1" t="s">
        <v>29</v>
      </c>
      <c r="N2438" s="1" t="s">
        <v>22</v>
      </c>
      <c r="O2438" s="1" t="str">
        <f t="shared" ca="1" si="19"/>
        <v>Please solve the LeetCode problem '1180. Count Substrings with Only One Distinct Letter'.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39" spans="1:15" x14ac:dyDescent="0.25">
      <c r="A2439" s="1">
        <v>2631</v>
      </c>
      <c r="B2439" s="2" t="str">
        <f>HYPERLINK("https://leetcode.com/problems/group-by/", "Group By")</f>
        <v>Group By</v>
      </c>
      <c r="C2439" s="1">
        <v>363</v>
      </c>
      <c r="D2439" s="1">
        <v>21</v>
      </c>
      <c r="E2439" s="3">
        <f t="shared" si="18"/>
        <v>0.9453125</v>
      </c>
      <c r="G2439" s="1" t="s">
        <v>24</v>
      </c>
      <c r="H2439" s="1">
        <v>74127</v>
      </c>
      <c r="I2439" s="1">
        <v>91232</v>
      </c>
      <c r="J2439" s="7">
        <v>0.81299999999999994</v>
      </c>
      <c r="K2439" s="1" t="s">
        <v>21</v>
      </c>
      <c r="L2439" s="1" t="s">
        <v>21</v>
      </c>
      <c r="M2439" s="1" t="s">
        <v>29</v>
      </c>
      <c r="N2439" s="1" t="s">
        <v>555</v>
      </c>
      <c r="O2439" s="1" t="str">
        <f t="shared" ca="1" si="19"/>
        <v>Please solve the LeetCode problem '2631. Group By'.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40" spans="1:15" x14ac:dyDescent="0.25">
      <c r="A2440" s="1">
        <v>2848</v>
      </c>
      <c r="B2440" s="2" t="str">
        <f>HYPERLINK("https://leetcode.com/problems/points-that-intersect-with-cars/", "Points That Intersect With Cars")</f>
        <v>Points That Intersect With Cars</v>
      </c>
      <c r="C2440" s="1">
        <v>363</v>
      </c>
      <c r="D2440" s="1">
        <v>35</v>
      </c>
      <c r="E2440" s="3">
        <f t="shared" si="18"/>
        <v>0.9120603015075377</v>
      </c>
      <c r="F2440" s="1" t="s">
        <v>39</v>
      </c>
      <c r="G2440" s="1" t="s">
        <v>20</v>
      </c>
      <c r="H2440" s="1">
        <v>72738</v>
      </c>
      <c r="I2440" s="1">
        <v>99288</v>
      </c>
      <c r="J2440" s="7">
        <v>0.73299999999999998</v>
      </c>
      <c r="K2440" s="1" t="s">
        <v>21</v>
      </c>
      <c r="L2440" s="1" t="s">
        <v>29</v>
      </c>
      <c r="M2440" s="1" t="s">
        <v>29</v>
      </c>
      <c r="N2440" s="1" t="s">
        <v>22</v>
      </c>
      <c r="O2440" s="1" t="str">
        <f t="shared" ca="1" si="19"/>
        <v>Please solve the LeetCode problem '2848. Points That Intersect With Cars'.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41" spans="1:15" x14ac:dyDescent="0.25">
      <c r="A2441" s="1">
        <v>3343</v>
      </c>
      <c r="B2441" s="2" t="str">
        <f>HYPERLINK("https://leetcode.com/problems/count-number-of-balanced-permutations/", "Count Number of Balanced Permutations")</f>
        <v>Count Number of Balanced Permutations</v>
      </c>
      <c r="C2441" s="1">
        <v>363</v>
      </c>
      <c r="D2441" s="1">
        <v>79</v>
      </c>
      <c r="E2441" s="3">
        <f t="shared" si="18"/>
        <v>0.82126696832579182</v>
      </c>
      <c r="F2441" s="1" t="s">
        <v>734</v>
      </c>
      <c r="G2441" s="1" t="s">
        <v>28</v>
      </c>
      <c r="H2441" s="1">
        <v>59174</v>
      </c>
      <c r="I2441" s="1">
        <v>120329</v>
      </c>
      <c r="J2441" s="7">
        <v>0.49199999999999999</v>
      </c>
      <c r="K2441" s="1" t="s">
        <v>21</v>
      </c>
      <c r="L2441" s="1" t="s">
        <v>21</v>
      </c>
      <c r="M2441" s="1" t="s">
        <v>29</v>
      </c>
      <c r="N2441" s="1" t="s">
        <v>22</v>
      </c>
      <c r="O2441" s="1" t="str">
        <f t="shared" ca="1" si="19"/>
        <v>Please solve the LeetCode problem '3343. Count Number of Balanced Permutations'.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42" spans="1:15" x14ac:dyDescent="0.25">
      <c r="A2442" s="1">
        <v>3370</v>
      </c>
      <c r="B2442" s="2" t="str">
        <f>HYPERLINK("https://leetcode.com/problems/smallest-number-with-all-set-bits/", "Smallest Number With All Set Bits")</f>
        <v>Smallest Number With All Set Bits</v>
      </c>
      <c r="C2442" s="1">
        <v>362</v>
      </c>
      <c r="D2442" s="1">
        <v>15</v>
      </c>
      <c r="E2442" s="3">
        <f t="shared" si="18"/>
        <v>0.96021220159151188</v>
      </c>
      <c r="F2442" s="1" t="s">
        <v>227</v>
      </c>
      <c r="G2442" s="1" t="s">
        <v>20</v>
      </c>
      <c r="H2442" s="1">
        <v>168568</v>
      </c>
      <c r="I2442" s="1">
        <v>209823</v>
      </c>
      <c r="J2442" s="7">
        <v>0.80300000000000005</v>
      </c>
      <c r="K2442" s="1" t="s">
        <v>21</v>
      </c>
      <c r="L2442" s="1" t="s">
        <v>21</v>
      </c>
      <c r="M2442" s="1" t="s">
        <v>29</v>
      </c>
      <c r="N2442" s="1" t="s">
        <v>22</v>
      </c>
      <c r="O2442" s="1" t="str">
        <f t="shared" ca="1" si="19"/>
        <v>Please solve the LeetCode problem '3370. Smallest Number With All Set Bits'.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43" spans="1:15" x14ac:dyDescent="0.25">
      <c r="A2443" s="1">
        <v>2591</v>
      </c>
      <c r="B2443" s="2" t="str">
        <f>HYPERLINK("https://leetcode.com/problems/distribute-money-to-maximum-children/", "Distribute Money to Maximum Children")</f>
        <v>Distribute Money to Maximum Children</v>
      </c>
      <c r="C2443" s="1">
        <v>361</v>
      </c>
      <c r="D2443" s="1">
        <v>917</v>
      </c>
      <c r="E2443" s="3">
        <f t="shared" si="18"/>
        <v>0.28247261345852898</v>
      </c>
      <c r="F2443" s="1" t="s">
        <v>296</v>
      </c>
      <c r="G2443" s="1" t="s">
        <v>20</v>
      </c>
      <c r="H2443" s="1">
        <v>46845</v>
      </c>
      <c r="I2443" s="1">
        <v>230112</v>
      </c>
      <c r="J2443" s="7">
        <v>0.20399999999999999</v>
      </c>
      <c r="K2443" s="1" t="s">
        <v>21</v>
      </c>
      <c r="L2443" s="1" t="s">
        <v>29</v>
      </c>
      <c r="M2443" s="1" t="s">
        <v>29</v>
      </c>
      <c r="N2443" s="1" t="s">
        <v>22</v>
      </c>
      <c r="O2443" s="1" t="str">
        <f t="shared" ca="1" si="19"/>
        <v>Please solve the LeetCode problem '2591. Distribute Money to Maximum Children'.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44" spans="1:15" x14ac:dyDescent="0.25">
      <c r="A2444" s="1">
        <v>2512</v>
      </c>
      <c r="B2444" s="2" t="str">
        <f>HYPERLINK("https://leetcode.com/problems/reward-top-k-students/", "Reward Top K Students")</f>
        <v>Reward Top K Students</v>
      </c>
      <c r="C2444" s="1">
        <v>359</v>
      </c>
      <c r="D2444" s="1">
        <v>92</v>
      </c>
      <c r="E2444" s="3">
        <f t="shared" si="18"/>
        <v>0.7960088691796009</v>
      </c>
      <c r="F2444" s="1" t="s">
        <v>1009</v>
      </c>
      <c r="G2444" s="1" t="s">
        <v>24</v>
      </c>
      <c r="H2444" s="1">
        <v>28944</v>
      </c>
      <c r="I2444" s="1">
        <v>62022</v>
      </c>
      <c r="J2444" s="7">
        <v>0.46700000000000003</v>
      </c>
      <c r="K2444" s="1" t="s">
        <v>21</v>
      </c>
      <c r="L2444" s="1" t="s">
        <v>29</v>
      </c>
      <c r="M2444" s="1" t="s">
        <v>29</v>
      </c>
      <c r="N2444" s="1" t="s">
        <v>22</v>
      </c>
      <c r="O2444" s="1" t="str">
        <f t="shared" ca="1" si="19"/>
        <v>Please solve the LeetCode problem '2512. Reward Top K Students'.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45" spans="1:15" x14ac:dyDescent="0.25">
      <c r="A2445" s="1">
        <v>2640</v>
      </c>
      <c r="B2445" s="2" t="str">
        <f>HYPERLINK("https://leetcode.com/problems/find-the-score-of-all-prefixes-of-an-array/", "Find the Score of All Prefixes of an Array")</f>
        <v>Find the Score of All Prefixes of an Array</v>
      </c>
      <c r="C2445" s="1">
        <v>359</v>
      </c>
      <c r="D2445" s="1">
        <v>47</v>
      </c>
      <c r="E2445" s="3">
        <f t="shared" si="18"/>
        <v>0.88423645320197042</v>
      </c>
      <c r="F2445" s="1" t="s">
        <v>37</v>
      </c>
      <c r="G2445" s="1" t="s">
        <v>24</v>
      </c>
      <c r="H2445" s="1">
        <v>43063</v>
      </c>
      <c r="I2445" s="1">
        <v>59271</v>
      </c>
      <c r="J2445" s="7">
        <v>0.72699999999999998</v>
      </c>
      <c r="K2445" s="1" t="s">
        <v>21</v>
      </c>
      <c r="L2445" s="1" t="s">
        <v>29</v>
      </c>
      <c r="M2445" s="1" t="s">
        <v>29</v>
      </c>
      <c r="N2445" s="1" t="s">
        <v>22</v>
      </c>
      <c r="O2445" s="1" t="str">
        <f t="shared" ca="1" si="19"/>
        <v>Please solve the LeetCode problem '2640. Find the Score of All Prefixes of an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46" spans="1:15" x14ac:dyDescent="0.25">
      <c r="A2446" s="1">
        <v>2508</v>
      </c>
      <c r="B2446" s="2" t="str">
        <f>HYPERLINK("https://leetcode.com/problems/add-edges-to-make-degrees-of-all-nodes-even/", "Add Edges to Make Degrees of All Nodes Even")</f>
        <v>Add Edges to Make Degrees of All Nodes Even</v>
      </c>
      <c r="C2446" s="1">
        <v>357</v>
      </c>
      <c r="D2446" s="1">
        <v>60</v>
      </c>
      <c r="E2446" s="3">
        <f t="shared" si="18"/>
        <v>0.85611510791366907</v>
      </c>
      <c r="F2446" s="1" t="s">
        <v>933</v>
      </c>
      <c r="G2446" s="1" t="s">
        <v>28</v>
      </c>
      <c r="H2446" s="1">
        <v>20767</v>
      </c>
      <c r="I2446" s="1">
        <v>59546</v>
      </c>
      <c r="J2446" s="7">
        <v>0.34899999999999998</v>
      </c>
      <c r="K2446" s="1" t="s">
        <v>21</v>
      </c>
      <c r="L2446" s="1" t="s">
        <v>29</v>
      </c>
      <c r="M2446" s="1" t="s">
        <v>29</v>
      </c>
      <c r="N2446" s="1" t="s">
        <v>22</v>
      </c>
      <c r="O2446" s="1" t="str">
        <f t="shared" ca="1" si="19"/>
        <v>Please solve the LeetCode problem '2508. Add Edges to Make Degrees of All Nodes Even'.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47" spans="1:15" x14ac:dyDescent="0.25">
      <c r="A2447" s="1">
        <v>2842</v>
      </c>
      <c r="B2447" s="2" t="str">
        <f>HYPERLINK("https://leetcode.com/problems/count-k-subsequences-of-a-string-with-maximum-beauty/", "Count K-Subsequences of a String With Maximum Beauty")</f>
        <v>Count K-Subsequences of a String With Maximum Beauty</v>
      </c>
      <c r="C2447" s="1">
        <v>357</v>
      </c>
      <c r="D2447" s="1">
        <v>36</v>
      </c>
      <c r="E2447" s="3">
        <f t="shared" si="18"/>
        <v>0.90839694656488545</v>
      </c>
      <c r="F2447" s="1" t="s">
        <v>1385</v>
      </c>
      <c r="G2447" s="1" t="s">
        <v>28</v>
      </c>
      <c r="H2447" s="1">
        <v>14645</v>
      </c>
      <c r="I2447" s="1">
        <v>48608</v>
      </c>
      <c r="J2447" s="7">
        <v>0.30099999999999999</v>
      </c>
      <c r="K2447" s="1" t="s">
        <v>21</v>
      </c>
      <c r="L2447" s="1" t="s">
        <v>29</v>
      </c>
      <c r="M2447" s="1" t="s">
        <v>29</v>
      </c>
      <c r="N2447" s="1" t="s">
        <v>22</v>
      </c>
      <c r="O2447" s="1" t="str">
        <f t="shared" ca="1" si="19"/>
        <v>Please solve the LeetCode problem '2842. Count K-Subsequences of a String With Maximum Beauty'.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48" spans="1:15" x14ac:dyDescent="0.25">
      <c r="A2448" s="1">
        <v>2865</v>
      </c>
      <c r="B2448" s="2" t="str">
        <f>HYPERLINK("https://leetcode.com/problems/beautiful-towers-i/", "Beautiful Towers I")</f>
        <v>Beautiful Towers I</v>
      </c>
      <c r="C2448" s="1">
        <v>357</v>
      </c>
      <c r="D2448" s="1">
        <v>59</v>
      </c>
      <c r="E2448" s="3">
        <f t="shared" si="18"/>
        <v>0.85817307692307687</v>
      </c>
      <c r="F2448" s="1" t="s">
        <v>61</v>
      </c>
      <c r="G2448" s="1" t="s">
        <v>24</v>
      </c>
      <c r="H2448" s="1">
        <v>32843</v>
      </c>
      <c r="I2448" s="1">
        <v>74460</v>
      </c>
      <c r="J2448" s="7">
        <v>0.441</v>
      </c>
      <c r="K2448" s="1" t="s">
        <v>21</v>
      </c>
      <c r="L2448" s="1" t="s">
        <v>29</v>
      </c>
      <c r="M2448" s="1" t="s">
        <v>29</v>
      </c>
      <c r="N2448" s="1" t="s">
        <v>22</v>
      </c>
      <c r="O2448" s="1" t="str">
        <f t="shared" ca="1" si="19"/>
        <v>Please solve the LeetCode problem '2865. Beautiful Towers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49" spans="1:15" x14ac:dyDescent="0.25">
      <c r="A2449" s="1">
        <v>3027</v>
      </c>
      <c r="B2449" s="2" t="str">
        <f>HYPERLINK("https://leetcode.com/problems/find-the-number-of-ways-to-place-people-ii/", "Find the Number of Ways to Place People II")</f>
        <v>Find the Number of Ways to Place People II</v>
      </c>
      <c r="C2449" s="1">
        <v>357</v>
      </c>
      <c r="D2449" s="1">
        <v>62</v>
      </c>
      <c r="E2449" s="3">
        <f t="shared" si="18"/>
        <v>0.85202863961813846</v>
      </c>
      <c r="F2449" s="1" t="s">
        <v>935</v>
      </c>
      <c r="G2449" s="1" t="s">
        <v>28</v>
      </c>
      <c r="H2449" s="1">
        <v>87626</v>
      </c>
      <c r="I2449" s="1">
        <v>136006</v>
      </c>
      <c r="J2449" s="7">
        <v>0.64400000000000002</v>
      </c>
      <c r="K2449" s="1" t="s">
        <v>21</v>
      </c>
      <c r="L2449" s="1" t="s">
        <v>21</v>
      </c>
      <c r="M2449" s="1" t="s">
        <v>29</v>
      </c>
      <c r="N2449" s="1" t="s">
        <v>22</v>
      </c>
      <c r="O2449" s="1" t="str">
        <f t="shared" ca="1" si="19"/>
        <v>Please solve the LeetCode problem '3027. Find the Number of Ways to Place People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50" spans="1:15" x14ac:dyDescent="0.25">
      <c r="A2450" s="1">
        <v>2876</v>
      </c>
      <c r="B2450" s="2" t="str">
        <f>HYPERLINK("https://leetcode.com/problems/count-visited-nodes-in-a-directed-graph/", "Count Visited Nodes in a Directed Graph")</f>
        <v>Count Visited Nodes in a Directed Graph</v>
      </c>
      <c r="C2450" s="1">
        <v>356</v>
      </c>
      <c r="D2450" s="1">
        <v>7</v>
      </c>
      <c r="E2450" s="3">
        <f t="shared" si="18"/>
        <v>0.9807162534435262</v>
      </c>
      <c r="F2450" s="1" t="s">
        <v>1012</v>
      </c>
      <c r="G2450" s="1" t="s">
        <v>28</v>
      </c>
      <c r="H2450" s="1">
        <v>13628</v>
      </c>
      <c r="I2450" s="1">
        <v>45350</v>
      </c>
      <c r="J2450" s="7">
        <v>0.30099999999999999</v>
      </c>
      <c r="K2450" s="1" t="s">
        <v>21</v>
      </c>
      <c r="L2450" s="1" t="s">
        <v>29</v>
      </c>
      <c r="M2450" s="1" t="s">
        <v>29</v>
      </c>
      <c r="N2450" s="1" t="s">
        <v>22</v>
      </c>
      <c r="O2450" s="1" t="str">
        <f t="shared" ca="1" si="19"/>
        <v>Please solve the LeetCode problem '2876. Count Visited Nodes in a Directed Graph'.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51" spans="1:15" x14ac:dyDescent="0.25">
      <c r="A2451" s="1">
        <v>1815</v>
      </c>
      <c r="B2451" s="2" t="str">
        <f>HYPERLINK("https://leetcode.com/problems/maximum-number-of-groups-getting-fresh-donuts/", "Maximum Number of Groups Getting Fresh Donuts")</f>
        <v>Maximum Number of Groups Getting Fresh Donuts</v>
      </c>
      <c r="C2451" s="1">
        <v>355</v>
      </c>
      <c r="D2451" s="1">
        <v>33</v>
      </c>
      <c r="E2451" s="3">
        <f t="shared" si="18"/>
        <v>0.91494845360824739</v>
      </c>
      <c r="F2451" s="1" t="s">
        <v>1386</v>
      </c>
      <c r="G2451" s="1" t="s">
        <v>28</v>
      </c>
      <c r="H2451" s="1">
        <v>8190</v>
      </c>
      <c r="I2451" s="1">
        <v>19836</v>
      </c>
      <c r="J2451" s="7">
        <v>0.41299999999999998</v>
      </c>
      <c r="K2451" s="1" t="s">
        <v>21</v>
      </c>
      <c r="L2451" s="1" t="s">
        <v>29</v>
      </c>
      <c r="M2451" s="1" t="s">
        <v>29</v>
      </c>
      <c r="N2451" s="1" t="s">
        <v>22</v>
      </c>
      <c r="O2451" s="1" t="str">
        <f t="shared" ca="1" si="19"/>
        <v>Please solve the LeetCode problem '1815. Maximum Number of Groups Getting Fresh Donuts'.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52" spans="1:15" x14ac:dyDescent="0.25">
      <c r="A2452" s="1">
        <v>2801</v>
      </c>
      <c r="B2452" s="2" t="str">
        <f>HYPERLINK("https://leetcode.com/problems/count-stepping-numbers-in-range/", "Count Stepping Numbers in Range")</f>
        <v>Count Stepping Numbers in Range</v>
      </c>
      <c r="C2452" s="1">
        <v>355</v>
      </c>
      <c r="D2452" s="1">
        <v>11</v>
      </c>
      <c r="E2452" s="3">
        <f t="shared" si="18"/>
        <v>0.9699453551912568</v>
      </c>
      <c r="F2452" s="1" t="s">
        <v>82</v>
      </c>
      <c r="G2452" s="1" t="s">
        <v>28</v>
      </c>
      <c r="H2452" s="1">
        <v>10498</v>
      </c>
      <c r="I2452" s="1">
        <v>38146</v>
      </c>
      <c r="J2452" s="7">
        <v>0.27500000000000002</v>
      </c>
      <c r="K2452" s="1" t="s">
        <v>21</v>
      </c>
      <c r="L2452" s="1" t="s">
        <v>29</v>
      </c>
      <c r="M2452" s="1" t="s">
        <v>29</v>
      </c>
      <c r="N2452" s="1" t="s">
        <v>22</v>
      </c>
      <c r="O2452" s="1" t="str">
        <f t="shared" ca="1" si="19"/>
        <v>Please solve the LeetCode problem '2801. Count Stepping Numbers in Range'.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53" spans="1:15" x14ac:dyDescent="0.25">
      <c r="A2453" s="1">
        <v>1133</v>
      </c>
      <c r="B2453" s="2" t="str">
        <f>HYPERLINK("https://leetcode.com/problems/largest-unique-number/", "Largest Unique Number")</f>
        <v>Largest Unique Number</v>
      </c>
      <c r="C2453" s="1">
        <v>354</v>
      </c>
      <c r="D2453" s="1">
        <v>18</v>
      </c>
      <c r="E2453" s="3">
        <f t="shared" si="18"/>
        <v>0.95161290322580649</v>
      </c>
      <c r="F2453" s="1" t="s">
        <v>92</v>
      </c>
      <c r="G2453" s="1" t="s">
        <v>20</v>
      </c>
      <c r="H2453" s="1">
        <v>107454</v>
      </c>
      <c r="I2453" s="1">
        <v>150698</v>
      </c>
      <c r="J2453" s="7">
        <v>0.71299999999999997</v>
      </c>
      <c r="K2453" s="1" t="s">
        <v>29</v>
      </c>
      <c r="L2453" s="1" t="s">
        <v>21</v>
      </c>
      <c r="M2453" s="1" t="s">
        <v>29</v>
      </c>
      <c r="N2453" s="1" t="s">
        <v>22</v>
      </c>
      <c r="O2453" s="1" t="str">
        <f t="shared" ca="1" si="19"/>
        <v>Please solve the LeetCode problem '1133. Largest Unique Number'.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54" spans="1:15" x14ac:dyDescent="0.25">
      <c r="A2454" s="1">
        <v>1761</v>
      </c>
      <c r="B2454" s="2" t="str">
        <f>HYPERLINK("https://leetcode.com/problems/minimum-degree-of-a-connected-trio-in-a-graph/", "Minimum Degree of a Connected Trio in a Graph")</f>
        <v>Minimum Degree of a Connected Trio in a Graph</v>
      </c>
      <c r="C2454" s="1">
        <v>354</v>
      </c>
      <c r="D2454" s="1">
        <v>294</v>
      </c>
      <c r="E2454" s="3">
        <f t="shared" si="18"/>
        <v>0.54629629629629628</v>
      </c>
      <c r="F2454" s="1" t="s">
        <v>1014</v>
      </c>
      <c r="G2454" s="1" t="s">
        <v>28</v>
      </c>
      <c r="H2454" s="1">
        <v>28951</v>
      </c>
      <c r="I2454" s="1">
        <v>65647</v>
      </c>
      <c r="J2454" s="7">
        <v>0.441</v>
      </c>
      <c r="K2454" s="1" t="s">
        <v>21</v>
      </c>
      <c r="L2454" s="1" t="s">
        <v>29</v>
      </c>
      <c r="M2454" s="1" t="s">
        <v>29</v>
      </c>
      <c r="N2454" s="1" t="s">
        <v>22</v>
      </c>
      <c r="O2454" s="1" t="str">
        <f t="shared" ca="1" si="19"/>
        <v>Please solve the LeetCode problem '1761. Minimum Degree of a Connected Trio in a Graph'.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55" spans="1:15" x14ac:dyDescent="0.25">
      <c r="A2455" s="1">
        <v>2846</v>
      </c>
      <c r="B2455" s="2" t="str">
        <f>HYPERLINK("https://leetcode.com/problems/minimum-edge-weight-equilibrium-queries-in-a-tree/", "Minimum Edge Weight Equilibrium Queries in a Tree")</f>
        <v>Minimum Edge Weight Equilibrium Queries in a Tree</v>
      </c>
      <c r="C2455" s="1">
        <v>354</v>
      </c>
      <c r="D2455" s="1">
        <v>10</v>
      </c>
      <c r="E2455" s="3">
        <f t="shared" si="18"/>
        <v>0.97252747252747251</v>
      </c>
      <c r="F2455" s="1" t="s">
        <v>1011</v>
      </c>
      <c r="G2455" s="1" t="s">
        <v>28</v>
      </c>
      <c r="H2455" s="1">
        <v>9196</v>
      </c>
      <c r="I2455" s="1">
        <v>20412</v>
      </c>
      <c r="J2455" s="7">
        <v>0.45100000000000001</v>
      </c>
      <c r="K2455" s="1" t="s">
        <v>21</v>
      </c>
      <c r="L2455" s="1" t="s">
        <v>29</v>
      </c>
      <c r="M2455" s="1" t="s">
        <v>29</v>
      </c>
      <c r="N2455" s="1" t="s">
        <v>22</v>
      </c>
      <c r="O2455" s="1" t="str">
        <f t="shared" ca="1" si="19"/>
        <v>Please solve the LeetCode problem '2846. Minimum Edge Weight Equilibrium Queries in a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56" spans="1:15" x14ac:dyDescent="0.25">
      <c r="A2456" s="1">
        <v>1804</v>
      </c>
      <c r="B2456" s="2" t="str">
        <f>HYPERLINK("https://leetcode.com/problems/implement-trie-ii-prefix-tree/", "Implement Trie II (Prefix Tree)")</f>
        <v>Implement Trie II (Prefix Tree)</v>
      </c>
      <c r="C2456" s="1">
        <v>353</v>
      </c>
      <c r="D2456" s="1">
        <v>19</v>
      </c>
      <c r="E2456" s="3">
        <f t="shared" si="18"/>
        <v>0.94892473118279574</v>
      </c>
      <c r="F2456" s="1" t="s">
        <v>105</v>
      </c>
      <c r="G2456" s="1" t="s">
        <v>24</v>
      </c>
      <c r="H2456" s="1">
        <v>26306</v>
      </c>
      <c r="I2456" s="1">
        <v>41632</v>
      </c>
      <c r="J2456" s="7">
        <v>0.63200000000000001</v>
      </c>
      <c r="K2456" s="1" t="s">
        <v>29</v>
      </c>
      <c r="L2456" s="1" t="s">
        <v>21</v>
      </c>
      <c r="M2456" s="1" t="s">
        <v>29</v>
      </c>
      <c r="N2456" s="1" t="s">
        <v>22</v>
      </c>
      <c r="O2456" s="1" t="str">
        <f t="shared" ca="1" si="19"/>
        <v>Please solve the LeetCode problem '1804. Implement Trie II (Prefix Tree)'.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57" spans="1:15" x14ac:dyDescent="0.25">
      <c r="A2457" s="1">
        <v>1883</v>
      </c>
      <c r="B2457" s="2" t="str">
        <f>HYPERLINK("https://leetcode.com/problems/minimum-skips-to-arrive-at-meeting-on-time/", "Minimum Skips to Arrive at Meeting On Time")</f>
        <v>Minimum Skips to Arrive at Meeting On Time</v>
      </c>
      <c r="C2457" s="1">
        <v>353</v>
      </c>
      <c r="D2457" s="1">
        <v>54</v>
      </c>
      <c r="E2457" s="3">
        <f t="shared" si="18"/>
        <v>0.86732186732186733</v>
      </c>
      <c r="F2457" s="1" t="s">
        <v>30</v>
      </c>
      <c r="G2457" s="1" t="s">
        <v>28</v>
      </c>
      <c r="H2457" s="1">
        <v>8423</v>
      </c>
      <c r="I2457" s="1">
        <v>21795</v>
      </c>
      <c r="J2457" s="7">
        <v>0.38600000000000001</v>
      </c>
      <c r="K2457" s="1" t="s">
        <v>21</v>
      </c>
      <c r="L2457" s="1" t="s">
        <v>29</v>
      </c>
      <c r="M2457" s="1" t="s">
        <v>29</v>
      </c>
      <c r="N2457" s="1" t="s">
        <v>22</v>
      </c>
      <c r="O2457" s="1" t="str">
        <f t="shared" ca="1" si="19"/>
        <v>Please solve the LeetCode problem '1883. Minimum Skips to Arrive at Meeting On Time'.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58" spans="1:15" x14ac:dyDescent="0.25">
      <c r="A2458" s="1">
        <v>2723</v>
      </c>
      <c r="B2458" s="2" t="str">
        <f>HYPERLINK("https://leetcode.com/problems/add-two-promises/", "Add Two Promises")</f>
        <v>Add Two Promises</v>
      </c>
      <c r="C2458" s="1">
        <v>353</v>
      </c>
      <c r="D2458" s="1">
        <v>32</v>
      </c>
      <c r="E2458" s="3">
        <f t="shared" si="18"/>
        <v>0.91688311688311686</v>
      </c>
      <c r="G2458" s="1" t="s">
        <v>20</v>
      </c>
      <c r="H2458" s="1">
        <v>177268</v>
      </c>
      <c r="I2458" s="1">
        <v>193232</v>
      </c>
      <c r="J2458" s="7">
        <v>0.91700000000000004</v>
      </c>
      <c r="K2458" s="1" t="s">
        <v>21</v>
      </c>
      <c r="L2458" s="1" t="s">
        <v>21</v>
      </c>
      <c r="M2458" s="1" t="s">
        <v>29</v>
      </c>
      <c r="N2458" s="1" t="s">
        <v>555</v>
      </c>
      <c r="O2458" s="1" t="str">
        <f t="shared" ca="1" si="19"/>
        <v>Please solve the LeetCode problem '2723. Add Two Promises'.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59" spans="1:15" x14ac:dyDescent="0.25">
      <c r="A2459" s="1">
        <v>3577</v>
      </c>
      <c r="B2459" s="2" t="str">
        <f>HYPERLINK("https://leetcode.com/problems/count-the-number-of-computer-unlocking-permutations/", "Count the Number of Computer Unlocking Permutations")</f>
        <v>Count the Number of Computer Unlocking Permutations</v>
      </c>
      <c r="C2459" s="1">
        <v>353</v>
      </c>
      <c r="D2459" s="1">
        <v>127</v>
      </c>
      <c r="E2459" s="3">
        <f t="shared" si="18"/>
        <v>0.73541666666666672</v>
      </c>
      <c r="F2459" s="1" t="s">
        <v>1015</v>
      </c>
      <c r="G2459" s="1" t="s">
        <v>24</v>
      </c>
      <c r="H2459" s="1">
        <v>92478</v>
      </c>
      <c r="I2459" s="1">
        <v>156720</v>
      </c>
      <c r="J2459" s="7">
        <v>0.59</v>
      </c>
      <c r="K2459" s="1" t="s">
        <v>21</v>
      </c>
      <c r="L2459" s="1" t="s">
        <v>21</v>
      </c>
      <c r="M2459" s="1" t="s">
        <v>29</v>
      </c>
      <c r="N2459" s="1" t="s">
        <v>22</v>
      </c>
      <c r="O2459" s="1" t="str">
        <f t="shared" ca="1" si="19"/>
        <v>Please solve the LeetCode problem '3577. Count the Number of Computer Unlocking Permutations'.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60" spans="1:15" x14ac:dyDescent="0.25">
      <c r="A2460" s="1">
        <v>2227</v>
      </c>
      <c r="B2460" s="2" t="str">
        <f>HYPERLINK("https://leetcode.com/problems/encrypt-and-decrypt-strings/", "Encrypt and Decrypt Strings")</f>
        <v>Encrypt and Decrypt Strings</v>
      </c>
      <c r="C2460" s="1">
        <v>351</v>
      </c>
      <c r="D2460" s="1">
        <v>80</v>
      </c>
      <c r="E2460" s="3">
        <f t="shared" si="18"/>
        <v>0.81438515081206497</v>
      </c>
      <c r="F2460" s="1" t="s">
        <v>448</v>
      </c>
      <c r="G2460" s="1" t="s">
        <v>28</v>
      </c>
      <c r="H2460" s="1">
        <v>16775</v>
      </c>
      <c r="I2460" s="1">
        <v>44279</v>
      </c>
      <c r="J2460" s="7">
        <v>0.379</v>
      </c>
      <c r="K2460" s="1" t="s">
        <v>21</v>
      </c>
      <c r="L2460" s="1" t="s">
        <v>29</v>
      </c>
      <c r="M2460" s="1" t="s">
        <v>29</v>
      </c>
      <c r="N2460" s="1" t="s">
        <v>22</v>
      </c>
      <c r="O2460" s="1" t="str">
        <f t="shared" ca="1" si="19"/>
        <v>Please solve the LeetCode problem '2227. Encrypt and Decrypt Strings'.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61" spans="1:15" x14ac:dyDescent="0.25">
      <c r="A2461" s="1">
        <v>2047</v>
      </c>
      <c r="B2461" s="2" t="str">
        <f>HYPERLINK("https://leetcode.com/problems/number-of-valid-words-in-a-sentence/", "Number of Valid Words in a Sentence")</f>
        <v>Number of Valid Words in a Sentence</v>
      </c>
      <c r="C2461" s="1">
        <v>350</v>
      </c>
      <c r="D2461" s="1">
        <v>827</v>
      </c>
      <c r="E2461" s="3">
        <f t="shared" si="18"/>
        <v>0.29736618521665248</v>
      </c>
      <c r="F2461" s="1" t="s">
        <v>146</v>
      </c>
      <c r="G2461" s="1" t="s">
        <v>20</v>
      </c>
      <c r="H2461" s="1">
        <v>41360</v>
      </c>
      <c r="I2461" s="1">
        <v>133983</v>
      </c>
      <c r="J2461" s="7">
        <v>0.309</v>
      </c>
      <c r="K2461" s="1" t="s">
        <v>21</v>
      </c>
      <c r="L2461" s="1" t="s">
        <v>29</v>
      </c>
      <c r="M2461" s="1" t="s">
        <v>29</v>
      </c>
      <c r="N2461" s="1" t="s">
        <v>22</v>
      </c>
      <c r="O2461" s="1" t="str">
        <f t="shared" ca="1" si="19"/>
        <v>Please solve the LeetCode problem '2047. Number of Valid Words in a Sentence'.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62" spans="1:15" x14ac:dyDescent="0.25">
      <c r="A2462" s="1">
        <v>2502</v>
      </c>
      <c r="B2462" s="2" t="str">
        <f>HYPERLINK("https://leetcode.com/problems/design-memory-allocator/", "Design Memory Allocator")</f>
        <v>Design Memory Allocator</v>
      </c>
      <c r="C2462" s="1">
        <v>350</v>
      </c>
      <c r="D2462" s="1">
        <v>98</v>
      </c>
      <c r="E2462" s="3">
        <f t="shared" si="18"/>
        <v>0.78125</v>
      </c>
      <c r="F2462" s="1" t="s">
        <v>833</v>
      </c>
      <c r="G2462" s="1" t="s">
        <v>24</v>
      </c>
      <c r="H2462" s="1">
        <v>40262</v>
      </c>
      <c r="I2462" s="1">
        <v>81236</v>
      </c>
      <c r="J2462" s="7">
        <v>0.496</v>
      </c>
      <c r="K2462" s="1" t="s">
        <v>21</v>
      </c>
      <c r="L2462" s="1" t="s">
        <v>29</v>
      </c>
      <c r="M2462" s="1" t="s">
        <v>29</v>
      </c>
      <c r="N2462" s="1" t="s">
        <v>22</v>
      </c>
      <c r="O2462" s="1" t="str">
        <f t="shared" ca="1" si="19"/>
        <v>Please solve the LeetCode problem '2502. Design Memory Allocator'.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63" spans="1:15" x14ac:dyDescent="0.25">
      <c r="A2463" s="1">
        <v>2736</v>
      </c>
      <c r="B2463" s="2" t="str">
        <f>HYPERLINK("https://leetcode.com/problems/maximum-sum-queries/", "Maximum Sum Queries")</f>
        <v>Maximum Sum Queries</v>
      </c>
      <c r="C2463" s="1">
        <v>350</v>
      </c>
      <c r="D2463" s="1">
        <v>17</v>
      </c>
      <c r="E2463" s="3">
        <f t="shared" si="18"/>
        <v>0.9536784741144414</v>
      </c>
      <c r="F2463" s="1" t="s">
        <v>1017</v>
      </c>
      <c r="G2463" s="1" t="s">
        <v>28</v>
      </c>
      <c r="H2463" s="1">
        <v>7899</v>
      </c>
      <c r="I2463" s="1">
        <v>26634</v>
      </c>
      <c r="J2463" s="7">
        <v>0.29699999999999999</v>
      </c>
      <c r="K2463" s="1" t="s">
        <v>21</v>
      </c>
      <c r="L2463" s="1" t="s">
        <v>29</v>
      </c>
      <c r="M2463" s="1" t="s">
        <v>29</v>
      </c>
      <c r="N2463" s="1" t="s">
        <v>22</v>
      </c>
      <c r="O2463" s="1" t="str">
        <f t="shared" ca="1" si="19"/>
        <v>Please solve the LeetCode problem '2736. Maximum Sum Queries'.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64" spans="1:15" x14ac:dyDescent="0.25">
      <c r="A2464" s="1">
        <v>2919</v>
      </c>
      <c r="B2464" s="2" t="str">
        <f>HYPERLINK("https://leetcode.com/problems/minimum-increment-operations-to-make-array-beautiful/", "Minimum Increment Operations to Make Array Beautiful")</f>
        <v>Minimum Increment Operations to Make Array Beautiful</v>
      </c>
      <c r="C2464" s="1">
        <v>350</v>
      </c>
      <c r="D2464" s="1">
        <v>22</v>
      </c>
      <c r="E2464" s="3">
        <f t="shared" si="18"/>
        <v>0.94086021505376349</v>
      </c>
      <c r="F2464" s="1" t="s">
        <v>30</v>
      </c>
      <c r="G2464" s="1" t="s">
        <v>24</v>
      </c>
      <c r="H2464" s="1">
        <v>16887</v>
      </c>
      <c r="I2464" s="1">
        <v>48864</v>
      </c>
      <c r="J2464" s="7">
        <v>0.34599999999999997</v>
      </c>
      <c r="K2464" s="1" t="s">
        <v>21</v>
      </c>
      <c r="L2464" s="1" t="s">
        <v>29</v>
      </c>
      <c r="M2464" s="1" t="s">
        <v>29</v>
      </c>
      <c r="N2464" s="1" t="s">
        <v>22</v>
      </c>
      <c r="O2464" s="1" t="str">
        <f t="shared" ca="1" si="19"/>
        <v>Please solve the LeetCode problem '2919. Minimum Increment Operations to Make Array Beautiful'.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65" spans="1:15" x14ac:dyDescent="0.25">
      <c r="A2465" s="1">
        <v>3342</v>
      </c>
      <c r="B2465" s="2" t="str">
        <f>HYPERLINK("https://leetcode.com/problems/find-minimum-time-to-reach-last-room-ii/", "Find Minimum Time to Reach Last Room II")</f>
        <v>Find Minimum Time to Reach Last Room II</v>
      </c>
      <c r="C2465" s="1">
        <v>350</v>
      </c>
      <c r="D2465" s="1">
        <v>57</v>
      </c>
      <c r="E2465" s="3">
        <f t="shared" si="18"/>
        <v>0.85995085995085996</v>
      </c>
      <c r="F2465" s="1" t="s">
        <v>889</v>
      </c>
      <c r="G2465" s="1" t="s">
        <v>24</v>
      </c>
      <c r="H2465" s="1">
        <v>94790</v>
      </c>
      <c r="I2465" s="1">
        <v>139459</v>
      </c>
      <c r="J2465" s="7">
        <v>0.68</v>
      </c>
      <c r="K2465" s="1" t="s">
        <v>21</v>
      </c>
      <c r="L2465" s="1" t="s">
        <v>21</v>
      </c>
      <c r="M2465" s="1" t="s">
        <v>29</v>
      </c>
      <c r="N2465" s="1" t="s">
        <v>22</v>
      </c>
      <c r="O2465" s="1" t="str">
        <f t="shared" ca="1" si="19"/>
        <v>Please solve the LeetCode problem '3342. Find Minimum Time to Reach Last Room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66" spans="1:15" x14ac:dyDescent="0.25">
      <c r="A2466" s="1">
        <v>1764</v>
      </c>
      <c r="B2466" s="2" t="str">
        <f>HYPERLINK("https://leetcode.com/problems/form-array-by-concatenating-subarrays-of-another-array/", "Form Array by Concatenating Subarrays of Another Array")</f>
        <v>Form Array by Concatenating Subarrays of Another Array</v>
      </c>
      <c r="C2466" s="1">
        <v>349</v>
      </c>
      <c r="D2466" s="1">
        <v>44</v>
      </c>
      <c r="E2466" s="3">
        <f t="shared" si="18"/>
        <v>0.88804071246819338</v>
      </c>
      <c r="F2466" s="1" t="s">
        <v>1016</v>
      </c>
      <c r="G2466" s="1" t="s">
        <v>24</v>
      </c>
      <c r="H2466" s="1">
        <v>20171</v>
      </c>
      <c r="I2466" s="1">
        <v>36968</v>
      </c>
      <c r="J2466" s="7">
        <v>0.54600000000000004</v>
      </c>
      <c r="K2466" s="1" t="s">
        <v>21</v>
      </c>
      <c r="L2466" s="1" t="s">
        <v>29</v>
      </c>
      <c r="M2466" s="1" t="s">
        <v>29</v>
      </c>
      <c r="N2466" s="1" t="s">
        <v>22</v>
      </c>
      <c r="O2466" s="1" t="str">
        <f t="shared" ca="1" si="19"/>
        <v>Please solve the LeetCode problem '1764. Form Array by Concatenating Subarrays of Another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67" spans="1:15" x14ac:dyDescent="0.25">
      <c r="A2467" s="1">
        <v>2632</v>
      </c>
      <c r="B2467" s="2" t="str">
        <f>HYPERLINK("https://leetcode.com/problems/curry/", "Curry")</f>
        <v>Curry</v>
      </c>
      <c r="C2467" s="1">
        <v>349</v>
      </c>
      <c r="D2467" s="1">
        <v>35</v>
      </c>
      <c r="E2467" s="3">
        <f t="shared" si="18"/>
        <v>0.90885416666666663</v>
      </c>
      <c r="G2467" s="1" t="s">
        <v>24</v>
      </c>
      <c r="H2467" s="1">
        <v>18618</v>
      </c>
      <c r="I2467" s="1">
        <v>20815</v>
      </c>
      <c r="J2467" s="7">
        <v>0.89400000000000002</v>
      </c>
      <c r="K2467" s="1" t="s">
        <v>29</v>
      </c>
      <c r="L2467" s="1" t="s">
        <v>21</v>
      </c>
      <c r="M2467" s="1" t="s">
        <v>29</v>
      </c>
      <c r="N2467" s="1" t="s">
        <v>555</v>
      </c>
      <c r="O2467" s="1" t="str">
        <f t="shared" ca="1" si="19"/>
        <v>Please solve the LeetCode problem '2632. Curry'.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68" spans="1:15" x14ac:dyDescent="0.25">
      <c r="A2468" s="1">
        <v>2760</v>
      </c>
      <c r="B2468" s="2" t="str">
        <f>HYPERLINK("https://leetcode.com/problems/longest-even-odd-subarray-with-threshold/", "Longest Even Odd Subarray With Threshold")</f>
        <v>Longest Even Odd Subarray With Threshold</v>
      </c>
      <c r="C2468" s="1">
        <v>349</v>
      </c>
      <c r="D2468" s="1">
        <v>289</v>
      </c>
      <c r="E2468" s="3">
        <f t="shared" si="18"/>
        <v>0.54702194357366773</v>
      </c>
      <c r="F2468" s="1" t="s">
        <v>295</v>
      </c>
      <c r="G2468" s="1" t="s">
        <v>20</v>
      </c>
      <c r="H2468" s="1">
        <v>50190</v>
      </c>
      <c r="I2468" s="1">
        <v>160057</v>
      </c>
      <c r="J2468" s="7">
        <v>0.314</v>
      </c>
      <c r="K2468" s="1" t="s">
        <v>21</v>
      </c>
      <c r="L2468" s="1" t="s">
        <v>29</v>
      </c>
      <c r="M2468" s="1" t="s">
        <v>29</v>
      </c>
      <c r="N2468" s="1" t="s">
        <v>22</v>
      </c>
      <c r="O2468" s="1" t="str">
        <f t="shared" ca="1" si="19"/>
        <v>Please solve the LeetCode problem '2760. Longest Even Odd Subarray With Threshold'.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69" spans="1:15" x14ac:dyDescent="0.25">
      <c r="A2469" s="1">
        <v>1225</v>
      </c>
      <c r="B2469" s="2" t="str">
        <f>HYPERLINK("https://leetcode.com/problems/report-contiguous-dates/", "Report Contiguous Dates")</f>
        <v>Report Contiguous Dates</v>
      </c>
      <c r="C2469" s="1">
        <v>348</v>
      </c>
      <c r="D2469" s="1">
        <v>22</v>
      </c>
      <c r="E2469" s="3">
        <f t="shared" si="18"/>
        <v>0.94054054054054059</v>
      </c>
      <c r="F2469" s="1" t="s">
        <v>297</v>
      </c>
      <c r="G2469" s="1" t="s">
        <v>28</v>
      </c>
      <c r="H2469" s="1">
        <v>32089</v>
      </c>
      <c r="I2469" s="1">
        <v>56015</v>
      </c>
      <c r="J2469" s="7">
        <v>0.57299999999999995</v>
      </c>
      <c r="K2469" s="1" t="s">
        <v>29</v>
      </c>
      <c r="L2469" s="1" t="s">
        <v>29</v>
      </c>
      <c r="M2469" s="1" t="s">
        <v>29</v>
      </c>
      <c r="N2469" s="1" t="s">
        <v>297</v>
      </c>
      <c r="O2469" s="1" t="str">
        <f t="shared" ca="1" si="19"/>
        <v>Please solve the LeetCode problem '1225. Report Contiguous Dates'.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70" spans="1:15" x14ac:dyDescent="0.25">
      <c r="A2470" s="1">
        <v>2286</v>
      </c>
      <c r="B2470" s="2" t="str">
        <f>HYPERLINK("https://leetcode.com/problems/booking-concert-tickets-in-groups/", "Booking Concert Tickets in Groups")</f>
        <v>Booking Concert Tickets in Groups</v>
      </c>
      <c r="C2470" s="1">
        <v>348</v>
      </c>
      <c r="D2470" s="1">
        <v>60</v>
      </c>
      <c r="E2470" s="3">
        <f t="shared" si="18"/>
        <v>0.8529411764705882</v>
      </c>
      <c r="F2470" s="1" t="s">
        <v>1018</v>
      </c>
      <c r="G2470" s="1" t="s">
        <v>28</v>
      </c>
      <c r="H2470" s="1">
        <v>9344</v>
      </c>
      <c r="I2470" s="1">
        <v>49175</v>
      </c>
      <c r="J2470" s="7">
        <v>0.19</v>
      </c>
      <c r="K2470" s="1" t="s">
        <v>21</v>
      </c>
      <c r="L2470" s="1" t="s">
        <v>29</v>
      </c>
      <c r="M2470" s="1" t="s">
        <v>29</v>
      </c>
      <c r="N2470" s="1" t="s">
        <v>22</v>
      </c>
      <c r="O2470" s="1" t="str">
        <f t="shared" ca="1" si="19"/>
        <v>Please solve the LeetCode problem '2286. Booking Concert Tickets in Groups'.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71" spans="1:15" x14ac:dyDescent="0.25">
      <c r="A2471" s="1">
        <v>3652</v>
      </c>
      <c r="B2471" s="2" t="str">
        <f>HYPERLINK("https://leetcode.com/problems/best-time-to-buy-and-sell-stock-using-strategy/", "Best Time to Buy and Sell Stock using Strategy")</f>
        <v>Best Time to Buy and Sell Stock using Strategy</v>
      </c>
      <c r="C2471" s="1">
        <v>348</v>
      </c>
      <c r="D2471" s="1">
        <v>39</v>
      </c>
      <c r="E2471" s="3">
        <f t="shared" si="18"/>
        <v>0.89922480620155043</v>
      </c>
      <c r="F2471" s="1" t="s">
        <v>197</v>
      </c>
      <c r="G2471" s="1" t="s">
        <v>24</v>
      </c>
      <c r="H2471" s="1">
        <v>107010</v>
      </c>
      <c r="I2471" s="1">
        <v>179790</v>
      </c>
      <c r="J2471" s="7">
        <v>0.59499999999999997</v>
      </c>
      <c r="K2471" s="1" t="s">
        <v>21</v>
      </c>
      <c r="L2471" s="1" t="s">
        <v>21</v>
      </c>
      <c r="M2471" s="1" t="s">
        <v>29</v>
      </c>
      <c r="N2471" s="1" t="s">
        <v>22</v>
      </c>
      <c r="O2471" s="1" t="str">
        <f t="shared" ca="1" si="19"/>
        <v>Please solve the LeetCode problem '3652. Best Time to Buy and Sell Stock using Strategy'.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72" spans="1:15" x14ac:dyDescent="0.25">
      <c r="A2472" s="1">
        <v>2671</v>
      </c>
      <c r="B2472" s="2" t="str">
        <f>HYPERLINK("https://leetcode.com/problems/frequency-tracker/", "Frequency Tracker")</f>
        <v>Frequency Tracker</v>
      </c>
      <c r="C2472" s="1">
        <v>345</v>
      </c>
      <c r="D2472" s="1">
        <v>31</v>
      </c>
      <c r="E2472" s="3">
        <f t="shared" si="18"/>
        <v>0.91755319148936165</v>
      </c>
      <c r="F2472" s="1" t="s">
        <v>1020</v>
      </c>
      <c r="G2472" s="1" t="s">
        <v>24</v>
      </c>
      <c r="H2472" s="1">
        <v>27905</v>
      </c>
      <c r="I2472" s="1">
        <v>91074</v>
      </c>
      <c r="J2472" s="7">
        <v>0.30599999999999999</v>
      </c>
      <c r="K2472" s="1" t="s">
        <v>21</v>
      </c>
      <c r="L2472" s="1" t="s">
        <v>29</v>
      </c>
      <c r="M2472" s="1" t="s">
        <v>29</v>
      </c>
      <c r="N2472" s="1" t="s">
        <v>22</v>
      </c>
      <c r="O2472" s="1" t="str">
        <f t="shared" ca="1" si="19"/>
        <v>Please solve the LeetCode problem '2671. Frequency Tracker'.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73" spans="1:15" x14ac:dyDescent="0.25">
      <c r="A2473" s="1">
        <v>1564</v>
      </c>
      <c r="B2473" s="2" t="str">
        <f>HYPERLINK("https://leetcode.com/problems/put-boxes-into-the-warehouse-i/", "Put Boxes Into the Warehouse I")</f>
        <v>Put Boxes Into the Warehouse I</v>
      </c>
      <c r="C2473" s="1">
        <v>344</v>
      </c>
      <c r="D2473" s="1">
        <v>30</v>
      </c>
      <c r="E2473" s="3">
        <f t="shared" si="18"/>
        <v>0.9197860962566845</v>
      </c>
      <c r="F2473" s="1" t="s">
        <v>169</v>
      </c>
      <c r="G2473" s="1" t="s">
        <v>24</v>
      </c>
      <c r="H2473" s="1">
        <v>18827</v>
      </c>
      <c r="I2473" s="1">
        <v>27949</v>
      </c>
      <c r="J2473" s="7">
        <v>0.67400000000000004</v>
      </c>
      <c r="K2473" s="1" t="s">
        <v>29</v>
      </c>
      <c r="L2473" s="1" t="s">
        <v>21</v>
      </c>
      <c r="M2473" s="1" t="s">
        <v>29</v>
      </c>
      <c r="N2473" s="1" t="s">
        <v>22</v>
      </c>
      <c r="O2473" s="1" t="str">
        <f t="shared" ca="1" si="19"/>
        <v>Please solve the LeetCode problem '1564. Put Boxes Into the Warehouse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74" spans="1:15" x14ac:dyDescent="0.25">
      <c r="A2474" s="1">
        <v>2829</v>
      </c>
      <c r="B2474" s="2" t="str">
        <f>HYPERLINK("https://leetcode.com/problems/determine-the-minimum-sum-of-a-k-avoiding-array/", "Determine the Minimum Sum of a k-avoiding Array")</f>
        <v>Determine the Minimum Sum of a k-avoiding Array</v>
      </c>
      <c r="C2474" s="1">
        <v>344</v>
      </c>
      <c r="D2474" s="1">
        <v>13</v>
      </c>
      <c r="E2474" s="3">
        <f t="shared" si="18"/>
        <v>0.96358543417366949</v>
      </c>
      <c r="F2474" s="1" t="s">
        <v>296</v>
      </c>
      <c r="G2474" s="1" t="s">
        <v>24</v>
      </c>
      <c r="H2474" s="1">
        <v>39734</v>
      </c>
      <c r="I2474" s="1">
        <v>65729</v>
      </c>
      <c r="J2474" s="7">
        <v>0.60499999999999998</v>
      </c>
      <c r="K2474" s="1" t="s">
        <v>21</v>
      </c>
      <c r="L2474" s="1" t="s">
        <v>29</v>
      </c>
      <c r="M2474" s="1" t="s">
        <v>29</v>
      </c>
      <c r="N2474" s="1" t="s">
        <v>22</v>
      </c>
      <c r="O2474" s="1" t="str">
        <f t="shared" ca="1" si="19"/>
        <v>Please solve the LeetCode problem '2829. Determine the Minimum Sum of a k-avoiding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75" spans="1:15" x14ac:dyDescent="0.25">
      <c r="A2475" s="1">
        <v>613</v>
      </c>
      <c r="B2475" s="2" t="str">
        <f>HYPERLINK("https://leetcode.com/problems/shortest-distance-in-a-line/", "Shortest Distance in a Line")</f>
        <v>Shortest Distance in a Line</v>
      </c>
      <c r="C2475" s="1">
        <v>343</v>
      </c>
      <c r="D2475" s="1">
        <v>40</v>
      </c>
      <c r="E2475" s="3">
        <f t="shared" si="18"/>
        <v>0.8955613577023499</v>
      </c>
      <c r="F2475" s="1" t="s">
        <v>297</v>
      </c>
      <c r="G2475" s="1" t="s">
        <v>20</v>
      </c>
      <c r="H2475" s="1">
        <v>83848</v>
      </c>
      <c r="I2475" s="1">
        <v>105115</v>
      </c>
      <c r="J2475" s="7">
        <v>0.79800000000000004</v>
      </c>
      <c r="K2475" s="1" t="s">
        <v>29</v>
      </c>
      <c r="L2475" s="1" t="s">
        <v>21</v>
      </c>
      <c r="M2475" s="1" t="s">
        <v>29</v>
      </c>
      <c r="N2475" s="1" t="s">
        <v>297</v>
      </c>
      <c r="O2475" s="1" t="str">
        <f t="shared" ca="1" si="19"/>
        <v>Please solve the LeetCode problem '613. Shortest Distance in a Line'.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76" spans="1:15" x14ac:dyDescent="0.25">
      <c r="A2476" s="1">
        <v>1303</v>
      </c>
      <c r="B2476" s="2" t="str">
        <f>HYPERLINK("https://leetcode.com/problems/find-the-team-size/", "Find the Team Size")</f>
        <v>Find the Team Size</v>
      </c>
      <c r="C2476" s="1">
        <v>343</v>
      </c>
      <c r="D2476" s="1">
        <v>16</v>
      </c>
      <c r="E2476" s="3">
        <f t="shared" si="18"/>
        <v>0.95543175487465182</v>
      </c>
      <c r="F2476" s="1" t="s">
        <v>297</v>
      </c>
      <c r="G2476" s="1" t="s">
        <v>20</v>
      </c>
      <c r="H2476" s="1">
        <v>80498</v>
      </c>
      <c r="I2476" s="1">
        <v>89839</v>
      </c>
      <c r="J2476" s="7">
        <v>0.89600000000000002</v>
      </c>
      <c r="K2476" s="1" t="s">
        <v>29</v>
      </c>
      <c r="L2476" s="1" t="s">
        <v>29</v>
      </c>
      <c r="M2476" s="1" t="s">
        <v>29</v>
      </c>
      <c r="N2476" s="1" t="s">
        <v>297</v>
      </c>
      <c r="O2476" s="1" t="str">
        <f t="shared" ca="1" si="19"/>
        <v>Please solve the LeetCode problem '1303. Find the Team Size'.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77" spans="1:15" x14ac:dyDescent="0.25">
      <c r="A2477" s="1">
        <v>1276</v>
      </c>
      <c r="B2477" s="2" t="str">
        <f>HYPERLINK("https://leetcode.com/problems/number-of-burgers-with-no-waste-of-ingredients/", "Number of Burgers with No Waste of Ingredients")</f>
        <v>Number of Burgers with No Waste of Ingredients</v>
      </c>
      <c r="C2477" s="1">
        <v>342</v>
      </c>
      <c r="D2477" s="1">
        <v>238</v>
      </c>
      <c r="E2477" s="3">
        <f t="shared" si="18"/>
        <v>0.58965517241379306</v>
      </c>
      <c r="F2477" s="1" t="s">
        <v>84</v>
      </c>
      <c r="G2477" s="1" t="s">
        <v>24</v>
      </c>
      <c r="H2477" s="1">
        <v>31975</v>
      </c>
      <c r="I2477" s="1">
        <v>62985</v>
      </c>
      <c r="J2477" s="7">
        <v>0.50800000000000001</v>
      </c>
      <c r="K2477" s="1" t="s">
        <v>21</v>
      </c>
      <c r="L2477" s="1" t="s">
        <v>29</v>
      </c>
      <c r="M2477" s="1" t="s">
        <v>29</v>
      </c>
      <c r="N2477" s="1" t="s">
        <v>22</v>
      </c>
      <c r="O2477" s="1" t="str">
        <f t="shared" ca="1" si="19"/>
        <v>Please solve the LeetCode problem '1276. Number of Burgers with No Waste of Ingredients'.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78" spans="1:15" x14ac:dyDescent="0.25">
      <c r="A2478" s="1">
        <v>1782</v>
      </c>
      <c r="B2478" s="2" t="str">
        <f>HYPERLINK("https://leetcode.com/problems/count-pairs-of-nodes/", "Count Pairs Of Nodes")</f>
        <v>Count Pairs Of Nodes</v>
      </c>
      <c r="C2478" s="1">
        <v>342</v>
      </c>
      <c r="D2478" s="1">
        <v>172</v>
      </c>
      <c r="E2478" s="3">
        <f t="shared" si="18"/>
        <v>0.66536964980544744</v>
      </c>
      <c r="F2478" s="1" t="s">
        <v>1021</v>
      </c>
      <c r="G2478" s="1" t="s">
        <v>28</v>
      </c>
      <c r="H2478" s="1">
        <v>9422</v>
      </c>
      <c r="I2478" s="1">
        <v>22334</v>
      </c>
      <c r="J2478" s="7">
        <v>0.42199999999999999</v>
      </c>
      <c r="K2478" s="1" t="s">
        <v>21</v>
      </c>
      <c r="L2478" s="1" t="s">
        <v>29</v>
      </c>
      <c r="M2478" s="1" t="s">
        <v>29</v>
      </c>
      <c r="N2478" s="1" t="s">
        <v>22</v>
      </c>
      <c r="O2478" s="1" t="str">
        <f t="shared" ca="1" si="19"/>
        <v>Please solve the LeetCode problem '1782. Count Pairs Of Nodes'.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79" spans="1:15" x14ac:dyDescent="0.25">
      <c r="A2479" s="1">
        <v>2788</v>
      </c>
      <c r="B2479" s="2" t="str">
        <f>HYPERLINK("https://leetcode.com/problems/split-strings-by-separator/", "Split Strings by Separator")</f>
        <v>Split Strings by Separator</v>
      </c>
      <c r="C2479" s="1">
        <v>342</v>
      </c>
      <c r="D2479" s="1">
        <v>13</v>
      </c>
      <c r="E2479" s="3">
        <f t="shared" si="18"/>
        <v>0.96338028169014089</v>
      </c>
      <c r="F2479" s="1" t="s">
        <v>369</v>
      </c>
      <c r="G2479" s="1" t="s">
        <v>20</v>
      </c>
      <c r="H2479" s="1">
        <v>76570</v>
      </c>
      <c r="I2479" s="1">
        <v>100934</v>
      </c>
      <c r="J2479" s="7">
        <v>0.75900000000000001</v>
      </c>
      <c r="K2479" s="1" t="s">
        <v>21</v>
      </c>
      <c r="L2479" s="1" t="s">
        <v>29</v>
      </c>
      <c r="M2479" s="1" t="s">
        <v>29</v>
      </c>
      <c r="N2479" s="1" t="s">
        <v>22</v>
      </c>
      <c r="O2479" s="1" t="str">
        <f t="shared" ca="1" si="19"/>
        <v>Please solve the LeetCode problem '2788. Split Strings by Separator'.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80" spans="1:15" x14ac:dyDescent="0.25">
      <c r="A2480" s="1">
        <v>2343</v>
      </c>
      <c r="B2480" s="2" t="str">
        <f>HYPERLINK("https://leetcode.com/problems/query-kth-smallest-trimmed-number/", "Query Kth Smallest Trimmed Number")</f>
        <v>Query Kth Smallest Trimmed Number</v>
      </c>
      <c r="C2480" s="1">
        <v>341</v>
      </c>
      <c r="D2480" s="1">
        <v>443</v>
      </c>
      <c r="E2480" s="3">
        <f t="shared" si="18"/>
        <v>0.43494897959183676</v>
      </c>
      <c r="F2480" s="1" t="s">
        <v>1019</v>
      </c>
      <c r="G2480" s="1" t="s">
        <v>24</v>
      </c>
      <c r="H2480" s="1">
        <v>39118</v>
      </c>
      <c r="I2480" s="1">
        <v>83413</v>
      </c>
      <c r="J2480" s="7">
        <v>0.46899999999999997</v>
      </c>
      <c r="K2480" s="1" t="s">
        <v>21</v>
      </c>
      <c r="L2480" s="1" t="s">
        <v>29</v>
      </c>
      <c r="M2480" s="1" t="s">
        <v>29</v>
      </c>
      <c r="N2480" s="1" t="s">
        <v>22</v>
      </c>
      <c r="O2480" s="1" t="str">
        <f t="shared" ca="1" si="19"/>
        <v>Please solve the LeetCode problem '2343. Query Kth Smallest Trimmed Number'.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81" spans="1:15" x14ac:dyDescent="0.25">
      <c r="A2481" s="1">
        <v>1659</v>
      </c>
      <c r="B2481" s="2" t="str">
        <f>HYPERLINK("https://leetcode.com/problems/maximize-grid-happiness/", "Maximize Grid Happiness")</f>
        <v>Maximize Grid Happiness</v>
      </c>
      <c r="C2481" s="1">
        <v>340</v>
      </c>
      <c r="D2481" s="1">
        <v>55</v>
      </c>
      <c r="E2481" s="3">
        <f t="shared" si="18"/>
        <v>0.86075949367088611</v>
      </c>
      <c r="F2481" s="1" t="s">
        <v>1387</v>
      </c>
      <c r="G2481" s="1" t="s">
        <v>28</v>
      </c>
      <c r="H2481" s="1">
        <v>7251</v>
      </c>
      <c r="I2481" s="1">
        <v>17837</v>
      </c>
      <c r="J2481" s="7">
        <v>0.40699999999999997</v>
      </c>
      <c r="K2481" s="1" t="s">
        <v>21</v>
      </c>
      <c r="L2481" s="1" t="s">
        <v>29</v>
      </c>
      <c r="M2481" s="1" t="s">
        <v>29</v>
      </c>
      <c r="N2481" s="1" t="s">
        <v>22</v>
      </c>
      <c r="O2481" s="1" t="str">
        <f t="shared" ca="1" si="19"/>
        <v>Please solve the LeetCode problem '1659. Maximize Grid Happiness'.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82" spans="1:15" x14ac:dyDescent="0.25">
      <c r="A2482" s="1">
        <v>3007</v>
      </c>
      <c r="B2482" s="2" t="str">
        <f>HYPERLINK("https://leetcode.com/problems/maximum-number-that-sum-of-the-prices-is-less-than-or-equal-to-k/", "Maximum Number That Sum of the Prices Is Less Than or Equal to K")</f>
        <v>Maximum Number That Sum of the Prices Is Less Than or Equal to K</v>
      </c>
      <c r="C2482" s="1">
        <v>340</v>
      </c>
      <c r="D2482" s="1">
        <v>131</v>
      </c>
      <c r="E2482" s="3">
        <f t="shared" si="18"/>
        <v>0.72186836518046704</v>
      </c>
      <c r="F2482" s="1" t="s">
        <v>1023</v>
      </c>
      <c r="G2482" s="1" t="s">
        <v>24</v>
      </c>
      <c r="H2482" s="1">
        <v>12453</v>
      </c>
      <c r="I2482" s="1">
        <v>32604</v>
      </c>
      <c r="J2482" s="7">
        <v>0.38200000000000001</v>
      </c>
      <c r="K2482" s="1" t="s">
        <v>21</v>
      </c>
      <c r="L2482" s="1" t="s">
        <v>29</v>
      </c>
      <c r="M2482" s="1" t="s">
        <v>29</v>
      </c>
      <c r="N2482" s="1" t="s">
        <v>22</v>
      </c>
      <c r="O2482" s="1" t="str">
        <f t="shared" ca="1" si="19"/>
        <v>Please solve the LeetCode problem '3007. Maximum Number That Sum of the Prices Is Less Than or Equal to K'.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83" spans="1:15" x14ac:dyDescent="0.25">
      <c r="A2483" s="1">
        <v>569</v>
      </c>
      <c r="B2483" s="2" t="str">
        <f>HYPERLINK("https://leetcode.com/problems/median-employee-salary/", "Median Employee Salary")</f>
        <v>Median Employee Salary</v>
      </c>
      <c r="C2483" s="1">
        <v>339</v>
      </c>
      <c r="D2483" s="1">
        <v>156</v>
      </c>
      <c r="E2483" s="3">
        <f t="shared" si="18"/>
        <v>0.68484848484848482</v>
      </c>
      <c r="F2483" s="1" t="s">
        <v>297</v>
      </c>
      <c r="G2483" s="1" t="s">
        <v>28</v>
      </c>
      <c r="H2483" s="1">
        <v>49736</v>
      </c>
      <c r="I2483" s="1">
        <v>75406</v>
      </c>
      <c r="J2483" s="7">
        <v>0.66</v>
      </c>
      <c r="K2483" s="1" t="s">
        <v>29</v>
      </c>
      <c r="L2483" s="1" t="s">
        <v>21</v>
      </c>
      <c r="M2483" s="1" t="s">
        <v>29</v>
      </c>
      <c r="N2483" s="1" t="s">
        <v>297</v>
      </c>
      <c r="O2483" s="1" t="str">
        <f t="shared" ca="1" si="19"/>
        <v>Please solve the LeetCode problem '569. Median Employee Salary'.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84" spans="1:15" x14ac:dyDescent="0.25">
      <c r="A2484" s="1">
        <v>816</v>
      </c>
      <c r="B2484" s="2" t="str">
        <f>HYPERLINK("https://leetcode.com/problems/ambiguous-coordinates/", "Ambiguous Coordinates")</f>
        <v>Ambiguous Coordinates</v>
      </c>
      <c r="C2484" s="1">
        <v>338</v>
      </c>
      <c r="D2484" s="1">
        <v>668</v>
      </c>
      <c r="E2484" s="3">
        <f t="shared" si="18"/>
        <v>0.3359840954274354</v>
      </c>
      <c r="F2484" s="1" t="s">
        <v>876</v>
      </c>
      <c r="G2484" s="1" t="s">
        <v>24</v>
      </c>
      <c r="H2484" s="1">
        <v>34295</v>
      </c>
      <c r="I2484" s="1">
        <v>60862</v>
      </c>
      <c r="J2484" s="7">
        <v>0.56299999999999994</v>
      </c>
      <c r="K2484" s="1" t="s">
        <v>21</v>
      </c>
      <c r="L2484" s="1" t="s">
        <v>21</v>
      </c>
      <c r="M2484" s="1" t="s">
        <v>29</v>
      </c>
      <c r="N2484" s="1" t="s">
        <v>22</v>
      </c>
      <c r="O2484" s="1" t="str">
        <f t="shared" ca="1" si="19"/>
        <v>Please solve the LeetCode problem '816. Ambiguous Coordinates'.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85" spans="1:15" x14ac:dyDescent="0.25">
      <c r="A2485" s="1">
        <v>1362</v>
      </c>
      <c r="B2485" s="2" t="str">
        <f>HYPERLINK("https://leetcode.com/problems/closest-divisors/", "Closest Divisors")</f>
        <v>Closest Divisors</v>
      </c>
      <c r="C2485" s="1">
        <v>338</v>
      </c>
      <c r="D2485" s="1">
        <v>101</v>
      </c>
      <c r="E2485" s="3">
        <f t="shared" si="18"/>
        <v>0.76993166287015946</v>
      </c>
      <c r="F2485" s="1" t="s">
        <v>84</v>
      </c>
      <c r="G2485" s="1" t="s">
        <v>24</v>
      </c>
      <c r="H2485" s="1">
        <v>28071</v>
      </c>
      <c r="I2485" s="1">
        <v>45338</v>
      </c>
      <c r="J2485" s="7">
        <v>0.61899999999999999</v>
      </c>
      <c r="K2485" s="1" t="s">
        <v>21</v>
      </c>
      <c r="L2485" s="1" t="s">
        <v>29</v>
      </c>
      <c r="M2485" s="1" t="s">
        <v>29</v>
      </c>
      <c r="N2485" s="1" t="s">
        <v>22</v>
      </c>
      <c r="O2485" s="1" t="str">
        <f t="shared" ca="1" si="19"/>
        <v>Please solve the LeetCode problem '1362. Closest Divisors'.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86" spans="1:15" x14ac:dyDescent="0.25">
      <c r="A2486" s="1">
        <v>1316</v>
      </c>
      <c r="B2486" s="2" t="str">
        <f>HYPERLINK("https://leetcode.com/problems/distinct-echo-substrings/", "Distinct Echo Substrings")</f>
        <v>Distinct Echo Substrings</v>
      </c>
      <c r="C2486" s="1">
        <v>337</v>
      </c>
      <c r="D2486" s="1">
        <v>208</v>
      </c>
      <c r="E2486" s="3">
        <f t="shared" si="18"/>
        <v>0.61834862385321099</v>
      </c>
      <c r="F2486" s="1" t="s">
        <v>1028</v>
      </c>
      <c r="G2486" s="1" t="s">
        <v>28</v>
      </c>
      <c r="H2486" s="1">
        <v>21508</v>
      </c>
      <c r="I2486" s="1">
        <v>40756</v>
      </c>
      <c r="J2486" s="7">
        <v>0.52800000000000002</v>
      </c>
      <c r="K2486" s="1" t="s">
        <v>21</v>
      </c>
      <c r="L2486" s="1" t="s">
        <v>29</v>
      </c>
      <c r="M2486" s="1" t="s">
        <v>29</v>
      </c>
      <c r="N2486" s="1" t="s">
        <v>22</v>
      </c>
      <c r="O2486" s="1" t="str">
        <f t="shared" ca="1" si="19"/>
        <v>Please solve the LeetCode problem '1316. Distinct Echo Substrings'.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87" spans="1:15" x14ac:dyDescent="0.25">
      <c r="A2487" s="1">
        <v>1560</v>
      </c>
      <c r="B2487" s="2" t="str">
        <f>HYPERLINK("https://leetcode.com/problems/most-visited-sector-in-a-circular-track/", "Most Visited Sector in  a Circular Track")</f>
        <v>Most Visited Sector in  a Circular Track</v>
      </c>
      <c r="C2487" s="1">
        <v>337</v>
      </c>
      <c r="D2487" s="1">
        <v>670</v>
      </c>
      <c r="E2487" s="3">
        <f t="shared" si="18"/>
        <v>0.33465739821251239</v>
      </c>
      <c r="F2487" s="1" t="s">
        <v>306</v>
      </c>
      <c r="G2487" s="1" t="s">
        <v>20</v>
      </c>
      <c r="H2487" s="1">
        <v>38772</v>
      </c>
      <c r="I2487" s="1">
        <v>64915</v>
      </c>
      <c r="J2487" s="7">
        <v>0.59699999999999998</v>
      </c>
      <c r="K2487" s="1" t="s">
        <v>21</v>
      </c>
      <c r="L2487" s="1" t="s">
        <v>29</v>
      </c>
      <c r="M2487" s="1" t="s">
        <v>29</v>
      </c>
      <c r="N2487" s="1" t="s">
        <v>22</v>
      </c>
      <c r="O2487" s="1" t="str">
        <f t="shared" ca="1" si="19"/>
        <v>Please solve the LeetCode problem '1560. Most Visited Sector in  a Circular Track'.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88" spans="1:15" x14ac:dyDescent="0.25">
      <c r="A2488" s="1">
        <v>1604</v>
      </c>
      <c r="B2488" s="2" t="str">
        <f>HYPERLINK("https://leetcode.com/problems/alert-using-same-key-card-three-or-more-times-in-a-one-hour-period/", "Alert Using Same Key-Card Three or More Times in a One Hour Period")</f>
        <v>Alert Using Same Key-Card Three or More Times in a One Hour Period</v>
      </c>
      <c r="C2488" s="1">
        <v>337</v>
      </c>
      <c r="D2488" s="1">
        <v>439</v>
      </c>
      <c r="E2488" s="3">
        <f t="shared" si="18"/>
        <v>0.43427835051546393</v>
      </c>
      <c r="F2488" s="1" t="s">
        <v>49</v>
      </c>
      <c r="G2488" s="1" t="s">
        <v>24</v>
      </c>
      <c r="H2488" s="1">
        <v>47765</v>
      </c>
      <c r="I2488" s="1">
        <v>103601</v>
      </c>
      <c r="J2488" s="7">
        <v>0.46100000000000002</v>
      </c>
      <c r="K2488" s="1" t="s">
        <v>21</v>
      </c>
      <c r="L2488" s="1" t="s">
        <v>29</v>
      </c>
      <c r="M2488" s="1" t="s">
        <v>29</v>
      </c>
      <c r="N2488" s="1" t="s">
        <v>22</v>
      </c>
      <c r="O2488" s="1" t="str">
        <f t="shared" ca="1" si="19"/>
        <v>Please solve the LeetCode problem '1604. Alert Using Same Key-Card Three or More Times in a One Hour Period'.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89" spans="1:15" x14ac:dyDescent="0.25">
      <c r="A2489" s="1">
        <v>2526</v>
      </c>
      <c r="B2489" s="2" t="str">
        <f>HYPERLINK("https://leetcode.com/problems/find-consecutive-integers-from-a-data-stream/", "Find Consecutive Integers from a Data Stream")</f>
        <v>Find Consecutive Integers from a Data Stream</v>
      </c>
      <c r="C2489" s="1">
        <v>337</v>
      </c>
      <c r="D2489" s="1">
        <v>39</v>
      </c>
      <c r="E2489" s="3">
        <f t="shared" si="18"/>
        <v>0.89627659574468088</v>
      </c>
      <c r="F2489" s="1" t="s">
        <v>1025</v>
      </c>
      <c r="G2489" s="1" t="s">
        <v>24</v>
      </c>
      <c r="H2489" s="1">
        <v>35900</v>
      </c>
      <c r="I2489" s="1">
        <v>70935</v>
      </c>
      <c r="J2489" s="7">
        <v>0.50600000000000001</v>
      </c>
      <c r="K2489" s="1" t="s">
        <v>21</v>
      </c>
      <c r="L2489" s="1" t="s">
        <v>29</v>
      </c>
      <c r="M2489" s="1" t="s">
        <v>29</v>
      </c>
      <c r="N2489" s="1" t="s">
        <v>22</v>
      </c>
      <c r="O2489" s="1" t="str">
        <f t="shared" ca="1" si="19"/>
        <v>Please solve the LeetCode problem '2526. Find Consecutive Integers from a Data Stream'.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90" spans="1:15" x14ac:dyDescent="0.25">
      <c r="A2490" s="1">
        <v>2745</v>
      </c>
      <c r="B2490" s="2" t="str">
        <f>HYPERLINK("https://leetcode.com/problems/construct-the-longest-new-string/", "Construct the Longest New String")</f>
        <v>Construct the Longest New String</v>
      </c>
      <c r="C2490" s="1">
        <v>337</v>
      </c>
      <c r="D2490" s="1">
        <v>29</v>
      </c>
      <c r="E2490" s="3">
        <f t="shared" si="18"/>
        <v>0.92076502732240439</v>
      </c>
      <c r="F2490" s="1" t="s">
        <v>1026</v>
      </c>
      <c r="G2490" s="1" t="s">
        <v>24</v>
      </c>
      <c r="H2490" s="1">
        <v>26123</v>
      </c>
      <c r="I2490" s="1">
        <v>47854</v>
      </c>
      <c r="J2490" s="7">
        <v>0.54600000000000004</v>
      </c>
      <c r="K2490" s="1" t="s">
        <v>21</v>
      </c>
      <c r="L2490" s="1" t="s">
        <v>29</v>
      </c>
      <c r="M2490" s="1" t="s">
        <v>29</v>
      </c>
      <c r="N2490" s="1" t="s">
        <v>22</v>
      </c>
      <c r="O2490" s="1" t="str">
        <f t="shared" ca="1" si="19"/>
        <v>Please solve the LeetCode problem '2745. Construct the Longest New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91" spans="1:15" x14ac:dyDescent="0.25">
      <c r="A2491" s="1">
        <v>1073</v>
      </c>
      <c r="B2491" s="2" t="str">
        <f>HYPERLINK("https://leetcode.com/problems/adding-two-negabinary-numbers/", "Adding Two Negabinary Numbers")</f>
        <v>Adding Two Negabinary Numbers</v>
      </c>
      <c r="C2491" s="1">
        <v>336</v>
      </c>
      <c r="D2491" s="1">
        <v>129</v>
      </c>
      <c r="E2491" s="3">
        <f t="shared" si="18"/>
        <v>0.72258064516129028</v>
      </c>
      <c r="F2491" s="1" t="s">
        <v>115</v>
      </c>
      <c r="G2491" s="1" t="s">
        <v>24</v>
      </c>
      <c r="H2491" s="1">
        <v>21310</v>
      </c>
      <c r="I2491" s="1">
        <v>56834</v>
      </c>
      <c r="J2491" s="7">
        <v>0.375</v>
      </c>
      <c r="K2491" s="1" t="s">
        <v>21</v>
      </c>
      <c r="L2491" s="1" t="s">
        <v>29</v>
      </c>
      <c r="M2491" s="1" t="s">
        <v>29</v>
      </c>
      <c r="N2491" s="1" t="s">
        <v>22</v>
      </c>
      <c r="O2491" s="1" t="str">
        <f t="shared" ca="1" si="19"/>
        <v>Please solve the LeetCode problem '1073. Adding Two Negabinary Numbers'.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92" spans="1:15" x14ac:dyDescent="0.25">
      <c r="A2492" s="1">
        <v>2710</v>
      </c>
      <c r="B2492" s="2" t="str">
        <f>HYPERLINK("https://leetcode.com/problems/remove-trailing-zeros-from-a-string/", "Remove Trailing Zeros From a String")</f>
        <v>Remove Trailing Zeros From a String</v>
      </c>
      <c r="C2492" s="1">
        <v>336</v>
      </c>
      <c r="D2492" s="1">
        <v>13</v>
      </c>
      <c r="E2492" s="3">
        <f t="shared" si="18"/>
        <v>0.96275071633237819</v>
      </c>
      <c r="F2492" s="1" t="s">
        <v>146</v>
      </c>
      <c r="G2492" s="1" t="s">
        <v>20</v>
      </c>
      <c r="H2492" s="1">
        <v>91177</v>
      </c>
      <c r="I2492" s="1">
        <v>115007</v>
      </c>
      <c r="J2492" s="7">
        <v>0.79300000000000004</v>
      </c>
      <c r="K2492" s="1" t="s">
        <v>21</v>
      </c>
      <c r="L2492" s="1" t="s">
        <v>29</v>
      </c>
      <c r="M2492" s="1" t="s">
        <v>29</v>
      </c>
      <c r="N2492" s="1" t="s">
        <v>22</v>
      </c>
      <c r="O2492" s="1" t="str">
        <f t="shared" ca="1" si="19"/>
        <v>Please solve the LeetCode problem '2710. Remove Trailing Zeros From a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93" spans="1:15" x14ac:dyDescent="0.25">
      <c r="A2493" s="1">
        <v>1737</v>
      </c>
      <c r="B2493" s="2" t="str">
        <f>HYPERLINK("https://leetcode.com/problems/change-minimum-characters-to-satisfy-one-of-three-conditions/", "Change Minimum Characters to Satisfy One of Three Conditions")</f>
        <v>Change Minimum Characters to Satisfy One of Three Conditions</v>
      </c>
      <c r="C2493" s="1">
        <v>335</v>
      </c>
      <c r="D2493" s="1">
        <v>346</v>
      </c>
      <c r="E2493" s="3">
        <f t="shared" si="18"/>
        <v>0.49192364170337738</v>
      </c>
      <c r="F2493" s="1" t="s">
        <v>1029</v>
      </c>
      <c r="G2493" s="1" t="s">
        <v>24</v>
      </c>
      <c r="H2493" s="1">
        <v>16158</v>
      </c>
      <c r="I2493" s="1">
        <v>42935</v>
      </c>
      <c r="J2493" s="7">
        <v>0.376</v>
      </c>
      <c r="K2493" s="1" t="s">
        <v>21</v>
      </c>
      <c r="L2493" s="1" t="s">
        <v>29</v>
      </c>
      <c r="M2493" s="1" t="s">
        <v>29</v>
      </c>
      <c r="N2493" s="1" t="s">
        <v>22</v>
      </c>
      <c r="O2493" s="1" t="str">
        <f t="shared" ca="1" si="19"/>
        <v>Please solve the LeetCode problem '1737. Change Minimum Characters to Satisfy One of Three Conditions'.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94" spans="1:15" x14ac:dyDescent="0.25">
      <c r="A2494" s="1">
        <v>1801</v>
      </c>
      <c r="B2494" s="2" t="str">
        <f>HYPERLINK("https://leetcode.com/problems/number-of-orders-in-the-backlog/", "Number of Orders in the Backlog")</f>
        <v>Number of Orders in the Backlog</v>
      </c>
      <c r="C2494" s="1">
        <v>335</v>
      </c>
      <c r="D2494" s="1">
        <v>246</v>
      </c>
      <c r="E2494" s="3">
        <f t="shared" si="18"/>
        <v>0.576592082616179</v>
      </c>
      <c r="F2494" s="1" t="s">
        <v>751</v>
      </c>
      <c r="G2494" s="1" t="s">
        <v>24</v>
      </c>
      <c r="H2494" s="1">
        <v>34159</v>
      </c>
      <c r="I2494" s="1">
        <v>64070</v>
      </c>
      <c r="J2494" s="7">
        <v>0.53300000000000003</v>
      </c>
      <c r="K2494" s="1" t="s">
        <v>21</v>
      </c>
      <c r="L2494" s="1" t="s">
        <v>29</v>
      </c>
      <c r="M2494" s="1" t="s">
        <v>29</v>
      </c>
      <c r="N2494" s="1" t="s">
        <v>22</v>
      </c>
      <c r="O2494" s="1" t="str">
        <f t="shared" ca="1" si="19"/>
        <v>Please solve the LeetCode problem '1801. Number of Orders in the Backlog'.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95" spans="1:15" x14ac:dyDescent="0.25">
      <c r="A2495" s="1">
        <v>2600</v>
      </c>
      <c r="B2495" s="2" t="str">
        <f>HYPERLINK("https://leetcode.com/problems/k-items-with-the-maximum-sum/", "K Items With the Maximum Sum")</f>
        <v>K Items With the Maximum Sum</v>
      </c>
      <c r="C2495" s="1">
        <v>335</v>
      </c>
      <c r="D2495" s="1">
        <v>40</v>
      </c>
      <c r="E2495" s="3">
        <f t="shared" si="18"/>
        <v>0.89333333333333331</v>
      </c>
      <c r="F2495" s="1" t="s">
        <v>296</v>
      </c>
      <c r="G2495" s="1" t="s">
        <v>20</v>
      </c>
      <c r="H2495" s="1">
        <v>61586</v>
      </c>
      <c r="I2495" s="1">
        <v>102480</v>
      </c>
      <c r="J2495" s="7">
        <v>0.60099999999999998</v>
      </c>
      <c r="K2495" s="1" t="s">
        <v>21</v>
      </c>
      <c r="L2495" s="1" t="s">
        <v>29</v>
      </c>
      <c r="M2495" s="1" t="s">
        <v>29</v>
      </c>
      <c r="N2495" s="1" t="s">
        <v>22</v>
      </c>
      <c r="O2495" s="1" t="str">
        <f t="shared" ca="1" si="19"/>
        <v>Please solve the LeetCode problem '2600. K Items With the Maximum Sum'.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96" spans="1:15" x14ac:dyDescent="0.25">
      <c r="A2496" s="1">
        <v>2681</v>
      </c>
      <c r="B2496" s="2" t="str">
        <f>HYPERLINK("https://leetcode.com/problems/power-of-heroes/", "Power of Heroes")</f>
        <v>Power of Heroes</v>
      </c>
      <c r="C2496" s="1">
        <v>335</v>
      </c>
      <c r="D2496" s="1">
        <v>16</v>
      </c>
      <c r="E2496" s="3">
        <f t="shared" si="18"/>
        <v>0.95441595441595439</v>
      </c>
      <c r="F2496" s="1" t="s">
        <v>1030</v>
      </c>
      <c r="G2496" s="1" t="s">
        <v>28</v>
      </c>
      <c r="H2496" s="1">
        <v>12324</v>
      </c>
      <c r="I2496" s="1">
        <v>39762</v>
      </c>
      <c r="J2496" s="7">
        <v>0.31</v>
      </c>
      <c r="K2496" s="1" t="s">
        <v>21</v>
      </c>
      <c r="L2496" s="1" t="s">
        <v>29</v>
      </c>
      <c r="M2496" s="1" t="s">
        <v>29</v>
      </c>
      <c r="N2496" s="1" t="s">
        <v>22</v>
      </c>
      <c r="O2496" s="1" t="str">
        <f t="shared" ca="1" si="19"/>
        <v>Please solve the LeetCode problem '2681. Power of Heroes'.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97" spans="1:15" x14ac:dyDescent="0.25">
      <c r="A2497" s="1">
        <v>3461</v>
      </c>
      <c r="B2497" s="2" t="str">
        <f>HYPERLINK("https://leetcode.com/problems/check-if-digits-are-equal-in-string-after-operations-i/", "Check If Digits Are Equal in String After Operations I")</f>
        <v>Check If Digits Are Equal in String After Operations I</v>
      </c>
      <c r="C2497" s="1">
        <v>335</v>
      </c>
      <c r="D2497" s="1">
        <v>13</v>
      </c>
      <c r="E2497" s="3">
        <f t="shared" si="18"/>
        <v>0.96264367816091956</v>
      </c>
      <c r="F2497" s="1" t="s">
        <v>1024</v>
      </c>
      <c r="G2497" s="1" t="s">
        <v>20</v>
      </c>
      <c r="H2497" s="1">
        <v>168359</v>
      </c>
      <c r="I2497" s="1">
        <v>204155</v>
      </c>
      <c r="J2497" s="7">
        <v>0.82499999999999996</v>
      </c>
      <c r="K2497" s="1" t="s">
        <v>21</v>
      </c>
      <c r="L2497" s="1" t="s">
        <v>21</v>
      </c>
      <c r="M2497" s="1" t="s">
        <v>29</v>
      </c>
      <c r="N2497" s="1" t="s">
        <v>22</v>
      </c>
      <c r="O2497" s="1" t="str">
        <f t="shared" ca="1" si="19"/>
        <v>Please solve the LeetCode problem '3461. Check If Digits Are Equal in String After Operations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98" spans="1:15" x14ac:dyDescent="0.25">
      <c r="A2498" s="1">
        <v>1895</v>
      </c>
      <c r="B2498" s="2" t="str">
        <f>HYPERLINK("https://leetcode.com/problems/largest-magic-square/", "Largest Magic Square")</f>
        <v>Largest Magic Square</v>
      </c>
      <c r="C2498" s="1">
        <v>334</v>
      </c>
      <c r="D2498" s="1">
        <v>270</v>
      </c>
      <c r="E2498" s="3">
        <f t="shared" si="18"/>
        <v>0.55298013245033117</v>
      </c>
      <c r="F2498" s="1" t="s">
        <v>425</v>
      </c>
      <c r="G2498" s="1" t="s">
        <v>24</v>
      </c>
      <c r="H2498" s="1">
        <v>14937</v>
      </c>
      <c r="I2498" s="1">
        <v>27734</v>
      </c>
      <c r="J2498" s="7">
        <v>0.53900000000000003</v>
      </c>
      <c r="K2498" s="1" t="s">
        <v>21</v>
      </c>
      <c r="L2498" s="1" t="s">
        <v>21</v>
      </c>
      <c r="M2498" s="1" t="s">
        <v>29</v>
      </c>
      <c r="N2498" s="1" t="s">
        <v>22</v>
      </c>
      <c r="O2498" s="1" t="str">
        <f t="shared" ca="1" si="19"/>
        <v>Please solve the LeetCode problem '1895. Largest Magic Square'.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499" spans="1:15" x14ac:dyDescent="0.25">
      <c r="A2499" s="1">
        <v>2580</v>
      </c>
      <c r="B2499" s="2" t="str">
        <f>HYPERLINK("https://leetcode.com/problems/count-ways-to-group-overlapping-ranges/", "Count Ways to Group Overlapping Ranges")</f>
        <v>Count Ways to Group Overlapping Ranges</v>
      </c>
      <c r="C2499" s="1">
        <v>334</v>
      </c>
      <c r="D2499" s="1">
        <v>27</v>
      </c>
      <c r="E2499" s="3">
        <f t="shared" si="18"/>
        <v>0.92520775623268703</v>
      </c>
      <c r="F2499" s="1" t="s">
        <v>42</v>
      </c>
      <c r="G2499" s="1" t="s">
        <v>24</v>
      </c>
      <c r="H2499" s="1">
        <v>22634</v>
      </c>
      <c r="I2499" s="1">
        <v>58200</v>
      </c>
      <c r="J2499" s="7">
        <v>0.38900000000000001</v>
      </c>
      <c r="K2499" s="1" t="s">
        <v>21</v>
      </c>
      <c r="L2499" s="1" t="s">
        <v>29</v>
      </c>
      <c r="M2499" s="1" t="s">
        <v>29</v>
      </c>
      <c r="N2499" s="1" t="s">
        <v>22</v>
      </c>
      <c r="O2499" s="1" t="str">
        <f t="shared" ca="1" si="19"/>
        <v>Please solve the LeetCode problem '2580. Count Ways to Group Overlapping Ranges'.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00" spans="1:15" x14ac:dyDescent="0.25">
      <c r="A2500" s="1">
        <v>1063</v>
      </c>
      <c r="B2500" s="2" t="str">
        <f>HYPERLINK("https://leetcode.com/problems/number-of-valid-subarrays/", "Number of Valid Subarrays")</f>
        <v>Number of Valid Subarrays</v>
      </c>
      <c r="C2500" s="1">
        <v>333</v>
      </c>
      <c r="D2500" s="1">
        <v>18</v>
      </c>
      <c r="E2500" s="3">
        <f t="shared" si="18"/>
        <v>0.94871794871794868</v>
      </c>
      <c r="F2500" s="1" t="s">
        <v>61</v>
      </c>
      <c r="G2500" s="1" t="s">
        <v>28</v>
      </c>
      <c r="H2500" s="1">
        <v>18568</v>
      </c>
      <c r="I2500" s="1">
        <v>23273</v>
      </c>
      <c r="J2500" s="7">
        <v>0.79800000000000004</v>
      </c>
      <c r="K2500" s="1" t="s">
        <v>29</v>
      </c>
      <c r="L2500" s="1" t="s">
        <v>21</v>
      </c>
      <c r="M2500" s="1" t="s">
        <v>29</v>
      </c>
      <c r="N2500" s="1" t="s">
        <v>22</v>
      </c>
      <c r="O2500" s="1" t="str">
        <f t="shared" ca="1" si="19"/>
        <v>Please solve the LeetCode problem '1063. Number of Valid Subarrays'.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01" spans="1:15" x14ac:dyDescent="0.25">
      <c r="A2501" s="1">
        <v>1602</v>
      </c>
      <c r="B2501" s="2" t="str">
        <f>HYPERLINK("https://leetcode.com/problems/find-nearest-right-node-in-binary-tree/", "Find Nearest Right Node in Binary Tree")</f>
        <v>Find Nearest Right Node in Binary Tree</v>
      </c>
      <c r="C2501" s="1">
        <v>333</v>
      </c>
      <c r="D2501" s="1">
        <v>10</v>
      </c>
      <c r="E2501" s="3">
        <f t="shared" si="18"/>
        <v>0.9708454810495627</v>
      </c>
      <c r="F2501" s="1" t="s">
        <v>79</v>
      </c>
      <c r="G2501" s="1" t="s">
        <v>24</v>
      </c>
      <c r="H2501" s="1">
        <v>24877</v>
      </c>
      <c r="I2501" s="1">
        <v>33143</v>
      </c>
      <c r="J2501" s="7">
        <v>0.751</v>
      </c>
      <c r="K2501" s="1" t="s">
        <v>29</v>
      </c>
      <c r="L2501" s="1" t="s">
        <v>21</v>
      </c>
      <c r="M2501" s="1" t="s">
        <v>21</v>
      </c>
      <c r="N2501" s="1" t="s">
        <v>22</v>
      </c>
      <c r="O2501" s="1" t="str">
        <f t="shared" ca="1" si="19"/>
        <v>Please solve the LeetCode problem '1602. Find Nearest Right Node in Binary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02" spans="1:15" x14ac:dyDescent="0.25">
      <c r="A2502" s="1">
        <v>3606</v>
      </c>
      <c r="B2502" s="2" t="str">
        <f>HYPERLINK("https://leetcode.com/problems/coupon-code-validator/", "Coupon Code Validator")</f>
        <v>Coupon Code Validator</v>
      </c>
      <c r="C2502" s="1">
        <v>331</v>
      </c>
      <c r="D2502" s="1">
        <v>106</v>
      </c>
      <c r="E2502" s="3">
        <f t="shared" si="18"/>
        <v>0.75743707093821511</v>
      </c>
      <c r="F2502" s="1" t="s">
        <v>49</v>
      </c>
      <c r="G2502" s="1" t="s">
        <v>20</v>
      </c>
      <c r="H2502" s="1">
        <v>122576</v>
      </c>
      <c r="I2502" s="1">
        <v>188257</v>
      </c>
      <c r="J2502" s="7">
        <v>0.65100000000000002</v>
      </c>
      <c r="K2502" s="1" t="s">
        <v>21</v>
      </c>
      <c r="L2502" s="1" t="s">
        <v>21</v>
      </c>
      <c r="M2502" s="1" t="s">
        <v>29</v>
      </c>
      <c r="N2502" s="1" t="s">
        <v>22</v>
      </c>
      <c r="O2502" s="1" t="str">
        <f t="shared" ca="1" si="19"/>
        <v>Please solve the LeetCode problem '3606. Coupon Code Validator'.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03" spans="1:15" x14ac:dyDescent="0.25">
      <c r="A2503" s="1">
        <v>1056</v>
      </c>
      <c r="B2503" s="2" t="str">
        <f>HYPERLINK("https://leetcode.com/problems/confusing-number/", "Confusing Number")</f>
        <v>Confusing Number</v>
      </c>
      <c r="C2503" s="1">
        <v>330</v>
      </c>
      <c r="D2503" s="1">
        <v>184</v>
      </c>
      <c r="E2503" s="3">
        <f t="shared" si="18"/>
        <v>0.642023346303502</v>
      </c>
      <c r="F2503" s="1" t="s">
        <v>84</v>
      </c>
      <c r="G2503" s="1" t="s">
        <v>20</v>
      </c>
      <c r="H2503" s="1">
        <v>54599</v>
      </c>
      <c r="I2503" s="1">
        <v>110793</v>
      </c>
      <c r="J2503" s="7">
        <v>0.49299999999999999</v>
      </c>
      <c r="K2503" s="1" t="s">
        <v>29</v>
      </c>
      <c r="L2503" s="1" t="s">
        <v>21</v>
      </c>
      <c r="M2503" s="1" t="s">
        <v>21</v>
      </c>
      <c r="N2503" s="1" t="s">
        <v>22</v>
      </c>
      <c r="O2503" s="1" t="str">
        <f t="shared" ca="1" si="19"/>
        <v>Please solve the LeetCode problem '1056. Confusing Number'.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04" spans="1:15" x14ac:dyDescent="0.25">
      <c r="A2504" s="1">
        <v>1511</v>
      </c>
      <c r="B2504" s="2" t="str">
        <f>HYPERLINK("https://leetcode.com/problems/customer-order-frequency/", "Customer Order Frequency")</f>
        <v>Customer Order Frequency</v>
      </c>
      <c r="C2504" s="1">
        <v>330</v>
      </c>
      <c r="D2504" s="1">
        <v>59</v>
      </c>
      <c r="E2504" s="3">
        <f t="shared" si="18"/>
        <v>0.84832904884318761</v>
      </c>
      <c r="F2504" s="1" t="s">
        <v>297</v>
      </c>
      <c r="G2504" s="1" t="s">
        <v>20</v>
      </c>
      <c r="H2504" s="1">
        <v>52010</v>
      </c>
      <c r="I2504" s="1">
        <v>78135</v>
      </c>
      <c r="J2504" s="7">
        <v>0.66600000000000004</v>
      </c>
      <c r="K2504" s="1" t="s">
        <v>29</v>
      </c>
      <c r="L2504" s="1" t="s">
        <v>21</v>
      </c>
      <c r="M2504" s="1" t="s">
        <v>29</v>
      </c>
      <c r="N2504" s="1" t="s">
        <v>297</v>
      </c>
      <c r="O2504" s="1" t="str">
        <f t="shared" ca="1" si="19"/>
        <v>Please solve the LeetCode problem '1511. Customer Order Frequency'.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05" spans="1:15" x14ac:dyDescent="0.25">
      <c r="A2505" s="1">
        <v>3423</v>
      </c>
      <c r="B2505" s="2" t="str">
        <f>HYPERLINK("https://leetcode.com/problems/maximum-difference-between-adjacent-elements-in-a-circular-array/", "Maximum Difference Between Adjacent Elements in a Circular Array")</f>
        <v>Maximum Difference Between Adjacent Elements in a Circular Array</v>
      </c>
      <c r="C2505" s="1">
        <v>330</v>
      </c>
      <c r="D2505" s="1">
        <v>6</v>
      </c>
      <c r="E2505" s="3">
        <f t="shared" si="18"/>
        <v>0.9821428571428571</v>
      </c>
      <c r="F2505" s="1" t="s">
        <v>113</v>
      </c>
      <c r="G2505" s="1" t="s">
        <v>20</v>
      </c>
      <c r="H2505" s="1">
        <v>165818</v>
      </c>
      <c r="I2505" s="1">
        <v>218945</v>
      </c>
      <c r="J2505" s="7">
        <v>0.75700000000000001</v>
      </c>
      <c r="K2505" s="1" t="s">
        <v>21</v>
      </c>
      <c r="L2505" s="1" t="s">
        <v>21</v>
      </c>
      <c r="M2505" s="1" t="s">
        <v>29</v>
      </c>
      <c r="N2505" s="1" t="s">
        <v>22</v>
      </c>
      <c r="O2505" s="1" t="str">
        <f t="shared" ca="1" si="19"/>
        <v>Please solve the LeetCode problem '3423. Maximum Difference Between Adjacent Elements in a Circular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06" spans="1:15" x14ac:dyDescent="0.25">
      <c r="A2506" s="1">
        <v>1228</v>
      </c>
      <c r="B2506" s="2" t="str">
        <f>HYPERLINK("https://leetcode.com/problems/missing-number-in-arithmetic-progression/", "Missing Number In Arithmetic Progression")</f>
        <v>Missing Number In Arithmetic Progression</v>
      </c>
      <c r="C2506" s="1">
        <v>329</v>
      </c>
      <c r="D2506" s="1">
        <v>45</v>
      </c>
      <c r="E2506" s="3">
        <f t="shared" si="18"/>
        <v>0.8796791443850267</v>
      </c>
      <c r="F2506" s="1" t="s">
        <v>115</v>
      </c>
      <c r="G2506" s="1" t="s">
        <v>20</v>
      </c>
      <c r="H2506" s="1">
        <v>31217</v>
      </c>
      <c r="I2506" s="1">
        <v>59818</v>
      </c>
      <c r="J2506" s="7">
        <v>0.52200000000000002</v>
      </c>
      <c r="K2506" s="1" t="s">
        <v>29</v>
      </c>
      <c r="L2506" s="1" t="s">
        <v>21</v>
      </c>
      <c r="M2506" s="1" t="s">
        <v>21</v>
      </c>
      <c r="N2506" s="1" t="s">
        <v>22</v>
      </c>
      <c r="O2506" s="1" t="str">
        <f t="shared" ca="1" si="19"/>
        <v>Please solve the LeetCode problem '1228. Missing Number In Arithmetic Progression'.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07" spans="1:15" x14ac:dyDescent="0.25">
      <c r="A2507" s="1">
        <v>964</v>
      </c>
      <c r="B2507" s="2" t="str">
        <f>HYPERLINK("https://leetcode.com/problems/least-operators-to-express-number/", "Least Operators to Express Number")</f>
        <v>Least Operators to Express Number</v>
      </c>
      <c r="C2507" s="1">
        <v>328</v>
      </c>
      <c r="D2507" s="1">
        <v>70</v>
      </c>
      <c r="E2507" s="3">
        <f t="shared" si="18"/>
        <v>0.82412060301507539</v>
      </c>
      <c r="F2507" s="1" t="s">
        <v>43</v>
      </c>
      <c r="G2507" s="1" t="s">
        <v>28</v>
      </c>
      <c r="H2507" s="1">
        <v>12327</v>
      </c>
      <c r="I2507" s="1">
        <v>25356</v>
      </c>
      <c r="J2507" s="7">
        <v>0.48599999999999999</v>
      </c>
      <c r="K2507" s="1" t="s">
        <v>21</v>
      </c>
      <c r="L2507" s="1" t="s">
        <v>21</v>
      </c>
      <c r="M2507" s="1" t="s">
        <v>29</v>
      </c>
      <c r="N2507" s="1" t="s">
        <v>22</v>
      </c>
      <c r="O2507" s="1" t="str">
        <f t="shared" ca="1" si="19"/>
        <v>Please solve the LeetCode problem '964. Least Operators to Express Number'.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08" spans="1:15" x14ac:dyDescent="0.25">
      <c r="A2508" s="1">
        <v>1756</v>
      </c>
      <c r="B2508" s="2" t="str">
        <f>HYPERLINK("https://leetcode.com/problems/design-most-recently-used-queue/", "Design Most Recently Used Queue")</f>
        <v>Design Most Recently Used Queue</v>
      </c>
      <c r="C2508" s="1">
        <v>327</v>
      </c>
      <c r="D2508" s="1">
        <v>27</v>
      </c>
      <c r="E2508" s="3">
        <f t="shared" si="18"/>
        <v>0.92372881355932202</v>
      </c>
      <c r="F2508" s="1" t="s">
        <v>1031</v>
      </c>
      <c r="G2508" s="1" t="s">
        <v>24</v>
      </c>
      <c r="H2508" s="1">
        <v>25163</v>
      </c>
      <c r="I2508" s="1">
        <v>32376</v>
      </c>
      <c r="J2508" s="7">
        <v>0.77700000000000002</v>
      </c>
      <c r="K2508" s="1" t="s">
        <v>29</v>
      </c>
      <c r="L2508" s="1" t="s">
        <v>21</v>
      </c>
      <c r="M2508" s="1" t="s">
        <v>29</v>
      </c>
      <c r="N2508" s="1" t="s">
        <v>22</v>
      </c>
      <c r="O2508" s="1" t="str">
        <f t="shared" ca="1" si="19"/>
        <v>Please solve the LeetCode problem '1756. Design Most Recently Used Queue'.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09" spans="1:15" x14ac:dyDescent="0.25">
      <c r="A2509" s="1">
        <v>2018</v>
      </c>
      <c r="B2509" s="2" t="str">
        <f>HYPERLINK("https://leetcode.com/problems/check-if-word-can-be-placed-in-crossword/", "Check if Word Can Be Placed In Crossword")</f>
        <v>Check if Word Can Be Placed In Crossword</v>
      </c>
      <c r="C2509" s="1">
        <v>327</v>
      </c>
      <c r="D2509" s="1">
        <v>311</v>
      </c>
      <c r="E2509" s="3">
        <f t="shared" si="18"/>
        <v>0.51253918495297801</v>
      </c>
      <c r="F2509" s="1" t="s">
        <v>982</v>
      </c>
      <c r="G2509" s="1" t="s">
        <v>24</v>
      </c>
      <c r="H2509" s="1">
        <v>27998</v>
      </c>
      <c r="I2509" s="1">
        <v>55369</v>
      </c>
      <c r="J2509" s="7">
        <v>0.50600000000000001</v>
      </c>
      <c r="K2509" s="1" t="s">
        <v>21</v>
      </c>
      <c r="L2509" s="1" t="s">
        <v>29</v>
      </c>
      <c r="M2509" s="1" t="s">
        <v>29</v>
      </c>
      <c r="N2509" s="1" t="s">
        <v>22</v>
      </c>
      <c r="O2509" s="1" t="str">
        <f t="shared" ca="1" si="19"/>
        <v>Please solve the LeetCode problem '2018. Check if Word Can Be Placed In Crossword'.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10" spans="1:15" x14ac:dyDescent="0.25">
      <c r="A2510" s="1">
        <v>2214</v>
      </c>
      <c r="B2510" s="2" t="str">
        <f>HYPERLINK("https://leetcode.com/problems/minimum-health-to-beat-game/", "Minimum Health to Beat Game")</f>
        <v>Minimum Health to Beat Game</v>
      </c>
      <c r="C2510" s="1">
        <v>327</v>
      </c>
      <c r="D2510" s="1">
        <v>239</v>
      </c>
      <c r="E2510" s="3">
        <f t="shared" si="18"/>
        <v>0.57773851590106007</v>
      </c>
      <c r="F2510" s="1" t="s">
        <v>96</v>
      </c>
      <c r="G2510" s="1" t="s">
        <v>24</v>
      </c>
      <c r="H2510" s="1">
        <v>40450</v>
      </c>
      <c r="I2510" s="1">
        <v>68771</v>
      </c>
      <c r="J2510" s="7">
        <v>0.58799999999999997</v>
      </c>
      <c r="K2510" s="1" t="s">
        <v>29</v>
      </c>
      <c r="L2510" s="1" t="s">
        <v>21</v>
      </c>
      <c r="M2510" s="1" t="s">
        <v>29</v>
      </c>
      <c r="N2510" s="1" t="s">
        <v>22</v>
      </c>
      <c r="O2510" s="1" t="str">
        <f t="shared" ca="1" si="19"/>
        <v>Please solve the LeetCode problem '2214. Minimum Health to Beat Game'.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11" spans="1:15" x14ac:dyDescent="0.25">
      <c r="A2511" s="1">
        <v>1212</v>
      </c>
      <c r="B2511" s="2" t="str">
        <f>HYPERLINK("https://leetcode.com/problems/team-scores-in-football-tournament/", "Team Scores in Football Tournament")</f>
        <v>Team Scores in Football Tournament</v>
      </c>
      <c r="C2511" s="1">
        <v>326</v>
      </c>
      <c r="D2511" s="1">
        <v>26</v>
      </c>
      <c r="E2511" s="3">
        <f t="shared" si="18"/>
        <v>0.92613636363636365</v>
      </c>
      <c r="F2511" s="1" t="s">
        <v>297</v>
      </c>
      <c r="G2511" s="1" t="s">
        <v>24</v>
      </c>
      <c r="H2511" s="1">
        <v>50917</v>
      </c>
      <c r="I2511" s="1">
        <v>91116</v>
      </c>
      <c r="J2511" s="7">
        <v>0.55900000000000005</v>
      </c>
      <c r="K2511" s="1" t="s">
        <v>29</v>
      </c>
      <c r="L2511" s="1" t="s">
        <v>29</v>
      </c>
      <c r="M2511" s="1" t="s">
        <v>29</v>
      </c>
      <c r="N2511" s="1" t="s">
        <v>297</v>
      </c>
      <c r="O2511" s="1" t="str">
        <f t="shared" ca="1" si="19"/>
        <v>Please solve the LeetCode problem '1212. Team Scores in Football Tournament'.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12" spans="1:15" x14ac:dyDescent="0.25">
      <c r="A2512" s="1">
        <v>1806</v>
      </c>
      <c r="B2512" s="2" t="str">
        <f>HYPERLINK("https://leetcode.com/problems/minimum-number-of-operations-to-reinitialize-a-permutation/", "Minimum Number of Operations to Reinitialize a Permutation")</f>
        <v>Minimum Number of Operations to Reinitialize a Permutation</v>
      </c>
      <c r="C2512" s="1">
        <v>326</v>
      </c>
      <c r="D2512" s="1">
        <v>176</v>
      </c>
      <c r="E2512" s="3">
        <f t="shared" si="18"/>
        <v>0.64940239043824699</v>
      </c>
      <c r="F2512" s="1" t="s">
        <v>629</v>
      </c>
      <c r="G2512" s="1" t="s">
        <v>24</v>
      </c>
      <c r="H2512" s="1">
        <v>22643</v>
      </c>
      <c r="I2512" s="1">
        <v>31180</v>
      </c>
      <c r="J2512" s="7">
        <v>0.72599999999999998</v>
      </c>
      <c r="K2512" s="1" t="s">
        <v>21</v>
      </c>
      <c r="L2512" s="1" t="s">
        <v>29</v>
      </c>
      <c r="M2512" s="1" t="s">
        <v>29</v>
      </c>
      <c r="N2512" s="1" t="s">
        <v>22</v>
      </c>
      <c r="O2512" s="1" t="str">
        <f t="shared" ca="1" si="19"/>
        <v>Please solve the LeetCode problem '1806. Minimum Number of Operations to Reinitialize a Permutation'.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13" spans="1:15" x14ac:dyDescent="0.25">
      <c r="A2513" s="1">
        <v>2060</v>
      </c>
      <c r="B2513" s="2" t="str">
        <f>HYPERLINK("https://leetcode.com/problems/check-if-an-original-string-exists-given-two-encoded-strings/", "Check if an Original String Exists Given Two Encoded Strings")</f>
        <v>Check if an Original String Exists Given Two Encoded Strings</v>
      </c>
      <c r="C2513" s="1">
        <v>326</v>
      </c>
      <c r="D2513" s="1">
        <v>161</v>
      </c>
      <c r="E2513" s="3">
        <f t="shared" si="18"/>
        <v>0.66940451745379881</v>
      </c>
      <c r="F2513" s="1" t="s">
        <v>82</v>
      </c>
      <c r="G2513" s="1" t="s">
        <v>28</v>
      </c>
      <c r="H2513" s="1">
        <v>19570</v>
      </c>
      <c r="I2513" s="1">
        <v>44980</v>
      </c>
      <c r="J2513" s="7">
        <v>0.435</v>
      </c>
      <c r="K2513" s="1" t="s">
        <v>21</v>
      </c>
      <c r="L2513" s="1" t="s">
        <v>29</v>
      </c>
      <c r="M2513" s="1" t="s">
        <v>29</v>
      </c>
      <c r="N2513" s="1" t="s">
        <v>22</v>
      </c>
      <c r="O2513" s="1" t="str">
        <f t="shared" ca="1" si="19"/>
        <v>Please solve the LeetCode problem '2060. Check if an Original String Exists Given Two Encoded Strings'.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14" spans="1:15" x14ac:dyDescent="0.25">
      <c r="A2514" s="1">
        <v>2605</v>
      </c>
      <c r="B2514" s="2" t="str">
        <f>HYPERLINK("https://leetcode.com/problems/form-smallest-number-from-two-digit-arrays/", "Form Smallest Number From Two Digit Arrays")</f>
        <v>Form Smallest Number From Two Digit Arrays</v>
      </c>
      <c r="C2514" s="1">
        <v>326</v>
      </c>
      <c r="D2514" s="1">
        <v>29</v>
      </c>
      <c r="E2514" s="3">
        <f t="shared" si="18"/>
        <v>0.91830985915492958</v>
      </c>
      <c r="F2514" s="1" t="s">
        <v>804</v>
      </c>
      <c r="G2514" s="1" t="s">
        <v>20</v>
      </c>
      <c r="H2514" s="1">
        <v>49290</v>
      </c>
      <c r="I2514" s="1">
        <v>89858</v>
      </c>
      <c r="J2514" s="7">
        <v>0.54900000000000004</v>
      </c>
      <c r="K2514" s="1" t="s">
        <v>21</v>
      </c>
      <c r="L2514" s="1" t="s">
        <v>29</v>
      </c>
      <c r="M2514" s="1" t="s">
        <v>29</v>
      </c>
      <c r="N2514" s="1" t="s">
        <v>22</v>
      </c>
      <c r="O2514" s="1" t="str">
        <f t="shared" ca="1" si="19"/>
        <v>Please solve the LeetCode problem '2605. Form Smallest Number From Two Digit Arrays'.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15" spans="1:15" x14ac:dyDescent="0.25">
      <c r="A2515" s="1">
        <v>1398</v>
      </c>
      <c r="B2515" s="2" t="str">
        <f>HYPERLINK("https://leetcode.com/problems/customers-who-bought-products-a-and-b-but-not-c/", "Customers Who Bought Products A and B but Not C")</f>
        <v>Customers Who Bought Products A and B but Not C</v>
      </c>
      <c r="C2515" s="1">
        <v>325</v>
      </c>
      <c r="D2515" s="1">
        <v>18</v>
      </c>
      <c r="E2515" s="3">
        <f t="shared" si="18"/>
        <v>0.94752186588921283</v>
      </c>
      <c r="F2515" s="1" t="s">
        <v>297</v>
      </c>
      <c r="G2515" s="1" t="s">
        <v>24</v>
      </c>
      <c r="H2515" s="1">
        <v>67604</v>
      </c>
      <c r="I2515" s="1">
        <v>94482</v>
      </c>
      <c r="J2515" s="7">
        <v>0.71599999999999997</v>
      </c>
      <c r="K2515" s="1" t="s">
        <v>29</v>
      </c>
      <c r="L2515" s="1" t="s">
        <v>21</v>
      </c>
      <c r="M2515" s="1" t="s">
        <v>29</v>
      </c>
      <c r="N2515" s="1" t="s">
        <v>297</v>
      </c>
      <c r="O2515" s="1" t="str">
        <f t="shared" ca="1" si="19"/>
        <v>Please solve the LeetCode problem '1398. Customers Who Bought Products A and B but Not C'.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16" spans="1:15" x14ac:dyDescent="0.25">
      <c r="A2516" s="1">
        <v>2763</v>
      </c>
      <c r="B2516" s="2" t="str">
        <f>HYPERLINK("https://leetcode.com/problems/sum-of-imbalance-numbers-of-all-subarrays/", "Sum of Imbalance Numbers of All Subarrays")</f>
        <v>Sum of Imbalance Numbers of All Subarrays</v>
      </c>
      <c r="C2516" s="1">
        <v>325</v>
      </c>
      <c r="D2516" s="1">
        <v>9</v>
      </c>
      <c r="E2516" s="3">
        <f t="shared" si="18"/>
        <v>0.97305389221556882</v>
      </c>
      <c r="F2516" s="1" t="s">
        <v>804</v>
      </c>
      <c r="G2516" s="1" t="s">
        <v>28</v>
      </c>
      <c r="H2516" s="1">
        <v>9575</v>
      </c>
      <c r="I2516" s="1">
        <v>22257</v>
      </c>
      <c r="J2516" s="7">
        <v>0.43</v>
      </c>
      <c r="K2516" s="1" t="s">
        <v>21</v>
      </c>
      <c r="L2516" s="1" t="s">
        <v>29</v>
      </c>
      <c r="M2516" s="1" t="s">
        <v>29</v>
      </c>
      <c r="N2516" s="1" t="s">
        <v>22</v>
      </c>
      <c r="O2516" s="1" t="str">
        <f t="shared" ca="1" si="19"/>
        <v>Please solve the LeetCode problem '2763. Sum of Imbalance Numbers of All Subarrays'.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17" spans="1:15" x14ac:dyDescent="0.25">
      <c r="A2517" s="1">
        <v>2739</v>
      </c>
      <c r="B2517" s="2" t="str">
        <f>HYPERLINK("https://leetcode.com/problems/total-distance-traveled/", "Total Distance Traveled")</f>
        <v>Total Distance Traveled</v>
      </c>
      <c r="C2517" s="1">
        <v>324</v>
      </c>
      <c r="D2517" s="1">
        <v>107</v>
      </c>
      <c r="E2517" s="3">
        <f t="shared" si="18"/>
        <v>0.75174013921113692</v>
      </c>
      <c r="F2517" s="1" t="s">
        <v>465</v>
      </c>
      <c r="G2517" s="1" t="s">
        <v>20</v>
      </c>
      <c r="H2517" s="1">
        <v>60745</v>
      </c>
      <c r="I2517" s="1">
        <v>147841</v>
      </c>
      <c r="J2517" s="7">
        <v>0.41099999999999998</v>
      </c>
      <c r="K2517" s="1" t="s">
        <v>21</v>
      </c>
      <c r="L2517" s="1" t="s">
        <v>29</v>
      </c>
      <c r="M2517" s="1" t="s">
        <v>29</v>
      </c>
      <c r="N2517" s="1" t="s">
        <v>22</v>
      </c>
      <c r="O2517" s="1" t="str">
        <f t="shared" ca="1" si="19"/>
        <v>Please solve the LeetCode problem '2739. Total Distance Traveled'.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18" spans="1:15" x14ac:dyDescent="0.25">
      <c r="A2518" s="1">
        <v>789</v>
      </c>
      <c r="B2518" s="2" t="str">
        <f>HYPERLINK("https://leetcode.com/problems/escape-the-ghosts/", "Escape The Ghosts")</f>
        <v>Escape The Ghosts</v>
      </c>
      <c r="C2518" s="1">
        <v>323</v>
      </c>
      <c r="D2518" s="1">
        <v>35</v>
      </c>
      <c r="E2518" s="3">
        <f t="shared" si="18"/>
        <v>0.9022346368715084</v>
      </c>
      <c r="F2518" s="1" t="s">
        <v>115</v>
      </c>
      <c r="G2518" s="1" t="s">
        <v>24</v>
      </c>
      <c r="H2518" s="1">
        <v>37117</v>
      </c>
      <c r="I2518" s="1">
        <v>58621</v>
      </c>
      <c r="J2518" s="7">
        <v>0.63300000000000001</v>
      </c>
      <c r="K2518" s="1" t="s">
        <v>21</v>
      </c>
      <c r="L2518" s="1" t="s">
        <v>21</v>
      </c>
      <c r="M2518" s="1" t="s">
        <v>29</v>
      </c>
      <c r="N2518" s="1" t="s">
        <v>22</v>
      </c>
      <c r="O2518" s="1" t="str">
        <f t="shared" ca="1" si="19"/>
        <v>Please solve the LeetCode problem '789. Escape The Ghosts'.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19" spans="1:15" x14ac:dyDescent="0.25">
      <c r="A2519" s="1">
        <v>2452</v>
      </c>
      <c r="B2519" s="2" t="str">
        <f>HYPERLINK("https://leetcode.com/problems/words-within-two-edits-of-dictionary/", "Words Within Two Edits of Dictionary")</f>
        <v>Words Within Two Edits of Dictionary</v>
      </c>
      <c r="C2519" s="1">
        <v>323</v>
      </c>
      <c r="D2519" s="1">
        <v>25</v>
      </c>
      <c r="E2519" s="3">
        <f t="shared" si="18"/>
        <v>0.92816091954022983</v>
      </c>
      <c r="F2519" s="1" t="s">
        <v>54</v>
      </c>
      <c r="G2519" s="1" t="s">
        <v>24</v>
      </c>
      <c r="H2519" s="1">
        <v>28571</v>
      </c>
      <c r="I2519" s="1">
        <v>46320</v>
      </c>
      <c r="J2519" s="7">
        <v>0.61699999999999999</v>
      </c>
      <c r="K2519" s="1" t="s">
        <v>21</v>
      </c>
      <c r="L2519" s="1" t="s">
        <v>29</v>
      </c>
      <c r="M2519" s="1" t="s">
        <v>29</v>
      </c>
      <c r="N2519" s="1" t="s">
        <v>22</v>
      </c>
      <c r="O2519" s="1" t="str">
        <f t="shared" ca="1" si="19"/>
        <v>Please solve the LeetCode problem '2452. Words Within Two Edits of Dictionary'.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20" spans="1:15" x14ac:dyDescent="0.25">
      <c r="A2520" s="1">
        <v>2213</v>
      </c>
      <c r="B2520" s="2" t="str">
        <f>HYPERLINK("https://leetcode.com/problems/longest-substring-of-one-repeating-character/", "Longest Substring of One Repeating Character")</f>
        <v>Longest Substring of One Repeating Character</v>
      </c>
      <c r="C2520" s="1">
        <v>322</v>
      </c>
      <c r="D2520" s="1">
        <v>84</v>
      </c>
      <c r="E2520" s="3">
        <f t="shared" si="18"/>
        <v>0.7931034482758621</v>
      </c>
      <c r="F2520" s="1" t="s">
        <v>1034</v>
      </c>
      <c r="G2520" s="1" t="s">
        <v>28</v>
      </c>
      <c r="H2520" s="1">
        <v>6401</v>
      </c>
      <c r="I2520" s="1">
        <v>18839</v>
      </c>
      <c r="J2520" s="7">
        <v>0.34</v>
      </c>
      <c r="K2520" s="1" t="s">
        <v>21</v>
      </c>
      <c r="L2520" s="1" t="s">
        <v>29</v>
      </c>
      <c r="M2520" s="1" t="s">
        <v>29</v>
      </c>
      <c r="N2520" s="1" t="s">
        <v>22</v>
      </c>
      <c r="O2520" s="1" t="str">
        <f t="shared" ca="1" si="19"/>
        <v>Please solve the LeetCode problem '2213. Longest Substring of One Repeating Character'.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21" spans="1:15" x14ac:dyDescent="0.25">
      <c r="A2521" s="1">
        <v>2511</v>
      </c>
      <c r="B2521" s="2" t="str">
        <f>HYPERLINK("https://leetcode.com/problems/maximum-enemy-forts-that-can-be-captured/", "Maximum Enemy Forts That Can Be Captured")</f>
        <v>Maximum Enemy Forts That Can Be Captured</v>
      </c>
      <c r="C2521" s="1">
        <v>322</v>
      </c>
      <c r="D2521" s="1">
        <v>304</v>
      </c>
      <c r="E2521" s="3">
        <f t="shared" si="18"/>
        <v>0.51437699680511184</v>
      </c>
      <c r="F2521" s="1" t="s">
        <v>51</v>
      </c>
      <c r="G2521" s="1" t="s">
        <v>20</v>
      </c>
      <c r="H2521" s="1">
        <v>33148</v>
      </c>
      <c r="I2521" s="1">
        <v>81134</v>
      </c>
      <c r="J2521" s="7">
        <v>0.40899999999999997</v>
      </c>
      <c r="K2521" s="1" t="s">
        <v>21</v>
      </c>
      <c r="L2521" s="1" t="s">
        <v>29</v>
      </c>
      <c r="M2521" s="1" t="s">
        <v>29</v>
      </c>
      <c r="N2521" s="1" t="s">
        <v>22</v>
      </c>
      <c r="O2521" s="1" t="str">
        <f t="shared" ca="1" si="19"/>
        <v>Please solve the LeetCode problem '2511. Maximum Enemy Forts That Can Be Captured'.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22" spans="1:15" x14ac:dyDescent="0.25">
      <c r="A2522" s="1">
        <v>2740</v>
      </c>
      <c r="B2522" s="2" t="str">
        <f>HYPERLINK("https://leetcode.com/problems/find-the-value-of-the-partition/", "Find the Value of the Partition")</f>
        <v>Find the Value of the Partition</v>
      </c>
      <c r="C2522" s="1">
        <v>322</v>
      </c>
      <c r="D2522" s="1">
        <v>25</v>
      </c>
      <c r="E2522" s="3">
        <f t="shared" si="18"/>
        <v>0.9279538904899135</v>
      </c>
      <c r="F2522" s="1" t="s">
        <v>42</v>
      </c>
      <c r="G2522" s="1" t="s">
        <v>24</v>
      </c>
      <c r="H2522" s="1">
        <v>40200</v>
      </c>
      <c r="I2522" s="1">
        <v>62148</v>
      </c>
      <c r="J2522" s="7">
        <v>0.64700000000000002</v>
      </c>
      <c r="K2522" s="1" t="s">
        <v>21</v>
      </c>
      <c r="L2522" s="1" t="s">
        <v>29</v>
      </c>
      <c r="M2522" s="1" t="s">
        <v>29</v>
      </c>
      <c r="N2522" s="1" t="s">
        <v>22</v>
      </c>
      <c r="O2522" s="1" t="str">
        <f t="shared" ca="1" si="19"/>
        <v>Please solve the LeetCode problem '2740. Find the Value of the Partition'.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23" spans="1:15" x14ac:dyDescent="0.25">
      <c r="A2523" s="1">
        <v>3002</v>
      </c>
      <c r="B2523" s="2" t="str">
        <f>HYPERLINK("https://leetcode.com/problems/maximum-size-of-a-set-after-removals/", "Maximum Size of a Set After Removals")</f>
        <v>Maximum Size of a Set After Removals</v>
      </c>
      <c r="C2523" s="1">
        <v>322</v>
      </c>
      <c r="D2523" s="1">
        <v>30</v>
      </c>
      <c r="E2523" s="3">
        <f t="shared" si="18"/>
        <v>0.91477272727272729</v>
      </c>
      <c r="F2523" s="1" t="s">
        <v>368</v>
      </c>
      <c r="G2523" s="1" t="s">
        <v>24</v>
      </c>
      <c r="H2523" s="1">
        <v>19758</v>
      </c>
      <c r="I2523" s="1">
        <v>43064</v>
      </c>
      <c r="J2523" s="7">
        <v>0.45900000000000002</v>
      </c>
      <c r="K2523" s="1" t="s">
        <v>21</v>
      </c>
      <c r="L2523" s="1" t="s">
        <v>29</v>
      </c>
      <c r="M2523" s="1" t="s">
        <v>29</v>
      </c>
      <c r="N2523" s="1" t="s">
        <v>22</v>
      </c>
      <c r="O2523" s="1" t="str">
        <f t="shared" ca="1" si="19"/>
        <v>Please solve the LeetCode problem '3002. Maximum Size of a Set After Removals'.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24" spans="1:15" x14ac:dyDescent="0.25">
      <c r="A2524" s="1">
        <v>3484</v>
      </c>
      <c r="B2524" s="2" t="str">
        <f>HYPERLINK("https://leetcode.com/problems/design-spreadsheet/", "Design Spreadsheet")</f>
        <v>Design Spreadsheet</v>
      </c>
      <c r="C2524" s="1">
        <v>322</v>
      </c>
      <c r="D2524" s="1">
        <v>29</v>
      </c>
      <c r="E2524" s="3">
        <f t="shared" si="18"/>
        <v>0.91737891737891741</v>
      </c>
      <c r="F2524" s="1" t="s">
        <v>1032</v>
      </c>
      <c r="G2524" s="1" t="s">
        <v>24</v>
      </c>
      <c r="H2524" s="1">
        <v>116113</v>
      </c>
      <c r="I2524" s="1">
        <v>155870</v>
      </c>
      <c r="J2524" s="7">
        <v>0.745</v>
      </c>
      <c r="K2524" s="1" t="s">
        <v>21</v>
      </c>
      <c r="L2524" s="1" t="s">
        <v>21</v>
      </c>
      <c r="M2524" s="1" t="s">
        <v>29</v>
      </c>
      <c r="N2524" s="1" t="s">
        <v>22</v>
      </c>
      <c r="O2524" s="1" t="str">
        <f t="shared" ca="1" si="19"/>
        <v>Please solve the LeetCode problem '3484. Design Spreadsheet'.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25" spans="1:15" x14ac:dyDescent="0.25">
      <c r="A2525" s="1">
        <v>2581</v>
      </c>
      <c r="B2525" s="2" t="str">
        <f>HYPERLINK("https://leetcode.com/problems/count-number-of-possible-root-nodes/", "Count Number of Possible Root Nodes")</f>
        <v>Count Number of Possible Root Nodes</v>
      </c>
      <c r="C2525" s="1">
        <v>321</v>
      </c>
      <c r="D2525" s="1">
        <v>10</v>
      </c>
      <c r="E2525" s="3">
        <f t="shared" si="18"/>
        <v>0.96978851963746227</v>
      </c>
      <c r="F2525" s="1" t="s">
        <v>1035</v>
      </c>
      <c r="G2525" s="1" t="s">
        <v>28</v>
      </c>
      <c r="H2525" s="1">
        <v>8777</v>
      </c>
      <c r="I2525" s="1">
        <v>18362</v>
      </c>
      <c r="J2525" s="7">
        <v>0.47799999999999998</v>
      </c>
      <c r="K2525" s="1" t="s">
        <v>21</v>
      </c>
      <c r="L2525" s="1" t="s">
        <v>29</v>
      </c>
      <c r="M2525" s="1" t="s">
        <v>29</v>
      </c>
      <c r="N2525" s="1" t="s">
        <v>22</v>
      </c>
      <c r="O2525" s="1" t="str">
        <f t="shared" ca="1" si="19"/>
        <v>Please solve the LeetCode problem '2581. Count Number of Possible Root Nodes'.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26" spans="1:15" x14ac:dyDescent="0.25">
      <c r="A2526" s="1">
        <v>2813</v>
      </c>
      <c r="B2526" s="2" t="str">
        <f>HYPERLINK("https://leetcode.com/problems/maximum-elegance-of-a-k-length-subsequence/", "Maximum Elegance of a K-Length Subsequence")</f>
        <v>Maximum Elegance of a K-Length Subsequence</v>
      </c>
      <c r="C2526" s="1">
        <v>321</v>
      </c>
      <c r="D2526" s="1">
        <v>5</v>
      </c>
      <c r="E2526" s="3">
        <f t="shared" si="18"/>
        <v>0.98466257668711654</v>
      </c>
      <c r="F2526" s="1" t="s">
        <v>1033</v>
      </c>
      <c r="G2526" s="1" t="s">
        <v>28</v>
      </c>
      <c r="H2526" s="1">
        <v>8244</v>
      </c>
      <c r="I2526" s="1">
        <v>29065</v>
      </c>
      <c r="J2526" s="7">
        <v>0.28399999999999997</v>
      </c>
      <c r="K2526" s="1" t="s">
        <v>21</v>
      </c>
      <c r="L2526" s="1" t="s">
        <v>29</v>
      </c>
      <c r="M2526" s="1" t="s">
        <v>29</v>
      </c>
      <c r="N2526" s="1" t="s">
        <v>22</v>
      </c>
      <c r="O2526" s="1" t="str">
        <f t="shared" ca="1" si="19"/>
        <v>Please solve the LeetCode problem '2813. Maximum Elegance of a K-Length Subsequence'.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27" spans="1:15" x14ac:dyDescent="0.25">
      <c r="A2527" s="1">
        <v>2584</v>
      </c>
      <c r="B2527" s="2" t="str">
        <f>HYPERLINK("https://leetcode.com/problems/split-the-array-to-make-coprime-products/", "Split the Array to Make Coprime Products")</f>
        <v>Split the Array to Make Coprime Products</v>
      </c>
      <c r="C2527" s="1">
        <v>320</v>
      </c>
      <c r="D2527" s="1">
        <v>112</v>
      </c>
      <c r="E2527" s="3">
        <f t="shared" si="18"/>
        <v>0.7407407407407407</v>
      </c>
      <c r="F2527" s="1" t="s">
        <v>886</v>
      </c>
      <c r="G2527" s="1" t="s">
        <v>28</v>
      </c>
      <c r="H2527" s="1">
        <v>18747</v>
      </c>
      <c r="I2527" s="1">
        <v>65591</v>
      </c>
      <c r="J2527" s="7">
        <v>0.28599999999999998</v>
      </c>
      <c r="K2527" s="1" t="s">
        <v>21</v>
      </c>
      <c r="L2527" s="1" t="s">
        <v>29</v>
      </c>
      <c r="M2527" s="1" t="s">
        <v>29</v>
      </c>
      <c r="N2527" s="1" t="s">
        <v>22</v>
      </c>
      <c r="O2527" s="1" t="str">
        <f t="shared" ca="1" si="19"/>
        <v>Please solve the LeetCode problem '2584. Split the Array to Make Coprime Products'.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28" spans="1:15" x14ac:dyDescent="0.25">
      <c r="A2528" s="1">
        <v>1333</v>
      </c>
      <c r="B2528" s="2" t="str">
        <f>HYPERLINK("https://leetcode.com/problems/filter-restaurants-by-vegan-friendly-price-and-distance/", "Filter Restaurants by Vegan-Friendly, Price and Distance")</f>
        <v>Filter Restaurants by Vegan-Friendly, Price and Distance</v>
      </c>
      <c r="C2528" s="1">
        <v>319</v>
      </c>
      <c r="D2528" s="1">
        <v>230</v>
      </c>
      <c r="E2528" s="3">
        <f t="shared" si="18"/>
        <v>0.58105646630236796</v>
      </c>
      <c r="F2528" s="1" t="s">
        <v>42</v>
      </c>
      <c r="G2528" s="1" t="s">
        <v>24</v>
      </c>
      <c r="H2528" s="1">
        <v>36675</v>
      </c>
      <c r="I2528" s="1">
        <v>57316</v>
      </c>
      <c r="J2528" s="7">
        <v>0.64</v>
      </c>
      <c r="K2528" s="1" t="s">
        <v>21</v>
      </c>
      <c r="L2528" s="1" t="s">
        <v>29</v>
      </c>
      <c r="M2528" s="1" t="s">
        <v>29</v>
      </c>
      <c r="N2528" s="1" t="s">
        <v>22</v>
      </c>
      <c r="O2528" s="1" t="str">
        <f t="shared" ca="1" si="19"/>
        <v>Please solve the LeetCode problem '1333. Filter Restaurants by Vegan-Friendly, Price and Distance'.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29" spans="1:15" x14ac:dyDescent="0.25">
      <c r="A2529" s="1">
        <v>2481</v>
      </c>
      <c r="B2529" s="2" t="str">
        <f>HYPERLINK("https://leetcode.com/problems/minimum-cuts-to-divide-a-circle/", "Minimum Cuts to Divide a Circle")</f>
        <v>Minimum Cuts to Divide a Circle</v>
      </c>
      <c r="C2529" s="1">
        <v>319</v>
      </c>
      <c r="D2529" s="1">
        <v>63</v>
      </c>
      <c r="E2529" s="3">
        <f t="shared" si="18"/>
        <v>0.83507853403141363</v>
      </c>
      <c r="F2529" s="1" t="s">
        <v>477</v>
      </c>
      <c r="G2529" s="1" t="s">
        <v>20</v>
      </c>
      <c r="H2529" s="1">
        <v>68693</v>
      </c>
      <c r="I2529" s="1">
        <v>122983</v>
      </c>
      <c r="J2529" s="7">
        <v>0.55900000000000005</v>
      </c>
      <c r="K2529" s="1" t="s">
        <v>21</v>
      </c>
      <c r="L2529" s="1" t="s">
        <v>29</v>
      </c>
      <c r="M2529" s="1" t="s">
        <v>29</v>
      </c>
      <c r="N2529" s="1" t="s">
        <v>22</v>
      </c>
      <c r="O2529" s="1" t="str">
        <f t="shared" ca="1" si="19"/>
        <v>Please solve the LeetCode problem '2481. Minimum Cuts to Divide a Circle'.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30" spans="1:15" x14ac:dyDescent="0.25">
      <c r="A2530" s="1">
        <v>2974</v>
      </c>
      <c r="B2530" s="2" t="str">
        <f>HYPERLINK("https://leetcode.com/problems/minimum-number-game/", "Minimum Number Game")</f>
        <v>Minimum Number Game</v>
      </c>
      <c r="C2530" s="1">
        <v>319</v>
      </c>
      <c r="D2530" s="1">
        <v>22</v>
      </c>
      <c r="E2530" s="3">
        <f t="shared" si="18"/>
        <v>0.93548387096774188</v>
      </c>
      <c r="F2530" s="1" t="s">
        <v>1027</v>
      </c>
      <c r="G2530" s="1" t="s">
        <v>20</v>
      </c>
      <c r="H2530" s="1">
        <v>139707</v>
      </c>
      <c r="I2530" s="1">
        <v>163952</v>
      </c>
      <c r="J2530" s="7">
        <v>0.85199999999999998</v>
      </c>
      <c r="K2530" s="1" t="s">
        <v>21</v>
      </c>
      <c r="L2530" s="1" t="s">
        <v>29</v>
      </c>
      <c r="M2530" s="1" t="s">
        <v>29</v>
      </c>
      <c r="N2530" s="1" t="s">
        <v>22</v>
      </c>
      <c r="O2530" s="1" t="str">
        <f t="shared" ca="1" si="19"/>
        <v>Please solve the LeetCode problem '2974. Minimum Number Game'.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31" spans="1:15" x14ac:dyDescent="0.25">
      <c r="A2531" s="1">
        <v>571</v>
      </c>
      <c r="B2531" s="2" t="str">
        <f>HYPERLINK("https://leetcode.com/problems/find-median-given-frequency-of-numbers/", "Find Median Given Frequency of Numbers")</f>
        <v>Find Median Given Frequency of Numbers</v>
      </c>
      <c r="C2531" s="1">
        <v>318</v>
      </c>
      <c r="D2531" s="1">
        <v>79</v>
      </c>
      <c r="E2531" s="3">
        <f t="shared" si="18"/>
        <v>0.80100755667506296</v>
      </c>
      <c r="F2531" s="1" t="s">
        <v>297</v>
      </c>
      <c r="G2531" s="1" t="s">
        <v>28</v>
      </c>
      <c r="H2531" s="1">
        <v>35214</v>
      </c>
      <c r="I2531" s="1">
        <v>83296</v>
      </c>
      <c r="J2531" s="7">
        <v>0.42299999999999999</v>
      </c>
      <c r="K2531" s="1" t="s">
        <v>29</v>
      </c>
      <c r="L2531" s="1" t="s">
        <v>29</v>
      </c>
      <c r="M2531" s="1" t="s">
        <v>29</v>
      </c>
      <c r="N2531" s="1" t="s">
        <v>297</v>
      </c>
      <c r="O2531" s="1" t="str">
        <f t="shared" ca="1" si="19"/>
        <v>Please solve the LeetCode problem '571. Find Median Given Frequency of Numbers'.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32" spans="1:15" x14ac:dyDescent="0.25">
      <c r="A2532" s="1">
        <v>597</v>
      </c>
      <c r="B2532" s="2" t="str">
        <f>HYPERLINK("https://leetcode.com/problems/friend-requests-i-overall-acceptance-rate/", "Friend Requests I: Overall Acceptance Rate")</f>
        <v>Friend Requests I: Overall Acceptance Rate</v>
      </c>
      <c r="C2532" s="1">
        <v>318</v>
      </c>
      <c r="D2532" s="1">
        <v>774</v>
      </c>
      <c r="E2532" s="3">
        <f t="shared" si="18"/>
        <v>0.29120879120879123</v>
      </c>
      <c r="F2532" s="1" t="s">
        <v>297</v>
      </c>
      <c r="G2532" s="1" t="s">
        <v>20</v>
      </c>
      <c r="H2532" s="1">
        <v>85717</v>
      </c>
      <c r="I2532" s="1">
        <v>208192</v>
      </c>
      <c r="J2532" s="7">
        <v>0.41199999999999998</v>
      </c>
      <c r="K2532" s="1" t="s">
        <v>29</v>
      </c>
      <c r="L2532" s="1" t="s">
        <v>21</v>
      </c>
      <c r="M2532" s="1" t="s">
        <v>29</v>
      </c>
      <c r="N2532" s="1" t="s">
        <v>297</v>
      </c>
      <c r="O2532" s="1" t="str">
        <f t="shared" ca="1" si="19"/>
        <v>Please solve the LeetCode problem '597. Friend Requests I: Overall Acceptance Rate'.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33" spans="1:15" x14ac:dyDescent="0.25">
      <c r="A2533" s="1">
        <v>2937</v>
      </c>
      <c r="B2533" s="2" t="str">
        <f>HYPERLINK("https://leetcode.com/problems/make-three-strings-equal/", "Make Three Strings Equal")</f>
        <v>Make Three Strings Equal</v>
      </c>
      <c r="C2533" s="1">
        <v>318</v>
      </c>
      <c r="D2533" s="1">
        <v>42</v>
      </c>
      <c r="E2533" s="3">
        <f t="shared" si="18"/>
        <v>0.8833333333333333</v>
      </c>
      <c r="F2533" s="1" t="s">
        <v>146</v>
      </c>
      <c r="G2533" s="1" t="s">
        <v>20</v>
      </c>
      <c r="H2533" s="1">
        <v>38817</v>
      </c>
      <c r="I2533" s="1">
        <v>87523</v>
      </c>
      <c r="J2533" s="7">
        <v>0.44400000000000001</v>
      </c>
      <c r="K2533" s="1" t="s">
        <v>21</v>
      </c>
      <c r="L2533" s="1" t="s">
        <v>29</v>
      </c>
      <c r="M2533" s="1" t="s">
        <v>29</v>
      </c>
      <c r="N2533" s="1" t="s">
        <v>22</v>
      </c>
      <c r="O2533" s="1" t="str">
        <f t="shared" ca="1" si="19"/>
        <v>Please solve the LeetCode problem '2937. Make Three Strings Equal'.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34" spans="1:15" x14ac:dyDescent="0.25">
      <c r="A2534" s="1">
        <v>1600</v>
      </c>
      <c r="B2534" s="2" t="str">
        <f>HYPERLINK("https://leetcode.com/problems/throne-inheritance/", "Throne Inheritance")</f>
        <v>Throne Inheritance</v>
      </c>
      <c r="C2534" s="1">
        <v>317</v>
      </c>
      <c r="D2534" s="1">
        <v>339</v>
      </c>
      <c r="E2534" s="3">
        <f t="shared" si="18"/>
        <v>0.48323170731707316</v>
      </c>
      <c r="F2534" s="1" t="s">
        <v>1036</v>
      </c>
      <c r="G2534" s="1" t="s">
        <v>24</v>
      </c>
      <c r="H2534" s="1">
        <v>26591</v>
      </c>
      <c r="I2534" s="1">
        <v>39807</v>
      </c>
      <c r="J2534" s="7">
        <v>0.66800000000000004</v>
      </c>
      <c r="K2534" s="1" t="s">
        <v>21</v>
      </c>
      <c r="L2534" s="1" t="s">
        <v>29</v>
      </c>
      <c r="M2534" s="1" t="s">
        <v>29</v>
      </c>
      <c r="N2534" s="1" t="s">
        <v>22</v>
      </c>
      <c r="O2534" s="1" t="str">
        <f t="shared" ca="1" si="19"/>
        <v>Please solve the LeetCode problem '1600. Throne Inheritance'.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35" spans="1:15" x14ac:dyDescent="0.25">
      <c r="A2535" s="1">
        <v>1735</v>
      </c>
      <c r="B2535" s="2" t="str">
        <f>HYPERLINK("https://leetcode.com/problems/count-ways-to-make-array-with-product/", "Count Ways to Make Array With Product")</f>
        <v>Count Ways to Make Array With Product</v>
      </c>
      <c r="C2535" s="1">
        <v>317</v>
      </c>
      <c r="D2535" s="1">
        <v>36</v>
      </c>
      <c r="E2535" s="3">
        <f t="shared" si="18"/>
        <v>0.89801699716713879</v>
      </c>
      <c r="F2535" s="1" t="s">
        <v>1037</v>
      </c>
      <c r="G2535" s="1" t="s">
        <v>28</v>
      </c>
      <c r="H2535" s="1">
        <v>8809</v>
      </c>
      <c r="I2535" s="1">
        <v>16298</v>
      </c>
      <c r="J2535" s="7">
        <v>0.54</v>
      </c>
      <c r="K2535" s="1" t="s">
        <v>21</v>
      </c>
      <c r="L2535" s="1" t="s">
        <v>29</v>
      </c>
      <c r="M2535" s="1" t="s">
        <v>29</v>
      </c>
      <c r="N2535" s="1" t="s">
        <v>22</v>
      </c>
      <c r="O2535" s="1" t="str">
        <f t="shared" ca="1" si="19"/>
        <v>Please solve the LeetCode problem '1735. Count Ways to Make Array With Product'.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36" spans="1:15" x14ac:dyDescent="0.25">
      <c r="A2536" s="1">
        <v>2549</v>
      </c>
      <c r="B2536" s="2" t="str">
        <f>HYPERLINK("https://leetcode.com/problems/count-distinct-numbers-on-board/", "Count Distinct Numbers on Board")</f>
        <v>Count Distinct Numbers on Board</v>
      </c>
      <c r="C2536" s="1">
        <v>317</v>
      </c>
      <c r="D2536" s="1">
        <v>291</v>
      </c>
      <c r="E2536" s="3">
        <f t="shared" si="18"/>
        <v>0.52138157894736847</v>
      </c>
      <c r="F2536" s="1" t="s">
        <v>1038</v>
      </c>
      <c r="G2536" s="1" t="s">
        <v>20</v>
      </c>
      <c r="H2536" s="1">
        <v>62129</v>
      </c>
      <c r="I2536" s="1">
        <v>100859</v>
      </c>
      <c r="J2536" s="7">
        <v>0.61599999999999999</v>
      </c>
      <c r="K2536" s="1" t="s">
        <v>21</v>
      </c>
      <c r="L2536" s="1" t="s">
        <v>29</v>
      </c>
      <c r="M2536" s="1" t="s">
        <v>29</v>
      </c>
      <c r="N2536" s="1" t="s">
        <v>22</v>
      </c>
      <c r="O2536" s="1" t="str">
        <f t="shared" ca="1" si="19"/>
        <v>Please solve the LeetCode problem '2549. Count Distinct Numbers on Board'.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37" spans="1:15" x14ac:dyDescent="0.25">
      <c r="A2537" s="1">
        <v>1246</v>
      </c>
      <c r="B2537" s="2" t="str">
        <f>HYPERLINK("https://leetcode.com/problems/palindrome-removal/", "Palindrome Removal")</f>
        <v>Palindrome Removal</v>
      </c>
      <c r="C2537" s="1">
        <v>316</v>
      </c>
      <c r="D2537" s="1">
        <v>14</v>
      </c>
      <c r="E2537" s="3">
        <f t="shared" si="18"/>
        <v>0.95757575757575752</v>
      </c>
      <c r="F2537" s="1" t="s">
        <v>30</v>
      </c>
      <c r="G2537" s="1" t="s">
        <v>28</v>
      </c>
      <c r="H2537" s="1">
        <v>11852</v>
      </c>
      <c r="I2537" s="1">
        <v>25636</v>
      </c>
      <c r="J2537" s="7">
        <v>0.46200000000000002</v>
      </c>
      <c r="K2537" s="1" t="s">
        <v>29</v>
      </c>
      <c r="L2537" s="1" t="s">
        <v>29</v>
      </c>
      <c r="M2537" s="1" t="s">
        <v>29</v>
      </c>
      <c r="N2537" s="1" t="s">
        <v>22</v>
      </c>
      <c r="O2537" s="1" t="str">
        <f t="shared" ca="1" si="19"/>
        <v>Please solve the LeetCode problem '1246. Palindrome Removal'.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38" spans="1:15" x14ac:dyDescent="0.25">
      <c r="A2538" s="1">
        <v>2836</v>
      </c>
      <c r="B2538" s="2" t="str">
        <f>HYPERLINK("https://leetcode.com/problems/maximize-value-of-function-in-a-ball-passing-game/", "Maximize Value of Function in a Ball Passing Game")</f>
        <v>Maximize Value of Function in a Ball Passing Game</v>
      </c>
      <c r="C2538" s="1">
        <v>316</v>
      </c>
      <c r="D2538" s="1">
        <v>93</v>
      </c>
      <c r="E2538" s="3">
        <f t="shared" si="18"/>
        <v>0.77261613691931541</v>
      </c>
      <c r="F2538" s="1" t="s">
        <v>508</v>
      </c>
      <c r="G2538" s="1" t="s">
        <v>28</v>
      </c>
      <c r="H2538" s="1">
        <v>6359</v>
      </c>
      <c r="I2538" s="1">
        <v>21094</v>
      </c>
      <c r="J2538" s="7">
        <v>0.30099999999999999</v>
      </c>
      <c r="K2538" s="1" t="s">
        <v>21</v>
      </c>
      <c r="L2538" s="1" t="s">
        <v>29</v>
      </c>
      <c r="M2538" s="1" t="s">
        <v>29</v>
      </c>
      <c r="N2538" s="1" t="s">
        <v>22</v>
      </c>
      <c r="O2538" s="1" t="str">
        <f t="shared" ca="1" si="19"/>
        <v>Please solve the LeetCode problem '2836. Maximize Value of Function in a Ball Passing Game'.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39" spans="1:15" x14ac:dyDescent="0.25">
      <c r="A2539" s="1">
        <v>356</v>
      </c>
      <c r="B2539" s="2" t="str">
        <f>HYPERLINK("https://leetcode.com/problems/line-reflection/", "Line Reflection")</f>
        <v>Line Reflection</v>
      </c>
      <c r="C2539" s="1">
        <v>315</v>
      </c>
      <c r="D2539" s="1">
        <v>638</v>
      </c>
      <c r="E2539" s="3">
        <f t="shared" si="18"/>
        <v>0.3305351521511018</v>
      </c>
      <c r="F2539" s="1" t="s">
        <v>741</v>
      </c>
      <c r="G2539" s="1" t="s">
        <v>24</v>
      </c>
      <c r="H2539" s="1">
        <v>45603</v>
      </c>
      <c r="I2539" s="1">
        <v>125849</v>
      </c>
      <c r="J2539" s="7">
        <v>0.36199999999999999</v>
      </c>
      <c r="K2539" s="1" t="s">
        <v>29</v>
      </c>
      <c r="L2539" s="1" t="s">
        <v>29</v>
      </c>
      <c r="M2539" s="1" t="s">
        <v>29</v>
      </c>
      <c r="N2539" s="1" t="s">
        <v>22</v>
      </c>
      <c r="O2539" s="1" t="str">
        <f t="shared" ca="1" si="19"/>
        <v>Please solve the LeetCode problem '356. Line Reflection'.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40" spans="1:15" x14ac:dyDescent="0.25">
      <c r="A2540" s="1">
        <v>1112</v>
      </c>
      <c r="B2540" s="2" t="str">
        <f>HYPERLINK("https://leetcode.com/problems/highest-grade-for-each-student/", "Highest Grade For Each Student")</f>
        <v>Highest Grade For Each Student</v>
      </c>
      <c r="C2540" s="1">
        <v>315</v>
      </c>
      <c r="D2540" s="1">
        <v>15</v>
      </c>
      <c r="E2540" s="3">
        <f t="shared" si="18"/>
        <v>0.95454545454545459</v>
      </c>
      <c r="F2540" s="1" t="s">
        <v>297</v>
      </c>
      <c r="G2540" s="1" t="s">
        <v>24</v>
      </c>
      <c r="H2540" s="1">
        <v>76879</v>
      </c>
      <c r="I2540" s="1">
        <v>108079</v>
      </c>
      <c r="J2540" s="7">
        <v>0.71099999999999997</v>
      </c>
      <c r="K2540" s="1" t="s">
        <v>29</v>
      </c>
      <c r="L2540" s="1" t="s">
        <v>21</v>
      </c>
      <c r="M2540" s="1" t="s">
        <v>29</v>
      </c>
      <c r="N2540" s="1" t="s">
        <v>297</v>
      </c>
      <c r="O2540" s="1" t="str">
        <f t="shared" ca="1" si="19"/>
        <v>Please solve the LeetCode problem '1112. Highest Grade For Each Student'.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41" spans="1:15" x14ac:dyDescent="0.25">
      <c r="A2541" s="1">
        <v>2730</v>
      </c>
      <c r="B2541" s="2" t="str">
        <f>HYPERLINK("https://leetcode.com/problems/find-the-longest-semi-repetitive-substring/", "Find the Longest Semi-Repetitive Substring")</f>
        <v>Find the Longest Semi-Repetitive Substring</v>
      </c>
      <c r="C2541" s="1">
        <v>315</v>
      </c>
      <c r="D2541" s="1">
        <v>88</v>
      </c>
      <c r="E2541" s="3">
        <f t="shared" si="18"/>
        <v>0.78163771712158814</v>
      </c>
      <c r="F2541" s="1" t="s">
        <v>314</v>
      </c>
      <c r="G2541" s="1" t="s">
        <v>24</v>
      </c>
      <c r="H2541" s="1">
        <v>31872</v>
      </c>
      <c r="I2541" s="1">
        <v>83135</v>
      </c>
      <c r="J2541" s="7">
        <v>0.38300000000000001</v>
      </c>
      <c r="K2541" s="1" t="s">
        <v>21</v>
      </c>
      <c r="L2541" s="1" t="s">
        <v>29</v>
      </c>
      <c r="M2541" s="1" t="s">
        <v>29</v>
      </c>
      <c r="N2541" s="1" t="s">
        <v>22</v>
      </c>
      <c r="O2541" s="1" t="str">
        <f t="shared" ca="1" si="19"/>
        <v>Please solve the LeetCode problem '2730. Find the Longest Semi-Repetitive Substring'.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42" spans="1:15" x14ac:dyDescent="0.25">
      <c r="A2542" s="1">
        <v>2834</v>
      </c>
      <c r="B2542" s="2" t="str">
        <f>HYPERLINK("https://leetcode.com/problems/find-the-minimum-possible-sum-of-a-beautiful-array/", "Find the Minimum Possible Sum of a Beautiful Array")</f>
        <v>Find the Minimum Possible Sum of a Beautiful Array</v>
      </c>
      <c r="C2542" s="1">
        <v>315</v>
      </c>
      <c r="D2542" s="1">
        <v>58</v>
      </c>
      <c r="E2542" s="3">
        <f t="shared" si="18"/>
        <v>0.84450402144772119</v>
      </c>
      <c r="F2542" s="1" t="s">
        <v>296</v>
      </c>
      <c r="G2542" s="1" t="s">
        <v>24</v>
      </c>
      <c r="H2542" s="1">
        <v>32397</v>
      </c>
      <c r="I2542" s="1">
        <v>91812</v>
      </c>
      <c r="J2542" s="7">
        <v>0.35299999999999998</v>
      </c>
      <c r="K2542" s="1" t="s">
        <v>21</v>
      </c>
      <c r="L2542" s="1" t="s">
        <v>29</v>
      </c>
      <c r="M2542" s="1" t="s">
        <v>29</v>
      </c>
      <c r="N2542" s="1" t="s">
        <v>22</v>
      </c>
      <c r="O2542" s="1" t="str">
        <f t="shared" ca="1" si="19"/>
        <v>Please solve the LeetCode problem '2834. Find the Minimum Possible Sum of a Beautiful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43" spans="1:15" x14ac:dyDescent="0.25">
      <c r="A2543" s="1">
        <v>2841</v>
      </c>
      <c r="B2543" s="2" t="str">
        <f>HYPERLINK("https://leetcode.com/problems/maximum-sum-of-almost-unique-subarray/", "Maximum Sum of Almost Unique Subarray")</f>
        <v>Maximum Sum of Almost Unique Subarray</v>
      </c>
      <c r="C2543" s="1">
        <v>315</v>
      </c>
      <c r="D2543" s="1">
        <v>139</v>
      </c>
      <c r="E2543" s="3">
        <f t="shared" si="18"/>
        <v>0.69383259911894268</v>
      </c>
      <c r="F2543" s="1" t="s">
        <v>185</v>
      </c>
      <c r="G2543" s="1" t="s">
        <v>24</v>
      </c>
      <c r="H2543" s="1">
        <v>33850</v>
      </c>
      <c r="I2543" s="1">
        <v>83730</v>
      </c>
      <c r="J2543" s="7">
        <v>0.40400000000000003</v>
      </c>
      <c r="K2543" s="1" t="s">
        <v>21</v>
      </c>
      <c r="L2543" s="1" t="s">
        <v>29</v>
      </c>
      <c r="M2543" s="1" t="s">
        <v>29</v>
      </c>
      <c r="N2543" s="1" t="s">
        <v>22</v>
      </c>
      <c r="O2543" s="1" t="str">
        <f t="shared" ca="1" si="19"/>
        <v>Please solve the LeetCode problem '2841. Maximum Sum of Almost Unique Subarray'.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44" spans="1:15" x14ac:dyDescent="0.25">
      <c r="A2544" s="1">
        <v>755</v>
      </c>
      <c r="B2544" s="2" t="str">
        <f>HYPERLINK("https://leetcode.com/problems/pour-water/", "Pour Water")</f>
        <v>Pour Water</v>
      </c>
      <c r="C2544" s="1">
        <v>314</v>
      </c>
      <c r="D2544" s="1">
        <v>812</v>
      </c>
      <c r="E2544" s="3">
        <f t="shared" si="18"/>
        <v>0.27886323268206037</v>
      </c>
      <c r="F2544" s="1" t="s">
        <v>306</v>
      </c>
      <c r="G2544" s="1" t="s">
        <v>24</v>
      </c>
      <c r="H2544" s="1">
        <v>45110</v>
      </c>
      <c r="I2544" s="1">
        <v>93154</v>
      </c>
      <c r="J2544" s="7">
        <v>0.48399999999999999</v>
      </c>
      <c r="K2544" s="1" t="s">
        <v>29</v>
      </c>
      <c r="L2544" s="1" t="s">
        <v>21</v>
      </c>
      <c r="M2544" s="1" t="s">
        <v>29</v>
      </c>
      <c r="N2544" s="1" t="s">
        <v>22</v>
      </c>
      <c r="O2544" s="1" t="str">
        <f t="shared" ca="1" si="19"/>
        <v>Please solve the LeetCode problem '755. Pour Water'.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45" spans="1:15" x14ac:dyDescent="0.25">
      <c r="A2545" s="1">
        <v>2105</v>
      </c>
      <c r="B2545" s="2" t="str">
        <f>HYPERLINK("https://leetcode.com/problems/watering-plants-ii/", "Watering Plants II")</f>
        <v>Watering Plants II</v>
      </c>
      <c r="C2545" s="1">
        <v>314</v>
      </c>
      <c r="D2545" s="1">
        <v>165</v>
      </c>
      <c r="E2545" s="3">
        <f t="shared" si="18"/>
        <v>0.6555323590814196</v>
      </c>
      <c r="F2545" s="1" t="s">
        <v>303</v>
      </c>
      <c r="G2545" s="1" t="s">
        <v>24</v>
      </c>
      <c r="H2545" s="1">
        <v>28995</v>
      </c>
      <c r="I2545" s="1">
        <v>59824</v>
      </c>
      <c r="J2545" s="7">
        <v>0.48499999999999999</v>
      </c>
      <c r="K2545" s="1" t="s">
        <v>21</v>
      </c>
      <c r="L2545" s="1" t="s">
        <v>29</v>
      </c>
      <c r="M2545" s="1" t="s">
        <v>29</v>
      </c>
      <c r="N2545" s="1" t="s">
        <v>22</v>
      </c>
      <c r="O2545" s="1" t="str">
        <f t="shared" ca="1" si="19"/>
        <v>Please solve the LeetCode problem '2105. Watering Plants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46" spans="1:15" x14ac:dyDescent="0.25">
      <c r="A2546" s="1">
        <v>2778</v>
      </c>
      <c r="B2546" s="2" t="str">
        <f>HYPERLINK("https://leetcode.com/problems/sum-of-squares-of-special-elements/", "Sum of Squares of Special Elements ")</f>
        <v xml:space="preserve">Sum of Squares of Special Elements </v>
      </c>
      <c r="C2546" s="1">
        <v>314</v>
      </c>
      <c r="D2546" s="1">
        <v>135</v>
      </c>
      <c r="E2546" s="3">
        <f t="shared" si="18"/>
        <v>0.69933184855233854</v>
      </c>
      <c r="F2546" s="1" t="s">
        <v>654</v>
      </c>
      <c r="G2546" s="1" t="s">
        <v>20</v>
      </c>
      <c r="H2546" s="1">
        <v>96929</v>
      </c>
      <c r="I2546" s="1">
        <v>118508</v>
      </c>
      <c r="J2546" s="7">
        <v>0.81799999999999995</v>
      </c>
      <c r="K2546" s="1" t="s">
        <v>21</v>
      </c>
      <c r="L2546" s="1" t="s">
        <v>29</v>
      </c>
      <c r="M2546" s="1" t="s">
        <v>29</v>
      </c>
      <c r="N2546" s="1" t="s">
        <v>22</v>
      </c>
      <c r="O2546" s="1" t="str">
        <f t="shared" ca="1" si="19"/>
        <v>Please solve the LeetCode problem '2778. Sum of Squares of Special Elements 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47" spans="1:15" x14ac:dyDescent="0.25">
      <c r="A2547" s="1">
        <v>2859</v>
      </c>
      <c r="B2547" s="2" t="str">
        <f>HYPERLINK("https://leetcode.com/problems/sum-of-values-at-indices-with-k-set-bits/", "Sum of Values at Indices With K Set Bits")</f>
        <v>Sum of Values at Indices With K Set Bits</v>
      </c>
      <c r="C2547" s="1">
        <v>314</v>
      </c>
      <c r="D2547" s="1">
        <v>50</v>
      </c>
      <c r="E2547" s="3">
        <f t="shared" si="18"/>
        <v>0.86263736263736268</v>
      </c>
      <c r="F2547" s="1" t="s">
        <v>65</v>
      </c>
      <c r="G2547" s="1" t="s">
        <v>20</v>
      </c>
      <c r="H2547" s="1">
        <v>93479</v>
      </c>
      <c r="I2547" s="1">
        <v>108723</v>
      </c>
      <c r="J2547" s="7">
        <v>0.86</v>
      </c>
      <c r="K2547" s="1" t="s">
        <v>21</v>
      </c>
      <c r="L2547" s="1" t="s">
        <v>29</v>
      </c>
      <c r="M2547" s="1" t="s">
        <v>29</v>
      </c>
      <c r="N2547" s="1" t="s">
        <v>22</v>
      </c>
      <c r="O2547" s="1" t="str">
        <f t="shared" ca="1" si="19"/>
        <v>Please solve the LeetCode problem '2859. Sum of Values at Indices With K Set Bits'.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48" spans="1:15" x14ac:dyDescent="0.25">
      <c r="A2548" s="1">
        <v>1739</v>
      </c>
      <c r="B2548" s="2" t="str">
        <f>HYPERLINK("https://leetcode.com/problems/building-boxes/", "Building Boxes")</f>
        <v>Building Boxes</v>
      </c>
      <c r="C2548" s="1">
        <v>313</v>
      </c>
      <c r="D2548" s="1">
        <v>49</v>
      </c>
      <c r="E2548" s="3">
        <f t="shared" si="18"/>
        <v>0.86464088397790051</v>
      </c>
      <c r="F2548" s="1" t="s">
        <v>399</v>
      </c>
      <c r="G2548" s="1" t="s">
        <v>28</v>
      </c>
      <c r="H2548" s="1">
        <v>9418</v>
      </c>
      <c r="I2548" s="1">
        <v>18002</v>
      </c>
      <c r="J2548" s="7">
        <v>0.52300000000000002</v>
      </c>
      <c r="K2548" s="1" t="s">
        <v>21</v>
      </c>
      <c r="L2548" s="1" t="s">
        <v>29</v>
      </c>
      <c r="M2548" s="1" t="s">
        <v>29</v>
      </c>
      <c r="N2548" s="1" t="s">
        <v>22</v>
      </c>
      <c r="O2548" s="1" t="str">
        <f t="shared" ca="1" si="19"/>
        <v>Please solve the LeetCode problem '1739. Building Boxes'.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49" spans="1:15" x14ac:dyDescent="0.25">
      <c r="A2549" s="1">
        <v>2944</v>
      </c>
      <c r="B2549" s="2" t="str">
        <f>HYPERLINK("https://leetcode.com/problems/minimum-number-of-coins-for-fruits/", "Minimum Number of Coins for Fruits")</f>
        <v>Minimum Number of Coins for Fruits</v>
      </c>
      <c r="C2549" s="1">
        <v>313</v>
      </c>
      <c r="D2549" s="1">
        <v>81</v>
      </c>
      <c r="E2549" s="3">
        <f t="shared" si="18"/>
        <v>0.79441624365482233</v>
      </c>
      <c r="F2549" s="1" t="s">
        <v>345</v>
      </c>
      <c r="G2549" s="1" t="s">
        <v>24</v>
      </c>
      <c r="H2549" s="1">
        <v>22783</v>
      </c>
      <c r="I2549" s="1">
        <v>46974</v>
      </c>
      <c r="J2549" s="7">
        <v>0.48499999999999999</v>
      </c>
      <c r="K2549" s="1" t="s">
        <v>21</v>
      </c>
      <c r="L2549" s="1" t="s">
        <v>29</v>
      </c>
      <c r="M2549" s="1" t="s">
        <v>29</v>
      </c>
      <c r="N2549" s="1" t="s">
        <v>22</v>
      </c>
      <c r="O2549" s="1" t="str">
        <f t="shared" ca="1" si="19"/>
        <v>Please solve the LeetCode problem '2944. Minimum Number of Coins for Fruits'.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50" spans="1:15" x14ac:dyDescent="0.25">
      <c r="A2550" s="1">
        <v>1501</v>
      </c>
      <c r="B2550" s="2" t="str">
        <f>HYPERLINK("https://leetcode.com/problems/countries-you-can-safely-invest-in/", "Countries You Can Safely Invest In")</f>
        <v>Countries You Can Safely Invest In</v>
      </c>
      <c r="C2550" s="1">
        <v>312</v>
      </c>
      <c r="D2550" s="1">
        <v>149</v>
      </c>
      <c r="E2550" s="3">
        <f t="shared" si="18"/>
        <v>0.67678958785249455</v>
      </c>
      <c r="F2550" s="1" t="s">
        <v>297</v>
      </c>
      <c r="G2550" s="1" t="s">
        <v>24</v>
      </c>
      <c r="H2550" s="1">
        <v>48690</v>
      </c>
      <c r="I2550" s="1">
        <v>96141</v>
      </c>
      <c r="J2550" s="7">
        <v>0.50600000000000001</v>
      </c>
      <c r="K2550" s="1" t="s">
        <v>29</v>
      </c>
      <c r="L2550" s="1" t="s">
        <v>29</v>
      </c>
      <c r="M2550" s="1" t="s">
        <v>29</v>
      </c>
      <c r="N2550" s="1" t="s">
        <v>297</v>
      </c>
      <c r="O2550" s="1" t="str">
        <f t="shared" ca="1" si="19"/>
        <v>Please solve the LeetCode problem '1501. Countries You Can Safely Invest In'.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51" spans="1:15" x14ac:dyDescent="0.25">
      <c r="A2551" s="1">
        <v>1746</v>
      </c>
      <c r="B2551" s="2" t="str">
        <f>HYPERLINK("https://leetcode.com/problems/maximum-subarray-sum-after-one-operation/", "Maximum Subarray Sum After One Operation")</f>
        <v>Maximum Subarray Sum After One Operation</v>
      </c>
      <c r="C2551" s="1">
        <v>312</v>
      </c>
      <c r="D2551" s="1">
        <v>10</v>
      </c>
      <c r="E2551" s="3">
        <f t="shared" si="18"/>
        <v>0.96894409937888204</v>
      </c>
      <c r="F2551" s="1" t="s">
        <v>30</v>
      </c>
      <c r="G2551" s="1" t="s">
        <v>24</v>
      </c>
      <c r="H2551" s="1">
        <v>13793</v>
      </c>
      <c r="I2551" s="1">
        <v>21144</v>
      </c>
      <c r="J2551" s="7">
        <v>0.65200000000000002</v>
      </c>
      <c r="K2551" s="1" t="s">
        <v>29</v>
      </c>
      <c r="L2551" s="1" t="s">
        <v>21</v>
      </c>
      <c r="M2551" s="1" t="s">
        <v>29</v>
      </c>
      <c r="N2551" s="1" t="s">
        <v>22</v>
      </c>
      <c r="O2551" s="1" t="str">
        <f t="shared" ca="1" si="19"/>
        <v>Please solve the LeetCode problem '1746. Maximum Subarray Sum After One Operation'.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52" spans="1:15" x14ac:dyDescent="0.25">
      <c r="A2552" s="1">
        <v>2715</v>
      </c>
      <c r="B2552" s="2" t="str">
        <f>HYPERLINK("https://leetcode.com/problems/timeout-cancellation/", "Timeout Cancellation")</f>
        <v>Timeout Cancellation</v>
      </c>
      <c r="C2552" s="1">
        <v>312</v>
      </c>
      <c r="D2552" s="1">
        <v>364</v>
      </c>
      <c r="E2552" s="3">
        <f t="shared" si="18"/>
        <v>0.46153846153846156</v>
      </c>
      <c r="G2552" s="1" t="s">
        <v>20</v>
      </c>
      <c r="H2552" s="1">
        <v>95745</v>
      </c>
      <c r="I2552" s="1">
        <v>106913</v>
      </c>
      <c r="J2552" s="7">
        <v>0.89600000000000002</v>
      </c>
      <c r="K2552" s="1" t="s">
        <v>21</v>
      </c>
      <c r="L2552" s="1" t="s">
        <v>21</v>
      </c>
      <c r="M2552" s="1" t="s">
        <v>29</v>
      </c>
      <c r="N2552" s="1" t="s">
        <v>555</v>
      </c>
      <c r="O2552" s="1" t="str">
        <f t="shared" ca="1" si="19"/>
        <v>Please solve the LeetCode problem '2715. Timeout Cancellation'.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53" spans="1:15" x14ac:dyDescent="0.25">
      <c r="A2553" s="1">
        <v>1699</v>
      </c>
      <c r="B2553" s="2" t="str">
        <f>HYPERLINK("https://leetcode.com/problems/number-of-calls-between-two-persons/", "Number of Calls Between Two Persons")</f>
        <v>Number of Calls Between Two Persons</v>
      </c>
      <c r="C2553" s="1">
        <v>311</v>
      </c>
      <c r="D2553" s="1">
        <v>16</v>
      </c>
      <c r="E2553" s="3">
        <f t="shared" si="18"/>
        <v>0.95107033639143734</v>
      </c>
      <c r="F2553" s="1" t="s">
        <v>297</v>
      </c>
      <c r="G2553" s="1" t="s">
        <v>24</v>
      </c>
      <c r="H2553" s="1">
        <v>52374</v>
      </c>
      <c r="I2553" s="1">
        <v>64813</v>
      </c>
      <c r="J2553" s="7">
        <v>0.80800000000000005</v>
      </c>
      <c r="K2553" s="1" t="s">
        <v>29</v>
      </c>
      <c r="L2553" s="1" t="s">
        <v>29</v>
      </c>
      <c r="M2553" s="1" t="s">
        <v>29</v>
      </c>
      <c r="N2553" s="1" t="s">
        <v>297</v>
      </c>
      <c r="O2553" s="1" t="str">
        <f t="shared" ca="1" si="19"/>
        <v>Please solve the LeetCode problem '1699. Number of Calls Between Two Persons'.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54" spans="1:15" x14ac:dyDescent="0.25">
      <c r="A2554" s="1">
        <v>2241</v>
      </c>
      <c r="B2554" s="2" t="str">
        <f>HYPERLINK("https://leetcode.com/problems/design-an-atm-machine/", "Design an ATM Machine")</f>
        <v>Design an ATM Machine</v>
      </c>
      <c r="C2554" s="1">
        <v>310</v>
      </c>
      <c r="D2554" s="1">
        <v>382</v>
      </c>
      <c r="E2554" s="3">
        <f t="shared" ref="E2554:E2808" si="20">IF(INDEX(C:C, ROW())+INDEX(D:D, ROW())=0, 0, INDEX(C:C, ROW())/(INDEX(C:C, ROW())+INDEX(D:D, ROW())))</f>
        <v>0.44797687861271679</v>
      </c>
      <c r="F2554" s="1" t="s">
        <v>1039</v>
      </c>
      <c r="G2554" s="1" t="s">
        <v>24</v>
      </c>
      <c r="H2554" s="1">
        <v>33449</v>
      </c>
      <c r="I2554" s="1">
        <v>75518</v>
      </c>
      <c r="J2554" s="7">
        <v>0.443</v>
      </c>
      <c r="K2554" s="1" t="s">
        <v>21</v>
      </c>
      <c r="L2554" s="1" t="s">
        <v>29</v>
      </c>
      <c r="M2554" s="1" t="s">
        <v>29</v>
      </c>
      <c r="N2554" s="1" t="s">
        <v>22</v>
      </c>
      <c r="O2554" s="1" t="str">
        <f t="shared" ref="O2554:O2808" ca="1" si="21"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>Please solve the LeetCode problem '2241. Design an ATM Machine'.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55" spans="1:15" x14ac:dyDescent="0.25">
      <c r="A2555" s="1">
        <v>2735</v>
      </c>
      <c r="B2555" s="2" t="str">
        <f>HYPERLINK("https://leetcode.com/problems/collecting-chocolates/", "Collecting Chocolates")</f>
        <v>Collecting Chocolates</v>
      </c>
      <c r="C2555" s="1">
        <v>310</v>
      </c>
      <c r="D2555" s="1">
        <v>555</v>
      </c>
      <c r="E2555" s="3">
        <f t="shared" si="20"/>
        <v>0.3583815028901734</v>
      </c>
      <c r="F2555" s="1" t="s">
        <v>654</v>
      </c>
      <c r="G2555" s="1" t="s">
        <v>24</v>
      </c>
      <c r="H2555" s="1">
        <v>14889</v>
      </c>
      <c r="I2555" s="1">
        <v>42994</v>
      </c>
      <c r="J2555" s="7">
        <v>0.34599999999999997</v>
      </c>
      <c r="K2555" s="1" t="s">
        <v>21</v>
      </c>
      <c r="L2555" s="1" t="s">
        <v>29</v>
      </c>
      <c r="M2555" s="1" t="s">
        <v>29</v>
      </c>
      <c r="N2555" s="1" t="s">
        <v>22</v>
      </c>
      <c r="O2555" s="1" t="str">
        <f t="shared" ca="1" si="21"/>
        <v>Please solve the LeetCode problem '2735. Collecting Chocolates'.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56" spans="1:15" x14ac:dyDescent="0.25">
      <c r="A2556" s="1">
        <v>2587</v>
      </c>
      <c r="B2556" s="2" t="str">
        <f>HYPERLINK("https://leetcode.com/problems/rearrange-array-to-maximize-prefix-score/", "Rearrange Array to Maximize Prefix Score")</f>
        <v>Rearrange Array to Maximize Prefix Score</v>
      </c>
      <c r="C2556" s="1">
        <v>308</v>
      </c>
      <c r="D2556" s="1">
        <v>53</v>
      </c>
      <c r="E2556" s="3">
        <f t="shared" si="20"/>
        <v>0.85318559556786699</v>
      </c>
      <c r="F2556" s="1" t="s">
        <v>755</v>
      </c>
      <c r="G2556" s="1" t="s">
        <v>24</v>
      </c>
      <c r="H2556" s="1">
        <v>38447</v>
      </c>
      <c r="I2556" s="1">
        <v>90829</v>
      </c>
      <c r="J2556" s="7">
        <v>0.42299999999999999</v>
      </c>
      <c r="K2556" s="1" t="s">
        <v>21</v>
      </c>
      <c r="L2556" s="1" t="s">
        <v>29</v>
      </c>
      <c r="M2556" s="1" t="s">
        <v>29</v>
      </c>
      <c r="N2556" s="1" t="s">
        <v>22</v>
      </c>
      <c r="O2556" s="1" t="str">
        <f t="shared" ca="1" si="21"/>
        <v>Please solve the LeetCode problem '2587. Rearrange Array to Maximize Prefix Score'.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57" spans="1:15" x14ac:dyDescent="0.25">
      <c r="A2557" s="1">
        <v>2784</v>
      </c>
      <c r="B2557" s="2" t="str">
        <f>HYPERLINK("https://leetcode.com/problems/check-if-array-is-good/", "Check if Array is Good")</f>
        <v>Check if Array is Good</v>
      </c>
      <c r="C2557" s="1">
        <v>308</v>
      </c>
      <c r="D2557" s="1">
        <v>54</v>
      </c>
      <c r="E2557" s="3">
        <f t="shared" si="20"/>
        <v>0.850828729281768</v>
      </c>
      <c r="F2557" s="1" t="s">
        <v>92</v>
      </c>
      <c r="G2557" s="1" t="s">
        <v>20</v>
      </c>
      <c r="H2557" s="1">
        <v>63216</v>
      </c>
      <c r="I2557" s="1">
        <v>129865</v>
      </c>
      <c r="J2557" s="7">
        <v>0.48699999999999999</v>
      </c>
      <c r="K2557" s="1" t="s">
        <v>21</v>
      </c>
      <c r="L2557" s="1" t="s">
        <v>29</v>
      </c>
      <c r="M2557" s="1" t="s">
        <v>29</v>
      </c>
      <c r="N2557" s="1" t="s">
        <v>22</v>
      </c>
      <c r="O2557" s="1" t="str">
        <f t="shared" ca="1" si="21"/>
        <v>Please solve the LeetCode problem '2784. Check if Array is Good'.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58" spans="1:15" x14ac:dyDescent="0.25">
      <c r="A2558" s="1">
        <v>248</v>
      </c>
      <c r="B2558" s="2" t="str">
        <f>HYPERLINK("https://leetcode.com/problems/strobogrammatic-number-iii/", "Strobogrammatic Number III")</f>
        <v>Strobogrammatic Number III</v>
      </c>
      <c r="C2558" s="1">
        <v>307</v>
      </c>
      <c r="D2558" s="1">
        <v>193</v>
      </c>
      <c r="E2558" s="3">
        <f t="shared" si="20"/>
        <v>0.61399999999999999</v>
      </c>
      <c r="F2558" s="1" t="s">
        <v>721</v>
      </c>
      <c r="G2558" s="1" t="s">
        <v>28</v>
      </c>
      <c r="H2558" s="1">
        <v>38217</v>
      </c>
      <c r="I2558" s="1">
        <v>89629</v>
      </c>
      <c r="J2558" s="7">
        <v>0.42599999999999999</v>
      </c>
      <c r="K2558" s="1" t="s">
        <v>29</v>
      </c>
      <c r="L2558" s="1" t="s">
        <v>29</v>
      </c>
      <c r="M2558" s="1" t="s">
        <v>29</v>
      </c>
      <c r="N2558" s="1" t="s">
        <v>22</v>
      </c>
      <c r="O2558" s="1" t="str">
        <f t="shared" ca="1" si="21"/>
        <v>Please solve the LeetCode problem '248. Strobogrammatic Number III'.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59" spans="1:15" x14ac:dyDescent="0.25">
      <c r="A2559" s="1">
        <v>3512</v>
      </c>
      <c r="B2559" s="2" t="str">
        <f>HYPERLINK("https://leetcode.com/problems/minimum-operations-to-make-array-sum-divisible-by-k/", "Minimum Operations to Make Array Sum Divisible by K")</f>
        <v>Minimum Operations to Make Array Sum Divisible by K</v>
      </c>
      <c r="C2559" s="1">
        <v>307</v>
      </c>
      <c r="D2559" s="1">
        <v>33</v>
      </c>
      <c r="E2559" s="3">
        <f t="shared" si="20"/>
        <v>0.90294117647058825</v>
      </c>
      <c r="F2559" s="1" t="s">
        <v>115</v>
      </c>
      <c r="G2559" s="1" t="s">
        <v>20</v>
      </c>
      <c r="H2559" s="1">
        <v>166990</v>
      </c>
      <c r="I2559" s="1">
        <v>180510</v>
      </c>
      <c r="J2559" s="7">
        <v>0.92500000000000004</v>
      </c>
      <c r="K2559" s="1" t="s">
        <v>21</v>
      </c>
      <c r="L2559" s="1" t="s">
        <v>21</v>
      </c>
      <c r="M2559" s="1" t="s">
        <v>29</v>
      </c>
      <c r="N2559" s="1" t="s">
        <v>22</v>
      </c>
      <c r="O2559" s="1" t="str">
        <f t="shared" ca="1" si="21"/>
        <v>Please solve the LeetCode problem '3512. Minimum Operations to Make Array Sum Divisible by K'.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60" spans="1:15" x14ac:dyDescent="0.25">
      <c r="A2560" s="1">
        <v>1236</v>
      </c>
      <c r="B2560" s="2" t="str">
        <f>HYPERLINK("https://leetcode.com/problems/web-crawler/", "Web Crawler")</f>
        <v>Web Crawler</v>
      </c>
      <c r="C2560" s="1">
        <v>306</v>
      </c>
      <c r="D2560" s="1">
        <v>334</v>
      </c>
      <c r="E2560" s="3">
        <f t="shared" si="20"/>
        <v>0.47812500000000002</v>
      </c>
      <c r="F2560" s="1" t="s">
        <v>1040</v>
      </c>
      <c r="G2560" s="1" t="s">
        <v>24</v>
      </c>
      <c r="H2560" s="1">
        <v>51622</v>
      </c>
      <c r="I2560" s="1">
        <v>74953</v>
      </c>
      <c r="J2560" s="7">
        <v>0.68899999999999995</v>
      </c>
      <c r="K2560" s="1" t="s">
        <v>29</v>
      </c>
      <c r="L2560" s="1" t="s">
        <v>21</v>
      </c>
      <c r="M2560" s="1" t="s">
        <v>29</v>
      </c>
      <c r="N2560" s="1" t="s">
        <v>22</v>
      </c>
      <c r="O2560" s="1" t="str">
        <f t="shared" ca="1" si="21"/>
        <v>Please solve the LeetCode problem '1236. Web Crawler'.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61" spans="1:15" x14ac:dyDescent="0.25">
      <c r="A2561" s="1">
        <v>2437</v>
      </c>
      <c r="B2561" s="2" t="str">
        <f>HYPERLINK("https://leetcode.com/problems/number-of-valid-clock-times/", "Number of Valid Clock Times")</f>
        <v>Number of Valid Clock Times</v>
      </c>
      <c r="C2561" s="1">
        <v>306</v>
      </c>
      <c r="D2561" s="1">
        <v>246</v>
      </c>
      <c r="E2561" s="3">
        <f t="shared" si="20"/>
        <v>0.55434782608695654</v>
      </c>
      <c r="F2561" s="1" t="s">
        <v>831</v>
      </c>
      <c r="G2561" s="1" t="s">
        <v>20</v>
      </c>
      <c r="H2561" s="1">
        <v>37581</v>
      </c>
      <c r="I2561" s="1">
        <v>78611</v>
      </c>
      <c r="J2561" s="7">
        <v>0.47799999999999998</v>
      </c>
      <c r="K2561" s="1" t="s">
        <v>21</v>
      </c>
      <c r="L2561" s="1" t="s">
        <v>29</v>
      </c>
      <c r="M2561" s="1" t="s">
        <v>29</v>
      </c>
      <c r="N2561" s="1" t="s">
        <v>22</v>
      </c>
      <c r="O2561" s="1" t="str">
        <f t="shared" ca="1" si="21"/>
        <v>Please solve the LeetCode problem '2437. Number of Valid Clock Times'.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62" spans="1:15" x14ac:dyDescent="0.25">
      <c r="A2562" s="1">
        <v>3480</v>
      </c>
      <c r="B2562" s="2" t="str">
        <f>HYPERLINK("https://leetcode.com/problems/maximize-subarrays-after-removing-one-conflicting-pair/", "Maximize Subarrays After Removing One Conflicting Pair")</f>
        <v>Maximize Subarrays After Removing One Conflicting Pair</v>
      </c>
      <c r="C2562" s="1">
        <v>305</v>
      </c>
      <c r="D2562" s="1">
        <v>57</v>
      </c>
      <c r="E2562" s="3">
        <f t="shared" si="20"/>
        <v>0.84254143646408841</v>
      </c>
      <c r="F2562" s="1" t="s">
        <v>1042</v>
      </c>
      <c r="G2562" s="1" t="s">
        <v>28</v>
      </c>
      <c r="H2562" s="1">
        <v>57257</v>
      </c>
      <c r="I2562" s="1">
        <v>88525</v>
      </c>
      <c r="J2562" s="7">
        <v>0.64700000000000002</v>
      </c>
      <c r="K2562" s="1" t="s">
        <v>21</v>
      </c>
      <c r="L2562" s="1" t="s">
        <v>21</v>
      </c>
      <c r="M2562" s="1" t="s">
        <v>29</v>
      </c>
      <c r="N2562" s="1" t="s">
        <v>22</v>
      </c>
      <c r="O2562" s="1" t="str">
        <f t="shared" ca="1" si="21"/>
        <v>Please solve the LeetCode problem '3480. Maximize Subarrays After Removing One Conflicting Pair'.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63" spans="1:15" x14ac:dyDescent="0.25">
      <c r="A2563" s="1">
        <v>1583</v>
      </c>
      <c r="B2563" s="2" t="str">
        <f>HYPERLINK("https://leetcode.com/problems/count-unhappy-friends/", "Count Unhappy Friends")</f>
        <v>Count Unhappy Friends</v>
      </c>
      <c r="C2563" s="1">
        <v>304</v>
      </c>
      <c r="D2563" s="1">
        <v>886</v>
      </c>
      <c r="E2563" s="3">
        <f t="shared" si="20"/>
        <v>0.25546218487394956</v>
      </c>
      <c r="F2563" s="1" t="s">
        <v>306</v>
      </c>
      <c r="G2563" s="1" t="s">
        <v>24</v>
      </c>
      <c r="H2563" s="1">
        <v>33568</v>
      </c>
      <c r="I2563" s="1">
        <v>53787</v>
      </c>
      <c r="J2563" s="7">
        <v>0.624</v>
      </c>
      <c r="K2563" s="1" t="s">
        <v>21</v>
      </c>
      <c r="L2563" s="1" t="s">
        <v>29</v>
      </c>
      <c r="M2563" s="1" t="s">
        <v>29</v>
      </c>
      <c r="N2563" s="1" t="s">
        <v>22</v>
      </c>
      <c r="O2563" s="1" t="str">
        <f t="shared" ca="1" si="21"/>
        <v>Please solve the LeetCode problem '1583. Count Unhappy Friends'.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64" spans="1:15" x14ac:dyDescent="0.25">
      <c r="A2564" s="1">
        <v>2456</v>
      </c>
      <c r="B2564" s="2" t="str">
        <f>HYPERLINK("https://leetcode.com/problems/most-popular-video-creator/", "Most Popular Video Creator")</f>
        <v>Most Popular Video Creator</v>
      </c>
      <c r="C2564" s="1">
        <v>304</v>
      </c>
      <c r="D2564" s="1">
        <v>384</v>
      </c>
      <c r="E2564" s="3">
        <f t="shared" si="20"/>
        <v>0.44186046511627908</v>
      </c>
      <c r="F2564" s="1" t="s">
        <v>1009</v>
      </c>
      <c r="G2564" s="1" t="s">
        <v>24</v>
      </c>
      <c r="H2564" s="1">
        <v>27904</v>
      </c>
      <c r="I2564" s="1">
        <v>61754</v>
      </c>
      <c r="J2564" s="7">
        <v>0.45200000000000001</v>
      </c>
      <c r="K2564" s="1" t="s">
        <v>21</v>
      </c>
      <c r="L2564" s="1" t="s">
        <v>29</v>
      </c>
      <c r="M2564" s="1" t="s">
        <v>29</v>
      </c>
      <c r="N2564" s="1" t="s">
        <v>22</v>
      </c>
      <c r="O2564" s="1" t="str">
        <f t="shared" ca="1" si="21"/>
        <v>Please solve the LeetCode problem '2456. Most Popular Video Creator'.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65" spans="1:15" x14ac:dyDescent="0.25">
      <c r="A2565" s="1">
        <v>1173</v>
      </c>
      <c r="B2565" s="2" t="str">
        <f>HYPERLINK("https://leetcode.com/problems/immediate-food-delivery-i/", "Immediate Food Delivery I")</f>
        <v>Immediate Food Delivery I</v>
      </c>
      <c r="C2565" s="1">
        <v>303</v>
      </c>
      <c r="D2565" s="1">
        <v>13</v>
      </c>
      <c r="E2565" s="3">
        <f t="shared" si="20"/>
        <v>0.95886075949367089</v>
      </c>
      <c r="F2565" s="1" t="s">
        <v>297</v>
      </c>
      <c r="G2565" s="1" t="s">
        <v>20</v>
      </c>
      <c r="H2565" s="1">
        <v>90309</v>
      </c>
      <c r="I2565" s="1">
        <v>111878</v>
      </c>
      <c r="J2565" s="7">
        <v>0.80700000000000005</v>
      </c>
      <c r="K2565" s="1" t="s">
        <v>29</v>
      </c>
      <c r="L2565" s="1" t="s">
        <v>21</v>
      </c>
      <c r="M2565" s="1" t="s">
        <v>29</v>
      </c>
      <c r="N2565" s="1" t="s">
        <v>297</v>
      </c>
      <c r="O2565" s="1" t="str">
        <f t="shared" ca="1" si="21"/>
        <v>Please solve the LeetCode problem '1173. Immediate Food Delivery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66" spans="1:15" x14ac:dyDescent="0.25">
      <c r="A2566" s="1">
        <v>3123</v>
      </c>
      <c r="B2566" s="2" t="str">
        <f>HYPERLINK("https://leetcode.com/problems/find-edges-in-shortest-paths/", "Find Edges in Shortest Paths")</f>
        <v>Find Edges in Shortest Paths</v>
      </c>
      <c r="C2566" s="1">
        <v>303</v>
      </c>
      <c r="D2566" s="1">
        <v>5</v>
      </c>
      <c r="E2566" s="3">
        <f t="shared" si="20"/>
        <v>0.98376623376623373</v>
      </c>
      <c r="F2566" s="1" t="s">
        <v>166</v>
      </c>
      <c r="G2566" s="1" t="s">
        <v>28</v>
      </c>
      <c r="H2566" s="1">
        <v>18458</v>
      </c>
      <c r="I2566" s="1">
        <v>39894</v>
      </c>
      <c r="J2566" s="7">
        <v>0.46300000000000002</v>
      </c>
      <c r="K2566" s="1" t="s">
        <v>21</v>
      </c>
      <c r="L2566" s="1" t="s">
        <v>29</v>
      </c>
      <c r="M2566" s="1" t="s">
        <v>29</v>
      </c>
      <c r="N2566" s="1" t="s">
        <v>22</v>
      </c>
      <c r="O2566" s="1" t="str">
        <f t="shared" ca="1" si="21"/>
        <v>Please solve the LeetCode problem '3123. Find Edges in Shortest Paths'.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67" spans="1:15" x14ac:dyDescent="0.25">
      <c r="A2567" s="1">
        <v>156</v>
      </c>
      <c r="B2567" s="2" t="str">
        <f>HYPERLINK("https://leetcode.com/problems/binary-tree-upside-down/", "Binary Tree Upside Down")</f>
        <v>Binary Tree Upside Down</v>
      </c>
      <c r="C2567" s="1">
        <v>301</v>
      </c>
      <c r="D2567" s="1">
        <v>388</v>
      </c>
      <c r="E2567" s="3">
        <f t="shared" si="20"/>
        <v>0.43686502177068215</v>
      </c>
      <c r="F2567" s="1" t="s">
        <v>67</v>
      </c>
      <c r="G2567" s="1" t="s">
        <v>24</v>
      </c>
      <c r="H2567" s="1">
        <v>117619</v>
      </c>
      <c r="I2567" s="1">
        <v>180310</v>
      </c>
      <c r="J2567" s="7">
        <v>0.65200000000000002</v>
      </c>
      <c r="K2567" s="1" t="s">
        <v>29</v>
      </c>
      <c r="L2567" s="1" t="s">
        <v>29</v>
      </c>
      <c r="M2567" s="1" t="s">
        <v>29</v>
      </c>
      <c r="N2567" s="1" t="s">
        <v>22</v>
      </c>
      <c r="O2567" s="1" t="str">
        <f t="shared" ca="1" si="21"/>
        <v>Please solve the LeetCode problem '156. Binary Tree Upside Down'.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68" spans="1:15" x14ac:dyDescent="0.25">
      <c r="A2568" s="1">
        <v>2861</v>
      </c>
      <c r="B2568" s="2" t="str">
        <f>HYPERLINK("https://leetcode.com/problems/maximum-number-of-alloys/", "Maximum Number of Alloys")</f>
        <v>Maximum Number of Alloys</v>
      </c>
      <c r="C2568" s="1">
        <v>300</v>
      </c>
      <c r="D2568" s="1">
        <v>56</v>
      </c>
      <c r="E2568" s="3">
        <f t="shared" si="20"/>
        <v>0.84269662921348309</v>
      </c>
      <c r="F2568" s="1" t="s">
        <v>35</v>
      </c>
      <c r="G2568" s="1" t="s">
        <v>24</v>
      </c>
      <c r="H2568" s="1">
        <v>18820</v>
      </c>
      <c r="I2568" s="1">
        <v>46936</v>
      </c>
      <c r="J2568" s="7">
        <v>0.40100000000000002</v>
      </c>
      <c r="K2568" s="1" t="s">
        <v>21</v>
      </c>
      <c r="L2568" s="1" t="s">
        <v>29</v>
      </c>
      <c r="M2568" s="1" t="s">
        <v>29</v>
      </c>
      <c r="N2568" s="1" t="s">
        <v>22</v>
      </c>
      <c r="O2568" s="1" t="str">
        <f t="shared" ca="1" si="21"/>
        <v>Please solve the LeetCode problem '2861. Maximum Number of Alloys'.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69" spans="1:15" x14ac:dyDescent="0.25">
      <c r="A2569" s="1">
        <v>3392</v>
      </c>
      <c r="B2569" s="2" t="str">
        <f>HYPERLINK("https://leetcode.com/problems/count-subarrays-of-length-three-with-a-condition/", "Count Subarrays of Length Three With a Condition")</f>
        <v>Count Subarrays of Length Three With a Condition</v>
      </c>
      <c r="C2569" s="1">
        <v>300</v>
      </c>
      <c r="D2569" s="1">
        <v>31</v>
      </c>
      <c r="E2569" s="3">
        <f t="shared" si="20"/>
        <v>0.90634441087613293</v>
      </c>
      <c r="F2569" s="1" t="s">
        <v>113</v>
      </c>
      <c r="G2569" s="1" t="s">
        <v>20</v>
      </c>
      <c r="H2569" s="1">
        <v>150088</v>
      </c>
      <c r="I2569" s="1">
        <v>244039</v>
      </c>
      <c r="J2569" s="7">
        <v>0.61499999999999999</v>
      </c>
      <c r="K2569" s="1" t="s">
        <v>21</v>
      </c>
      <c r="L2569" s="1" t="s">
        <v>21</v>
      </c>
      <c r="M2569" s="1" t="s">
        <v>29</v>
      </c>
      <c r="N2569" s="1" t="s">
        <v>22</v>
      </c>
      <c r="O2569" s="1" t="str">
        <f t="shared" ca="1" si="21"/>
        <v>Please solve the LeetCode problem '3392. Count Subarrays of Length Three With a Condition'.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70" spans="1:15" x14ac:dyDescent="0.25">
      <c r="A2570" s="1">
        <v>2905</v>
      </c>
      <c r="B2570" s="2" t="str">
        <f>HYPERLINK("https://leetcode.com/problems/find-indices-with-index-and-value-difference-ii/", "Find Indices With Index and Value Difference II")</f>
        <v>Find Indices With Index and Value Difference II</v>
      </c>
      <c r="C2570" s="1">
        <v>297</v>
      </c>
      <c r="D2570" s="1">
        <v>11</v>
      </c>
      <c r="E2570" s="3">
        <f t="shared" si="20"/>
        <v>0.9642857142857143</v>
      </c>
      <c r="F2570" s="1" t="s">
        <v>51</v>
      </c>
      <c r="G2570" s="1" t="s">
        <v>24</v>
      </c>
      <c r="H2570" s="1">
        <v>22437</v>
      </c>
      <c r="I2570" s="1">
        <v>69059</v>
      </c>
      <c r="J2570" s="7">
        <v>0.32500000000000001</v>
      </c>
      <c r="K2570" s="1" t="s">
        <v>21</v>
      </c>
      <c r="L2570" s="1" t="s">
        <v>29</v>
      </c>
      <c r="M2570" s="1" t="s">
        <v>29</v>
      </c>
      <c r="N2570" s="1" t="s">
        <v>22</v>
      </c>
      <c r="O2570" s="1" t="str">
        <f t="shared" ca="1" si="21"/>
        <v>Please solve the LeetCode problem '2905. Find Indices With Index and Value Difference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71" spans="1:15" x14ac:dyDescent="0.25">
      <c r="A2571" s="1">
        <v>2963</v>
      </c>
      <c r="B2571" s="2" t="str">
        <f>HYPERLINK("https://leetcode.com/problems/count-the-number-of-good-partitions/", "Count the Number of Good Partitions")</f>
        <v>Count the Number of Good Partitions</v>
      </c>
      <c r="C2571" s="1">
        <v>297</v>
      </c>
      <c r="D2571" s="1">
        <v>5</v>
      </c>
      <c r="E2571" s="3">
        <f t="shared" si="20"/>
        <v>0.98344370860927155</v>
      </c>
      <c r="F2571" s="1" t="s">
        <v>1041</v>
      </c>
      <c r="G2571" s="1" t="s">
        <v>28</v>
      </c>
      <c r="H2571" s="1">
        <v>14969</v>
      </c>
      <c r="I2571" s="1">
        <v>30769</v>
      </c>
      <c r="J2571" s="7">
        <v>0.48599999999999999</v>
      </c>
      <c r="K2571" s="1" t="s">
        <v>21</v>
      </c>
      <c r="L2571" s="1" t="s">
        <v>29</v>
      </c>
      <c r="M2571" s="1" t="s">
        <v>29</v>
      </c>
      <c r="N2571" s="1" t="s">
        <v>22</v>
      </c>
      <c r="O2571" s="1" t="str">
        <f t="shared" ca="1" si="21"/>
        <v>Please solve the LeetCode problem '2963. Count the Number of Good Partitions'.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72" spans="1:15" x14ac:dyDescent="0.25">
      <c r="A2572" s="1">
        <v>2636</v>
      </c>
      <c r="B2572" s="2" t="str">
        <f>HYPERLINK("https://leetcode.com/problems/promise-pool/", "Promise Pool")</f>
        <v>Promise Pool</v>
      </c>
      <c r="C2572" s="1">
        <v>296</v>
      </c>
      <c r="D2572" s="1">
        <v>27</v>
      </c>
      <c r="E2572" s="3">
        <f t="shared" si="20"/>
        <v>0.91640866873065019</v>
      </c>
      <c r="G2572" s="1" t="s">
        <v>24</v>
      </c>
      <c r="H2572" s="1">
        <v>14757</v>
      </c>
      <c r="I2572" s="1">
        <v>18578</v>
      </c>
      <c r="J2572" s="7">
        <v>0.79400000000000004</v>
      </c>
      <c r="K2572" s="1" t="s">
        <v>29</v>
      </c>
      <c r="L2572" s="1" t="s">
        <v>21</v>
      </c>
      <c r="M2572" s="1" t="s">
        <v>29</v>
      </c>
      <c r="N2572" s="1" t="s">
        <v>555</v>
      </c>
      <c r="O2572" s="1" t="str">
        <f t="shared" ca="1" si="21"/>
        <v>Please solve the LeetCode problem '2636. Promise Pool'.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73" spans="1:15" x14ac:dyDescent="0.25">
      <c r="A2573" s="1">
        <v>3347</v>
      </c>
      <c r="B2573" s="2" t="str">
        <f>HYPERLINK("https://leetcode.com/problems/maximum-frequency-of-an-element-after-performing-operations-ii/", "Maximum Frequency of an Element After Performing Operations II")</f>
        <v>Maximum Frequency of an Element After Performing Operations II</v>
      </c>
      <c r="C2573" s="1">
        <v>296</v>
      </c>
      <c r="D2573" s="1">
        <v>21</v>
      </c>
      <c r="E2573" s="3">
        <f t="shared" si="20"/>
        <v>0.93375394321766558</v>
      </c>
      <c r="F2573" s="1" t="s">
        <v>849</v>
      </c>
      <c r="G2573" s="1" t="s">
        <v>28</v>
      </c>
      <c r="H2573" s="1">
        <v>66039</v>
      </c>
      <c r="I2573" s="1">
        <v>122512</v>
      </c>
      <c r="J2573" s="7">
        <v>0.53900000000000003</v>
      </c>
      <c r="K2573" s="1" t="s">
        <v>21</v>
      </c>
      <c r="L2573" s="1" t="s">
        <v>21</v>
      </c>
      <c r="M2573" s="1" t="s">
        <v>29</v>
      </c>
      <c r="N2573" s="1" t="s">
        <v>22</v>
      </c>
      <c r="O2573" s="1" t="str">
        <f t="shared" ca="1" si="21"/>
        <v>Please solve the LeetCode problem '3347. Maximum Frequency of an Element After Performing Operations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74" spans="1:15" x14ac:dyDescent="0.25">
      <c r="A2574" s="1">
        <v>1467</v>
      </c>
      <c r="B2574" s="2" t="str">
        <f>HYPERLINK("https://leetcode.com/problems/probability-of-a-two-boxes-having-the-same-number-of-distinct-balls/", "Probability of a Two Boxes Having The Same Number of Distinct Balls")</f>
        <v>Probability of a Two Boxes Having The Same Number of Distinct Balls</v>
      </c>
      <c r="C2574" s="1">
        <v>295</v>
      </c>
      <c r="D2574" s="1">
        <v>178</v>
      </c>
      <c r="E2574" s="3">
        <f t="shared" si="20"/>
        <v>0.62367864693446085</v>
      </c>
      <c r="F2574" s="1" t="s">
        <v>1044</v>
      </c>
      <c r="G2574" s="1" t="s">
        <v>28</v>
      </c>
      <c r="H2574" s="1">
        <v>11209</v>
      </c>
      <c r="I2574" s="1">
        <v>18479</v>
      </c>
      <c r="J2574" s="7">
        <v>0.60699999999999998</v>
      </c>
      <c r="K2574" s="1" t="s">
        <v>21</v>
      </c>
      <c r="L2574" s="1" t="s">
        <v>29</v>
      </c>
      <c r="M2574" s="1" t="s">
        <v>29</v>
      </c>
      <c r="N2574" s="1" t="s">
        <v>22</v>
      </c>
      <c r="O2574" s="1" t="str">
        <f t="shared" ca="1" si="21"/>
        <v>Please solve the LeetCode problem '1467. Probability of a Two Boxes Having The Same Number of Distinct Balls'.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75" spans="1:15" x14ac:dyDescent="0.25">
      <c r="A2575" s="1">
        <v>1681</v>
      </c>
      <c r="B2575" s="2" t="str">
        <f>HYPERLINK("https://leetcode.com/problems/minimum-incompatibility/", "Minimum Incompatibility")</f>
        <v>Minimum Incompatibility</v>
      </c>
      <c r="C2575" s="1">
        <v>294</v>
      </c>
      <c r="D2575" s="1">
        <v>101</v>
      </c>
      <c r="E2575" s="3">
        <f t="shared" si="20"/>
        <v>0.7443037974683544</v>
      </c>
      <c r="F2575" s="1" t="s">
        <v>1359</v>
      </c>
      <c r="G2575" s="1" t="s">
        <v>28</v>
      </c>
      <c r="H2575" s="1">
        <v>10779</v>
      </c>
      <c r="I2575" s="1">
        <v>26369</v>
      </c>
      <c r="J2575" s="7">
        <v>0.40899999999999997</v>
      </c>
      <c r="K2575" s="1" t="s">
        <v>21</v>
      </c>
      <c r="L2575" s="1" t="s">
        <v>29</v>
      </c>
      <c r="M2575" s="1" t="s">
        <v>29</v>
      </c>
      <c r="N2575" s="1" t="s">
        <v>22</v>
      </c>
      <c r="O2575" s="1" t="str">
        <f t="shared" ca="1" si="21"/>
        <v>Please solve the LeetCode problem '1681. Minimum Incompatibility'.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76" spans="1:15" x14ac:dyDescent="0.25">
      <c r="A2576" s="1">
        <v>2355</v>
      </c>
      <c r="B2576" s="2" t="str">
        <f>HYPERLINK("https://leetcode.com/problems/maximum-number-of-books-you-can-take/", "Maximum Number of Books You Can Take")</f>
        <v>Maximum Number of Books You Can Take</v>
      </c>
      <c r="C2576" s="1">
        <v>294</v>
      </c>
      <c r="D2576" s="1">
        <v>41</v>
      </c>
      <c r="E2576" s="3">
        <f t="shared" si="20"/>
        <v>0.87761194029850742</v>
      </c>
      <c r="F2576" s="1" t="s">
        <v>151</v>
      </c>
      <c r="G2576" s="1" t="s">
        <v>28</v>
      </c>
      <c r="H2576" s="1">
        <v>13316</v>
      </c>
      <c r="I2576" s="1">
        <v>33796</v>
      </c>
      <c r="J2576" s="7">
        <v>0.39400000000000002</v>
      </c>
      <c r="K2576" s="1" t="s">
        <v>29</v>
      </c>
      <c r="L2576" s="1" t="s">
        <v>21</v>
      </c>
      <c r="M2576" s="1" t="s">
        <v>29</v>
      </c>
      <c r="N2576" s="1" t="s">
        <v>22</v>
      </c>
      <c r="O2576" s="1" t="str">
        <f t="shared" ca="1" si="21"/>
        <v>Please solve the LeetCode problem '2355. Maximum Number of Books You Can Take'.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77" spans="1:15" x14ac:dyDescent="0.25">
      <c r="A2577" s="1">
        <v>2223</v>
      </c>
      <c r="B2577" s="2" t="str">
        <f>HYPERLINK("https://leetcode.com/problems/sum-of-scores-of-built-strings/", "Sum of Scores of Built Strings")</f>
        <v>Sum of Scores of Built Strings</v>
      </c>
      <c r="C2577" s="1">
        <v>293</v>
      </c>
      <c r="D2577" s="1">
        <v>189</v>
      </c>
      <c r="E2577" s="3">
        <f t="shared" si="20"/>
        <v>0.60788381742738584</v>
      </c>
      <c r="F2577" s="1" t="s">
        <v>1043</v>
      </c>
      <c r="G2577" s="1" t="s">
        <v>28</v>
      </c>
      <c r="H2577" s="1">
        <v>12936</v>
      </c>
      <c r="I2577" s="1">
        <v>28547</v>
      </c>
      <c r="J2577" s="7">
        <v>0.45300000000000001</v>
      </c>
      <c r="K2577" s="1" t="s">
        <v>21</v>
      </c>
      <c r="L2577" s="1" t="s">
        <v>29</v>
      </c>
      <c r="M2577" s="1" t="s">
        <v>29</v>
      </c>
      <c r="N2577" s="1" t="s">
        <v>22</v>
      </c>
      <c r="O2577" s="1" t="str">
        <f t="shared" ca="1" si="21"/>
        <v>Please solve the LeetCode problem '2223. Sum of Scores of Built Strings'.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78" spans="1:15" x14ac:dyDescent="0.25">
      <c r="A2578" s="1">
        <v>2397</v>
      </c>
      <c r="B2578" s="2" t="str">
        <f>HYPERLINK("https://leetcode.com/problems/maximum-rows-covered-by-columns/", "Maximum Rows Covered by Columns")</f>
        <v>Maximum Rows Covered by Columns</v>
      </c>
      <c r="C2578" s="1">
        <v>293</v>
      </c>
      <c r="D2578" s="1">
        <v>436</v>
      </c>
      <c r="E2578" s="3">
        <f t="shared" si="20"/>
        <v>0.40192043895747598</v>
      </c>
      <c r="F2578" s="1" t="s">
        <v>1046</v>
      </c>
      <c r="G2578" s="1" t="s">
        <v>24</v>
      </c>
      <c r="H2578" s="1">
        <v>19458</v>
      </c>
      <c r="I2578" s="1">
        <v>33832</v>
      </c>
      <c r="J2578" s="7">
        <v>0.57499999999999996</v>
      </c>
      <c r="K2578" s="1" t="s">
        <v>21</v>
      </c>
      <c r="L2578" s="1" t="s">
        <v>29</v>
      </c>
      <c r="M2578" s="1" t="s">
        <v>29</v>
      </c>
      <c r="N2578" s="1" t="s">
        <v>22</v>
      </c>
      <c r="O2578" s="1" t="str">
        <f t="shared" ca="1" si="21"/>
        <v>Please solve the LeetCode problem '2397. Maximum Rows Covered by Columns'.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79" spans="1:15" x14ac:dyDescent="0.25">
      <c r="A2579" s="1">
        <v>2432</v>
      </c>
      <c r="B2579" s="2" t="str">
        <f>HYPERLINK("https://leetcode.com/problems/the-employee-that-worked-on-the-longest-task/", "The Employee That Worked on the Longest Task")</f>
        <v>The Employee That Worked on the Longest Task</v>
      </c>
      <c r="C2579" s="1">
        <v>292</v>
      </c>
      <c r="D2579" s="1">
        <v>72</v>
      </c>
      <c r="E2579" s="3">
        <f t="shared" si="20"/>
        <v>0.80219780219780223</v>
      </c>
      <c r="F2579" s="1" t="s">
        <v>113</v>
      </c>
      <c r="G2579" s="1" t="s">
        <v>20</v>
      </c>
      <c r="H2579" s="1">
        <v>42922</v>
      </c>
      <c r="I2579" s="1">
        <v>83669</v>
      </c>
      <c r="J2579" s="7">
        <v>0.51300000000000001</v>
      </c>
      <c r="K2579" s="1" t="s">
        <v>21</v>
      </c>
      <c r="L2579" s="1" t="s">
        <v>29</v>
      </c>
      <c r="M2579" s="1" t="s">
        <v>29</v>
      </c>
      <c r="N2579" s="1" t="s">
        <v>22</v>
      </c>
      <c r="O2579" s="1" t="str">
        <f t="shared" ca="1" si="21"/>
        <v>Please solve the LeetCode problem '2432. The Employee That Worked on the Longest Task'.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80" spans="1:15" x14ac:dyDescent="0.25">
      <c r="A2580" s="1">
        <v>2618</v>
      </c>
      <c r="B2580" s="2" t="str">
        <f>HYPERLINK("https://leetcode.com/problems/check-if-object-instance-of-class/", "Check if Object Instance of Class")</f>
        <v>Check if Object Instance of Class</v>
      </c>
      <c r="C2580" s="1">
        <v>292</v>
      </c>
      <c r="D2580" s="1">
        <v>111</v>
      </c>
      <c r="E2580" s="3">
        <f t="shared" si="20"/>
        <v>0.72456575682382129</v>
      </c>
      <c r="G2580" s="1" t="s">
        <v>24</v>
      </c>
      <c r="H2580" s="1">
        <v>36886</v>
      </c>
      <c r="I2580" s="1">
        <v>127675</v>
      </c>
      <c r="J2580" s="7">
        <v>0.28899999999999998</v>
      </c>
      <c r="K2580" s="1" t="s">
        <v>21</v>
      </c>
      <c r="L2580" s="1" t="s">
        <v>21</v>
      </c>
      <c r="M2580" s="1" t="s">
        <v>29</v>
      </c>
      <c r="N2580" s="1" t="s">
        <v>555</v>
      </c>
      <c r="O2580" s="1" t="str">
        <f t="shared" ca="1" si="21"/>
        <v>Please solve the LeetCode problem '2618. Check if Object Instance of Class'.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81" spans="1:15" x14ac:dyDescent="0.25">
      <c r="A2581" s="1">
        <v>2660</v>
      </c>
      <c r="B2581" s="2" t="str">
        <f>HYPERLINK("https://leetcode.com/problems/determine-the-winner-of-a-bowling-game/", "Determine the Winner of a Bowling Game")</f>
        <v>Determine the Winner of a Bowling Game</v>
      </c>
      <c r="C2581" s="1">
        <v>292</v>
      </c>
      <c r="D2581" s="1">
        <v>157</v>
      </c>
      <c r="E2581" s="3">
        <f t="shared" si="20"/>
        <v>0.65033407572383073</v>
      </c>
      <c r="F2581" s="1" t="s">
        <v>306</v>
      </c>
      <c r="G2581" s="1" t="s">
        <v>20</v>
      </c>
      <c r="H2581" s="1">
        <v>43684</v>
      </c>
      <c r="I2581" s="1">
        <v>118294</v>
      </c>
      <c r="J2581" s="7">
        <v>0.36899999999999999</v>
      </c>
      <c r="K2581" s="1" t="s">
        <v>21</v>
      </c>
      <c r="L2581" s="1" t="s">
        <v>29</v>
      </c>
      <c r="M2581" s="1" t="s">
        <v>29</v>
      </c>
      <c r="N2581" s="1" t="s">
        <v>22</v>
      </c>
      <c r="O2581" s="1" t="str">
        <f t="shared" ca="1" si="21"/>
        <v>Please solve the LeetCode problem '2660. Determine the Winner of a Bowling Game'.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82" spans="1:15" x14ac:dyDescent="0.25">
      <c r="A2582" s="1">
        <v>2915</v>
      </c>
      <c r="B2582" s="2" t="str">
        <f>HYPERLINK("https://leetcode.com/problems/length-of-the-longest-subsequence-that-sums-to-target/", "Length of the Longest Subsequence That Sums to Target")</f>
        <v>Length of the Longest Subsequence That Sums to Target</v>
      </c>
      <c r="C2582" s="1">
        <v>291</v>
      </c>
      <c r="D2582" s="1">
        <v>34</v>
      </c>
      <c r="E2582" s="3">
        <f t="shared" si="20"/>
        <v>0.89538461538461533</v>
      </c>
      <c r="F2582" s="1" t="s">
        <v>30</v>
      </c>
      <c r="G2582" s="1" t="s">
        <v>24</v>
      </c>
      <c r="H2582" s="1">
        <v>35759</v>
      </c>
      <c r="I2582" s="1">
        <v>91598</v>
      </c>
      <c r="J2582" s="7">
        <v>0.39</v>
      </c>
      <c r="K2582" s="1" t="s">
        <v>21</v>
      </c>
      <c r="L2582" s="1" t="s">
        <v>29</v>
      </c>
      <c r="M2582" s="1" t="s">
        <v>29</v>
      </c>
      <c r="N2582" s="1" t="s">
        <v>22</v>
      </c>
      <c r="O2582" s="1" t="str">
        <f t="shared" ca="1" si="21"/>
        <v>Please solve the LeetCode problem '2915. Length of the Longest Subsequence That Sums to Target'.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83" spans="1:15" x14ac:dyDescent="0.25">
      <c r="A2583" s="1">
        <v>2956</v>
      </c>
      <c r="B2583" s="2" t="str">
        <f>HYPERLINK("https://leetcode.com/problems/find-common-elements-between-two-arrays/", "Find Common Elements Between Two Arrays")</f>
        <v>Find Common Elements Between Two Arrays</v>
      </c>
      <c r="C2583" s="1">
        <v>291</v>
      </c>
      <c r="D2583" s="1">
        <v>109</v>
      </c>
      <c r="E2583" s="3">
        <f t="shared" si="20"/>
        <v>0.72750000000000004</v>
      </c>
      <c r="F2583" s="1" t="s">
        <v>19</v>
      </c>
      <c r="G2583" s="1" t="s">
        <v>20</v>
      </c>
      <c r="H2583" s="1">
        <v>99903</v>
      </c>
      <c r="I2583" s="1">
        <v>118442</v>
      </c>
      <c r="J2583" s="7">
        <v>0.84299999999999997</v>
      </c>
      <c r="K2583" s="1" t="s">
        <v>21</v>
      </c>
      <c r="L2583" s="1" t="s">
        <v>29</v>
      </c>
      <c r="M2583" s="1" t="s">
        <v>29</v>
      </c>
      <c r="N2583" s="1" t="s">
        <v>22</v>
      </c>
      <c r="O2583" s="1" t="str">
        <f t="shared" ca="1" si="21"/>
        <v>Please solve the LeetCode problem '2956. Find Common Elements Between Two Arrays'.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84" spans="1:15" x14ac:dyDescent="0.25">
      <c r="A2584" s="1">
        <v>2968</v>
      </c>
      <c r="B2584" s="2" t="str">
        <f>HYPERLINK("https://leetcode.com/problems/apply-operations-to-maximize-frequency-score/", "Apply Operations to Maximize Frequency Score")</f>
        <v>Apply Operations to Maximize Frequency Score</v>
      </c>
      <c r="C2584" s="1">
        <v>291</v>
      </c>
      <c r="D2584" s="1">
        <v>9</v>
      </c>
      <c r="E2584" s="3">
        <f t="shared" si="20"/>
        <v>0.97</v>
      </c>
      <c r="F2584" s="1" t="s">
        <v>849</v>
      </c>
      <c r="G2584" s="1" t="s">
        <v>28</v>
      </c>
      <c r="H2584" s="1">
        <v>9657</v>
      </c>
      <c r="I2584" s="1">
        <v>25249</v>
      </c>
      <c r="J2584" s="7">
        <v>0.38200000000000001</v>
      </c>
      <c r="K2584" s="1" t="s">
        <v>21</v>
      </c>
      <c r="L2584" s="1" t="s">
        <v>29</v>
      </c>
      <c r="M2584" s="1" t="s">
        <v>29</v>
      </c>
      <c r="N2584" s="1" t="s">
        <v>22</v>
      </c>
      <c r="O2584" s="1" t="str">
        <f t="shared" ca="1" si="21"/>
        <v>Please solve the LeetCode problem '2968. Apply Operations to Maximize Frequency Score'.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85" spans="1:15" x14ac:dyDescent="0.25">
      <c r="A2585" s="1">
        <v>3229</v>
      </c>
      <c r="B2585" s="2" t="str">
        <f>HYPERLINK("https://leetcode.com/problems/minimum-operations-to-make-array-equal-to-target/", "Minimum Operations to Make Array Equal to Target")</f>
        <v>Minimum Operations to Make Array Equal to Target</v>
      </c>
      <c r="C2585" s="1">
        <v>290</v>
      </c>
      <c r="D2585" s="1">
        <v>12</v>
      </c>
      <c r="E2585" s="3">
        <f t="shared" si="20"/>
        <v>0.96026490066225167</v>
      </c>
      <c r="F2585" s="1" t="s">
        <v>289</v>
      </c>
      <c r="G2585" s="1" t="s">
        <v>28</v>
      </c>
      <c r="H2585" s="1">
        <v>23291</v>
      </c>
      <c r="I2585" s="1">
        <v>56517</v>
      </c>
      <c r="J2585" s="7">
        <v>0.41199999999999998</v>
      </c>
      <c r="K2585" s="1" t="s">
        <v>21</v>
      </c>
      <c r="L2585" s="1" t="s">
        <v>29</v>
      </c>
      <c r="M2585" s="1" t="s">
        <v>29</v>
      </c>
      <c r="N2585" s="1" t="s">
        <v>22</v>
      </c>
      <c r="O2585" s="1" t="str">
        <f t="shared" ca="1" si="21"/>
        <v>Please solve the LeetCode problem '3229. Minimum Operations to Make Array Equal to Target'.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86" spans="1:15" x14ac:dyDescent="0.25">
      <c r="A2586" s="1">
        <v>2806</v>
      </c>
      <c r="B2586" s="2" t="str">
        <f>HYPERLINK("https://leetcode.com/problems/account-balance-after-rounded-purchase/", "Account Balance After Rounded Purchase")</f>
        <v>Account Balance After Rounded Purchase</v>
      </c>
      <c r="C2586" s="1">
        <v>289</v>
      </c>
      <c r="D2586" s="1">
        <v>50</v>
      </c>
      <c r="E2586" s="3">
        <f t="shared" si="20"/>
        <v>0.85250737463126847</v>
      </c>
      <c r="F2586" s="1" t="s">
        <v>84</v>
      </c>
      <c r="G2586" s="1" t="s">
        <v>20</v>
      </c>
      <c r="H2586" s="1">
        <v>60966</v>
      </c>
      <c r="I2586" s="1">
        <v>108503</v>
      </c>
      <c r="J2586" s="7">
        <v>0.56200000000000006</v>
      </c>
      <c r="K2586" s="1" t="s">
        <v>21</v>
      </c>
      <c r="L2586" s="1" t="s">
        <v>29</v>
      </c>
      <c r="M2586" s="1" t="s">
        <v>29</v>
      </c>
      <c r="N2586" s="1" t="s">
        <v>22</v>
      </c>
      <c r="O2586" s="1" t="str">
        <f t="shared" ca="1" si="21"/>
        <v>Please solve the LeetCode problem '2806. Account Balance After Rounded Purchase'.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87" spans="1:15" x14ac:dyDescent="0.25">
      <c r="A2587" s="1">
        <v>2694</v>
      </c>
      <c r="B2587" s="2" t="str">
        <f>HYPERLINK("https://leetcode.com/problems/event-emitter/", "Event Emitter")</f>
        <v>Event Emitter</v>
      </c>
      <c r="C2587" s="1">
        <v>288</v>
      </c>
      <c r="D2587" s="1">
        <v>38</v>
      </c>
      <c r="E2587" s="3">
        <f t="shared" si="20"/>
        <v>0.8834355828220859</v>
      </c>
      <c r="G2587" s="1" t="s">
        <v>24</v>
      </c>
      <c r="H2587" s="1">
        <v>44079</v>
      </c>
      <c r="I2587" s="1">
        <v>58921</v>
      </c>
      <c r="J2587" s="7">
        <v>0.748</v>
      </c>
      <c r="K2587" s="1" t="s">
        <v>21</v>
      </c>
      <c r="L2587" s="1" t="s">
        <v>21</v>
      </c>
      <c r="M2587" s="1" t="s">
        <v>29</v>
      </c>
      <c r="N2587" s="1" t="s">
        <v>555</v>
      </c>
      <c r="O2587" s="1" t="str">
        <f t="shared" ca="1" si="21"/>
        <v>Please solve the LeetCode problem '2694. Event Emitter'.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88" spans="1:15" x14ac:dyDescent="0.25">
      <c r="A2588" s="1">
        <v>1728</v>
      </c>
      <c r="B2588" s="2" t="str">
        <f>HYPERLINK("https://leetcode.com/problems/cat-and-mouse-ii/", "Cat and Mouse II")</f>
        <v>Cat and Mouse II</v>
      </c>
      <c r="C2588" s="1">
        <v>286</v>
      </c>
      <c r="D2588" s="1">
        <v>48</v>
      </c>
      <c r="E2588" s="3">
        <f t="shared" si="20"/>
        <v>0.85628742514970058</v>
      </c>
      <c r="F2588" s="1" t="s">
        <v>1049</v>
      </c>
      <c r="G2588" s="1" t="s">
        <v>28</v>
      </c>
      <c r="H2588" s="1">
        <v>9158</v>
      </c>
      <c r="I2588" s="1">
        <v>22802</v>
      </c>
      <c r="J2588" s="7">
        <v>0.40200000000000002</v>
      </c>
      <c r="K2588" s="1" t="s">
        <v>21</v>
      </c>
      <c r="L2588" s="1" t="s">
        <v>29</v>
      </c>
      <c r="M2588" s="1" t="s">
        <v>29</v>
      </c>
      <c r="N2588" s="1" t="s">
        <v>22</v>
      </c>
      <c r="O2588" s="1" t="str">
        <f t="shared" ca="1" si="21"/>
        <v>Please solve the LeetCode problem '1728. Cat and Mouse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89" spans="1:15" x14ac:dyDescent="0.25">
      <c r="A2589" s="1">
        <v>2877</v>
      </c>
      <c r="B2589" s="2" t="str">
        <f>HYPERLINK("https://leetcode.com/problems/create-a-dataframe-from-list/", "Create a DataFrame from List")</f>
        <v>Create a DataFrame from List</v>
      </c>
      <c r="C2589" s="1">
        <v>286</v>
      </c>
      <c r="D2589" s="1">
        <v>12</v>
      </c>
      <c r="E2589" s="3">
        <f t="shared" si="20"/>
        <v>0.95973154362416102</v>
      </c>
      <c r="G2589" s="1" t="s">
        <v>20</v>
      </c>
      <c r="H2589" s="1">
        <v>241315</v>
      </c>
      <c r="I2589" s="1">
        <v>297457</v>
      </c>
      <c r="J2589" s="7">
        <v>0.81100000000000005</v>
      </c>
      <c r="K2589" s="1" t="s">
        <v>21</v>
      </c>
      <c r="L2589" s="1" t="s">
        <v>21</v>
      </c>
      <c r="M2589" s="1" t="s">
        <v>29</v>
      </c>
      <c r="N2589" s="1" t="s">
        <v>1047</v>
      </c>
      <c r="O2589" s="1" t="str">
        <f t="shared" ca="1" si="21"/>
        <v>Please solve the LeetCode problem '2877. Create a DataFrame from List'.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90" spans="1:15" x14ac:dyDescent="0.25">
      <c r="A2590" s="1">
        <v>2651</v>
      </c>
      <c r="B2590" s="2" t="str">
        <f>HYPERLINK("https://leetcode.com/problems/calculate-delayed-arrival-time/", "Calculate Delayed Arrival Time")</f>
        <v>Calculate Delayed Arrival Time</v>
      </c>
      <c r="C2590" s="1">
        <v>284</v>
      </c>
      <c r="D2590" s="1">
        <v>53</v>
      </c>
      <c r="E2590" s="3">
        <f t="shared" si="20"/>
        <v>0.84272997032640951</v>
      </c>
      <c r="F2590" s="1" t="s">
        <v>84</v>
      </c>
      <c r="G2590" s="1" t="s">
        <v>20</v>
      </c>
      <c r="H2590" s="1">
        <v>86090</v>
      </c>
      <c r="I2590" s="1">
        <v>113754</v>
      </c>
      <c r="J2590" s="7">
        <v>0.75700000000000001</v>
      </c>
      <c r="K2590" s="1" t="s">
        <v>21</v>
      </c>
      <c r="L2590" s="1" t="s">
        <v>29</v>
      </c>
      <c r="M2590" s="1" t="s">
        <v>29</v>
      </c>
      <c r="N2590" s="1" t="s">
        <v>22</v>
      </c>
      <c r="O2590" s="1" t="str">
        <f t="shared" ca="1" si="21"/>
        <v>Please solve the LeetCode problem '2651. Calculate Delayed Arrival Time'.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91" spans="1:15" x14ac:dyDescent="0.25">
      <c r="A2591" s="1">
        <v>1077</v>
      </c>
      <c r="B2591" s="2" t="str">
        <f>HYPERLINK("https://leetcode.com/problems/project-employees-iii/", "Project Employees III")</f>
        <v>Project Employees III</v>
      </c>
      <c r="C2591" s="1">
        <v>283</v>
      </c>
      <c r="D2591" s="1">
        <v>9</v>
      </c>
      <c r="E2591" s="3">
        <f t="shared" si="20"/>
        <v>0.96917808219178081</v>
      </c>
      <c r="F2591" s="1" t="s">
        <v>297</v>
      </c>
      <c r="G2591" s="1" t="s">
        <v>24</v>
      </c>
      <c r="H2591" s="1">
        <v>71197</v>
      </c>
      <c r="I2591" s="1">
        <v>92301</v>
      </c>
      <c r="J2591" s="7">
        <v>0.77100000000000002</v>
      </c>
      <c r="K2591" s="1" t="s">
        <v>29</v>
      </c>
      <c r="L2591" s="1" t="s">
        <v>21</v>
      </c>
      <c r="M2591" s="1" t="s">
        <v>29</v>
      </c>
      <c r="N2591" s="1" t="s">
        <v>297</v>
      </c>
      <c r="O2591" s="1" t="str">
        <f t="shared" ca="1" si="21"/>
        <v>Please solve the LeetCode problem '1077. Project Employees III'.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92" spans="1:15" x14ac:dyDescent="0.25">
      <c r="A2592" s="1">
        <v>1126</v>
      </c>
      <c r="B2592" s="2" t="str">
        <f>HYPERLINK("https://leetcode.com/problems/active-businesses/", "Active Businesses")</f>
        <v>Active Businesses</v>
      </c>
      <c r="C2592" s="1">
        <v>283</v>
      </c>
      <c r="D2592" s="1">
        <v>34</v>
      </c>
      <c r="E2592" s="3">
        <f t="shared" si="20"/>
        <v>0.89274447949526814</v>
      </c>
      <c r="F2592" s="1" t="s">
        <v>297</v>
      </c>
      <c r="G2592" s="1" t="s">
        <v>24</v>
      </c>
      <c r="H2592" s="1">
        <v>52079</v>
      </c>
      <c r="I2592" s="1">
        <v>78946</v>
      </c>
      <c r="J2592" s="7">
        <v>0.66</v>
      </c>
      <c r="K2592" s="1" t="s">
        <v>29</v>
      </c>
      <c r="L2592" s="1" t="s">
        <v>21</v>
      </c>
      <c r="M2592" s="1" t="s">
        <v>29</v>
      </c>
      <c r="N2592" s="1" t="s">
        <v>297</v>
      </c>
      <c r="O2592" s="1" t="str">
        <f t="shared" ca="1" si="21"/>
        <v>Please solve the LeetCode problem '1126. Active Businesses'.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93" spans="1:15" x14ac:dyDescent="0.25">
      <c r="A2593" s="1">
        <v>1210</v>
      </c>
      <c r="B2593" s="2" t="str">
        <f>HYPERLINK("https://leetcode.com/problems/minimum-moves-to-reach-target-with-rotations/", "Minimum Moves to Reach Target with Rotations")</f>
        <v>Minimum Moves to Reach Target with Rotations</v>
      </c>
      <c r="C2593" s="1">
        <v>283</v>
      </c>
      <c r="D2593" s="1">
        <v>75</v>
      </c>
      <c r="E2593" s="3">
        <f t="shared" si="20"/>
        <v>0.79050279329608941</v>
      </c>
      <c r="F2593" s="1" t="s">
        <v>86</v>
      </c>
      <c r="G2593" s="1" t="s">
        <v>28</v>
      </c>
      <c r="H2593" s="1">
        <v>12230</v>
      </c>
      <c r="I2593" s="1">
        <v>23691</v>
      </c>
      <c r="J2593" s="7">
        <v>0.51600000000000001</v>
      </c>
      <c r="K2593" s="1" t="s">
        <v>21</v>
      </c>
      <c r="L2593" s="1" t="s">
        <v>29</v>
      </c>
      <c r="M2593" s="1" t="s">
        <v>29</v>
      </c>
      <c r="N2593" s="1" t="s">
        <v>22</v>
      </c>
      <c r="O2593" s="1" t="str">
        <f t="shared" ca="1" si="21"/>
        <v>Please solve the LeetCode problem '1210. Minimum Moves to Reach Target with Rotations'.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94" spans="1:15" x14ac:dyDescent="0.25">
      <c r="A2594" s="1">
        <v>1785</v>
      </c>
      <c r="B2594" s="2" t="str">
        <f>HYPERLINK("https://leetcode.com/problems/minimum-elements-to-add-to-form-a-given-sum/", "Minimum Elements to Add to Form a Given Sum")</f>
        <v>Minimum Elements to Add to Form a Given Sum</v>
      </c>
      <c r="C2594" s="1">
        <v>283</v>
      </c>
      <c r="D2594" s="1">
        <v>196</v>
      </c>
      <c r="E2594" s="3">
        <f t="shared" si="20"/>
        <v>0.59081419624217124</v>
      </c>
      <c r="F2594" s="1" t="s">
        <v>96</v>
      </c>
      <c r="G2594" s="1" t="s">
        <v>24</v>
      </c>
      <c r="H2594" s="1">
        <v>26657</v>
      </c>
      <c r="I2594" s="1">
        <v>59433</v>
      </c>
      <c r="J2594" s="7">
        <v>0.44900000000000001</v>
      </c>
      <c r="K2594" s="1" t="s">
        <v>21</v>
      </c>
      <c r="L2594" s="1" t="s">
        <v>29</v>
      </c>
      <c r="M2594" s="1" t="s">
        <v>29</v>
      </c>
      <c r="N2594" s="1" t="s">
        <v>22</v>
      </c>
      <c r="O2594" s="1" t="str">
        <f t="shared" ca="1" si="21"/>
        <v>Please solve the LeetCode problem '1785. Minimum Elements to Add to Form a Given Sum'.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95" spans="1:15" x14ac:dyDescent="0.25">
      <c r="A2595" s="1">
        <v>2303</v>
      </c>
      <c r="B2595" s="2" t="str">
        <f>HYPERLINK("https://leetcode.com/problems/calculate-amount-paid-in-taxes/", "Calculate Amount Paid in Taxes")</f>
        <v>Calculate Amount Paid in Taxes</v>
      </c>
      <c r="C2595" s="1">
        <v>283</v>
      </c>
      <c r="D2595" s="1">
        <v>296</v>
      </c>
      <c r="E2595" s="3">
        <f t="shared" si="20"/>
        <v>0.48877374784110533</v>
      </c>
      <c r="F2595" s="1" t="s">
        <v>306</v>
      </c>
      <c r="G2595" s="1" t="s">
        <v>20</v>
      </c>
      <c r="H2595" s="1">
        <v>54493</v>
      </c>
      <c r="I2595" s="1">
        <v>79219</v>
      </c>
      <c r="J2595" s="7">
        <v>0.68799999999999994</v>
      </c>
      <c r="K2595" s="1" t="s">
        <v>21</v>
      </c>
      <c r="L2595" s="1" t="s">
        <v>29</v>
      </c>
      <c r="M2595" s="1" t="s">
        <v>29</v>
      </c>
      <c r="N2595" s="1" t="s">
        <v>22</v>
      </c>
      <c r="O2595" s="1" t="str">
        <f t="shared" ca="1" si="21"/>
        <v>Please solve the LeetCode problem '2303. Calculate Amount Paid in Taxes'.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96" spans="1:15" x14ac:dyDescent="0.25">
      <c r="A2596" s="1">
        <v>758</v>
      </c>
      <c r="B2596" s="2" t="str">
        <f>HYPERLINK("https://leetcode.com/problems/bold-words-in-string/", "Bold Words in String")</f>
        <v>Bold Words in String</v>
      </c>
      <c r="C2596" s="1">
        <v>282</v>
      </c>
      <c r="D2596" s="1">
        <v>124</v>
      </c>
      <c r="E2596" s="3">
        <f t="shared" si="20"/>
        <v>0.69458128078817738</v>
      </c>
      <c r="F2596" s="1" t="s">
        <v>682</v>
      </c>
      <c r="G2596" s="1" t="s">
        <v>24</v>
      </c>
      <c r="H2596" s="1">
        <v>20659</v>
      </c>
      <c r="I2596" s="1">
        <v>39386</v>
      </c>
      <c r="J2596" s="7">
        <v>0.52500000000000002</v>
      </c>
      <c r="K2596" s="1" t="s">
        <v>29</v>
      </c>
      <c r="L2596" s="1" t="s">
        <v>21</v>
      </c>
      <c r="M2596" s="1" t="s">
        <v>29</v>
      </c>
      <c r="N2596" s="1" t="s">
        <v>22</v>
      </c>
      <c r="O2596" s="1" t="str">
        <f t="shared" ca="1" si="21"/>
        <v>Please solve the LeetCode problem '758. Bold Words in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97" spans="1:15" x14ac:dyDescent="0.25">
      <c r="A2597" s="1">
        <v>2409</v>
      </c>
      <c r="B2597" s="2" t="str">
        <f>HYPERLINK("https://leetcode.com/problems/count-days-spent-together/", "Count Days Spent Together")</f>
        <v>Count Days Spent Together</v>
      </c>
      <c r="C2597" s="1">
        <v>282</v>
      </c>
      <c r="D2597" s="1">
        <v>592</v>
      </c>
      <c r="E2597" s="3">
        <f t="shared" si="20"/>
        <v>0.32265446224256294</v>
      </c>
      <c r="F2597" s="1" t="s">
        <v>228</v>
      </c>
      <c r="G2597" s="1" t="s">
        <v>20</v>
      </c>
      <c r="H2597" s="1">
        <v>29916</v>
      </c>
      <c r="I2597" s="1">
        <v>62976</v>
      </c>
      <c r="J2597" s="7">
        <v>0.47499999999999998</v>
      </c>
      <c r="K2597" s="1" t="s">
        <v>21</v>
      </c>
      <c r="L2597" s="1" t="s">
        <v>29</v>
      </c>
      <c r="M2597" s="1" t="s">
        <v>29</v>
      </c>
      <c r="N2597" s="1" t="s">
        <v>22</v>
      </c>
      <c r="O2597" s="1" t="str">
        <f t="shared" ca="1" si="21"/>
        <v>Please solve the LeetCode problem '2409. Count Days Spent Together'.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98" spans="1:15" x14ac:dyDescent="0.25">
      <c r="A2598" s="1">
        <v>2857</v>
      </c>
      <c r="B2598" s="2" t="str">
        <f>HYPERLINK("https://leetcode.com/problems/count-pairs-of-points-with-distance-k/", "Count Pairs of Points With Distance k")</f>
        <v>Count Pairs of Points With Distance k</v>
      </c>
      <c r="C2598" s="1">
        <v>282</v>
      </c>
      <c r="D2598" s="1">
        <v>45</v>
      </c>
      <c r="E2598" s="3">
        <f t="shared" si="20"/>
        <v>0.86238532110091748</v>
      </c>
      <c r="F2598" s="1" t="s">
        <v>667</v>
      </c>
      <c r="G2598" s="1" t="s">
        <v>24</v>
      </c>
      <c r="H2598" s="1">
        <v>13224</v>
      </c>
      <c r="I2598" s="1">
        <v>40485</v>
      </c>
      <c r="J2598" s="7">
        <v>0.32700000000000001</v>
      </c>
      <c r="K2598" s="1" t="s">
        <v>21</v>
      </c>
      <c r="L2598" s="1" t="s">
        <v>29</v>
      </c>
      <c r="M2598" s="1" t="s">
        <v>29</v>
      </c>
      <c r="N2598" s="1" t="s">
        <v>22</v>
      </c>
      <c r="O2598" s="1" t="str">
        <f t="shared" ca="1" si="21"/>
        <v>Please solve the LeetCode problem '2857. Count Pairs of Points With Distance k'.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599" spans="1:15" x14ac:dyDescent="0.25">
      <c r="A2599" s="1">
        <v>2867</v>
      </c>
      <c r="B2599" s="2" t="str">
        <f>HYPERLINK("https://leetcode.com/problems/count-valid-paths-in-a-tree/", "Count Valid Paths in a Tree")</f>
        <v>Count Valid Paths in a Tree</v>
      </c>
      <c r="C2599" s="1">
        <v>282</v>
      </c>
      <c r="D2599" s="1">
        <v>9</v>
      </c>
      <c r="E2599" s="3">
        <f t="shared" si="20"/>
        <v>0.96907216494845361</v>
      </c>
      <c r="F2599" s="1" t="s">
        <v>1051</v>
      </c>
      <c r="G2599" s="1" t="s">
        <v>28</v>
      </c>
      <c r="H2599" s="1">
        <v>9415</v>
      </c>
      <c r="I2599" s="1">
        <v>26315</v>
      </c>
      <c r="J2599" s="7">
        <v>0.35799999999999998</v>
      </c>
      <c r="K2599" s="1" t="s">
        <v>21</v>
      </c>
      <c r="L2599" s="1" t="s">
        <v>29</v>
      </c>
      <c r="M2599" s="1" t="s">
        <v>29</v>
      </c>
      <c r="N2599" s="1" t="s">
        <v>22</v>
      </c>
      <c r="O2599" s="1" t="str">
        <f t="shared" ca="1" si="21"/>
        <v>Please solve the LeetCode problem '2867. Count Valid Paths in a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00" spans="1:15" x14ac:dyDescent="0.25">
      <c r="A2600" s="1">
        <v>2998</v>
      </c>
      <c r="B2600" s="2" t="str">
        <f>HYPERLINK("https://leetcode.com/problems/minimum-number-of-operations-to-make-x-and-y-equal/", "Minimum Number of Operations to Make X and Y Equal")</f>
        <v>Minimum Number of Operations to Make X and Y Equal</v>
      </c>
      <c r="C2600" s="1">
        <v>282</v>
      </c>
      <c r="D2600" s="1">
        <v>23</v>
      </c>
      <c r="E2600" s="3">
        <f t="shared" si="20"/>
        <v>0.92459016393442628</v>
      </c>
      <c r="F2600" s="1" t="s">
        <v>1050</v>
      </c>
      <c r="G2600" s="1" t="s">
        <v>24</v>
      </c>
      <c r="H2600" s="1">
        <v>27487</v>
      </c>
      <c r="I2600" s="1">
        <v>56849</v>
      </c>
      <c r="J2600" s="7">
        <v>0.48399999999999999</v>
      </c>
      <c r="K2600" s="1" t="s">
        <v>21</v>
      </c>
      <c r="L2600" s="1" t="s">
        <v>29</v>
      </c>
      <c r="M2600" s="1" t="s">
        <v>29</v>
      </c>
      <c r="N2600" s="1" t="s">
        <v>22</v>
      </c>
      <c r="O2600" s="1" t="str">
        <f t="shared" ca="1" si="21"/>
        <v>Please solve the LeetCode problem '2998. Minimum Number of Operations to Make X and Y Equal'.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01" spans="1:15" x14ac:dyDescent="0.25">
      <c r="A2601" s="1">
        <v>3148</v>
      </c>
      <c r="B2601" s="2" t="str">
        <f>HYPERLINK("https://leetcode.com/problems/maximum-difference-score-in-a-grid/", "Maximum Difference Score in a Grid")</f>
        <v>Maximum Difference Score in a Grid</v>
      </c>
      <c r="C2601" s="1">
        <v>282</v>
      </c>
      <c r="D2601" s="1">
        <v>23</v>
      </c>
      <c r="E2601" s="3">
        <f t="shared" si="20"/>
        <v>0.92459016393442628</v>
      </c>
      <c r="F2601" s="1" t="s">
        <v>94</v>
      </c>
      <c r="G2601" s="1" t="s">
        <v>24</v>
      </c>
      <c r="H2601" s="1">
        <v>22714</v>
      </c>
      <c r="I2601" s="1">
        <v>47765</v>
      </c>
      <c r="J2601" s="7">
        <v>0.47599999999999998</v>
      </c>
      <c r="K2601" s="1" t="s">
        <v>21</v>
      </c>
      <c r="L2601" s="1" t="s">
        <v>29</v>
      </c>
      <c r="M2601" s="1" t="s">
        <v>29</v>
      </c>
      <c r="N2601" s="1" t="s">
        <v>22</v>
      </c>
      <c r="O2601" s="1" t="str">
        <f t="shared" ca="1" si="21"/>
        <v>Please solve the LeetCode problem '3148. Maximum Difference Score in a Grid'.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02" spans="1:15" x14ac:dyDescent="0.25">
      <c r="A2602" s="1">
        <v>1083</v>
      </c>
      <c r="B2602" s="2" t="str">
        <f>HYPERLINK("https://leetcode.com/problems/sales-analysis-ii/", "Sales Analysis II")</f>
        <v>Sales Analysis II</v>
      </c>
      <c r="C2602" s="1">
        <v>281</v>
      </c>
      <c r="D2602" s="1">
        <v>48</v>
      </c>
      <c r="E2602" s="3">
        <f t="shared" si="20"/>
        <v>0.85410334346504557</v>
      </c>
      <c r="F2602" s="1" t="s">
        <v>297</v>
      </c>
      <c r="G2602" s="1" t="s">
        <v>20</v>
      </c>
      <c r="H2602" s="1">
        <v>66144</v>
      </c>
      <c r="I2602" s="1">
        <v>132166</v>
      </c>
      <c r="J2602" s="7">
        <v>0.5</v>
      </c>
      <c r="K2602" s="1" t="s">
        <v>29</v>
      </c>
      <c r="L2602" s="1" t="s">
        <v>21</v>
      </c>
      <c r="M2602" s="1" t="s">
        <v>29</v>
      </c>
      <c r="N2602" s="1" t="s">
        <v>297</v>
      </c>
      <c r="O2602" s="1" t="str">
        <f t="shared" ca="1" si="21"/>
        <v>Please solve the LeetCode problem '1083. Sales Analysis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03" spans="1:15" x14ac:dyDescent="0.25">
      <c r="A2603" s="1">
        <v>1969</v>
      </c>
      <c r="B2603" s="2" t="str">
        <f>HYPERLINK("https://leetcode.com/problems/minimum-non-zero-product-of-the-array-elements/", "Minimum Non-Zero Product of the Array Elements")</f>
        <v>Minimum Non-Zero Product of the Array Elements</v>
      </c>
      <c r="C2603" s="1">
        <v>281</v>
      </c>
      <c r="D2603" s="1">
        <v>397</v>
      </c>
      <c r="E2603" s="3">
        <f t="shared" si="20"/>
        <v>0.41445427728613571</v>
      </c>
      <c r="F2603" s="1" t="s">
        <v>1052</v>
      </c>
      <c r="G2603" s="1" t="s">
        <v>24</v>
      </c>
      <c r="H2603" s="1">
        <v>15394</v>
      </c>
      <c r="I2603" s="1">
        <v>41443</v>
      </c>
      <c r="J2603" s="7">
        <v>0.371</v>
      </c>
      <c r="K2603" s="1" t="s">
        <v>21</v>
      </c>
      <c r="L2603" s="1" t="s">
        <v>29</v>
      </c>
      <c r="M2603" s="1" t="s">
        <v>29</v>
      </c>
      <c r="N2603" s="1" t="s">
        <v>22</v>
      </c>
      <c r="O2603" s="1" t="str">
        <f t="shared" ca="1" si="21"/>
        <v>Please solve the LeetCode problem '1969. Minimum Non-Zero Product of the Array Elements'.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04" spans="1:15" x14ac:dyDescent="0.25">
      <c r="A2604" s="1">
        <v>2019</v>
      </c>
      <c r="B2604" s="2" t="str">
        <f>HYPERLINK("https://leetcode.com/problems/the-score-of-students-solving-math-expression/", "The Score of Students Solving Math Expression")</f>
        <v>The Score of Students Solving Math Expression</v>
      </c>
      <c r="C2604" s="1">
        <v>281</v>
      </c>
      <c r="D2604" s="1">
        <v>85</v>
      </c>
      <c r="E2604" s="3">
        <f t="shared" si="20"/>
        <v>0.76775956284153002</v>
      </c>
      <c r="F2604" s="1" t="s">
        <v>1053</v>
      </c>
      <c r="G2604" s="1" t="s">
        <v>28</v>
      </c>
      <c r="H2604" s="1">
        <v>9034</v>
      </c>
      <c r="I2604" s="1">
        <v>26734</v>
      </c>
      <c r="J2604" s="7">
        <v>0.33800000000000002</v>
      </c>
      <c r="K2604" s="1" t="s">
        <v>21</v>
      </c>
      <c r="L2604" s="1" t="s">
        <v>29</v>
      </c>
      <c r="M2604" s="1" t="s">
        <v>29</v>
      </c>
      <c r="N2604" s="1" t="s">
        <v>22</v>
      </c>
      <c r="O2604" s="1" t="str">
        <f t="shared" ca="1" si="21"/>
        <v>Please solve the LeetCode problem '2019. The Score of Students Solving Math Expression'.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05" spans="1:15" x14ac:dyDescent="0.25">
      <c r="A2605" s="1">
        <v>2895</v>
      </c>
      <c r="B2605" s="2" t="str">
        <f>HYPERLINK("https://leetcode.com/problems/minimum-processing-time/", "Minimum Processing Time")</f>
        <v>Minimum Processing Time</v>
      </c>
      <c r="C2605" s="1">
        <v>281</v>
      </c>
      <c r="D2605" s="1">
        <v>49</v>
      </c>
      <c r="E2605" s="3">
        <f t="shared" si="20"/>
        <v>0.85151515151515156</v>
      </c>
      <c r="F2605" s="1" t="s">
        <v>169</v>
      </c>
      <c r="G2605" s="1" t="s">
        <v>24</v>
      </c>
      <c r="H2605" s="1">
        <v>43934</v>
      </c>
      <c r="I2605" s="1">
        <v>62698</v>
      </c>
      <c r="J2605" s="7">
        <v>0.70099999999999996</v>
      </c>
      <c r="K2605" s="1" t="s">
        <v>21</v>
      </c>
      <c r="L2605" s="1" t="s">
        <v>29</v>
      </c>
      <c r="M2605" s="1" t="s">
        <v>29</v>
      </c>
      <c r="N2605" s="1" t="s">
        <v>22</v>
      </c>
      <c r="O2605" s="1" t="str">
        <f t="shared" ca="1" si="21"/>
        <v>Please solve the LeetCode problem '2895. Minimum Processing Time'.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06" spans="1:15" x14ac:dyDescent="0.25">
      <c r="A2606" s="1">
        <v>3122</v>
      </c>
      <c r="B2606" s="2" t="str">
        <f>HYPERLINK("https://leetcode.com/problems/minimum-number-of-operations-to-satisfy-conditions/", "Minimum Number of Operations to Satisfy Conditions")</f>
        <v>Minimum Number of Operations to Satisfy Conditions</v>
      </c>
      <c r="C2606" s="1">
        <v>281</v>
      </c>
      <c r="D2606" s="1">
        <v>12</v>
      </c>
      <c r="E2606" s="3">
        <f t="shared" si="20"/>
        <v>0.95904436860068254</v>
      </c>
      <c r="F2606" s="1" t="s">
        <v>94</v>
      </c>
      <c r="G2606" s="1" t="s">
        <v>24</v>
      </c>
      <c r="H2606" s="1">
        <v>18629</v>
      </c>
      <c r="I2606" s="1">
        <v>44842</v>
      </c>
      <c r="J2606" s="7">
        <v>0.41499999999999998</v>
      </c>
      <c r="K2606" s="1" t="s">
        <v>21</v>
      </c>
      <c r="L2606" s="1" t="s">
        <v>29</v>
      </c>
      <c r="M2606" s="1" t="s">
        <v>29</v>
      </c>
      <c r="N2606" s="1" t="s">
        <v>22</v>
      </c>
      <c r="O2606" s="1" t="str">
        <f t="shared" ca="1" si="21"/>
        <v>Please solve the LeetCode problem '3122. Minimum Number of Operations to Satisfy Conditions'.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07" spans="1:15" x14ac:dyDescent="0.25">
      <c r="A2607" s="1">
        <v>2648</v>
      </c>
      <c r="B2607" s="2" t="str">
        <f>HYPERLINK("https://leetcode.com/problems/generate-fibonacci-sequence/", "Generate Fibonacci Sequence")</f>
        <v>Generate Fibonacci Sequence</v>
      </c>
      <c r="C2607" s="1">
        <v>280</v>
      </c>
      <c r="D2607" s="1">
        <v>31</v>
      </c>
      <c r="E2607" s="3">
        <f t="shared" si="20"/>
        <v>0.90032154340836013</v>
      </c>
      <c r="G2607" s="1" t="s">
        <v>20</v>
      </c>
      <c r="H2607" s="1">
        <v>46747</v>
      </c>
      <c r="I2607" s="1">
        <v>55988</v>
      </c>
      <c r="J2607" s="7">
        <v>0.83499999999999996</v>
      </c>
      <c r="K2607" s="1" t="s">
        <v>21</v>
      </c>
      <c r="L2607" s="1" t="s">
        <v>21</v>
      </c>
      <c r="M2607" s="1" t="s">
        <v>29</v>
      </c>
      <c r="N2607" s="1" t="s">
        <v>555</v>
      </c>
      <c r="O2607" s="1" t="str">
        <f t="shared" ca="1" si="21"/>
        <v>Please solve the LeetCode problem '2648. Generate Fibonacci Sequence'.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08" spans="1:15" x14ac:dyDescent="0.25">
      <c r="A2608" s="1">
        <v>711</v>
      </c>
      <c r="B2608" s="2" t="str">
        <f>HYPERLINK("https://leetcode.com/problems/number-of-distinct-islands-ii/", "Number of Distinct Islands II")</f>
        <v>Number of Distinct Islands II</v>
      </c>
      <c r="C2608" s="1">
        <v>279</v>
      </c>
      <c r="D2608" s="1">
        <v>286</v>
      </c>
      <c r="E2608" s="3">
        <f t="shared" si="20"/>
        <v>0.49380530973451325</v>
      </c>
      <c r="F2608" s="1" t="s">
        <v>1358</v>
      </c>
      <c r="G2608" s="1" t="s">
        <v>28</v>
      </c>
      <c r="H2608" s="1">
        <v>14042</v>
      </c>
      <c r="I2608" s="1">
        <v>25411</v>
      </c>
      <c r="J2608" s="7">
        <v>0.55300000000000005</v>
      </c>
      <c r="K2608" s="1" t="s">
        <v>29</v>
      </c>
      <c r="L2608" s="1" t="s">
        <v>21</v>
      </c>
      <c r="M2608" s="1" t="s">
        <v>29</v>
      </c>
      <c r="N2608" s="1" t="s">
        <v>22</v>
      </c>
      <c r="O2608" s="1" t="str">
        <f t="shared" ca="1" si="21"/>
        <v>Please solve the LeetCode problem '711. Number of Distinct Islands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09" spans="1:15" x14ac:dyDescent="0.25">
      <c r="A2609" s="1">
        <v>2443</v>
      </c>
      <c r="B2609" s="2" t="str">
        <f>HYPERLINK("https://leetcode.com/problems/sum-of-number-and-its-reverse/", "Sum of Number and Its Reverse")</f>
        <v>Sum of Number and Its Reverse</v>
      </c>
      <c r="C2609" s="1">
        <v>278</v>
      </c>
      <c r="D2609" s="1">
        <v>306</v>
      </c>
      <c r="E2609" s="3">
        <f t="shared" si="20"/>
        <v>0.47602739726027399</v>
      </c>
      <c r="F2609" s="1" t="s">
        <v>602</v>
      </c>
      <c r="G2609" s="1" t="s">
        <v>24</v>
      </c>
      <c r="H2609" s="1">
        <v>45211</v>
      </c>
      <c r="I2609" s="1">
        <v>92009</v>
      </c>
      <c r="J2609" s="7">
        <v>0.49099999999999999</v>
      </c>
      <c r="K2609" s="1" t="s">
        <v>21</v>
      </c>
      <c r="L2609" s="1" t="s">
        <v>29</v>
      </c>
      <c r="M2609" s="1" t="s">
        <v>29</v>
      </c>
      <c r="N2609" s="1" t="s">
        <v>22</v>
      </c>
      <c r="O2609" s="1" t="str">
        <f t="shared" ca="1" si="21"/>
        <v>Please solve the LeetCode problem '2443. Sum of Number and Its Reverse'.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10" spans="1:15" x14ac:dyDescent="0.25">
      <c r="A2610" s="1">
        <v>2734</v>
      </c>
      <c r="B2610" s="2" t="str">
        <f>HYPERLINK("https://leetcode.com/problems/lexicographically-smallest-string-after-substring-operation/", "Lexicographically Smallest String After Substring Operation")</f>
        <v>Lexicographically Smallest String After Substring Operation</v>
      </c>
      <c r="C2610" s="1">
        <v>278</v>
      </c>
      <c r="D2610" s="1">
        <v>193</v>
      </c>
      <c r="E2610" s="3">
        <f t="shared" si="20"/>
        <v>0.59023354564755837</v>
      </c>
      <c r="F2610" s="1" t="s">
        <v>424</v>
      </c>
      <c r="G2610" s="1" t="s">
        <v>24</v>
      </c>
      <c r="H2610" s="1">
        <v>35022</v>
      </c>
      <c r="I2610" s="1">
        <v>102117</v>
      </c>
      <c r="J2610" s="7">
        <v>0.34300000000000003</v>
      </c>
      <c r="K2610" s="1" t="s">
        <v>21</v>
      </c>
      <c r="L2610" s="1" t="s">
        <v>29</v>
      </c>
      <c r="M2610" s="1" t="s">
        <v>29</v>
      </c>
      <c r="N2610" s="1" t="s">
        <v>22</v>
      </c>
      <c r="O2610" s="1" t="str">
        <f t="shared" ca="1" si="21"/>
        <v>Please solve the LeetCode problem '2734. Lexicographically Smallest String After Substring Operation'.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11" spans="1:15" x14ac:dyDescent="0.25">
      <c r="A2611" s="1">
        <v>2926</v>
      </c>
      <c r="B2611" s="2" t="str">
        <f>HYPERLINK("https://leetcode.com/problems/maximum-balanced-subsequence-sum/", "Maximum Balanced Subsequence Sum")</f>
        <v>Maximum Balanced Subsequence Sum</v>
      </c>
      <c r="C2611" s="1">
        <v>278</v>
      </c>
      <c r="D2611" s="1">
        <v>10</v>
      </c>
      <c r="E2611" s="3">
        <f t="shared" si="20"/>
        <v>0.96527777777777779</v>
      </c>
      <c r="F2611" s="1" t="s">
        <v>1048</v>
      </c>
      <c r="G2611" s="1" t="s">
        <v>28</v>
      </c>
      <c r="H2611" s="1">
        <v>9449</v>
      </c>
      <c r="I2611" s="1">
        <v>36834</v>
      </c>
      <c r="J2611" s="7">
        <v>0.25700000000000001</v>
      </c>
      <c r="K2611" s="1" t="s">
        <v>21</v>
      </c>
      <c r="L2611" s="1" t="s">
        <v>29</v>
      </c>
      <c r="M2611" s="1" t="s">
        <v>29</v>
      </c>
      <c r="N2611" s="1" t="s">
        <v>22</v>
      </c>
      <c r="O2611" s="1" t="str">
        <f t="shared" ca="1" si="21"/>
        <v>Please solve the LeetCode problem '2926. Maximum Balanced Subsequence Sum'.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12" spans="1:15" x14ac:dyDescent="0.25">
      <c r="A2612" s="1">
        <v>512</v>
      </c>
      <c r="B2612" s="2" t="str">
        <f>HYPERLINK("https://leetcode.com/problems/game-play-analysis-ii/", "Game Play Analysis II")</f>
        <v>Game Play Analysis II</v>
      </c>
      <c r="C2612" s="1">
        <v>277</v>
      </c>
      <c r="D2612" s="1">
        <v>43</v>
      </c>
      <c r="E2612" s="3">
        <f t="shared" si="20"/>
        <v>0.86562499999999998</v>
      </c>
      <c r="F2612" s="1" t="s">
        <v>297</v>
      </c>
      <c r="G2612" s="1" t="s">
        <v>20</v>
      </c>
      <c r="H2612" s="1">
        <v>105118</v>
      </c>
      <c r="I2612" s="1">
        <v>192935</v>
      </c>
      <c r="J2612" s="7">
        <v>0.54500000000000004</v>
      </c>
      <c r="K2612" s="1" t="s">
        <v>29</v>
      </c>
      <c r="L2612" s="1" t="s">
        <v>21</v>
      </c>
      <c r="M2612" s="1" t="s">
        <v>29</v>
      </c>
      <c r="N2612" s="1" t="s">
        <v>297</v>
      </c>
      <c r="O2612" s="1" t="str">
        <f t="shared" ca="1" si="21"/>
        <v>Please solve the LeetCode problem '512. Game Play Analysis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13" spans="1:15" x14ac:dyDescent="0.25">
      <c r="A2613" s="1">
        <v>1660</v>
      </c>
      <c r="B2613" s="2" t="str">
        <f>HYPERLINK("https://leetcode.com/problems/correct-a-binary-tree/", "Correct a Binary Tree")</f>
        <v>Correct a Binary Tree</v>
      </c>
      <c r="C2613" s="1">
        <v>277</v>
      </c>
      <c r="D2613" s="1">
        <v>47</v>
      </c>
      <c r="E2613" s="3">
        <f t="shared" si="20"/>
        <v>0.85493827160493829</v>
      </c>
      <c r="F2613" s="1" t="s">
        <v>107</v>
      </c>
      <c r="G2613" s="1" t="s">
        <v>24</v>
      </c>
      <c r="H2613" s="1">
        <v>22745</v>
      </c>
      <c r="I2613" s="1">
        <v>30639</v>
      </c>
      <c r="J2613" s="7">
        <v>0.74199999999999999</v>
      </c>
      <c r="K2613" s="1" t="s">
        <v>29</v>
      </c>
      <c r="L2613" s="1" t="s">
        <v>21</v>
      </c>
      <c r="M2613" s="1" t="s">
        <v>29</v>
      </c>
      <c r="N2613" s="1" t="s">
        <v>22</v>
      </c>
      <c r="O2613" s="1" t="str">
        <f t="shared" ca="1" si="21"/>
        <v>Please solve the LeetCode problem '1660. Correct a Binary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14" spans="1:15" x14ac:dyDescent="0.25">
      <c r="A2614" s="1">
        <v>2695</v>
      </c>
      <c r="B2614" s="2" t="str">
        <f>HYPERLINK("https://leetcode.com/problems/array-wrapper/", "Array Wrapper")</f>
        <v>Array Wrapper</v>
      </c>
      <c r="C2614" s="1">
        <v>277</v>
      </c>
      <c r="D2614" s="1">
        <v>61</v>
      </c>
      <c r="E2614" s="3">
        <f t="shared" si="20"/>
        <v>0.81952662721893488</v>
      </c>
      <c r="G2614" s="1" t="s">
        <v>20</v>
      </c>
      <c r="H2614" s="1">
        <v>68958</v>
      </c>
      <c r="I2614" s="1">
        <v>77399</v>
      </c>
      <c r="J2614" s="7">
        <v>0.89100000000000001</v>
      </c>
      <c r="K2614" s="1" t="s">
        <v>21</v>
      </c>
      <c r="L2614" s="1" t="s">
        <v>21</v>
      </c>
      <c r="M2614" s="1" t="s">
        <v>29</v>
      </c>
      <c r="N2614" s="1" t="s">
        <v>555</v>
      </c>
      <c r="O2614" s="1" t="str">
        <f t="shared" ca="1" si="21"/>
        <v>Please solve the LeetCode problem '2695. Array Wrapper'.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15" spans="1:15" x14ac:dyDescent="0.25">
      <c r="A2615" s="1">
        <v>1427</v>
      </c>
      <c r="B2615" s="2" t="str">
        <f>HYPERLINK("https://leetcode.com/problems/perform-string-shifts/", "Perform String Shifts")</f>
        <v>Perform String Shifts</v>
      </c>
      <c r="C2615" s="1">
        <v>276</v>
      </c>
      <c r="D2615" s="1">
        <v>16</v>
      </c>
      <c r="E2615" s="3">
        <f t="shared" si="20"/>
        <v>0.9452054794520548</v>
      </c>
      <c r="F2615" s="1" t="s">
        <v>858</v>
      </c>
      <c r="G2615" s="1" t="s">
        <v>20</v>
      </c>
      <c r="H2615" s="1">
        <v>93317</v>
      </c>
      <c r="I2615" s="1">
        <v>166805</v>
      </c>
      <c r="J2615" s="7">
        <v>0.55900000000000005</v>
      </c>
      <c r="K2615" s="1" t="s">
        <v>29</v>
      </c>
      <c r="L2615" s="1" t="s">
        <v>21</v>
      </c>
      <c r="M2615" s="1" t="s">
        <v>29</v>
      </c>
      <c r="N2615" s="1" t="s">
        <v>22</v>
      </c>
      <c r="O2615" s="1" t="str">
        <f t="shared" ca="1" si="21"/>
        <v>Please solve the LeetCode problem '1427. Perform String Shifts'.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16" spans="1:15" x14ac:dyDescent="0.25">
      <c r="A2616" s="1">
        <v>2768</v>
      </c>
      <c r="B2616" s="2" t="str">
        <f>HYPERLINK("https://leetcode.com/problems/number-of-black-blocks/", "Number of Black Blocks")</f>
        <v>Number of Black Blocks</v>
      </c>
      <c r="C2616" s="1">
        <v>276</v>
      </c>
      <c r="D2616" s="1">
        <v>47</v>
      </c>
      <c r="E2616" s="3">
        <f t="shared" si="20"/>
        <v>0.85448916408668729</v>
      </c>
      <c r="F2616" s="1" t="s">
        <v>804</v>
      </c>
      <c r="G2616" s="1" t="s">
        <v>24</v>
      </c>
      <c r="H2616" s="1">
        <v>19821</v>
      </c>
      <c r="I2616" s="1">
        <v>48021</v>
      </c>
      <c r="J2616" s="7">
        <v>0.41299999999999998</v>
      </c>
      <c r="K2616" s="1" t="s">
        <v>21</v>
      </c>
      <c r="L2616" s="1" t="s">
        <v>29</v>
      </c>
      <c r="M2616" s="1" t="s">
        <v>29</v>
      </c>
      <c r="N2616" s="1" t="s">
        <v>22</v>
      </c>
      <c r="O2616" s="1" t="str">
        <f t="shared" ca="1" si="21"/>
        <v>Please solve the LeetCode problem '2768. Number of Black Blocks'.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17" spans="1:15" x14ac:dyDescent="0.25">
      <c r="A2617" s="1">
        <v>2833</v>
      </c>
      <c r="B2617" s="2" t="str">
        <f>HYPERLINK("https://leetcode.com/problems/furthest-point-from-origin/", "Furthest Point From Origin")</f>
        <v>Furthest Point From Origin</v>
      </c>
      <c r="C2617" s="1">
        <v>276</v>
      </c>
      <c r="D2617" s="1">
        <v>52</v>
      </c>
      <c r="E2617" s="3">
        <f t="shared" si="20"/>
        <v>0.84146341463414631</v>
      </c>
      <c r="F2617" s="1" t="s">
        <v>452</v>
      </c>
      <c r="G2617" s="1" t="s">
        <v>20</v>
      </c>
      <c r="H2617" s="1">
        <v>59681</v>
      </c>
      <c r="I2617" s="1">
        <v>91586</v>
      </c>
      <c r="J2617" s="7">
        <v>0.65200000000000002</v>
      </c>
      <c r="K2617" s="1" t="s">
        <v>21</v>
      </c>
      <c r="L2617" s="1" t="s">
        <v>29</v>
      </c>
      <c r="M2617" s="1" t="s">
        <v>29</v>
      </c>
      <c r="N2617" s="1" t="s">
        <v>22</v>
      </c>
      <c r="O2617" s="1" t="str">
        <f t="shared" ca="1" si="21"/>
        <v>Please solve the LeetCode problem '2833. Furthest Point From Origin'.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18" spans="1:15" x14ac:dyDescent="0.25">
      <c r="A2618" s="1">
        <v>1322</v>
      </c>
      <c r="B2618" s="2" t="str">
        <f>HYPERLINK("https://leetcode.com/problems/ads-performance/", "Ads Performance")</f>
        <v>Ads Performance</v>
      </c>
      <c r="C2618" s="1">
        <v>273</v>
      </c>
      <c r="D2618" s="1">
        <v>67</v>
      </c>
      <c r="E2618" s="3">
        <f t="shared" si="20"/>
        <v>0.80294117647058827</v>
      </c>
      <c r="F2618" s="1" t="s">
        <v>297</v>
      </c>
      <c r="G2618" s="1" t="s">
        <v>20</v>
      </c>
      <c r="H2618" s="1">
        <v>51862</v>
      </c>
      <c r="I2618" s="1">
        <v>88301</v>
      </c>
      <c r="J2618" s="7">
        <v>0.58699999999999997</v>
      </c>
      <c r="K2618" s="1" t="s">
        <v>29</v>
      </c>
      <c r="L2618" s="1" t="s">
        <v>21</v>
      </c>
      <c r="M2618" s="1" t="s">
        <v>29</v>
      </c>
      <c r="N2618" s="1" t="s">
        <v>297</v>
      </c>
      <c r="O2618" s="1" t="str">
        <f t="shared" ca="1" si="21"/>
        <v>Please solve the LeetCode problem '1322. Ads Performance'.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19" spans="1:15" x14ac:dyDescent="0.25">
      <c r="A2619" s="1">
        <v>1586</v>
      </c>
      <c r="B2619" s="2" t="str">
        <f>HYPERLINK("https://leetcode.com/problems/binary-search-tree-iterator-ii/", "Binary Search Tree Iterator II")</f>
        <v>Binary Search Tree Iterator II</v>
      </c>
      <c r="C2619" s="1">
        <v>272</v>
      </c>
      <c r="D2619" s="1">
        <v>52</v>
      </c>
      <c r="E2619" s="3">
        <f t="shared" si="20"/>
        <v>0.83950617283950613</v>
      </c>
      <c r="F2619" s="1" t="s">
        <v>149</v>
      </c>
      <c r="G2619" s="1" t="s">
        <v>24</v>
      </c>
      <c r="H2619" s="1">
        <v>17039</v>
      </c>
      <c r="I2619" s="1">
        <v>26904</v>
      </c>
      <c r="J2619" s="7">
        <v>0.63300000000000001</v>
      </c>
      <c r="K2619" s="1" t="s">
        <v>29</v>
      </c>
      <c r="L2619" s="1" t="s">
        <v>21</v>
      </c>
      <c r="M2619" s="1" t="s">
        <v>29</v>
      </c>
      <c r="N2619" s="1" t="s">
        <v>22</v>
      </c>
      <c r="O2619" s="1" t="str">
        <f t="shared" ca="1" si="21"/>
        <v>Please solve the LeetCode problem '1586. Binary Search Tree Iterator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20" spans="1:15" x14ac:dyDescent="0.25">
      <c r="A2620" s="1">
        <v>2840</v>
      </c>
      <c r="B2620" s="2" t="str">
        <f>HYPERLINK("https://leetcode.com/problems/check-if-strings-can-be-made-equal-with-operations-ii/", "Check if Strings Can be Made Equal With Operations II")</f>
        <v>Check if Strings Can be Made Equal With Operations II</v>
      </c>
      <c r="C2620" s="1">
        <v>272</v>
      </c>
      <c r="D2620" s="1">
        <v>5</v>
      </c>
      <c r="E2620" s="3">
        <f t="shared" si="20"/>
        <v>0.98194945848375448</v>
      </c>
      <c r="F2620" s="1" t="s">
        <v>90</v>
      </c>
      <c r="G2620" s="1" t="s">
        <v>24</v>
      </c>
      <c r="H2620" s="1">
        <v>30947</v>
      </c>
      <c r="I2620" s="1">
        <v>55237</v>
      </c>
      <c r="J2620" s="7">
        <v>0.56000000000000005</v>
      </c>
      <c r="K2620" s="1" t="s">
        <v>21</v>
      </c>
      <c r="L2620" s="1" t="s">
        <v>29</v>
      </c>
      <c r="M2620" s="1" t="s">
        <v>29</v>
      </c>
      <c r="N2620" s="1" t="s">
        <v>22</v>
      </c>
      <c r="O2620" s="1" t="str">
        <f t="shared" ca="1" si="21"/>
        <v>Please solve the LeetCode problem '2840. Check if Strings Can be Made Equal With Operations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21" spans="1:15" x14ac:dyDescent="0.25">
      <c r="A2621" s="1">
        <v>3211</v>
      </c>
      <c r="B2621" s="2" t="str">
        <f>HYPERLINK("https://leetcode.com/problems/generate-binary-strings-without-adjacent-zeros/", "Generate Binary Strings Without Adjacent Zeros")</f>
        <v>Generate Binary Strings Without Adjacent Zeros</v>
      </c>
      <c r="C2621" s="1">
        <v>272</v>
      </c>
      <c r="D2621" s="1">
        <v>47</v>
      </c>
      <c r="E2621" s="3">
        <f t="shared" si="20"/>
        <v>0.85266457680250785</v>
      </c>
      <c r="F2621" s="1" t="s">
        <v>267</v>
      </c>
      <c r="G2621" s="1" t="s">
        <v>24</v>
      </c>
      <c r="H2621" s="1">
        <v>75288</v>
      </c>
      <c r="I2621" s="1">
        <v>85508</v>
      </c>
      <c r="J2621" s="7">
        <v>0.88</v>
      </c>
      <c r="K2621" s="1" t="s">
        <v>21</v>
      </c>
      <c r="L2621" s="1" t="s">
        <v>29</v>
      </c>
      <c r="M2621" s="1" t="s">
        <v>29</v>
      </c>
      <c r="N2621" s="1" t="s">
        <v>22</v>
      </c>
      <c r="O2621" s="1" t="str">
        <f t="shared" ca="1" si="21"/>
        <v>Please solve the LeetCode problem '3211. Generate Binary Strings Without Adjacent Zeros'.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22" spans="1:15" x14ac:dyDescent="0.25">
      <c r="A2622" s="1">
        <v>1597</v>
      </c>
      <c r="B2622" s="2" t="str">
        <f>HYPERLINK("https://leetcode.com/problems/build-binary-expression-tree-from-infix-expression/", "Build Binary Expression Tree From Infix Expression")</f>
        <v>Build Binary Expression Tree From Infix Expression</v>
      </c>
      <c r="C2622" s="1">
        <v>271</v>
      </c>
      <c r="D2622" s="1">
        <v>48</v>
      </c>
      <c r="E2622" s="3">
        <f t="shared" si="20"/>
        <v>0.84952978056426331</v>
      </c>
      <c r="F2622" s="1" t="s">
        <v>436</v>
      </c>
      <c r="G2622" s="1" t="s">
        <v>28</v>
      </c>
      <c r="H2622" s="1">
        <v>14609</v>
      </c>
      <c r="I2622" s="1">
        <v>23322</v>
      </c>
      <c r="J2622" s="7">
        <v>0.626</v>
      </c>
      <c r="K2622" s="1" t="s">
        <v>29</v>
      </c>
      <c r="L2622" s="1" t="s">
        <v>29</v>
      </c>
      <c r="M2622" s="1" t="s">
        <v>29</v>
      </c>
      <c r="N2622" s="1" t="s">
        <v>22</v>
      </c>
      <c r="O2622" s="1" t="str">
        <f t="shared" ca="1" si="21"/>
        <v>Please solve the LeetCode problem '1597. Build Binary Expression Tree From Infix Expression'.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23" spans="1:15" x14ac:dyDescent="0.25">
      <c r="A2623" s="1">
        <v>2567</v>
      </c>
      <c r="B2623" s="2" t="str">
        <f>HYPERLINK("https://leetcode.com/problems/minimum-score-by-changing-two-elements/", "Minimum Score by Changing Two Elements")</f>
        <v>Minimum Score by Changing Two Elements</v>
      </c>
      <c r="C2623" s="1">
        <v>271</v>
      </c>
      <c r="D2623" s="1">
        <v>269</v>
      </c>
      <c r="E2623" s="3">
        <f t="shared" si="20"/>
        <v>0.50185185185185188</v>
      </c>
      <c r="F2623" s="1" t="s">
        <v>169</v>
      </c>
      <c r="G2623" s="1" t="s">
        <v>24</v>
      </c>
      <c r="H2623" s="1">
        <v>21791</v>
      </c>
      <c r="I2623" s="1">
        <v>43849</v>
      </c>
      <c r="J2623" s="7">
        <v>0.497</v>
      </c>
      <c r="K2623" s="1" t="s">
        <v>21</v>
      </c>
      <c r="L2623" s="1" t="s">
        <v>29</v>
      </c>
      <c r="M2623" s="1" t="s">
        <v>29</v>
      </c>
      <c r="N2623" s="1" t="s">
        <v>22</v>
      </c>
      <c r="O2623" s="1" t="str">
        <f t="shared" ca="1" si="21"/>
        <v>Please solve the LeetCode problem '2567. Minimum Score by Changing Two Elements'.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24" spans="1:15" x14ac:dyDescent="0.25">
      <c r="A2624" s="1">
        <v>1914</v>
      </c>
      <c r="B2624" s="2" t="str">
        <f>HYPERLINK("https://leetcode.com/problems/cyclically-rotating-a-grid/", "Cyclically Rotating a Grid")</f>
        <v>Cyclically Rotating a Grid</v>
      </c>
      <c r="C2624" s="1">
        <v>269</v>
      </c>
      <c r="D2624" s="1">
        <v>278</v>
      </c>
      <c r="E2624" s="3">
        <f t="shared" si="20"/>
        <v>0.49177330895795246</v>
      </c>
      <c r="F2624" s="1" t="s">
        <v>77</v>
      </c>
      <c r="G2624" s="1" t="s">
        <v>24</v>
      </c>
      <c r="H2624" s="1">
        <v>15875</v>
      </c>
      <c r="I2624" s="1">
        <v>30906</v>
      </c>
      <c r="J2624" s="7">
        <v>0.51400000000000001</v>
      </c>
      <c r="K2624" s="1" t="s">
        <v>21</v>
      </c>
      <c r="L2624" s="1" t="s">
        <v>29</v>
      </c>
      <c r="M2624" s="1" t="s">
        <v>29</v>
      </c>
      <c r="N2624" s="1" t="s">
        <v>22</v>
      </c>
      <c r="O2624" s="1" t="str">
        <f t="shared" ca="1" si="21"/>
        <v>Please solve the LeetCode problem '1914. Cyclically Rotating a Grid'.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25" spans="1:15" x14ac:dyDescent="0.25">
      <c r="A2625" s="1">
        <v>2075</v>
      </c>
      <c r="B2625" s="2" t="str">
        <f>HYPERLINK("https://leetcode.com/problems/decode-the-slanted-ciphertext/", "Decode the Slanted Ciphertext")</f>
        <v>Decode the Slanted Ciphertext</v>
      </c>
      <c r="C2625" s="1">
        <v>267</v>
      </c>
      <c r="D2625" s="1">
        <v>69</v>
      </c>
      <c r="E2625" s="3">
        <f t="shared" si="20"/>
        <v>0.7946428571428571</v>
      </c>
      <c r="F2625" s="1" t="s">
        <v>414</v>
      </c>
      <c r="G2625" s="1" t="s">
        <v>24</v>
      </c>
      <c r="H2625" s="1">
        <v>19021</v>
      </c>
      <c r="I2625" s="1">
        <v>37920</v>
      </c>
      <c r="J2625" s="7">
        <v>0.502</v>
      </c>
      <c r="K2625" s="1" t="s">
        <v>21</v>
      </c>
      <c r="L2625" s="1" t="s">
        <v>29</v>
      </c>
      <c r="M2625" s="1" t="s">
        <v>29</v>
      </c>
      <c r="N2625" s="1" t="s">
        <v>22</v>
      </c>
      <c r="O2625" s="1" t="str">
        <f t="shared" ca="1" si="21"/>
        <v>Please solve the LeetCode problem '2075. Decode the Slanted Ciphertext'.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26" spans="1:15" x14ac:dyDescent="0.25">
      <c r="A2626" s="1">
        <v>1264</v>
      </c>
      <c r="B2626" s="2" t="str">
        <f>HYPERLINK("https://leetcode.com/problems/page-recommendations/", "Page Recommendations")</f>
        <v>Page Recommendations</v>
      </c>
      <c r="C2626" s="1">
        <v>266</v>
      </c>
      <c r="D2626" s="1">
        <v>27</v>
      </c>
      <c r="E2626" s="3">
        <f t="shared" si="20"/>
        <v>0.9078498293515358</v>
      </c>
      <c r="F2626" s="1" t="s">
        <v>297</v>
      </c>
      <c r="G2626" s="1" t="s">
        <v>24</v>
      </c>
      <c r="H2626" s="1">
        <v>53436</v>
      </c>
      <c r="I2626" s="1">
        <v>81696</v>
      </c>
      <c r="J2626" s="7">
        <v>0.65400000000000003</v>
      </c>
      <c r="K2626" s="1" t="s">
        <v>29</v>
      </c>
      <c r="L2626" s="1" t="s">
        <v>29</v>
      </c>
      <c r="M2626" s="1" t="s">
        <v>29</v>
      </c>
      <c r="N2626" s="1" t="s">
        <v>297</v>
      </c>
      <c r="O2626" s="1" t="str">
        <f t="shared" ca="1" si="21"/>
        <v>Please solve the LeetCode problem '1264. Page Recommendations'.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27" spans="1:15" x14ac:dyDescent="0.25">
      <c r="A2627" s="1">
        <v>2939</v>
      </c>
      <c r="B2627" s="2" t="str">
        <f>HYPERLINK("https://leetcode.com/problems/maximum-xor-product/", "Maximum Xor Product")</f>
        <v>Maximum Xor Product</v>
      </c>
      <c r="C2627" s="1">
        <v>266</v>
      </c>
      <c r="D2627" s="1">
        <v>73</v>
      </c>
      <c r="E2627" s="3">
        <f t="shared" si="20"/>
        <v>0.78466076696165188</v>
      </c>
      <c r="F2627" s="1" t="s">
        <v>1054</v>
      </c>
      <c r="G2627" s="1" t="s">
        <v>24</v>
      </c>
      <c r="H2627" s="1">
        <v>14647</v>
      </c>
      <c r="I2627" s="1">
        <v>50156</v>
      </c>
      <c r="J2627" s="7">
        <v>0.29199999999999998</v>
      </c>
      <c r="K2627" s="1" t="s">
        <v>21</v>
      </c>
      <c r="L2627" s="1" t="s">
        <v>29</v>
      </c>
      <c r="M2627" s="1" t="s">
        <v>29</v>
      </c>
      <c r="N2627" s="1" t="s">
        <v>22</v>
      </c>
      <c r="O2627" s="1" t="str">
        <f t="shared" ca="1" si="21"/>
        <v>Please solve the LeetCode problem '2939. Maximum Xor Product'.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28" spans="1:15" x14ac:dyDescent="0.25">
      <c r="A2628" s="1">
        <v>3092</v>
      </c>
      <c r="B2628" s="2" t="str">
        <f>HYPERLINK("https://leetcode.com/problems/most-frequent-ids/", "Most Frequent IDs")</f>
        <v>Most Frequent IDs</v>
      </c>
      <c r="C2628" s="1">
        <v>266</v>
      </c>
      <c r="D2628" s="1">
        <v>38</v>
      </c>
      <c r="E2628" s="3">
        <f t="shared" si="20"/>
        <v>0.875</v>
      </c>
      <c r="F2628" s="1" t="s">
        <v>1056</v>
      </c>
      <c r="G2628" s="1" t="s">
        <v>24</v>
      </c>
      <c r="H2628" s="1">
        <v>24259</v>
      </c>
      <c r="I2628" s="1">
        <v>57368</v>
      </c>
      <c r="J2628" s="7">
        <v>0.42299999999999999</v>
      </c>
      <c r="K2628" s="1" t="s">
        <v>21</v>
      </c>
      <c r="L2628" s="1" t="s">
        <v>29</v>
      </c>
      <c r="M2628" s="1" t="s">
        <v>29</v>
      </c>
      <c r="N2628" s="1" t="s">
        <v>22</v>
      </c>
      <c r="O2628" s="1" t="str">
        <f t="shared" ca="1" si="21"/>
        <v>Please solve the LeetCode problem '3092. Most Frequent IDs'.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29" spans="1:15" x14ac:dyDescent="0.25">
      <c r="A2629" s="1">
        <v>631</v>
      </c>
      <c r="B2629" s="2" t="str">
        <f>HYPERLINK("https://leetcode.com/problems/design-excel-sum-formula/", "Design Excel Sum Formula")</f>
        <v>Design Excel Sum Formula</v>
      </c>
      <c r="C2629" s="1">
        <v>264</v>
      </c>
      <c r="D2629" s="1">
        <v>291</v>
      </c>
      <c r="E2629" s="3">
        <f t="shared" si="20"/>
        <v>0.4756756756756757</v>
      </c>
      <c r="F2629" s="1" t="s">
        <v>1057</v>
      </c>
      <c r="G2629" s="1" t="s">
        <v>28</v>
      </c>
      <c r="H2629" s="1">
        <v>30736</v>
      </c>
      <c r="I2629" s="1">
        <v>76776</v>
      </c>
      <c r="J2629" s="7">
        <v>0.4</v>
      </c>
      <c r="K2629" s="1" t="s">
        <v>29</v>
      </c>
      <c r="L2629" s="1" t="s">
        <v>21</v>
      </c>
      <c r="M2629" s="1" t="s">
        <v>29</v>
      </c>
      <c r="N2629" s="1" t="s">
        <v>22</v>
      </c>
      <c r="O2629" s="1" t="str">
        <f t="shared" ca="1" si="21"/>
        <v>Please solve the LeetCode problem '631. Design Excel Sum Formula'.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30" spans="1:15" x14ac:dyDescent="0.25">
      <c r="A2630" s="1">
        <v>2550</v>
      </c>
      <c r="B2630" s="2" t="str">
        <f>HYPERLINK("https://leetcode.com/problems/count-collisions-of-monkeys-on-a-polygon/", "Count Collisions of Monkeys on a Polygon")</f>
        <v>Count Collisions of Monkeys on a Polygon</v>
      </c>
      <c r="C2630" s="1">
        <v>264</v>
      </c>
      <c r="D2630" s="1">
        <v>531</v>
      </c>
      <c r="E2630" s="3">
        <f t="shared" si="20"/>
        <v>0.33207547169811319</v>
      </c>
      <c r="F2630" s="1" t="s">
        <v>116</v>
      </c>
      <c r="G2630" s="1" t="s">
        <v>24</v>
      </c>
      <c r="H2630" s="1">
        <v>26320</v>
      </c>
      <c r="I2630" s="1">
        <v>88583</v>
      </c>
      <c r="J2630" s="7">
        <v>0.29699999999999999</v>
      </c>
      <c r="K2630" s="1" t="s">
        <v>21</v>
      </c>
      <c r="L2630" s="1" t="s">
        <v>29</v>
      </c>
      <c r="M2630" s="1" t="s">
        <v>29</v>
      </c>
      <c r="N2630" s="1" t="s">
        <v>22</v>
      </c>
      <c r="O2630" s="1" t="str">
        <f t="shared" ca="1" si="21"/>
        <v>Please solve the LeetCode problem '2550. Count Collisions of Monkeys on a Polygon'.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31" spans="1:15" x14ac:dyDescent="0.25">
      <c r="A2631" s="1">
        <v>1533</v>
      </c>
      <c r="B2631" s="2" t="str">
        <f>HYPERLINK("https://leetcode.com/problems/find-the-index-of-the-large-integer/", "Find the Index of the Large Integer")</f>
        <v>Find the Index of the Large Integer</v>
      </c>
      <c r="C2631" s="1">
        <v>263</v>
      </c>
      <c r="D2631" s="1">
        <v>35</v>
      </c>
      <c r="E2631" s="3">
        <f t="shared" si="20"/>
        <v>0.8825503355704698</v>
      </c>
      <c r="F2631" s="1" t="s">
        <v>341</v>
      </c>
      <c r="G2631" s="1" t="s">
        <v>24</v>
      </c>
      <c r="H2631" s="1">
        <v>17761</v>
      </c>
      <c r="I2631" s="1">
        <v>31423</v>
      </c>
      <c r="J2631" s="7">
        <v>0.56499999999999995</v>
      </c>
      <c r="K2631" s="1" t="s">
        <v>29</v>
      </c>
      <c r="L2631" s="1" t="s">
        <v>21</v>
      </c>
      <c r="M2631" s="1" t="s">
        <v>29</v>
      </c>
      <c r="N2631" s="1" t="s">
        <v>22</v>
      </c>
      <c r="O2631" s="1" t="str">
        <f t="shared" ca="1" si="21"/>
        <v>Please solve the LeetCode problem '1533. Find the Index of the Large Integer'.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32" spans="1:15" x14ac:dyDescent="0.25">
      <c r="A2632" s="1">
        <v>1596</v>
      </c>
      <c r="B2632" s="2" t="str">
        <f>HYPERLINK("https://leetcode.com/problems/the-most-frequently-ordered-products-for-each-customer/", "The Most Frequently Ordered Products for Each Customer")</f>
        <v>The Most Frequently Ordered Products for Each Customer</v>
      </c>
      <c r="C2632" s="1">
        <v>261</v>
      </c>
      <c r="D2632" s="1">
        <v>17</v>
      </c>
      <c r="E2632" s="3">
        <f t="shared" si="20"/>
        <v>0.9388489208633094</v>
      </c>
      <c r="F2632" s="1" t="s">
        <v>297</v>
      </c>
      <c r="G2632" s="1" t="s">
        <v>24</v>
      </c>
      <c r="H2632" s="1">
        <v>44804</v>
      </c>
      <c r="I2632" s="1">
        <v>57656</v>
      </c>
      <c r="J2632" s="7">
        <v>0.77700000000000002</v>
      </c>
      <c r="K2632" s="1" t="s">
        <v>29</v>
      </c>
      <c r="L2632" s="1" t="s">
        <v>29</v>
      </c>
      <c r="M2632" s="1" t="s">
        <v>29</v>
      </c>
      <c r="N2632" s="1" t="s">
        <v>297</v>
      </c>
      <c r="O2632" s="1" t="str">
        <f t="shared" ca="1" si="21"/>
        <v>Please solve the LeetCode problem '1596. The Most Frequently Ordered Products for Each Customer'.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33" spans="1:15" x14ac:dyDescent="0.25">
      <c r="A2633" s="1">
        <v>2543</v>
      </c>
      <c r="B2633" s="2" t="str">
        <f>HYPERLINK("https://leetcode.com/problems/check-if-point-is-reachable/", "Check if Point Is Reachable")</f>
        <v>Check if Point Is Reachable</v>
      </c>
      <c r="C2633" s="1">
        <v>261</v>
      </c>
      <c r="D2633" s="1">
        <v>52</v>
      </c>
      <c r="E2633" s="3">
        <f t="shared" si="20"/>
        <v>0.83386581469648557</v>
      </c>
      <c r="F2633" s="1" t="s">
        <v>513</v>
      </c>
      <c r="G2633" s="1" t="s">
        <v>28</v>
      </c>
      <c r="H2633" s="1">
        <v>10560</v>
      </c>
      <c r="I2633" s="1">
        <v>23660</v>
      </c>
      <c r="J2633" s="7">
        <v>0.44600000000000001</v>
      </c>
      <c r="K2633" s="1" t="s">
        <v>21</v>
      </c>
      <c r="L2633" s="1" t="s">
        <v>29</v>
      </c>
      <c r="M2633" s="1" t="s">
        <v>29</v>
      </c>
      <c r="N2633" s="1" t="s">
        <v>22</v>
      </c>
      <c r="O2633" s="1" t="str">
        <f t="shared" ca="1" si="21"/>
        <v>Please solve the LeetCode problem '2543. Check if Point Is Reachable'.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34" spans="1:15" x14ac:dyDescent="0.25">
      <c r="A2634" s="1">
        <v>2546</v>
      </c>
      <c r="B2634" s="2" t="str">
        <f>HYPERLINK("https://leetcode.com/problems/apply-bitwise-operations-to-make-strings-equal/", "Apply Bitwise Operations to Make Strings Equal")</f>
        <v>Apply Bitwise Operations to Make Strings Equal</v>
      </c>
      <c r="C2634" s="1">
        <v>261</v>
      </c>
      <c r="D2634" s="1">
        <v>101</v>
      </c>
      <c r="E2634" s="3">
        <f t="shared" si="20"/>
        <v>0.72099447513812154</v>
      </c>
      <c r="F2634" s="1" t="s">
        <v>1059</v>
      </c>
      <c r="G2634" s="1" t="s">
        <v>24</v>
      </c>
      <c r="H2634" s="1">
        <v>22410</v>
      </c>
      <c r="I2634" s="1">
        <v>52803</v>
      </c>
      <c r="J2634" s="7">
        <v>0.42399999999999999</v>
      </c>
      <c r="K2634" s="1" t="s">
        <v>21</v>
      </c>
      <c r="L2634" s="1" t="s">
        <v>29</v>
      </c>
      <c r="M2634" s="1" t="s">
        <v>29</v>
      </c>
      <c r="N2634" s="1" t="s">
        <v>22</v>
      </c>
      <c r="O2634" s="1" t="str">
        <f t="shared" ca="1" si="21"/>
        <v>Please solve the LeetCode problem '2546. Apply Bitwise Operations to Make Strings Equal'.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35" spans="1:15" x14ac:dyDescent="0.25">
      <c r="A2635" s="1">
        <v>2729</v>
      </c>
      <c r="B2635" s="2" t="str">
        <f>HYPERLINK("https://leetcode.com/problems/check-if-the-number-is-fascinating/", "Check if The Number is Fascinating")</f>
        <v>Check if The Number is Fascinating</v>
      </c>
      <c r="C2635" s="1">
        <v>261</v>
      </c>
      <c r="D2635" s="1">
        <v>14</v>
      </c>
      <c r="E2635" s="3">
        <f t="shared" si="20"/>
        <v>0.9490909090909091</v>
      </c>
      <c r="F2635" s="1" t="s">
        <v>557</v>
      </c>
      <c r="G2635" s="1" t="s">
        <v>20</v>
      </c>
      <c r="H2635" s="1">
        <v>59583</v>
      </c>
      <c r="I2635" s="1">
        <v>112920</v>
      </c>
      <c r="J2635" s="7">
        <v>0.52800000000000002</v>
      </c>
      <c r="K2635" s="1" t="s">
        <v>21</v>
      </c>
      <c r="L2635" s="1" t="s">
        <v>29</v>
      </c>
      <c r="M2635" s="1" t="s">
        <v>29</v>
      </c>
      <c r="N2635" s="1" t="s">
        <v>22</v>
      </c>
      <c r="O2635" s="1" t="str">
        <f t="shared" ca="1" si="21"/>
        <v>Please solve the LeetCode problem '2729. Check if The Number is Fascinating'.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36" spans="1:15" x14ac:dyDescent="0.25">
      <c r="A2636" s="1">
        <v>2029</v>
      </c>
      <c r="B2636" s="2" t="str">
        <f>HYPERLINK("https://leetcode.com/problems/stone-game-ix/", "Stone Game IX")</f>
        <v>Stone Game IX</v>
      </c>
      <c r="C2636" s="1">
        <v>260</v>
      </c>
      <c r="D2636" s="1">
        <v>281</v>
      </c>
      <c r="E2636" s="3">
        <f t="shared" si="20"/>
        <v>0.48059149722735672</v>
      </c>
      <c r="F2636" s="1" t="s">
        <v>1061</v>
      </c>
      <c r="G2636" s="1" t="s">
        <v>24</v>
      </c>
      <c r="H2636" s="1">
        <v>11133</v>
      </c>
      <c r="I2636" s="1">
        <v>37640</v>
      </c>
      <c r="J2636" s="7">
        <v>0.29599999999999999</v>
      </c>
      <c r="K2636" s="1" t="s">
        <v>21</v>
      </c>
      <c r="L2636" s="1" t="s">
        <v>29</v>
      </c>
      <c r="M2636" s="1" t="s">
        <v>29</v>
      </c>
      <c r="N2636" s="1" t="s">
        <v>22</v>
      </c>
      <c r="O2636" s="1" t="str">
        <f t="shared" ca="1" si="21"/>
        <v>Please solve the LeetCode problem '2029. Stone Game IX'.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37" spans="1:15" x14ac:dyDescent="0.25">
      <c r="A2637" s="1">
        <v>3434</v>
      </c>
      <c r="B2637" s="2" t="str">
        <f>HYPERLINK("https://leetcode.com/problems/maximum-frequency-after-subarray-operation/", "Maximum Frequency After Subarray Operation")</f>
        <v>Maximum Frequency After Subarray Operation</v>
      </c>
      <c r="C2637" s="1">
        <v>260</v>
      </c>
      <c r="D2637" s="1">
        <v>34</v>
      </c>
      <c r="E2637" s="3">
        <f t="shared" si="20"/>
        <v>0.88435374149659862</v>
      </c>
      <c r="F2637" s="1" t="s">
        <v>1058</v>
      </c>
      <c r="G2637" s="1" t="s">
        <v>24</v>
      </c>
      <c r="H2637" s="1">
        <v>23846</v>
      </c>
      <c r="I2637" s="1">
        <v>78328</v>
      </c>
      <c r="J2637" s="7">
        <v>0.30399999999999999</v>
      </c>
      <c r="K2637" s="1" t="s">
        <v>21</v>
      </c>
      <c r="L2637" s="1" t="s">
        <v>29</v>
      </c>
      <c r="M2637" s="1" t="s">
        <v>29</v>
      </c>
      <c r="N2637" s="1" t="s">
        <v>22</v>
      </c>
      <c r="O2637" s="1" t="str">
        <f t="shared" ca="1" si="21"/>
        <v>Please solve the LeetCode problem '3434. Maximum Frequency After Subarray Operation'.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38" spans="1:15" x14ac:dyDescent="0.25">
      <c r="A2638" s="1">
        <v>656</v>
      </c>
      <c r="B2638" s="2" t="str">
        <f>HYPERLINK("https://leetcode.com/problems/coin-path/", "Coin Path")</f>
        <v>Coin Path</v>
      </c>
      <c r="C2638" s="1">
        <v>259</v>
      </c>
      <c r="D2638" s="1">
        <v>114</v>
      </c>
      <c r="E2638" s="3">
        <f t="shared" si="20"/>
        <v>0.69436997319034854</v>
      </c>
      <c r="F2638" s="1" t="s">
        <v>30</v>
      </c>
      <c r="G2638" s="1" t="s">
        <v>28</v>
      </c>
      <c r="H2638" s="1">
        <v>17143</v>
      </c>
      <c r="I2638" s="1">
        <v>50144</v>
      </c>
      <c r="J2638" s="7">
        <v>0.34200000000000003</v>
      </c>
      <c r="K2638" s="1" t="s">
        <v>29</v>
      </c>
      <c r="L2638" s="1" t="s">
        <v>21</v>
      </c>
      <c r="M2638" s="1" t="s">
        <v>29</v>
      </c>
      <c r="N2638" s="1" t="s">
        <v>22</v>
      </c>
      <c r="O2638" s="1" t="str">
        <f t="shared" ca="1" si="21"/>
        <v>Please solve the LeetCode problem '656. Coin Path'.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39" spans="1:15" x14ac:dyDescent="0.25">
      <c r="A2639" s="1">
        <v>1874</v>
      </c>
      <c r="B2639" s="2" t="str">
        <f>HYPERLINK("https://leetcode.com/problems/minimize-product-sum-of-two-arrays/", "Minimize Product Sum of Two Arrays")</f>
        <v>Minimize Product Sum of Two Arrays</v>
      </c>
      <c r="C2639" s="1">
        <v>257</v>
      </c>
      <c r="D2639" s="1">
        <v>28</v>
      </c>
      <c r="E2639" s="3">
        <f t="shared" si="20"/>
        <v>0.90175438596491231</v>
      </c>
      <c r="F2639" s="1" t="s">
        <v>169</v>
      </c>
      <c r="G2639" s="1" t="s">
        <v>24</v>
      </c>
      <c r="H2639" s="1">
        <v>25231</v>
      </c>
      <c r="I2639" s="1">
        <v>28079</v>
      </c>
      <c r="J2639" s="7">
        <v>0.89900000000000002</v>
      </c>
      <c r="K2639" s="1" t="s">
        <v>29</v>
      </c>
      <c r="L2639" s="1" t="s">
        <v>21</v>
      </c>
      <c r="M2639" s="1" t="s">
        <v>29</v>
      </c>
      <c r="N2639" s="1" t="s">
        <v>22</v>
      </c>
      <c r="O2639" s="1" t="str">
        <f t="shared" ca="1" si="21"/>
        <v>Please solve the LeetCode problem '1874. Minimize Product Sum of Two Arrays'.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40" spans="1:15" x14ac:dyDescent="0.25">
      <c r="A2640" s="1">
        <v>2721</v>
      </c>
      <c r="B2640" s="2" t="str">
        <f>HYPERLINK("https://leetcode.com/problems/execute-asynchronous-functions-in-parallel/", "Execute Asynchronous Functions in Parallel")</f>
        <v>Execute Asynchronous Functions in Parallel</v>
      </c>
      <c r="C2640" s="1">
        <v>257</v>
      </c>
      <c r="D2640" s="1">
        <v>48</v>
      </c>
      <c r="E2640" s="3">
        <f t="shared" si="20"/>
        <v>0.84262295081967209</v>
      </c>
      <c r="G2640" s="1" t="s">
        <v>24</v>
      </c>
      <c r="H2640" s="1">
        <v>51456</v>
      </c>
      <c r="I2640" s="1">
        <v>65826</v>
      </c>
      <c r="J2640" s="7">
        <v>0.78200000000000003</v>
      </c>
      <c r="K2640" s="1" t="s">
        <v>21</v>
      </c>
      <c r="L2640" s="1" t="s">
        <v>21</v>
      </c>
      <c r="M2640" s="1" t="s">
        <v>29</v>
      </c>
      <c r="N2640" s="1" t="s">
        <v>555</v>
      </c>
      <c r="O2640" s="1" t="str">
        <f t="shared" ca="1" si="21"/>
        <v>Please solve the LeetCode problem '2721. Execute Asynchronous Functions in Parallel'.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41" spans="1:15" x14ac:dyDescent="0.25">
      <c r="A2641" s="1">
        <v>2906</v>
      </c>
      <c r="B2641" s="2" t="str">
        <f>HYPERLINK("https://leetcode.com/problems/construct-product-matrix/", "Construct Product Matrix")</f>
        <v>Construct Product Matrix</v>
      </c>
      <c r="C2641" s="1">
        <v>257</v>
      </c>
      <c r="D2641" s="1">
        <v>22</v>
      </c>
      <c r="E2641" s="3">
        <f t="shared" si="20"/>
        <v>0.92114695340501795</v>
      </c>
      <c r="F2641" s="1" t="s">
        <v>425</v>
      </c>
      <c r="G2641" s="1" t="s">
        <v>24</v>
      </c>
      <c r="H2641" s="1">
        <v>16678</v>
      </c>
      <c r="I2641" s="1">
        <v>52211</v>
      </c>
      <c r="J2641" s="7">
        <v>0.31900000000000001</v>
      </c>
      <c r="K2641" s="1" t="s">
        <v>21</v>
      </c>
      <c r="L2641" s="1" t="s">
        <v>29</v>
      </c>
      <c r="M2641" s="1" t="s">
        <v>29</v>
      </c>
      <c r="N2641" s="1" t="s">
        <v>22</v>
      </c>
      <c r="O2641" s="1" t="str">
        <f t="shared" ca="1" si="21"/>
        <v>Please solve the LeetCode problem '2906. Construct Product Matrix'.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42" spans="1:15" x14ac:dyDescent="0.25">
      <c r="A2642" s="1">
        <v>3113</v>
      </c>
      <c r="B2642" s="2" t="str">
        <f>HYPERLINK("https://leetcode.com/problems/find-the-number-of-subarrays-where-boundary-elements-are-maximum/", "Find the Number of Subarrays Where Boundary Elements Are Maximum")</f>
        <v>Find the Number of Subarrays Where Boundary Elements Are Maximum</v>
      </c>
      <c r="C2642" s="1">
        <v>257</v>
      </c>
      <c r="D2642" s="1">
        <v>6</v>
      </c>
      <c r="E2642" s="3">
        <f t="shared" si="20"/>
        <v>0.97718631178707227</v>
      </c>
      <c r="F2642" s="1" t="s">
        <v>1060</v>
      </c>
      <c r="G2642" s="1" t="s">
        <v>28</v>
      </c>
      <c r="H2642" s="1">
        <v>14209</v>
      </c>
      <c r="I2642" s="1">
        <v>43595</v>
      </c>
      <c r="J2642" s="7">
        <v>0.32600000000000001</v>
      </c>
      <c r="K2642" s="1" t="s">
        <v>21</v>
      </c>
      <c r="L2642" s="1" t="s">
        <v>29</v>
      </c>
      <c r="M2642" s="1" t="s">
        <v>29</v>
      </c>
      <c r="N2642" s="1" t="s">
        <v>22</v>
      </c>
      <c r="O2642" s="1" t="str">
        <f t="shared" ca="1" si="21"/>
        <v>Please solve the LeetCode problem '3113. Find the Number of Subarrays Where Boundary Elements Are Maximum'.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43" spans="1:15" x14ac:dyDescent="0.25">
      <c r="A2643" s="1">
        <v>3454</v>
      </c>
      <c r="B2643" s="2" t="str">
        <f>HYPERLINK("https://leetcode.com/problems/separate-squares-ii/", "Separate Squares II")</f>
        <v>Separate Squares II</v>
      </c>
      <c r="C2643" s="1">
        <v>257</v>
      </c>
      <c r="D2643" s="1">
        <v>62</v>
      </c>
      <c r="E2643" s="3">
        <f t="shared" si="20"/>
        <v>0.80564263322884011</v>
      </c>
      <c r="F2643" s="1" t="s">
        <v>1055</v>
      </c>
      <c r="G2643" s="1" t="s">
        <v>28</v>
      </c>
      <c r="H2643" s="1">
        <v>58665</v>
      </c>
      <c r="I2643" s="1">
        <v>97124</v>
      </c>
      <c r="J2643" s="7">
        <v>0.60399999999999998</v>
      </c>
      <c r="K2643" s="1" t="s">
        <v>21</v>
      </c>
      <c r="L2643" s="1" t="s">
        <v>21</v>
      </c>
      <c r="M2643" s="1" t="s">
        <v>29</v>
      </c>
      <c r="N2643" s="1" t="s">
        <v>22</v>
      </c>
      <c r="O2643" s="1" t="str">
        <f t="shared" ca="1" si="21"/>
        <v>Please solve the LeetCode problem '3454. Separate Squares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44" spans="1:15" x14ac:dyDescent="0.25">
      <c r="A2644" s="1">
        <v>3625</v>
      </c>
      <c r="B2644" s="2" t="str">
        <f>HYPERLINK("https://leetcode.com/problems/count-number-of-trapezoids-ii/", "Count Number of Trapezoids II")</f>
        <v>Count Number of Trapezoids II</v>
      </c>
      <c r="C2644" s="1">
        <v>257</v>
      </c>
      <c r="D2644" s="1">
        <v>96</v>
      </c>
      <c r="E2644" s="3">
        <f t="shared" si="20"/>
        <v>0.7280453257790368</v>
      </c>
      <c r="F2644" s="1" t="s">
        <v>286</v>
      </c>
      <c r="G2644" s="1" t="s">
        <v>28</v>
      </c>
      <c r="H2644" s="1">
        <v>55261</v>
      </c>
      <c r="I2644" s="1">
        <v>137667</v>
      </c>
      <c r="J2644" s="7">
        <v>0.40100000000000002</v>
      </c>
      <c r="K2644" s="1" t="s">
        <v>21</v>
      </c>
      <c r="L2644" s="1" t="s">
        <v>21</v>
      </c>
      <c r="M2644" s="1" t="s">
        <v>29</v>
      </c>
      <c r="N2644" s="1" t="s">
        <v>22</v>
      </c>
      <c r="O2644" s="1" t="str">
        <f t="shared" ca="1" si="21"/>
        <v>Please solve the LeetCode problem '3625. Count Number of Trapezoids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45" spans="1:15" x14ac:dyDescent="0.25">
      <c r="A2645" s="1">
        <v>1033</v>
      </c>
      <c r="B2645" s="2" t="str">
        <f>HYPERLINK("https://leetcode.com/problems/moving-stones-until-consecutive/", "Moving Stones Until Consecutive")</f>
        <v>Moving Stones Until Consecutive</v>
      </c>
      <c r="C2645" s="1">
        <v>255</v>
      </c>
      <c r="D2645" s="1">
        <v>658</v>
      </c>
      <c r="E2645" s="3">
        <f t="shared" si="20"/>
        <v>0.27929901423877329</v>
      </c>
      <c r="F2645" s="1" t="s">
        <v>381</v>
      </c>
      <c r="G2645" s="1" t="s">
        <v>24</v>
      </c>
      <c r="H2645" s="1">
        <v>33463</v>
      </c>
      <c r="I2645" s="1">
        <v>64363</v>
      </c>
      <c r="J2645" s="7">
        <v>0.52</v>
      </c>
      <c r="K2645" s="1" t="s">
        <v>21</v>
      </c>
      <c r="L2645" s="1" t="s">
        <v>29</v>
      </c>
      <c r="M2645" s="1" t="s">
        <v>29</v>
      </c>
      <c r="N2645" s="1" t="s">
        <v>22</v>
      </c>
      <c r="O2645" s="1" t="str">
        <f t="shared" ca="1" si="21"/>
        <v>Please solve the LeetCode problem '1033. Moving Stones Until Consecutive'.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46" spans="1:15" x14ac:dyDescent="0.25">
      <c r="A2646" s="1">
        <v>580</v>
      </c>
      <c r="B2646" s="2" t="str">
        <f>HYPERLINK("https://leetcode.com/problems/count-student-number-in-departments/", "Count Student Number in Departments")</f>
        <v>Count Student Number in Departments</v>
      </c>
      <c r="C2646" s="1">
        <v>254</v>
      </c>
      <c r="D2646" s="1">
        <v>38</v>
      </c>
      <c r="E2646" s="3">
        <f t="shared" si="20"/>
        <v>0.86986301369863017</v>
      </c>
      <c r="F2646" s="1" t="s">
        <v>297</v>
      </c>
      <c r="G2646" s="1" t="s">
        <v>24</v>
      </c>
      <c r="H2646" s="1">
        <v>77495</v>
      </c>
      <c r="I2646" s="1">
        <v>129353</v>
      </c>
      <c r="J2646" s="7">
        <v>0.59899999999999998</v>
      </c>
      <c r="K2646" s="1" t="s">
        <v>29</v>
      </c>
      <c r="L2646" s="1" t="s">
        <v>21</v>
      </c>
      <c r="M2646" s="1" t="s">
        <v>29</v>
      </c>
      <c r="N2646" s="1" t="s">
        <v>297</v>
      </c>
      <c r="O2646" s="1" t="str">
        <f t="shared" ca="1" si="21"/>
        <v>Please solve the LeetCode problem '580. Count Student Number in Departments'.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47" spans="1:15" x14ac:dyDescent="0.25">
      <c r="A2647" s="1">
        <v>1960</v>
      </c>
      <c r="B2647" s="2" t="str">
        <f>HYPERLINK("https://leetcode.com/problems/maximum-product-of-the-length-of-two-palindromic-substrings/", "Maximum Product of the Length of Two Palindromic Substrings")</f>
        <v>Maximum Product of the Length of Two Palindromic Substrings</v>
      </c>
      <c r="C2647" s="1">
        <v>254</v>
      </c>
      <c r="D2647" s="1">
        <v>43</v>
      </c>
      <c r="E2647" s="3">
        <f t="shared" si="20"/>
        <v>0.85521885521885521</v>
      </c>
      <c r="F2647" s="1" t="s">
        <v>1388</v>
      </c>
      <c r="G2647" s="1" t="s">
        <v>28</v>
      </c>
      <c r="H2647" s="1">
        <v>4828</v>
      </c>
      <c r="I2647" s="1">
        <v>15684</v>
      </c>
      <c r="J2647" s="7">
        <v>0.308</v>
      </c>
      <c r="K2647" s="1" t="s">
        <v>21</v>
      </c>
      <c r="L2647" s="1" t="s">
        <v>29</v>
      </c>
      <c r="M2647" s="1" t="s">
        <v>29</v>
      </c>
      <c r="N2647" s="1" t="s">
        <v>22</v>
      </c>
      <c r="O2647" s="1" t="str">
        <f t="shared" ca="1" si="21"/>
        <v>Please solve the LeetCode problem '1960. Maximum Product of the Length of Two Palindromic Substrings'.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48" spans="1:15" x14ac:dyDescent="0.25">
      <c r="A2648" s="1">
        <v>3035</v>
      </c>
      <c r="B2648" s="2" t="str">
        <f>HYPERLINK("https://leetcode.com/problems/maximum-palindromes-after-operations/", "Maximum Palindromes After Operations")</f>
        <v>Maximum Palindromes After Operations</v>
      </c>
      <c r="C2648" s="1">
        <v>254</v>
      </c>
      <c r="D2648" s="1">
        <v>11</v>
      </c>
      <c r="E2648" s="3">
        <f t="shared" si="20"/>
        <v>0.95849056603773586</v>
      </c>
      <c r="F2648" s="1" t="s">
        <v>1063</v>
      </c>
      <c r="G2648" s="1" t="s">
        <v>24</v>
      </c>
      <c r="H2648" s="1">
        <v>20387</v>
      </c>
      <c r="I2648" s="1">
        <v>45099</v>
      </c>
      <c r="J2648" s="7">
        <v>0.45200000000000001</v>
      </c>
      <c r="K2648" s="1" t="s">
        <v>21</v>
      </c>
      <c r="L2648" s="1" t="s">
        <v>29</v>
      </c>
      <c r="M2648" s="1" t="s">
        <v>29</v>
      </c>
      <c r="N2648" s="1" t="s">
        <v>22</v>
      </c>
      <c r="O2648" s="1" t="str">
        <f t="shared" ca="1" si="21"/>
        <v>Please solve the LeetCode problem '3035. Maximum Palindromes After Operations'.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49" spans="1:15" x14ac:dyDescent="0.25">
      <c r="A2649" s="1">
        <v>2682</v>
      </c>
      <c r="B2649" s="2" t="str">
        <f>HYPERLINK("https://leetcode.com/problems/find-the-losers-of-the-circular-game/", "Find the Losers of the Circular Game")</f>
        <v>Find the Losers of the Circular Game</v>
      </c>
      <c r="C2649" s="1">
        <v>253</v>
      </c>
      <c r="D2649" s="1">
        <v>42</v>
      </c>
      <c r="E2649" s="3">
        <f t="shared" si="20"/>
        <v>0.85762711864406782</v>
      </c>
      <c r="F2649" s="1" t="s">
        <v>736</v>
      </c>
      <c r="G2649" s="1" t="s">
        <v>20</v>
      </c>
      <c r="H2649" s="1">
        <v>33544</v>
      </c>
      <c r="I2649" s="1">
        <v>67557</v>
      </c>
      <c r="J2649" s="7">
        <v>0.497</v>
      </c>
      <c r="K2649" s="1" t="s">
        <v>21</v>
      </c>
      <c r="L2649" s="1" t="s">
        <v>29</v>
      </c>
      <c r="M2649" s="1" t="s">
        <v>29</v>
      </c>
      <c r="N2649" s="1" t="s">
        <v>22</v>
      </c>
      <c r="O2649" s="1" t="str">
        <f t="shared" ca="1" si="21"/>
        <v>Please solve the LeetCode problem '2682. Find the Losers of the Circular Game'.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50" spans="1:15" x14ac:dyDescent="0.25">
      <c r="A2650" s="1">
        <v>2953</v>
      </c>
      <c r="B2650" s="2" t="str">
        <f>HYPERLINK("https://leetcode.com/problems/count-complete-substrings/", "Count Complete Substrings")</f>
        <v>Count Complete Substrings</v>
      </c>
      <c r="C2650" s="1">
        <v>253</v>
      </c>
      <c r="D2650" s="1">
        <v>40</v>
      </c>
      <c r="E2650" s="3">
        <f t="shared" si="20"/>
        <v>0.86348122866894195</v>
      </c>
      <c r="F2650" s="1" t="s">
        <v>23</v>
      </c>
      <c r="G2650" s="1" t="s">
        <v>28</v>
      </c>
      <c r="H2650" s="1">
        <v>10660</v>
      </c>
      <c r="I2650" s="1">
        <v>35846</v>
      </c>
      <c r="J2650" s="7">
        <v>0.29699999999999999</v>
      </c>
      <c r="K2650" s="1" t="s">
        <v>21</v>
      </c>
      <c r="L2650" s="1" t="s">
        <v>29</v>
      </c>
      <c r="M2650" s="1" t="s">
        <v>29</v>
      </c>
      <c r="N2650" s="1" t="s">
        <v>22</v>
      </c>
      <c r="O2650" s="1" t="str">
        <f t="shared" ca="1" si="21"/>
        <v>Please solve the LeetCode problem '2953. Count Complete Substrings'.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51" spans="1:15" x14ac:dyDescent="0.25">
      <c r="A2651" s="1">
        <v>2612</v>
      </c>
      <c r="B2651" s="2" t="str">
        <f>HYPERLINK("https://leetcode.com/problems/minimum-reverse-operations/", "Minimum Reverse Operations")</f>
        <v>Minimum Reverse Operations</v>
      </c>
      <c r="C2651" s="1">
        <v>252</v>
      </c>
      <c r="D2651" s="1">
        <v>74</v>
      </c>
      <c r="E2651" s="3">
        <f t="shared" si="20"/>
        <v>0.77300613496932513</v>
      </c>
      <c r="F2651" s="1" t="s">
        <v>1064</v>
      </c>
      <c r="G2651" s="1" t="s">
        <v>28</v>
      </c>
      <c r="H2651" s="1">
        <v>6852</v>
      </c>
      <c r="I2651" s="1">
        <v>41516</v>
      </c>
      <c r="J2651" s="7">
        <v>0.16500000000000001</v>
      </c>
      <c r="K2651" s="1" t="s">
        <v>21</v>
      </c>
      <c r="L2651" s="1" t="s">
        <v>29</v>
      </c>
      <c r="M2651" s="1" t="s">
        <v>29</v>
      </c>
      <c r="N2651" s="1" t="s">
        <v>22</v>
      </c>
      <c r="O2651" s="1" t="str">
        <f t="shared" ca="1" si="21"/>
        <v>Please solve the LeetCode problem '2612. Minimum Reverse Operations'.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52" spans="1:15" x14ac:dyDescent="0.25">
      <c r="A2652" s="1">
        <v>1259</v>
      </c>
      <c r="B2652" s="2" t="str">
        <f>HYPERLINK("https://leetcode.com/problems/handshakes-that-dont-cross/", "Handshakes That Don't Cross")</f>
        <v>Handshakes That Don't Cross</v>
      </c>
      <c r="C2652" s="1">
        <v>251</v>
      </c>
      <c r="D2652" s="1">
        <v>17</v>
      </c>
      <c r="E2652" s="3">
        <f t="shared" si="20"/>
        <v>0.93656716417910446</v>
      </c>
      <c r="F2652" s="1" t="s">
        <v>250</v>
      </c>
      <c r="G2652" s="1" t="s">
        <v>28</v>
      </c>
      <c r="H2652" s="1">
        <v>13632</v>
      </c>
      <c r="I2652" s="1">
        <v>22770</v>
      </c>
      <c r="J2652" s="7">
        <v>0.59899999999999998</v>
      </c>
      <c r="K2652" s="1" t="s">
        <v>29</v>
      </c>
      <c r="L2652" s="1" t="s">
        <v>21</v>
      </c>
      <c r="M2652" s="1" t="s">
        <v>29</v>
      </c>
      <c r="N2652" s="1" t="s">
        <v>22</v>
      </c>
      <c r="O2652" s="1" t="str">
        <f t="shared" ca="1" si="21"/>
        <v>Please solve the LeetCode problem '1259. Handshakes That Don't Cross'.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53" spans="1:15" x14ac:dyDescent="0.25">
      <c r="A2653" s="1">
        <v>1445</v>
      </c>
      <c r="B2653" s="2" t="str">
        <f>HYPERLINK("https://leetcode.com/problems/apples-oranges/", "Apples &amp; Oranges")</f>
        <v>Apples &amp; Oranges</v>
      </c>
      <c r="C2653" s="1">
        <v>251</v>
      </c>
      <c r="D2653" s="1">
        <v>23</v>
      </c>
      <c r="E2653" s="3">
        <f t="shared" si="20"/>
        <v>0.91605839416058399</v>
      </c>
      <c r="F2653" s="1" t="s">
        <v>297</v>
      </c>
      <c r="G2653" s="1" t="s">
        <v>24</v>
      </c>
      <c r="H2653" s="1">
        <v>64948</v>
      </c>
      <c r="I2653" s="1">
        <v>75473</v>
      </c>
      <c r="J2653" s="7">
        <v>0.86099999999999999</v>
      </c>
      <c r="K2653" s="1" t="s">
        <v>29</v>
      </c>
      <c r="L2653" s="1" t="s">
        <v>21</v>
      </c>
      <c r="M2653" s="1" t="s">
        <v>29</v>
      </c>
      <c r="N2653" s="1" t="s">
        <v>297</v>
      </c>
      <c r="O2653" s="1" t="str">
        <f t="shared" ca="1" si="21"/>
        <v>Please solve the LeetCode problem '1445. Apples &amp; Oranges'.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54" spans="1:15" x14ac:dyDescent="0.25">
      <c r="A2654" s="1">
        <v>2249</v>
      </c>
      <c r="B2654" s="2" t="str">
        <f>HYPERLINK("https://leetcode.com/problems/count-lattice-points-inside-a-circle/", "Count Lattice Points Inside a Circle")</f>
        <v>Count Lattice Points Inside a Circle</v>
      </c>
      <c r="C2654" s="1">
        <v>251</v>
      </c>
      <c r="D2654" s="1">
        <v>223</v>
      </c>
      <c r="E2654" s="3">
        <f t="shared" si="20"/>
        <v>0.52953586497890293</v>
      </c>
      <c r="F2654" s="1" t="s">
        <v>1065</v>
      </c>
      <c r="G2654" s="1" t="s">
        <v>24</v>
      </c>
      <c r="H2654" s="1">
        <v>31879</v>
      </c>
      <c r="I2654" s="1">
        <v>56649</v>
      </c>
      <c r="J2654" s="7">
        <v>0.56299999999999994</v>
      </c>
      <c r="K2654" s="1" t="s">
        <v>21</v>
      </c>
      <c r="L2654" s="1" t="s">
        <v>29</v>
      </c>
      <c r="M2654" s="1" t="s">
        <v>29</v>
      </c>
      <c r="N2654" s="1" t="s">
        <v>22</v>
      </c>
      <c r="O2654" s="1" t="str">
        <f t="shared" ca="1" si="21"/>
        <v>Please solve the LeetCode problem '2249. Count Lattice Points Inside a Circle'.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55" spans="1:15" x14ac:dyDescent="0.25">
      <c r="A2655" s="1">
        <v>3045</v>
      </c>
      <c r="B2655" s="2" t="str">
        <f>HYPERLINK("https://leetcode.com/problems/count-prefix-and-suffix-pairs-ii/", "Count Prefix and Suffix Pairs II")</f>
        <v>Count Prefix and Suffix Pairs II</v>
      </c>
      <c r="C2655" s="1">
        <v>251</v>
      </c>
      <c r="D2655" s="1">
        <v>12</v>
      </c>
      <c r="E2655" s="3">
        <f t="shared" si="20"/>
        <v>0.95437262357414454</v>
      </c>
      <c r="F2655" s="1" t="s">
        <v>853</v>
      </c>
      <c r="G2655" s="1" t="s">
        <v>28</v>
      </c>
      <c r="H2655" s="1">
        <v>16115</v>
      </c>
      <c r="I2655" s="1">
        <v>57849</v>
      </c>
      <c r="J2655" s="7">
        <v>0.27900000000000003</v>
      </c>
      <c r="K2655" s="1" t="s">
        <v>21</v>
      </c>
      <c r="L2655" s="1" t="s">
        <v>29</v>
      </c>
      <c r="M2655" s="1" t="s">
        <v>29</v>
      </c>
      <c r="N2655" s="1" t="s">
        <v>22</v>
      </c>
      <c r="O2655" s="1" t="str">
        <f t="shared" ca="1" si="21"/>
        <v>Please solve the LeetCode problem '3045. Count Prefix and Suffix Pairs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56" spans="1:15" x14ac:dyDescent="0.25">
      <c r="A2656" s="1">
        <v>3116</v>
      </c>
      <c r="B2656" s="2" t="str">
        <f>HYPERLINK("https://leetcode.com/problems/kth-smallest-amount-with-single-denomination-combination/", "Kth Smallest Amount With Single Denomination Combination")</f>
        <v>Kth Smallest Amount With Single Denomination Combination</v>
      </c>
      <c r="C2656" s="1">
        <v>251</v>
      </c>
      <c r="D2656" s="1">
        <v>19</v>
      </c>
      <c r="E2656" s="3">
        <f t="shared" si="20"/>
        <v>0.92962962962962958</v>
      </c>
      <c r="F2656" s="1" t="s">
        <v>1066</v>
      </c>
      <c r="G2656" s="1" t="s">
        <v>28</v>
      </c>
      <c r="H2656" s="1">
        <v>11453</v>
      </c>
      <c r="I2656" s="1">
        <v>57904</v>
      </c>
      <c r="J2656" s="7">
        <v>0.19800000000000001</v>
      </c>
      <c r="K2656" s="1" t="s">
        <v>21</v>
      </c>
      <c r="L2656" s="1" t="s">
        <v>29</v>
      </c>
      <c r="M2656" s="1" t="s">
        <v>29</v>
      </c>
      <c r="N2656" s="1" t="s">
        <v>22</v>
      </c>
      <c r="O2656" s="1" t="str">
        <f t="shared" ca="1" si="21"/>
        <v>Please solve the LeetCode problem '3116. Kth Smallest Amount With Single Denomination Combination'.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57" spans="1:15" x14ac:dyDescent="0.25">
      <c r="A2657" s="1">
        <v>3224</v>
      </c>
      <c r="B2657" s="2" t="str">
        <f>HYPERLINK("https://leetcode.com/problems/minimum-array-changes-to-make-differences-equal/", "Minimum Array Changes to Make Differences Equal")</f>
        <v>Minimum Array Changes to Make Differences Equal</v>
      </c>
      <c r="C2657" s="1">
        <v>251</v>
      </c>
      <c r="D2657" s="1">
        <v>28</v>
      </c>
      <c r="E2657" s="3">
        <f t="shared" si="20"/>
        <v>0.89964157706093195</v>
      </c>
      <c r="F2657" s="1" t="s">
        <v>39</v>
      </c>
      <c r="G2657" s="1" t="s">
        <v>24</v>
      </c>
      <c r="H2657" s="1">
        <v>15080</v>
      </c>
      <c r="I2657" s="1">
        <v>62401</v>
      </c>
      <c r="J2657" s="7">
        <v>0.24199999999999999</v>
      </c>
      <c r="K2657" s="1" t="s">
        <v>21</v>
      </c>
      <c r="L2657" s="1" t="s">
        <v>29</v>
      </c>
      <c r="M2657" s="1" t="s">
        <v>29</v>
      </c>
      <c r="N2657" s="1" t="s">
        <v>22</v>
      </c>
      <c r="O2657" s="1" t="str">
        <f t="shared" ca="1" si="21"/>
        <v>Please solve the LeetCode problem '3224. Minimum Array Changes to Make Differences Equal'.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58" spans="1:15" x14ac:dyDescent="0.25">
      <c r="A2658" s="1">
        <v>2268</v>
      </c>
      <c r="B2658" s="2" t="str">
        <f>HYPERLINK("https://leetcode.com/problems/minimum-number-of-keypresses/", "Minimum Number of Keypresses")</f>
        <v>Minimum Number of Keypresses</v>
      </c>
      <c r="C2658" s="1">
        <v>250</v>
      </c>
      <c r="D2658" s="1">
        <v>39</v>
      </c>
      <c r="E2658" s="3">
        <f t="shared" si="20"/>
        <v>0.86505190311418689</v>
      </c>
      <c r="F2658" s="1" t="s">
        <v>772</v>
      </c>
      <c r="G2658" s="1" t="s">
        <v>24</v>
      </c>
      <c r="H2658" s="1">
        <v>36834</v>
      </c>
      <c r="I2658" s="1">
        <v>51570</v>
      </c>
      <c r="J2658" s="7">
        <v>0.71399999999999997</v>
      </c>
      <c r="K2658" s="1" t="s">
        <v>29</v>
      </c>
      <c r="L2658" s="1" t="s">
        <v>29</v>
      </c>
      <c r="M2658" s="1" t="s">
        <v>29</v>
      </c>
      <c r="N2658" s="1" t="s">
        <v>22</v>
      </c>
      <c r="O2658" s="1" t="str">
        <f t="shared" ca="1" si="21"/>
        <v>Please solve the LeetCode problem '2268. Minimum Number of Keypresses'.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59" spans="1:15" x14ac:dyDescent="0.25">
      <c r="A2659" s="1">
        <v>3090</v>
      </c>
      <c r="B2659" s="2" t="str">
        <f>HYPERLINK("https://leetcode.com/problems/maximum-length-substring-with-two-occurrences/", "Maximum Length Substring With Two Occurrences")</f>
        <v>Maximum Length Substring With Two Occurrences</v>
      </c>
      <c r="C2659" s="1">
        <v>250</v>
      </c>
      <c r="D2659" s="1">
        <v>21</v>
      </c>
      <c r="E2659" s="3">
        <f t="shared" si="20"/>
        <v>0.92250922509225097</v>
      </c>
      <c r="F2659" s="1" t="s">
        <v>23</v>
      </c>
      <c r="G2659" s="1" t="s">
        <v>20</v>
      </c>
      <c r="H2659" s="1">
        <v>60514</v>
      </c>
      <c r="I2659" s="1">
        <v>93273</v>
      </c>
      <c r="J2659" s="7">
        <v>0.64900000000000002</v>
      </c>
      <c r="K2659" s="1" t="s">
        <v>21</v>
      </c>
      <c r="L2659" s="1" t="s">
        <v>29</v>
      </c>
      <c r="M2659" s="1" t="s">
        <v>29</v>
      </c>
      <c r="N2659" s="1" t="s">
        <v>22</v>
      </c>
      <c r="O2659" s="1" t="str">
        <f t="shared" ca="1" si="21"/>
        <v>Please solve the LeetCode problem '3090. Maximum Length Substring With Two Occurrences'.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60" spans="1:15" x14ac:dyDescent="0.25">
      <c r="A2660" s="1">
        <v>2917</v>
      </c>
      <c r="B2660" s="2" t="str">
        <f>HYPERLINK("https://leetcode.com/problems/find-the-k-or-of-an-array/", "Find the K-or of an Array")</f>
        <v>Find the K-or of an Array</v>
      </c>
      <c r="C2660" s="1">
        <v>248</v>
      </c>
      <c r="D2660" s="1">
        <v>277</v>
      </c>
      <c r="E2660" s="3">
        <f t="shared" si="20"/>
        <v>0.4723809523809524</v>
      </c>
      <c r="F2660" s="1" t="s">
        <v>65</v>
      </c>
      <c r="G2660" s="1" t="s">
        <v>20</v>
      </c>
      <c r="H2660" s="1">
        <v>34173</v>
      </c>
      <c r="I2660" s="1">
        <v>47040</v>
      </c>
      <c r="J2660" s="7">
        <v>0.72599999999999998</v>
      </c>
      <c r="K2660" s="1" t="s">
        <v>21</v>
      </c>
      <c r="L2660" s="1" t="s">
        <v>29</v>
      </c>
      <c r="M2660" s="1" t="s">
        <v>29</v>
      </c>
      <c r="N2660" s="1" t="s">
        <v>22</v>
      </c>
      <c r="O2660" s="1" t="str">
        <f t="shared" ca="1" si="21"/>
        <v>Please solve the LeetCode problem '2917. Find the K-or of an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61" spans="1:15" x14ac:dyDescent="0.25">
      <c r="A2661" s="1">
        <v>3164</v>
      </c>
      <c r="B2661" s="2" t="str">
        <f>HYPERLINK("https://leetcode.com/problems/find-the-number-of-good-pairs-ii/", "Find the Number of Good Pairs II")</f>
        <v>Find the Number of Good Pairs II</v>
      </c>
      <c r="C2661" s="1">
        <v>248</v>
      </c>
      <c r="D2661" s="1">
        <v>39</v>
      </c>
      <c r="E2661" s="3">
        <f t="shared" si="20"/>
        <v>0.86411149825783973</v>
      </c>
      <c r="F2661" s="1" t="s">
        <v>19</v>
      </c>
      <c r="G2661" s="1" t="s">
        <v>24</v>
      </c>
      <c r="H2661" s="1">
        <v>29122</v>
      </c>
      <c r="I2661" s="1">
        <v>109797</v>
      </c>
      <c r="J2661" s="7">
        <v>0.26500000000000001</v>
      </c>
      <c r="K2661" s="1" t="s">
        <v>21</v>
      </c>
      <c r="L2661" s="1" t="s">
        <v>29</v>
      </c>
      <c r="M2661" s="1" t="s">
        <v>29</v>
      </c>
      <c r="N2661" s="1" t="s">
        <v>22</v>
      </c>
      <c r="O2661" s="1" t="str">
        <f t="shared" ca="1" si="21"/>
        <v>Please solve the LeetCode problem '3164. Find the Number of Good Pairs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62" spans="1:15" x14ac:dyDescent="0.25">
      <c r="A2662" s="1">
        <v>579</v>
      </c>
      <c r="B2662" s="2" t="str">
        <f>HYPERLINK("https://leetcode.com/problems/find-cumulative-salary-of-an-employee/", "Find Cumulative Salary of an Employee")</f>
        <v>Find Cumulative Salary of an Employee</v>
      </c>
      <c r="C2662" s="1">
        <v>247</v>
      </c>
      <c r="D2662" s="1">
        <v>405</v>
      </c>
      <c r="E2662" s="3">
        <f t="shared" si="20"/>
        <v>0.37883435582822084</v>
      </c>
      <c r="F2662" s="1" t="s">
        <v>297</v>
      </c>
      <c r="G2662" s="1" t="s">
        <v>28</v>
      </c>
      <c r="H2662" s="1">
        <v>43204</v>
      </c>
      <c r="I2662" s="1">
        <v>87633</v>
      </c>
      <c r="J2662" s="7">
        <v>0.49299999999999999</v>
      </c>
      <c r="K2662" s="1" t="s">
        <v>29</v>
      </c>
      <c r="L2662" s="1" t="s">
        <v>21</v>
      </c>
      <c r="M2662" s="1" t="s">
        <v>29</v>
      </c>
      <c r="N2662" s="1" t="s">
        <v>297</v>
      </c>
      <c r="O2662" s="1" t="str">
        <f t="shared" ca="1" si="21"/>
        <v>Please solve the LeetCode problem '579. Find Cumulative Salary of an Employee'.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63" spans="1:15" x14ac:dyDescent="0.25">
      <c r="A2663" s="1">
        <v>1896</v>
      </c>
      <c r="B2663" s="2" t="str">
        <f>HYPERLINK("https://leetcode.com/problems/minimum-cost-to-change-the-final-value-of-expression/", "Minimum Cost to Change the Final Value of Expression")</f>
        <v>Minimum Cost to Change the Final Value of Expression</v>
      </c>
      <c r="C2663" s="1">
        <v>247</v>
      </c>
      <c r="D2663" s="1">
        <v>42</v>
      </c>
      <c r="E2663" s="3">
        <f t="shared" si="20"/>
        <v>0.8546712802768166</v>
      </c>
      <c r="F2663" s="1" t="s">
        <v>1067</v>
      </c>
      <c r="G2663" s="1" t="s">
        <v>28</v>
      </c>
      <c r="H2663" s="1">
        <v>5142</v>
      </c>
      <c r="I2663" s="1">
        <v>10058</v>
      </c>
      <c r="J2663" s="7">
        <v>0.51100000000000001</v>
      </c>
      <c r="K2663" s="1" t="s">
        <v>21</v>
      </c>
      <c r="L2663" s="1" t="s">
        <v>29</v>
      </c>
      <c r="M2663" s="1" t="s">
        <v>29</v>
      </c>
      <c r="N2663" s="1" t="s">
        <v>22</v>
      </c>
      <c r="O2663" s="1" t="str">
        <f t="shared" ca="1" si="21"/>
        <v>Please solve the LeetCode problem '1896. Minimum Cost to Change the Final Value of Expression'.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64" spans="1:15" x14ac:dyDescent="0.25">
      <c r="A2664" s="1">
        <v>2644</v>
      </c>
      <c r="B2664" s="2" t="str">
        <f>HYPERLINK("https://leetcode.com/problems/find-the-maximum-divisibility-score/", "Find the Maximum Divisibility Score")</f>
        <v>Find the Maximum Divisibility Score</v>
      </c>
      <c r="C2664" s="1">
        <v>247</v>
      </c>
      <c r="D2664" s="1">
        <v>66</v>
      </c>
      <c r="E2664" s="3">
        <f t="shared" si="20"/>
        <v>0.78913738019169333</v>
      </c>
      <c r="F2664" s="1" t="s">
        <v>113</v>
      </c>
      <c r="G2664" s="1" t="s">
        <v>20</v>
      </c>
      <c r="H2664" s="1">
        <v>41165</v>
      </c>
      <c r="I2664" s="1">
        <v>80006</v>
      </c>
      <c r="J2664" s="7">
        <v>0.51500000000000001</v>
      </c>
      <c r="K2664" s="1" t="s">
        <v>21</v>
      </c>
      <c r="L2664" s="1" t="s">
        <v>29</v>
      </c>
      <c r="M2664" s="1" t="s">
        <v>29</v>
      </c>
      <c r="N2664" s="1" t="s">
        <v>22</v>
      </c>
      <c r="O2664" s="1" t="str">
        <f t="shared" ca="1" si="21"/>
        <v>Please solve the LeetCode problem '2644. Find the Maximum Divisibility Score'.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65" spans="1:15" x14ac:dyDescent="0.25">
      <c r="A2665" s="1">
        <v>2909</v>
      </c>
      <c r="B2665" s="2" t="str">
        <f>HYPERLINK("https://leetcode.com/problems/minimum-sum-of-mountain-triplets-ii/", "Minimum Sum of Mountain Triplets II")</f>
        <v>Minimum Sum of Mountain Triplets II</v>
      </c>
      <c r="C2665" s="1">
        <v>247</v>
      </c>
      <c r="D2665" s="1">
        <v>10</v>
      </c>
      <c r="E2665" s="3">
        <f t="shared" si="20"/>
        <v>0.96108949416342415</v>
      </c>
      <c r="F2665" s="1" t="s">
        <v>113</v>
      </c>
      <c r="G2665" s="1" t="s">
        <v>24</v>
      </c>
      <c r="H2665" s="1">
        <v>31177</v>
      </c>
      <c r="I2665" s="1">
        <v>57350</v>
      </c>
      <c r="J2665" s="7">
        <v>0.54400000000000004</v>
      </c>
      <c r="K2665" s="1" t="s">
        <v>21</v>
      </c>
      <c r="L2665" s="1" t="s">
        <v>29</v>
      </c>
      <c r="M2665" s="1" t="s">
        <v>29</v>
      </c>
      <c r="N2665" s="1" t="s">
        <v>22</v>
      </c>
      <c r="O2665" s="1" t="str">
        <f t="shared" ca="1" si="21"/>
        <v>Please solve the LeetCode problem '2909. Minimum Sum of Mountain Triplets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66" spans="1:15" x14ac:dyDescent="0.25">
      <c r="A2666" s="1">
        <v>810</v>
      </c>
      <c r="B2666" s="2" t="str">
        <f>HYPERLINK("https://leetcode.com/problems/chalkboard-xor-game/", "Chalkboard XOR Game")</f>
        <v>Chalkboard XOR Game</v>
      </c>
      <c r="C2666" s="1">
        <v>246</v>
      </c>
      <c r="D2666" s="1">
        <v>287</v>
      </c>
      <c r="E2666" s="3">
        <f t="shared" si="20"/>
        <v>0.46153846153846156</v>
      </c>
      <c r="F2666" s="1" t="s">
        <v>1068</v>
      </c>
      <c r="G2666" s="1" t="s">
        <v>28</v>
      </c>
      <c r="H2666" s="1">
        <v>17996</v>
      </c>
      <c r="I2666" s="1">
        <v>27558</v>
      </c>
      <c r="J2666" s="7">
        <v>0.65300000000000002</v>
      </c>
      <c r="K2666" s="1" t="s">
        <v>21</v>
      </c>
      <c r="L2666" s="1" t="s">
        <v>21</v>
      </c>
      <c r="M2666" s="1" t="s">
        <v>29</v>
      </c>
      <c r="N2666" s="1" t="s">
        <v>22</v>
      </c>
      <c r="O2666" s="1" t="str">
        <f t="shared" ca="1" si="21"/>
        <v>Please solve the LeetCode problem '810. Chalkboard XOR Game'.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67" spans="1:15" x14ac:dyDescent="0.25">
      <c r="A2667" s="1">
        <v>1515</v>
      </c>
      <c r="B2667" s="2" t="str">
        <f>HYPERLINK("https://leetcode.com/problems/best-position-for-a-service-centre/", "Best Position for a Service Centre")</f>
        <v>Best Position for a Service Centre</v>
      </c>
      <c r="C2667" s="1">
        <v>246</v>
      </c>
      <c r="D2667" s="1">
        <v>274</v>
      </c>
      <c r="E2667" s="3">
        <f t="shared" si="20"/>
        <v>0.47307692307692306</v>
      </c>
      <c r="F2667" s="1" t="s">
        <v>1069</v>
      </c>
      <c r="G2667" s="1" t="s">
        <v>28</v>
      </c>
      <c r="H2667" s="1">
        <v>18755</v>
      </c>
      <c r="I2667" s="1">
        <v>53433</v>
      </c>
      <c r="J2667" s="7">
        <v>0.35099999999999998</v>
      </c>
      <c r="K2667" s="1" t="s">
        <v>21</v>
      </c>
      <c r="L2667" s="1" t="s">
        <v>29</v>
      </c>
      <c r="M2667" s="1" t="s">
        <v>29</v>
      </c>
      <c r="N2667" s="1" t="s">
        <v>22</v>
      </c>
      <c r="O2667" s="1" t="str">
        <f t="shared" ca="1" si="21"/>
        <v>Please solve the LeetCode problem '1515. Best Position for a Service Centre'.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68" spans="1:15" x14ac:dyDescent="0.25">
      <c r="A2668" s="1">
        <v>2809</v>
      </c>
      <c r="B2668" s="2" t="str">
        <f>HYPERLINK("https://leetcode.com/problems/minimum-time-to-make-array-sum-at-most-x/", "Minimum Time to Make Array Sum At Most x")</f>
        <v>Minimum Time to Make Array Sum At Most x</v>
      </c>
      <c r="C2668" s="1">
        <v>246</v>
      </c>
      <c r="D2668" s="1">
        <v>16</v>
      </c>
      <c r="E2668" s="3">
        <f t="shared" si="20"/>
        <v>0.93893129770992367</v>
      </c>
      <c r="F2668" s="1" t="s">
        <v>270</v>
      </c>
      <c r="G2668" s="1" t="s">
        <v>28</v>
      </c>
      <c r="H2668" s="1">
        <v>6251</v>
      </c>
      <c r="I2668" s="1">
        <v>23336</v>
      </c>
      <c r="J2668" s="7">
        <v>0.26800000000000002</v>
      </c>
      <c r="K2668" s="1" t="s">
        <v>21</v>
      </c>
      <c r="L2668" s="1" t="s">
        <v>29</v>
      </c>
      <c r="M2668" s="1" t="s">
        <v>29</v>
      </c>
      <c r="N2668" s="1" t="s">
        <v>22</v>
      </c>
      <c r="O2668" s="1" t="str">
        <f t="shared" ca="1" si="21"/>
        <v>Please solve the LeetCode problem '2809. Minimum Time to Make Array Sum At Most x'.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69" spans="1:15" x14ac:dyDescent="0.25">
      <c r="A2669" s="1">
        <v>1783</v>
      </c>
      <c r="B2669" s="2" t="str">
        <f>HYPERLINK("https://leetcode.com/problems/grand-slam-titles/", "Grand Slam Titles")</f>
        <v>Grand Slam Titles</v>
      </c>
      <c r="C2669" s="1">
        <v>245</v>
      </c>
      <c r="D2669" s="1">
        <v>10</v>
      </c>
      <c r="E2669" s="3">
        <f t="shared" si="20"/>
        <v>0.96078431372549022</v>
      </c>
      <c r="F2669" s="1" t="s">
        <v>297</v>
      </c>
      <c r="G2669" s="1" t="s">
        <v>24</v>
      </c>
      <c r="H2669" s="1">
        <v>33588</v>
      </c>
      <c r="I2669" s="1">
        <v>40485</v>
      </c>
      <c r="J2669" s="7">
        <v>0.83</v>
      </c>
      <c r="K2669" s="1" t="s">
        <v>29</v>
      </c>
      <c r="L2669" s="1" t="s">
        <v>29</v>
      </c>
      <c r="M2669" s="1" t="s">
        <v>29</v>
      </c>
      <c r="N2669" s="1" t="s">
        <v>297</v>
      </c>
      <c r="O2669" s="1" t="str">
        <f t="shared" ca="1" si="21"/>
        <v>Please solve the LeetCode problem '1783. Grand Slam Titles'.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70" spans="1:15" x14ac:dyDescent="0.25">
      <c r="A2670" s="1">
        <v>1885</v>
      </c>
      <c r="B2670" s="2" t="str">
        <f>HYPERLINK("https://leetcode.com/problems/count-pairs-in-two-arrays/", "Count Pairs in Two Arrays")</f>
        <v>Count Pairs in Two Arrays</v>
      </c>
      <c r="C2670" s="1">
        <v>244</v>
      </c>
      <c r="D2670" s="1">
        <v>23</v>
      </c>
      <c r="E2670" s="3">
        <f t="shared" si="20"/>
        <v>0.91385767790262173</v>
      </c>
      <c r="F2670" s="1" t="s">
        <v>277</v>
      </c>
      <c r="G2670" s="1" t="s">
        <v>24</v>
      </c>
      <c r="H2670" s="1">
        <v>11998</v>
      </c>
      <c r="I2670" s="1">
        <v>19874</v>
      </c>
      <c r="J2670" s="7">
        <v>0.60399999999999998</v>
      </c>
      <c r="K2670" s="1" t="s">
        <v>29</v>
      </c>
      <c r="L2670" s="1" t="s">
        <v>21</v>
      </c>
      <c r="M2670" s="1" t="s">
        <v>29</v>
      </c>
      <c r="N2670" s="1" t="s">
        <v>22</v>
      </c>
      <c r="O2670" s="1" t="str">
        <f t="shared" ca="1" si="21"/>
        <v>Please solve the LeetCode problem '1885. Count Pairs in Two Arrays'.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71" spans="1:15" x14ac:dyDescent="0.25">
      <c r="A2671" s="1">
        <v>2967</v>
      </c>
      <c r="B2671" s="2" t="str">
        <f>HYPERLINK("https://leetcode.com/problems/minimum-cost-to-make-array-equalindromic/", "Minimum Cost to Make Array Equalindromic")</f>
        <v>Minimum Cost to Make Array Equalindromic</v>
      </c>
      <c r="C2671" s="1">
        <v>244</v>
      </c>
      <c r="D2671" s="1">
        <v>100</v>
      </c>
      <c r="E2671" s="3">
        <f t="shared" si="20"/>
        <v>0.70930232558139539</v>
      </c>
      <c r="F2671" s="1" t="s">
        <v>967</v>
      </c>
      <c r="G2671" s="1" t="s">
        <v>24</v>
      </c>
      <c r="H2671" s="1">
        <v>15945</v>
      </c>
      <c r="I2671" s="1">
        <v>68710</v>
      </c>
      <c r="J2671" s="7">
        <v>0.23200000000000001</v>
      </c>
      <c r="K2671" s="1" t="s">
        <v>21</v>
      </c>
      <c r="L2671" s="1" t="s">
        <v>29</v>
      </c>
      <c r="M2671" s="1" t="s">
        <v>29</v>
      </c>
      <c r="N2671" s="1" t="s">
        <v>22</v>
      </c>
      <c r="O2671" s="1" t="str">
        <f t="shared" ca="1" si="21"/>
        <v>Please solve the LeetCode problem '2967. Minimum Cost to Make Array Equalindromic'.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72" spans="1:15" x14ac:dyDescent="0.25">
      <c r="A2672" s="1">
        <v>2765</v>
      </c>
      <c r="B2672" s="2" t="str">
        <f>HYPERLINK("https://leetcode.com/problems/longest-alternating-subarray/", "Longest Alternating Subarray")</f>
        <v>Longest Alternating Subarray</v>
      </c>
      <c r="C2672" s="1">
        <v>243</v>
      </c>
      <c r="D2672" s="1">
        <v>187</v>
      </c>
      <c r="E2672" s="3">
        <f t="shared" si="20"/>
        <v>0.56511627906976747</v>
      </c>
      <c r="F2672" s="1" t="s">
        <v>654</v>
      </c>
      <c r="G2672" s="1" t="s">
        <v>20</v>
      </c>
      <c r="H2672" s="1">
        <v>32372</v>
      </c>
      <c r="I2672" s="1">
        <v>92503</v>
      </c>
      <c r="J2672" s="7">
        <v>0.35</v>
      </c>
      <c r="K2672" s="1" t="s">
        <v>21</v>
      </c>
      <c r="L2672" s="1" t="s">
        <v>29</v>
      </c>
      <c r="M2672" s="1" t="s">
        <v>29</v>
      </c>
      <c r="N2672" s="1" t="s">
        <v>22</v>
      </c>
      <c r="O2672" s="1" t="str">
        <f t="shared" ca="1" si="21"/>
        <v>Please solve the LeetCode problem '2765. Longest Alternating Subarray'.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73" spans="1:15" x14ac:dyDescent="0.25">
      <c r="A2673" s="1">
        <v>2972</v>
      </c>
      <c r="B2673" s="2" t="str">
        <f>HYPERLINK("https://leetcode.com/problems/count-the-number-of-incremovable-subarrays-ii/", "Count the Number of Incremovable Subarrays II")</f>
        <v>Count the Number of Incremovable Subarrays II</v>
      </c>
      <c r="C2673" s="1">
        <v>243</v>
      </c>
      <c r="D2673" s="1">
        <v>19</v>
      </c>
      <c r="E2673" s="3">
        <f t="shared" si="20"/>
        <v>0.9274809160305344</v>
      </c>
      <c r="F2673" s="1" t="s">
        <v>97</v>
      </c>
      <c r="G2673" s="1" t="s">
        <v>28</v>
      </c>
      <c r="H2673" s="1">
        <v>10918</v>
      </c>
      <c r="I2673" s="1">
        <v>27341</v>
      </c>
      <c r="J2673" s="7">
        <v>0.39900000000000002</v>
      </c>
      <c r="K2673" s="1" t="s">
        <v>21</v>
      </c>
      <c r="L2673" s="1" t="s">
        <v>29</v>
      </c>
      <c r="M2673" s="1" t="s">
        <v>29</v>
      </c>
      <c r="N2673" s="1" t="s">
        <v>22</v>
      </c>
      <c r="O2673" s="1" t="str">
        <f t="shared" ca="1" si="21"/>
        <v>Please solve the LeetCode problem '2972. Count the Number of Incremovable Subarrays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74" spans="1:15" x14ac:dyDescent="0.25">
      <c r="A2674" s="1">
        <v>615</v>
      </c>
      <c r="B2674" s="2" t="str">
        <f>HYPERLINK("https://leetcode.com/problems/average-salary-departments-vs-company/", "Average Salary: Departments VS Company")</f>
        <v>Average Salary: Departments VS Company</v>
      </c>
      <c r="C2674" s="1">
        <v>242</v>
      </c>
      <c r="D2674" s="1">
        <v>77</v>
      </c>
      <c r="E2674" s="3">
        <f t="shared" si="20"/>
        <v>0.75862068965517238</v>
      </c>
      <c r="F2674" s="1" t="s">
        <v>297</v>
      </c>
      <c r="G2674" s="1" t="s">
        <v>28</v>
      </c>
      <c r="H2674" s="1">
        <v>42989</v>
      </c>
      <c r="I2674" s="1">
        <v>75791</v>
      </c>
      <c r="J2674" s="7">
        <v>0.56699999999999995</v>
      </c>
      <c r="K2674" s="1" t="s">
        <v>29</v>
      </c>
      <c r="L2674" s="1" t="s">
        <v>21</v>
      </c>
      <c r="M2674" s="1" t="s">
        <v>29</v>
      </c>
      <c r="N2674" s="1" t="s">
        <v>297</v>
      </c>
      <c r="O2674" s="1" t="str">
        <f t="shared" ca="1" si="21"/>
        <v>Please solve the LeetCode problem '615. Average Salary: Departments VS Company'.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75" spans="1:15" x14ac:dyDescent="0.25">
      <c r="A2675" s="1">
        <v>2855</v>
      </c>
      <c r="B2675" s="2" t="str">
        <f>HYPERLINK("https://leetcode.com/problems/minimum-right-shifts-to-sort-the-array/", "Minimum Right Shifts to Sort the Array")</f>
        <v>Minimum Right Shifts to Sort the Array</v>
      </c>
      <c r="C2675" s="1">
        <v>242</v>
      </c>
      <c r="D2675" s="1">
        <v>10</v>
      </c>
      <c r="E2675" s="3">
        <f t="shared" si="20"/>
        <v>0.96031746031746035</v>
      </c>
      <c r="F2675" s="1" t="s">
        <v>113</v>
      </c>
      <c r="G2675" s="1" t="s">
        <v>20</v>
      </c>
      <c r="H2675" s="1">
        <v>41806</v>
      </c>
      <c r="I2675" s="1">
        <v>73149</v>
      </c>
      <c r="J2675" s="7">
        <v>0.57199999999999995</v>
      </c>
      <c r="K2675" s="1" t="s">
        <v>21</v>
      </c>
      <c r="L2675" s="1" t="s">
        <v>29</v>
      </c>
      <c r="M2675" s="1" t="s">
        <v>29</v>
      </c>
      <c r="N2675" s="1" t="s">
        <v>22</v>
      </c>
      <c r="O2675" s="1" t="str">
        <f t="shared" ca="1" si="21"/>
        <v>Please solve the LeetCode problem '2855. Minimum Right Shifts to Sort the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76" spans="1:15" x14ac:dyDescent="0.25">
      <c r="A2676" s="1">
        <v>2871</v>
      </c>
      <c r="B2676" s="2" t="str">
        <f>HYPERLINK("https://leetcode.com/problems/split-array-into-maximum-number-of-subarrays/", "Split Array Into Maximum Number of Subarrays")</f>
        <v>Split Array Into Maximum Number of Subarrays</v>
      </c>
      <c r="C2676" s="1">
        <v>242</v>
      </c>
      <c r="D2676" s="1">
        <v>32</v>
      </c>
      <c r="E2676" s="3">
        <f t="shared" si="20"/>
        <v>0.88321167883211682</v>
      </c>
      <c r="F2676" s="1" t="s">
        <v>824</v>
      </c>
      <c r="G2676" s="1" t="s">
        <v>24</v>
      </c>
      <c r="H2676" s="1">
        <v>19027</v>
      </c>
      <c r="I2676" s="1">
        <v>45071</v>
      </c>
      <c r="J2676" s="7">
        <v>0.42199999999999999</v>
      </c>
      <c r="K2676" s="1" t="s">
        <v>21</v>
      </c>
      <c r="L2676" s="1" t="s">
        <v>29</v>
      </c>
      <c r="M2676" s="1" t="s">
        <v>29</v>
      </c>
      <c r="N2676" s="1" t="s">
        <v>22</v>
      </c>
      <c r="O2676" s="1" t="str">
        <f t="shared" ca="1" si="21"/>
        <v>Please solve the LeetCode problem '2871. Split Array Into Maximum Number of Subarrays'.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77" spans="1:15" x14ac:dyDescent="0.25">
      <c r="A2677" s="1">
        <v>2093</v>
      </c>
      <c r="B2677" s="2" t="str">
        <f>HYPERLINK("https://leetcode.com/problems/minimum-cost-to-reach-city-with-discounts/", "Minimum Cost to Reach City With Discounts")</f>
        <v>Minimum Cost to Reach City With Discounts</v>
      </c>
      <c r="C2677" s="1">
        <v>241</v>
      </c>
      <c r="D2677" s="1">
        <v>23</v>
      </c>
      <c r="E2677" s="3">
        <f t="shared" si="20"/>
        <v>0.91287878787878785</v>
      </c>
      <c r="F2677" s="1" t="s">
        <v>737</v>
      </c>
      <c r="G2677" s="1" t="s">
        <v>24</v>
      </c>
      <c r="H2677" s="1">
        <v>12165</v>
      </c>
      <c r="I2677" s="1">
        <v>20261</v>
      </c>
      <c r="J2677" s="7">
        <v>0.6</v>
      </c>
      <c r="K2677" s="1" t="s">
        <v>29</v>
      </c>
      <c r="L2677" s="1" t="s">
        <v>21</v>
      </c>
      <c r="M2677" s="1" t="s">
        <v>29</v>
      </c>
      <c r="N2677" s="1" t="s">
        <v>22</v>
      </c>
      <c r="O2677" s="1" t="str">
        <f t="shared" ca="1" si="21"/>
        <v>Please solve the LeetCode problem '2093. Minimum Cost to Reach City With Discounts'.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78" spans="1:15" x14ac:dyDescent="0.25">
      <c r="A2678" s="1">
        <v>3101</v>
      </c>
      <c r="B2678" s="2" t="str">
        <f>HYPERLINK("https://leetcode.com/problems/count-alternating-subarrays/", "Count Alternating Subarrays")</f>
        <v>Count Alternating Subarrays</v>
      </c>
      <c r="C2678" s="1">
        <v>241</v>
      </c>
      <c r="D2678" s="1">
        <v>10</v>
      </c>
      <c r="E2678" s="3">
        <f t="shared" si="20"/>
        <v>0.96015936254980083</v>
      </c>
      <c r="F2678" s="1" t="s">
        <v>115</v>
      </c>
      <c r="G2678" s="1" t="s">
        <v>24</v>
      </c>
      <c r="H2678" s="1">
        <v>44008</v>
      </c>
      <c r="I2678" s="1">
        <v>76971</v>
      </c>
      <c r="J2678" s="7">
        <v>0.57199999999999995</v>
      </c>
      <c r="K2678" s="1" t="s">
        <v>21</v>
      </c>
      <c r="L2678" s="1" t="s">
        <v>29</v>
      </c>
      <c r="M2678" s="1" t="s">
        <v>29</v>
      </c>
      <c r="N2678" s="1" t="s">
        <v>22</v>
      </c>
      <c r="O2678" s="1" t="str">
        <f t="shared" ca="1" si="21"/>
        <v>Please solve the LeetCode problem '3101. Count Alternating Subarrays'.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79" spans="1:15" x14ac:dyDescent="0.25">
      <c r="A2679" s="1">
        <v>1199</v>
      </c>
      <c r="B2679" s="2" t="str">
        <f>HYPERLINK("https://leetcode.com/problems/minimum-time-to-build-blocks/", "Minimum Time to Build Blocks")</f>
        <v>Minimum Time to Build Blocks</v>
      </c>
      <c r="C2679" s="1">
        <v>240</v>
      </c>
      <c r="D2679" s="1">
        <v>33</v>
      </c>
      <c r="E2679" s="3">
        <f t="shared" si="20"/>
        <v>0.87912087912087911</v>
      </c>
      <c r="F2679" s="1" t="s">
        <v>1070</v>
      </c>
      <c r="G2679" s="1" t="s">
        <v>28</v>
      </c>
      <c r="H2679" s="1">
        <v>7122</v>
      </c>
      <c r="I2679" s="1">
        <v>15345</v>
      </c>
      <c r="J2679" s="7">
        <v>0.46400000000000002</v>
      </c>
      <c r="K2679" s="1" t="s">
        <v>29</v>
      </c>
      <c r="L2679" s="1" t="s">
        <v>21</v>
      </c>
      <c r="M2679" s="1" t="s">
        <v>29</v>
      </c>
      <c r="N2679" s="1" t="s">
        <v>22</v>
      </c>
      <c r="O2679" s="1" t="str">
        <f t="shared" ca="1" si="21"/>
        <v>Please solve the LeetCode problem '1199. Minimum Time to Build Blocks'.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80" spans="1:15" x14ac:dyDescent="0.25">
      <c r="A2680" s="1">
        <v>1613</v>
      </c>
      <c r="B2680" s="2" t="str">
        <f>HYPERLINK("https://leetcode.com/problems/find-the-missing-ids/", "Find the Missing IDs")</f>
        <v>Find the Missing IDs</v>
      </c>
      <c r="C2680" s="1">
        <v>236</v>
      </c>
      <c r="D2680" s="1">
        <v>31</v>
      </c>
      <c r="E2680" s="3">
        <f t="shared" si="20"/>
        <v>0.88389513108614237</v>
      </c>
      <c r="F2680" s="1" t="s">
        <v>297</v>
      </c>
      <c r="G2680" s="1" t="s">
        <v>24</v>
      </c>
      <c r="H2680" s="1">
        <v>22860</v>
      </c>
      <c r="I2680" s="1">
        <v>31366</v>
      </c>
      <c r="J2680" s="7">
        <v>0.72899999999999998</v>
      </c>
      <c r="K2680" s="1" t="s">
        <v>29</v>
      </c>
      <c r="L2680" s="1" t="s">
        <v>29</v>
      </c>
      <c r="M2680" s="1" t="s">
        <v>29</v>
      </c>
      <c r="N2680" s="1" t="s">
        <v>297</v>
      </c>
      <c r="O2680" s="1" t="str">
        <f t="shared" ca="1" si="21"/>
        <v>Please solve the LeetCode problem '1613. Find the Missing IDs'.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81" spans="1:15" x14ac:dyDescent="0.25">
      <c r="A2681" s="1">
        <v>2162</v>
      </c>
      <c r="B2681" s="2" t="str">
        <f>HYPERLINK("https://leetcode.com/problems/minimum-cost-to-set-cooking-time/", "Minimum Cost to Set Cooking Time")</f>
        <v>Minimum Cost to Set Cooking Time</v>
      </c>
      <c r="C2681" s="1">
        <v>236</v>
      </c>
      <c r="D2681" s="1">
        <v>644</v>
      </c>
      <c r="E2681" s="3">
        <f t="shared" si="20"/>
        <v>0.26818181818181819</v>
      </c>
      <c r="F2681" s="1" t="s">
        <v>602</v>
      </c>
      <c r="G2681" s="1" t="s">
        <v>24</v>
      </c>
      <c r="H2681" s="1">
        <v>19426</v>
      </c>
      <c r="I2681" s="1">
        <v>46943</v>
      </c>
      <c r="J2681" s="7">
        <v>0.41399999999999998</v>
      </c>
      <c r="K2681" s="1" t="s">
        <v>21</v>
      </c>
      <c r="L2681" s="1" t="s">
        <v>29</v>
      </c>
      <c r="M2681" s="1" t="s">
        <v>29</v>
      </c>
      <c r="N2681" s="1" t="s">
        <v>22</v>
      </c>
      <c r="O2681" s="1" t="str">
        <f t="shared" ca="1" si="21"/>
        <v>Please solve the LeetCode problem '2162. Minimum Cost to Set Cooking Time'.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82" spans="1:15" x14ac:dyDescent="0.25">
      <c r="A2682" s="1">
        <v>3419</v>
      </c>
      <c r="B2682" s="2" t="str">
        <f>HYPERLINK("https://leetcode.com/problems/minimize-the-maximum-edge-weight-of-graph/", "Minimize the Maximum Edge Weight of Graph")</f>
        <v>Minimize the Maximum Edge Weight of Graph</v>
      </c>
      <c r="C2682" s="1">
        <v>236</v>
      </c>
      <c r="D2682" s="1">
        <v>19</v>
      </c>
      <c r="E2682" s="3">
        <f t="shared" si="20"/>
        <v>0.92549019607843142</v>
      </c>
      <c r="F2682" s="1" t="s">
        <v>1071</v>
      </c>
      <c r="G2682" s="1" t="s">
        <v>24</v>
      </c>
      <c r="H2682" s="1">
        <v>14486</v>
      </c>
      <c r="I2682" s="1">
        <v>33136</v>
      </c>
      <c r="J2682" s="7">
        <v>0.437</v>
      </c>
      <c r="K2682" s="1" t="s">
        <v>21</v>
      </c>
      <c r="L2682" s="1" t="s">
        <v>29</v>
      </c>
      <c r="M2682" s="1" t="s">
        <v>29</v>
      </c>
      <c r="N2682" s="1" t="s">
        <v>22</v>
      </c>
      <c r="O2682" s="1" t="str">
        <f t="shared" ca="1" si="21"/>
        <v>Please solve the LeetCode problem '3419. Minimize the Maximum Edge Weight of Graph'.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83" spans="1:15" x14ac:dyDescent="0.25">
      <c r="A2683" s="1">
        <v>1273</v>
      </c>
      <c r="B2683" s="2" t="str">
        <f>HYPERLINK("https://leetcode.com/problems/delete-tree-nodes/", "Delete Tree Nodes")</f>
        <v>Delete Tree Nodes</v>
      </c>
      <c r="C2683" s="1">
        <v>235</v>
      </c>
      <c r="D2683" s="1">
        <v>66</v>
      </c>
      <c r="E2683" s="3">
        <f t="shared" si="20"/>
        <v>0.78073089700996678</v>
      </c>
      <c r="F2683" s="1" t="s">
        <v>1075</v>
      </c>
      <c r="G2683" s="1" t="s">
        <v>24</v>
      </c>
      <c r="H2683" s="1">
        <v>11435</v>
      </c>
      <c r="I2683" s="1">
        <v>18578</v>
      </c>
      <c r="J2683" s="7">
        <v>0.61599999999999999</v>
      </c>
      <c r="K2683" s="1" t="s">
        <v>29</v>
      </c>
      <c r="L2683" s="1" t="s">
        <v>29</v>
      </c>
      <c r="M2683" s="1" t="s">
        <v>29</v>
      </c>
      <c r="N2683" s="1" t="s">
        <v>22</v>
      </c>
      <c r="O2683" s="1" t="str">
        <f t="shared" ca="1" si="21"/>
        <v>Please solve the LeetCode problem '1273. Delete Tree Nodes'.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84" spans="1:15" x14ac:dyDescent="0.25">
      <c r="A2684" s="1">
        <v>1384</v>
      </c>
      <c r="B2684" s="2" t="str">
        <f>HYPERLINK("https://leetcode.com/problems/total-sales-amount-by-year/", "Total Sales Amount by Year")</f>
        <v>Total Sales Amount by Year</v>
      </c>
      <c r="C2684" s="1">
        <v>235</v>
      </c>
      <c r="D2684" s="1">
        <v>133</v>
      </c>
      <c r="E2684" s="3">
        <f t="shared" si="20"/>
        <v>0.63858695652173914</v>
      </c>
      <c r="F2684" s="1" t="s">
        <v>297</v>
      </c>
      <c r="G2684" s="1" t="s">
        <v>28</v>
      </c>
      <c r="H2684" s="1">
        <v>19646</v>
      </c>
      <c r="I2684" s="1">
        <v>32104</v>
      </c>
      <c r="J2684" s="7">
        <v>0.61199999999999999</v>
      </c>
      <c r="K2684" s="1" t="s">
        <v>29</v>
      </c>
      <c r="L2684" s="1" t="s">
        <v>29</v>
      </c>
      <c r="M2684" s="1" t="s">
        <v>29</v>
      </c>
      <c r="N2684" s="1" t="s">
        <v>297</v>
      </c>
      <c r="O2684" s="1" t="str">
        <f t="shared" ca="1" si="21"/>
        <v>Please solve the LeetCode problem '1384. Total Sales Amount by Year'.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85" spans="1:15" x14ac:dyDescent="0.25">
      <c r="A2685" s="1">
        <v>1820</v>
      </c>
      <c r="B2685" s="2" t="str">
        <f>HYPERLINK("https://leetcode.com/problems/maximum-number-of-accepted-invitations/", "Maximum Number of Accepted Invitations")</f>
        <v>Maximum Number of Accepted Invitations</v>
      </c>
      <c r="C2685" s="1">
        <v>235</v>
      </c>
      <c r="D2685" s="1">
        <v>68</v>
      </c>
      <c r="E2685" s="3">
        <f t="shared" si="20"/>
        <v>0.77557755775577553</v>
      </c>
      <c r="F2685" s="1" t="s">
        <v>1074</v>
      </c>
      <c r="G2685" s="1" t="s">
        <v>24</v>
      </c>
      <c r="H2685" s="1">
        <v>10718</v>
      </c>
      <c r="I2685" s="1">
        <v>20569</v>
      </c>
      <c r="J2685" s="7">
        <v>0.52100000000000002</v>
      </c>
      <c r="K2685" s="1" t="s">
        <v>29</v>
      </c>
      <c r="L2685" s="1" t="s">
        <v>29</v>
      </c>
      <c r="M2685" s="1" t="s">
        <v>29</v>
      </c>
      <c r="N2685" s="1" t="s">
        <v>22</v>
      </c>
      <c r="O2685" s="1" t="str">
        <f t="shared" ca="1" si="21"/>
        <v>Please solve the LeetCode problem '1820. Maximum Number of Accepted Invitations'.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86" spans="1:15" x14ac:dyDescent="0.25">
      <c r="A2686" s="1">
        <v>1946</v>
      </c>
      <c r="B2686" s="2" t="str">
        <f>HYPERLINK("https://leetcode.com/problems/largest-number-after-mutating-substring/", "Largest Number After Mutating Substring")</f>
        <v>Largest Number After Mutating Substring</v>
      </c>
      <c r="C2686" s="1">
        <v>235</v>
      </c>
      <c r="D2686" s="1">
        <v>232</v>
      </c>
      <c r="E2686" s="3">
        <f t="shared" si="20"/>
        <v>0.50321199143468953</v>
      </c>
      <c r="F2686" s="1" t="s">
        <v>706</v>
      </c>
      <c r="G2686" s="1" t="s">
        <v>24</v>
      </c>
      <c r="H2686" s="1">
        <v>25888</v>
      </c>
      <c r="I2686" s="1">
        <v>68586</v>
      </c>
      <c r="J2686" s="7">
        <v>0.377</v>
      </c>
      <c r="K2686" s="1" t="s">
        <v>21</v>
      </c>
      <c r="L2686" s="1" t="s">
        <v>29</v>
      </c>
      <c r="M2686" s="1" t="s">
        <v>29</v>
      </c>
      <c r="N2686" s="1" t="s">
        <v>22</v>
      </c>
      <c r="O2686" s="1" t="str">
        <f t="shared" ca="1" si="21"/>
        <v>Please solve the LeetCode problem '1946. Largest Number After Mutating Substring'.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87" spans="1:15" x14ac:dyDescent="0.25">
      <c r="A2687" s="1">
        <v>2525</v>
      </c>
      <c r="B2687" s="2" t="str">
        <f>HYPERLINK("https://leetcode.com/problems/categorize-box-according-to-criteria/", "Categorize Box According to Criteria")</f>
        <v>Categorize Box According to Criteria</v>
      </c>
      <c r="C2687" s="1">
        <v>235</v>
      </c>
      <c r="D2687" s="1">
        <v>63</v>
      </c>
      <c r="E2687" s="3">
        <f t="shared" si="20"/>
        <v>0.78859060402684567</v>
      </c>
      <c r="F2687" s="1" t="s">
        <v>84</v>
      </c>
      <c r="G2687" s="1" t="s">
        <v>20</v>
      </c>
      <c r="H2687" s="1">
        <v>48190</v>
      </c>
      <c r="I2687" s="1">
        <v>125026</v>
      </c>
      <c r="J2687" s="7">
        <v>0.38500000000000001</v>
      </c>
      <c r="K2687" s="1" t="s">
        <v>21</v>
      </c>
      <c r="L2687" s="1" t="s">
        <v>29</v>
      </c>
      <c r="M2687" s="1" t="s">
        <v>29</v>
      </c>
      <c r="N2687" s="1" t="s">
        <v>22</v>
      </c>
      <c r="O2687" s="1" t="str">
        <f t="shared" ca="1" si="21"/>
        <v>Please solve the LeetCode problem '2525. Categorize Box According to Criteria'.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88" spans="1:15" x14ac:dyDescent="0.25">
      <c r="A2688" s="1">
        <v>2748</v>
      </c>
      <c r="B2688" s="2" t="str">
        <f>HYPERLINK("https://leetcode.com/problems/number-of-beautiful-pairs/", "Number of Beautiful Pairs")</f>
        <v>Number of Beautiful Pairs</v>
      </c>
      <c r="C2688" s="1">
        <v>235</v>
      </c>
      <c r="D2688" s="1">
        <v>39</v>
      </c>
      <c r="E2688" s="3">
        <f t="shared" si="20"/>
        <v>0.85766423357664234</v>
      </c>
      <c r="F2688" s="1" t="s">
        <v>518</v>
      </c>
      <c r="G2688" s="1" t="s">
        <v>20</v>
      </c>
      <c r="H2688" s="1">
        <v>45940</v>
      </c>
      <c r="I2688" s="1">
        <v>88493</v>
      </c>
      <c r="J2688" s="7">
        <v>0.51900000000000002</v>
      </c>
      <c r="K2688" s="1" t="s">
        <v>21</v>
      </c>
      <c r="L2688" s="1" t="s">
        <v>29</v>
      </c>
      <c r="M2688" s="1" t="s">
        <v>29</v>
      </c>
      <c r="N2688" s="1" t="s">
        <v>22</v>
      </c>
      <c r="O2688" s="1" t="str">
        <f t="shared" ca="1" si="21"/>
        <v>Please solve the LeetCode problem '2748. Number of Beautiful Pairs'.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89" spans="1:15" x14ac:dyDescent="0.25">
      <c r="A2689" s="1">
        <v>2920</v>
      </c>
      <c r="B2689" s="2" t="str">
        <f>HYPERLINK("https://leetcode.com/problems/maximum-points-after-collecting-coins-from-all-nodes/", "Maximum Points After Collecting Coins From All Nodes")</f>
        <v>Maximum Points After Collecting Coins From All Nodes</v>
      </c>
      <c r="C2689" s="1">
        <v>235</v>
      </c>
      <c r="D2689" s="1">
        <v>18</v>
      </c>
      <c r="E2689" s="3">
        <f t="shared" si="20"/>
        <v>0.92885375494071143</v>
      </c>
      <c r="F2689" s="1" t="s">
        <v>1072</v>
      </c>
      <c r="G2689" s="1" t="s">
        <v>28</v>
      </c>
      <c r="H2689" s="1">
        <v>10777</v>
      </c>
      <c r="I2689" s="1">
        <v>29750</v>
      </c>
      <c r="J2689" s="7">
        <v>0.36199999999999999</v>
      </c>
      <c r="K2689" s="1" t="s">
        <v>21</v>
      </c>
      <c r="L2689" s="1" t="s">
        <v>29</v>
      </c>
      <c r="M2689" s="1" t="s">
        <v>29</v>
      </c>
      <c r="N2689" s="1" t="s">
        <v>22</v>
      </c>
      <c r="O2689" s="1" t="str">
        <f t="shared" ca="1" si="21"/>
        <v>Please solve the LeetCode problem '2920. Maximum Points After Collecting Coins From All Nodes'.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90" spans="1:15" x14ac:dyDescent="0.25">
      <c r="A2690" s="1">
        <v>1719</v>
      </c>
      <c r="B2690" s="2" t="str">
        <f>HYPERLINK("https://leetcode.com/problems/number-of-ways-to-reconstruct-a-tree/", "Number Of Ways To Reconstruct A Tree")</f>
        <v>Number Of Ways To Reconstruct A Tree</v>
      </c>
      <c r="C2690" s="1">
        <v>234</v>
      </c>
      <c r="D2690" s="1">
        <v>157</v>
      </c>
      <c r="E2690" s="3">
        <f t="shared" si="20"/>
        <v>0.59846547314578002</v>
      </c>
      <c r="F2690" s="1" t="s">
        <v>1389</v>
      </c>
      <c r="G2690" s="1" t="s">
        <v>28</v>
      </c>
      <c r="H2690" s="1">
        <v>6241</v>
      </c>
      <c r="I2690" s="1">
        <v>13996</v>
      </c>
      <c r="J2690" s="7">
        <v>0.44600000000000001</v>
      </c>
      <c r="K2690" s="1" t="s">
        <v>21</v>
      </c>
      <c r="L2690" s="1" t="s">
        <v>29</v>
      </c>
      <c r="M2690" s="1" t="s">
        <v>29</v>
      </c>
      <c r="N2690" s="1" t="s">
        <v>22</v>
      </c>
      <c r="O2690" s="1" t="str">
        <f t="shared" ca="1" si="21"/>
        <v>Please solve the LeetCode problem '1719. Number Of Ways To Reconstruct A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91" spans="1:15" x14ac:dyDescent="0.25">
      <c r="A2691" s="1">
        <v>1860</v>
      </c>
      <c r="B2691" s="2" t="str">
        <f>HYPERLINK("https://leetcode.com/problems/incremental-memory-leak/", "Incremental Memory Leak")</f>
        <v>Incremental Memory Leak</v>
      </c>
      <c r="C2691" s="1">
        <v>234</v>
      </c>
      <c r="D2691" s="1">
        <v>92</v>
      </c>
      <c r="E2691" s="3">
        <f t="shared" si="20"/>
        <v>0.71779141104294475</v>
      </c>
      <c r="F2691" s="1" t="s">
        <v>465</v>
      </c>
      <c r="G2691" s="1" t="s">
        <v>24</v>
      </c>
      <c r="H2691" s="1">
        <v>25498</v>
      </c>
      <c r="I2691" s="1">
        <v>34993</v>
      </c>
      <c r="J2691" s="7">
        <v>0.72899999999999998</v>
      </c>
      <c r="K2691" s="1" t="s">
        <v>21</v>
      </c>
      <c r="L2691" s="1" t="s">
        <v>29</v>
      </c>
      <c r="M2691" s="1" t="s">
        <v>29</v>
      </c>
      <c r="N2691" s="1" t="s">
        <v>22</v>
      </c>
      <c r="O2691" s="1" t="str">
        <f t="shared" ca="1" si="21"/>
        <v>Please solve the LeetCode problem '1860. Incremental Memory Leak'.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92" spans="1:15" x14ac:dyDescent="0.25">
      <c r="A2692" s="1">
        <v>2499</v>
      </c>
      <c r="B2692" s="2" t="str">
        <f>HYPERLINK("https://leetcode.com/problems/minimum-total-cost-to-make-arrays-unequal/", "Minimum Total Cost to Make Arrays Unequal")</f>
        <v>Minimum Total Cost to Make Arrays Unequal</v>
      </c>
      <c r="C2692" s="1">
        <v>234</v>
      </c>
      <c r="D2692" s="1">
        <v>12</v>
      </c>
      <c r="E2692" s="3">
        <f t="shared" si="20"/>
        <v>0.95121951219512191</v>
      </c>
      <c r="F2692" s="1" t="s">
        <v>389</v>
      </c>
      <c r="G2692" s="1" t="s">
        <v>28</v>
      </c>
      <c r="H2692" s="1">
        <v>6157</v>
      </c>
      <c r="I2692" s="1">
        <v>14995</v>
      </c>
      <c r="J2692" s="7">
        <v>0.41099999999999998</v>
      </c>
      <c r="K2692" s="1" t="s">
        <v>21</v>
      </c>
      <c r="L2692" s="1" t="s">
        <v>29</v>
      </c>
      <c r="M2692" s="1" t="s">
        <v>29</v>
      </c>
      <c r="N2692" s="1" t="s">
        <v>22</v>
      </c>
      <c r="O2692" s="1" t="str">
        <f t="shared" ca="1" si="21"/>
        <v>Please solve the LeetCode problem '2499. Minimum Total Cost to Make Arrays Unequal'.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93" spans="1:15" x14ac:dyDescent="0.25">
      <c r="A2693" s="1">
        <v>2722</v>
      </c>
      <c r="B2693" s="2" t="str">
        <f>HYPERLINK("https://leetcode.com/problems/join-two-arrays-by-id/", "Join Two Arrays by ID")</f>
        <v>Join Two Arrays by ID</v>
      </c>
      <c r="C2693" s="1">
        <v>234</v>
      </c>
      <c r="D2693" s="1">
        <v>64</v>
      </c>
      <c r="E2693" s="3">
        <f t="shared" si="20"/>
        <v>0.78523489932885904</v>
      </c>
      <c r="G2693" s="1" t="s">
        <v>24</v>
      </c>
      <c r="H2693" s="1">
        <v>57116</v>
      </c>
      <c r="I2693" s="1">
        <v>100734</v>
      </c>
      <c r="J2693" s="7">
        <v>0.56699999999999995</v>
      </c>
      <c r="K2693" s="1" t="s">
        <v>21</v>
      </c>
      <c r="L2693" s="1" t="s">
        <v>21</v>
      </c>
      <c r="M2693" s="1" t="s">
        <v>29</v>
      </c>
      <c r="N2693" s="1" t="s">
        <v>555</v>
      </c>
      <c r="O2693" s="1" t="str">
        <f t="shared" ca="1" si="21"/>
        <v>Please solve the LeetCode problem '2722. Join Two Arrays by ID'.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94" spans="1:15" x14ac:dyDescent="0.25">
      <c r="A2694" s="1">
        <v>3067</v>
      </c>
      <c r="B2694" s="2" t="str">
        <f>HYPERLINK("https://leetcode.com/problems/count-pairs-of-connectable-servers-in-a-weighted-tree-network/", "Count Pairs of Connectable Servers in a Weighted Tree Network")</f>
        <v>Count Pairs of Connectable Servers in a Weighted Tree Network</v>
      </c>
      <c r="C2694" s="1">
        <v>234</v>
      </c>
      <c r="D2694" s="1">
        <v>28</v>
      </c>
      <c r="E2694" s="3">
        <f t="shared" si="20"/>
        <v>0.89312977099236646</v>
      </c>
      <c r="F2694" s="1" t="s">
        <v>1073</v>
      </c>
      <c r="G2694" s="1" t="s">
        <v>24</v>
      </c>
      <c r="H2694" s="1">
        <v>15943</v>
      </c>
      <c r="I2694" s="1">
        <v>28778</v>
      </c>
      <c r="J2694" s="7">
        <v>0.55400000000000005</v>
      </c>
      <c r="K2694" s="1" t="s">
        <v>21</v>
      </c>
      <c r="L2694" s="1" t="s">
        <v>29</v>
      </c>
      <c r="M2694" s="1" t="s">
        <v>29</v>
      </c>
      <c r="N2694" s="1" t="s">
        <v>22</v>
      </c>
      <c r="O2694" s="1" t="str">
        <f t="shared" ca="1" si="21"/>
        <v>Please solve the LeetCode problem '3067. Count Pairs of Connectable Servers in a Weighted Tree Network'.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95" spans="1:15" x14ac:dyDescent="0.25">
      <c r="A2695" s="1">
        <v>1808</v>
      </c>
      <c r="B2695" s="2" t="str">
        <f>HYPERLINK("https://leetcode.com/problems/maximize-number-of-nice-divisors/", "Maximize Number of Nice Divisors")</f>
        <v>Maximize Number of Nice Divisors</v>
      </c>
      <c r="C2695" s="1">
        <v>233</v>
      </c>
      <c r="D2695" s="1">
        <v>171</v>
      </c>
      <c r="E2695" s="3">
        <f t="shared" si="20"/>
        <v>0.57673267326732669</v>
      </c>
      <c r="F2695" s="1" t="s">
        <v>1078</v>
      </c>
      <c r="G2695" s="1" t="s">
        <v>28</v>
      </c>
      <c r="H2695" s="1">
        <v>9849</v>
      </c>
      <c r="I2695" s="1">
        <v>28038</v>
      </c>
      <c r="J2695" s="7">
        <v>0.35099999999999998</v>
      </c>
      <c r="K2695" s="1" t="s">
        <v>21</v>
      </c>
      <c r="L2695" s="1" t="s">
        <v>29</v>
      </c>
      <c r="M2695" s="1" t="s">
        <v>29</v>
      </c>
      <c r="N2695" s="1" t="s">
        <v>22</v>
      </c>
      <c r="O2695" s="1" t="str">
        <f t="shared" ca="1" si="21"/>
        <v>Please solve the LeetCode problem '1808. Maximize Number of Nice Divisors'.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96" spans="1:15" x14ac:dyDescent="0.25">
      <c r="A2696" s="1">
        <v>2862</v>
      </c>
      <c r="B2696" s="2" t="str">
        <f>HYPERLINK("https://leetcode.com/problems/maximum-element-sum-of-a-complete-subset-of-indices/", "Maximum Element-Sum of a Complete Subset of Indices")</f>
        <v>Maximum Element-Sum of a Complete Subset of Indices</v>
      </c>
      <c r="C2696" s="1">
        <v>232</v>
      </c>
      <c r="D2696" s="1">
        <v>59</v>
      </c>
      <c r="E2696" s="3">
        <f t="shared" si="20"/>
        <v>0.79725085910652926</v>
      </c>
      <c r="F2696" s="1" t="s">
        <v>640</v>
      </c>
      <c r="G2696" s="1" t="s">
        <v>28</v>
      </c>
      <c r="H2696" s="1">
        <v>9283</v>
      </c>
      <c r="I2696" s="1">
        <v>21872</v>
      </c>
      <c r="J2696" s="7">
        <v>0.42399999999999999</v>
      </c>
      <c r="K2696" s="1" t="s">
        <v>21</v>
      </c>
      <c r="L2696" s="1" t="s">
        <v>29</v>
      </c>
      <c r="M2696" s="1" t="s">
        <v>29</v>
      </c>
      <c r="N2696" s="1" t="s">
        <v>22</v>
      </c>
      <c r="O2696" s="1" t="str">
        <f t="shared" ca="1" si="21"/>
        <v>Please solve the LeetCode problem '2862. Maximum Element-Sum of a Complete Subset of Indices'.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97" spans="1:15" x14ac:dyDescent="0.25">
      <c r="A2697" s="1">
        <v>293</v>
      </c>
      <c r="B2697" s="2" t="str">
        <f>HYPERLINK("https://leetcode.com/problems/flip-game/", "Flip Game")</f>
        <v>Flip Game</v>
      </c>
      <c r="C2697" s="1">
        <v>231</v>
      </c>
      <c r="D2697" s="1">
        <v>475</v>
      </c>
      <c r="E2697" s="3">
        <f t="shared" si="20"/>
        <v>0.32719546742209632</v>
      </c>
      <c r="F2697" s="1" t="s">
        <v>146</v>
      </c>
      <c r="G2697" s="1" t="s">
        <v>20</v>
      </c>
      <c r="H2697" s="1">
        <v>78796</v>
      </c>
      <c r="I2697" s="1">
        <v>121211</v>
      </c>
      <c r="J2697" s="7">
        <v>0.65</v>
      </c>
      <c r="K2697" s="1" t="s">
        <v>29</v>
      </c>
      <c r="L2697" s="1" t="s">
        <v>21</v>
      </c>
      <c r="M2697" s="1" t="s">
        <v>29</v>
      </c>
      <c r="N2697" s="1" t="s">
        <v>22</v>
      </c>
      <c r="O2697" s="1" t="str">
        <f t="shared" ca="1" si="21"/>
        <v>Please solve the LeetCode problem '293. Flip Game'.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98" spans="1:15" x14ac:dyDescent="0.25">
      <c r="A2698" s="1">
        <v>1878</v>
      </c>
      <c r="B2698" s="2" t="str">
        <f>HYPERLINK("https://leetcode.com/problems/get-biggest-three-rhombus-sums-in-a-grid/", "Get Biggest Three Rhombus Sums in a Grid")</f>
        <v>Get Biggest Three Rhombus Sums in a Grid</v>
      </c>
      <c r="C2698" s="1">
        <v>231</v>
      </c>
      <c r="D2698" s="1">
        <v>530</v>
      </c>
      <c r="E2698" s="3">
        <f t="shared" si="20"/>
        <v>0.3035479632063075</v>
      </c>
      <c r="F2698" s="1" t="s">
        <v>1077</v>
      </c>
      <c r="G2698" s="1" t="s">
        <v>24</v>
      </c>
      <c r="H2698" s="1">
        <v>20272</v>
      </c>
      <c r="I2698" s="1">
        <v>40558</v>
      </c>
      <c r="J2698" s="7">
        <v>0.5</v>
      </c>
      <c r="K2698" s="1" t="s">
        <v>21</v>
      </c>
      <c r="L2698" s="1" t="s">
        <v>29</v>
      </c>
      <c r="M2698" s="1" t="s">
        <v>29</v>
      </c>
      <c r="N2698" s="1" t="s">
        <v>22</v>
      </c>
      <c r="O2698" s="1" t="str">
        <f t="shared" ca="1" si="21"/>
        <v>Please solve the LeetCode problem '1878. Get Biggest Three Rhombus Sums in a Grid'.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699" spans="1:15" x14ac:dyDescent="0.25">
      <c r="A2699" s="1">
        <v>3296</v>
      </c>
      <c r="B2699" s="2" t="str">
        <f>HYPERLINK("https://leetcode.com/problems/minimum-number-of-seconds-to-make-mountain-height-zero/", "Minimum Number of Seconds to Make Mountain Height Zero")</f>
        <v>Minimum Number of Seconds to Make Mountain Height Zero</v>
      </c>
      <c r="C2699" s="1">
        <v>231</v>
      </c>
      <c r="D2699" s="1">
        <v>32</v>
      </c>
      <c r="E2699" s="3">
        <f t="shared" si="20"/>
        <v>0.87832699619771859</v>
      </c>
      <c r="F2699" s="1" t="s">
        <v>1079</v>
      </c>
      <c r="G2699" s="1" t="s">
        <v>24</v>
      </c>
      <c r="H2699" s="1">
        <v>24954</v>
      </c>
      <c r="I2699" s="1">
        <v>67901</v>
      </c>
      <c r="J2699" s="7">
        <v>0.36799999999999999</v>
      </c>
      <c r="K2699" s="1" t="s">
        <v>21</v>
      </c>
      <c r="L2699" s="1" t="s">
        <v>29</v>
      </c>
      <c r="M2699" s="1" t="s">
        <v>29</v>
      </c>
      <c r="N2699" s="1" t="s">
        <v>22</v>
      </c>
      <c r="O2699" s="1" t="str">
        <f t="shared" ca="1" si="21"/>
        <v>Please solve the LeetCode problem '3296. Minimum Number of Seconds to Make Mountain Height Zero'.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00" spans="1:15" x14ac:dyDescent="0.25">
      <c r="A2700" s="1">
        <v>1196</v>
      </c>
      <c r="B2700" s="2" t="str">
        <f>HYPERLINK("https://leetcode.com/problems/how-many-apples-can-you-put-into-the-basket/", "How Many Apples Can You Put into the Basket")</f>
        <v>How Many Apples Can You Put into the Basket</v>
      </c>
      <c r="C2700" s="1">
        <v>230</v>
      </c>
      <c r="D2700" s="1">
        <v>17</v>
      </c>
      <c r="E2700" s="3">
        <f t="shared" si="20"/>
        <v>0.93117408906882593</v>
      </c>
      <c r="F2700" s="1" t="s">
        <v>169</v>
      </c>
      <c r="G2700" s="1" t="s">
        <v>20</v>
      </c>
      <c r="H2700" s="1">
        <v>50115</v>
      </c>
      <c r="I2700" s="1">
        <v>74748</v>
      </c>
      <c r="J2700" s="7">
        <v>0.67</v>
      </c>
      <c r="K2700" s="1" t="s">
        <v>29</v>
      </c>
      <c r="L2700" s="1" t="s">
        <v>21</v>
      </c>
      <c r="M2700" s="1" t="s">
        <v>21</v>
      </c>
      <c r="N2700" s="1" t="s">
        <v>22</v>
      </c>
      <c r="O2700" s="1" t="str">
        <f t="shared" ca="1" si="21"/>
        <v>Please solve the LeetCode problem '1196. How Many Apples Can You Put into the Basket'.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01" spans="1:15" x14ac:dyDescent="0.25">
      <c r="A2701" s="1">
        <v>1440</v>
      </c>
      <c r="B2701" s="2" t="str">
        <f>HYPERLINK("https://leetcode.com/problems/evaluate-boolean-expression/", "Evaluate Boolean Expression")</f>
        <v>Evaluate Boolean Expression</v>
      </c>
      <c r="C2701" s="1">
        <v>230</v>
      </c>
      <c r="D2701" s="1">
        <v>41</v>
      </c>
      <c r="E2701" s="3">
        <f t="shared" si="20"/>
        <v>0.8487084870848709</v>
      </c>
      <c r="F2701" s="1" t="s">
        <v>297</v>
      </c>
      <c r="G2701" s="1" t="s">
        <v>24</v>
      </c>
      <c r="H2701" s="1">
        <v>37916</v>
      </c>
      <c r="I2701" s="1">
        <v>52743</v>
      </c>
      <c r="J2701" s="7">
        <v>0.71899999999999997</v>
      </c>
      <c r="K2701" s="1" t="s">
        <v>29</v>
      </c>
      <c r="L2701" s="1" t="s">
        <v>29</v>
      </c>
      <c r="M2701" s="1" t="s">
        <v>29</v>
      </c>
      <c r="N2701" s="1" t="s">
        <v>297</v>
      </c>
      <c r="O2701" s="1" t="str">
        <f t="shared" ca="1" si="21"/>
        <v>Please solve the LeetCode problem '1440. Evaluate Boolean Expression'.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02" spans="1:15" x14ac:dyDescent="0.25">
      <c r="A2702" s="1">
        <v>1412</v>
      </c>
      <c r="B2702" s="2" t="str">
        <f>HYPERLINK("https://leetcode.com/problems/find-the-quiet-students-in-all-exams/", "Find the Quiet Students in All Exams")</f>
        <v>Find the Quiet Students in All Exams</v>
      </c>
      <c r="C2702" s="1">
        <v>227</v>
      </c>
      <c r="D2702" s="1">
        <v>28</v>
      </c>
      <c r="E2702" s="3">
        <f t="shared" si="20"/>
        <v>0.8901960784313725</v>
      </c>
      <c r="F2702" s="1" t="s">
        <v>297</v>
      </c>
      <c r="G2702" s="1" t="s">
        <v>28</v>
      </c>
      <c r="H2702" s="1">
        <v>34618</v>
      </c>
      <c r="I2702" s="1">
        <v>59606</v>
      </c>
      <c r="J2702" s="7">
        <v>0.58099999999999996</v>
      </c>
      <c r="K2702" s="1" t="s">
        <v>29</v>
      </c>
      <c r="L2702" s="1" t="s">
        <v>29</v>
      </c>
      <c r="M2702" s="1" t="s">
        <v>29</v>
      </c>
      <c r="N2702" s="1" t="s">
        <v>297</v>
      </c>
      <c r="O2702" s="1" t="str">
        <f t="shared" ca="1" si="21"/>
        <v>Please solve the LeetCode problem '1412. Find the Quiet Students in All Exams'.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03" spans="1:15" x14ac:dyDescent="0.25">
      <c r="A2703" s="1">
        <v>1580</v>
      </c>
      <c r="B2703" s="2" t="str">
        <f>HYPERLINK("https://leetcode.com/problems/put-boxes-into-the-warehouse-ii/", "Put Boxes Into the Warehouse II")</f>
        <v>Put Boxes Into the Warehouse II</v>
      </c>
      <c r="C2703" s="1">
        <v>227</v>
      </c>
      <c r="D2703" s="1">
        <v>12</v>
      </c>
      <c r="E2703" s="3">
        <f t="shared" si="20"/>
        <v>0.94979079497907948</v>
      </c>
      <c r="F2703" s="1" t="s">
        <v>169</v>
      </c>
      <c r="G2703" s="1" t="s">
        <v>24</v>
      </c>
      <c r="H2703" s="1">
        <v>10364</v>
      </c>
      <c r="I2703" s="1">
        <v>15776</v>
      </c>
      <c r="J2703" s="7">
        <v>0.65700000000000003</v>
      </c>
      <c r="K2703" s="1" t="s">
        <v>29</v>
      </c>
      <c r="L2703" s="1" t="s">
        <v>21</v>
      </c>
      <c r="M2703" s="1" t="s">
        <v>29</v>
      </c>
      <c r="N2703" s="1" t="s">
        <v>22</v>
      </c>
      <c r="O2703" s="1" t="str">
        <f t="shared" ca="1" si="21"/>
        <v>Please solve the LeetCode problem '1580. Put Boxes Into the Warehouse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04" spans="1:15" x14ac:dyDescent="0.25">
      <c r="A2704" s="1">
        <v>1904</v>
      </c>
      <c r="B2704" s="2" t="str">
        <f>HYPERLINK("https://leetcode.com/problems/the-number-of-full-rounds-you-have-played/", "The Number of Full Rounds You Have Played")</f>
        <v>The Number of Full Rounds You Have Played</v>
      </c>
      <c r="C2704" s="1">
        <v>227</v>
      </c>
      <c r="D2704" s="1">
        <v>265</v>
      </c>
      <c r="E2704" s="3">
        <f t="shared" si="20"/>
        <v>0.4613821138211382</v>
      </c>
      <c r="F2704" s="1" t="s">
        <v>228</v>
      </c>
      <c r="G2704" s="1" t="s">
        <v>24</v>
      </c>
      <c r="H2704" s="1">
        <v>25301</v>
      </c>
      <c r="I2704" s="1">
        <v>58260</v>
      </c>
      <c r="J2704" s="7">
        <v>0.434</v>
      </c>
      <c r="K2704" s="1" t="s">
        <v>21</v>
      </c>
      <c r="L2704" s="1" t="s">
        <v>29</v>
      </c>
      <c r="M2704" s="1" t="s">
        <v>29</v>
      </c>
      <c r="N2704" s="1" t="s">
        <v>22</v>
      </c>
      <c r="O2704" s="1" t="str">
        <f t="shared" ca="1" si="21"/>
        <v>Please solve the LeetCode problem '1904. The Number of Full Rounds You Have Played'.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05" spans="1:15" x14ac:dyDescent="0.25">
      <c r="A2705" s="1">
        <v>612</v>
      </c>
      <c r="B2705" s="2" t="str">
        <f>HYPERLINK("https://leetcode.com/problems/shortest-distance-in-a-plane/", "Shortest Distance in a Plane")</f>
        <v>Shortest Distance in a Plane</v>
      </c>
      <c r="C2705" s="1">
        <v>226</v>
      </c>
      <c r="D2705" s="1">
        <v>72</v>
      </c>
      <c r="E2705" s="3">
        <f t="shared" si="20"/>
        <v>0.75838926174496646</v>
      </c>
      <c r="F2705" s="1" t="s">
        <v>297</v>
      </c>
      <c r="G2705" s="1" t="s">
        <v>24</v>
      </c>
      <c r="H2705" s="1">
        <v>47976</v>
      </c>
      <c r="I2705" s="1">
        <v>78532</v>
      </c>
      <c r="J2705" s="7">
        <v>0.61099999999999999</v>
      </c>
      <c r="K2705" s="1" t="s">
        <v>29</v>
      </c>
      <c r="L2705" s="1" t="s">
        <v>21</v>
      </c>
      <c r="M2705" s="1" t="s">
        <v>29</v>
      </c>
      <c r="N2705" s="1" t="s">
        <v>297</v>
      </c>
      <c r="O2705" s="1" t="str">
        <f t="shared" ca="1" si="21"/>
        <v>Please solve the LeetCode problem '612. Shortest Distance in a Plane'.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06" spans="1:15" x14ac:dyDescent="0.25">
      <c r="A2706" s="1">
        <v>2232</v>
      </c>
      <c r="B2706" s="2" t="str">
        <f>HYPERLINK("https://leetcode.com/problems/minimize-result-by-adding-parentheses-to-expression/", "Minimize Result by Adding Parentheses to Expression")</f>
        <v>Minimize Result by Adding Parentheses to Expression</v>
      </c>
      <c r="C2706" s="1">
        <v>226</v>
      </c>
      <c r="D2706" s="1">
        <v>344</v>
      </c>
      <c r="E2706" s="3">
        <f t="shared" si="20"/>
        <v>0.39649122807017545</v>
      </c>
      <c r="F2706" s="1" t="s">
        <v>831</v>
      </c>
      <c r="G2706" s="1" t="s">
        <v>24</v>
      </c>
      <c r="H2706" s="1">
        <v>26265</v>
      </c>
      <c r="I2706" s="1">
        <v>38576</v>
      </c>
      <c r="J2706" s="7">
        <v>0.68100000000000005</v>
      </c>
      <c r="K2706" s="1" t="s">
        <v>21</v>
      </c>
      <c r="L2706" s="1" t="s">
        <v>29</v>
      </c>
      <c r="M2706" s="1" t="s">
        <v>29</v>
      </c>
      <c r="N2706" s="1" t="s">
        <v>22</v>
      </c>
      <c r="O2706" s="1" t="str">
        <f t="shared" ca="1" si="21"/>
        <v>Please solve the LeetCode problem '2232. Minimize Result by Adding Parentheses to Expression'.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07" spans="1:15" x14ac:dyDescent="0.25">
      <c r="A2707" s="1">
        <v>2717</v>
      </c>
      <c r="B2707" s="2" t="str">
        <f>HYPERLINK("https://leetcode.com/problems/semi-ordered-permutation/", "Semi-Ordered Permutation")</f>
        <v>Semi-Ordered Permutation</v>
      </c>
      <c r="C2707" s="1">
        <v>226</v>
      </c>
      <c r="D2707" s="1">
        <v>21</v>
      </c>
      <c r="E2707" s="3">
        <f t="shared" si="20"/>
        <v>0.91497975708502022</v>
      </c>
      <c r="F2707" s="1" t="s">
        <v>306</v>
      </c>
      <c r="G2707" s="1" t="s">
        <v>20</v>
      </c>
      <c r="H2707" s="1">
        <v>37423</v>
      </c>
      <c r="I2707" s="1">
        <v>58499</v>
      </c>
      <c r="J2707" s="7">
        <v>0.64</v>
      </c>
      <c r="K2707" s="1" t="s">
        <v>21</v>
      </c>
      <c r="L2707" s="1" t="s">
        <v>29</v>
      </c>
      <c r="M2707" s="1" t="s">
        <v>29</v>
      </c>
      <c r="N2707" s="1" t="s">
        <v>22</v>
      </c>
      <c r="O2707" s="1" t="str">
        <f t="shared" ca="1" si="21"/>
        <v>Please solve the LeetCode problem '2717. Semi-Ordered Permutation'.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08" spans="1:15" x14ac:dyDescent="0.25">
      <c r="A2708" s="1">
        <v>2201</v>
      </c>
      <c r="B2708" s="2" t="str">
        <f>HYPERLINK("https://leetcode.com/problems/count-artifacts-that-can-be-extracted/", "Count Artifacts That Can Be Extracted")</f>
        <v>Count Artifacts That Can Be Extracted</v>
      </c>
      <c r="C2708" s="1">
        <v>225</v>
      </c>
      <c r="D2708" s="1">
        <v>204</v>
      </c>
      <c r="E2708" s="3">
        <f t="shared" si="20"/>
        <v>0.52447552447552448</v>
      </c>
      <c r="F2708" s="1" t="s">
        <v>736</v>
      </c>
      <c r="G2708" s="1" t="s">
        <v>24</v>
      </c>
      <c r="H2708" s="1">
        <v>22892</v>
      </c>
      <c r="I2708" s="1">
        <v>40199</v>
      </c>
      <c r="J2708" s="7">
        <v>0.56899999999999995</v>
      </c>
      <c r="K2708" s="1" t="s">
        <v>21</v>
      </c>
      <c r="L2708" s="1" t="s">
        <v>29</v>
      </c>
      <c r="M2708" s="1" t="s">
        <v>29</v>
      </c>
      <c r="N2708" s="1" t="s">
        <v>22</v>
      </c>
      <c r="O2708" s="1" t="str">
        <f t="shared" ca="1" si="21"/>
        <v>Please solve the LeetCode problem '2201. Count Artifacts That Can Be Extracted'.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09" spans="1:15" x14ac:dyDescent="0.25">
      <c r="A2709" s="1">
        <v>2724</v>
      </c>
      <c r="B2709" s="2" t="str">
        <f>HYPERLINK("https://leetcode.com/problems/sort-by/", "Sort By")</f>
        <v>Sort By</v>
      </c>
      <c r="C2709" s="1">
        <v>225</v>
      </c>
      <c r="D2709" s="1">
        <v>49</v>
      </c>
      <c r="E2709" s="3">
        <f t="shared" si="20"/>
        <v>0.82116788321167888</v>
      </c>
      <c r="G2709" s="1" t="s">
        <v>20</v>
      </c>
      <c r="H2709" s="1">
        <v>75908</v>
      </c>
      <c r="I2709" s="1">
        <v>91314</v>
      </c>
      <c r="J2709" s="7">
        <v>0.83099999999999996</v>
      </c>
      <c r="K2709" s="1" t="s">
        <v>21</v>
      </c>
      <c r="L2709" s="1" t="s">
        <v>21</v>
      </c>
      <c r="M2709" s="1" t="s">
        <v>29</v>
      </c>
      <c r="N2709" s="1" t="s">
        <v>555</v>
      </c>
      <c r="O2709" s="1" t="str">
        <f t="shared" ca="1" si="21"/>
        <v>Please solve the LeetCode problem '2724. Sort By'.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10" spans="1:15" x14ac:dyDescent="0.25">
      <c r="A2710" s="1">
        <v>3276</v>
      </c>
      <c r="B2710" s="2" t="str">
        <f>HYPERLINK("https://leetcode.com/problems/select-cells-in-grid-with-maximum-score/", "Select Cells in Grid With Maximum Score")</f>
        <v>Select Cells in Grid With Maximum Score</v>
      </c>
      <c r="C2710" s="1">
        <v>224</v>
      </c>
      <c r="D2710" s="1">
        <v>6</v>
      </c>
      <c r="E2710" s="3">
        <f t="shared" si="20"/>
        <v>0.97391304347826091</v>
      </c>
      <c r="F2710" s="1" t="s">
        <v>1371</v>
      </c>
      <c r="G2710" s="1" t="s">
        <v>28</v>
      </c>
      <c r="H2710" s="1">
        <v>12248</v>
      </c>
      <c r="I2710" s="1">
        <v>78966</v>
      </c>
      <c r="J2710" s="7">
        <v>0.155</v>
      </c>
      <c r="K2710" s="1" t="s">
        <v>21</v>
      </c>
      <c r="L2710" s="1" t="s">
        <v>29</v>
      </c>
      <c r="M2710" s="1" t="s">
        <v>29</v>
      </c>
      <c r="N2710" s="1" t="s">
        <v>22</v>
      </c>
      <c r="O2710" s="1" t="str">
        <f t="shared" ca="1" si="21"/>
        <v>Please solve the LeetCode problem '3276. Select Cells in Grid With Maximum Score'.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11" spans="1:15" x14ac:dyDescent="0.25">
      <c r="A2711" s="1">
        <v>1308</v>
      </c>
      <c r="B2711" s="2" t="str">
        <f>HYPERLINK("https://leetcode.com/problems/running-total-for-different-genders/", "Running Total for Different Genders")</f>
        <v>Running Total for Different Genders</v>
      </c>
      <c r="C2711" s="1">
        <v>223</v>
      </c>
      <c r="D2711" s="1">
        <v>70</v>
      </c>
      <c r="E2711" s="3">
        <f t="shared" si="20"/>
        <v>0.76109215017064846</v>
      </c>
      <c r="F2711" s="1" t="s">
        <v>297</v>
      </c>
      <c r="G2711" s="1" t="s">
        <v>24</v>
      </c>
      <c r="H2711" s="1">
        <v>46673</v>
      </c>
      <c r="I2711" s="1">
        <v>54148</v>
      </c>
      <c r="J2711" s="7">
        <v>0.86199999999999999</v>
      </c>
      <c r="K2711" s="1" t="s">
        <v>29</v>
      </c>
      <c r="L2711" s="1" t="s">
        <v>29</v>
      </c>
      <c r="M2711" s="1" t="s">
        <v>29</v>
      </c>
      <c r="N2711" s="1" t="s">
        <v>297</v>
      </c>
      <c r="O2711" s="1" t="str">
        <f t="shared" ca="1" si="21"/>
        <v>Please solve the LeetCode problem '1308. Running Total for Different Genders'.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12" spans="1:15" x14ac:dyDescent="0.25">
      <c r="A2712" s="1">
        <v>1709</v>
      </c>
      <c r="B2712" s="2" t="str">
        <f>HYPERLINK("https://leetcode.com/problems/biggest-window-between-visits/", "Biggest Window Between Visits")</f>
        <v>Biggest Window Between Visits</v>
      </c>
      <c r="C2712" s="1">
        <v>223</v>
      </c>
      <c r="D2712" s="1">
        <v>16</v>
      </c>
      <c r="E2712" s="3">
        <f t="shared" si="20"/>
        <v>0.93305439330543938</v>
      </c>
      <c r="F2712" s="1" t="s">
        <v>297</v>
      </c>
      <c r="G2712" s="1" t="s">
        <v>24</v>
      </c>
      <c r="H2712" s="1">
        <v>32030</v>
      </c>
      <c r="I2712" s="1">
        <v>45985</v>
      </c>
      <c r="J2712" s="7">
        <v>0.69699999999999995</v>
      </c>
      <c r="K2712" s="1" t="s">
        <v>29</v>
      </c>
      <c r="L2712" s="1" t="s">
        <v>21</v>
      </c>
      <c r="M2712" s="1" t="s">
        <v>29</v>
      </c>
      <c r="N2712" s="1" t="s">
        <v>297</v>
      </c>
      <c r="O2712" s="1" t="str">
        <f t="shared" ca="1" si="21"/>
        <v>Please solve the LeetCode problem '1709. Biggest Window Between Visits'.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13" spans="1:15" x14ac:dyDescent="0.25">
      <c r="A2713" s="1">
        <v>1918</v>
      </c>
      <c r="B2713" s="2" t="str">
        <f>HYPERLINK("https://leetcode.com/problems/kth-smallest-subarray-sum/", "Kth Smallest Subarray Sum")</f>
        <v>Kth Smallest Subarray Sum</v>
      </c>
      <c r="C2713" s="1">
        <v>223</v>
      </c>
      <c r="D2713" s="1">
        <v>14</v>
      </c>
      <c r="E2713" s="3">
        <f t="shared" si="20"/>
        <v>0.94092827004219415</v>
      </c>
      <c r="F2713" s="1" t="s">
        <v>852</v>
      </c>
      <c r="G2713" s="1" t="s">
        <v>24</v>
      </c>
      <c r="H2713" s="1">
        <v>5666</v>
      </c>
      <c r="I2713" s="1">
        <v>10675</v>
      </c>
      <c r="J2713" s="7">
        <v>0.53100000000000003</v>
      </c>
      <c r="K2713" s="1" t="s">
        <v>29</v>
      </c>
      <c r="L2713" s="1" t="s">
        <v>29</v>
      </c>
      <c r="M2713" s="1" t="s">
        <v>29</v>
      </c>
      <c r="N2713" s="1" t="s">
        <v>22</v>
      </c>
      <c r="O2713" s="1" t="str">
        <f t="shared" ca="1" si="21"/>
        <v>Please solve the LeetCode problem '1918. Kth Smallest Subarray Sum'.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14" spans="1:15" x14ac:dyDescent="0.25">
      <c r="A2714" s="1">
        <v>2663</v>
      </c>
      <c r="B2714" s="2" t="str">
        <f>HYPERLINK("https://leetcode.com/problems/lexicographically-smallest-beautiful-string/", "Lexicographically Smallest Beautiful String")</f>
        <v>Lexicographically Smallest Beautiful String</v>
      </c>
      <c r="C2714" s="1">
        <v>223</v>
      </c>
      <c r="D2714" s="1">
        <v>28</v>
      </c>
      <c r="E2714" s="3">
        <f t="shared" si="20"/>
        <v>0.88844621513944222</v>
      </c>
      <c r="F2714" s="1" t="s">
        <v>424</v>
      </c>
      <c r="G2714" s="1" t="s">
        <v>28</v>
      </c>
      <c r="H2714" s="1">
        <v>10664</v>
      </c>
      <c r="I2714" s="1">
        <v>28117</v>
      </c>
      <c r="J2714" s="7">
        <v>0.379</v>
      </c>
      <c r="K2714" s="1" t="s">
        <v>21</v>
      </c>
      <c r="L2714" s="1" t="s">
        <v>29</v>
      </c>
      <c r="M2714" s="1" t="s">
        <v>29</v>
      </c>
      <c r="N2714" s="1" t="s">
        <v>22</v>
      </c>
      <c r="O2714" s="1" t="str">
        <f t="shared" ca="1" si="21"/>
        <v>Please solve the LeetCode problem '2663. Lexicographically Smallest Beautiful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15" spans="1:15" x14ac:dyDescent="0.25">
      <c r="A2715" s="1">
        <v>2705</v>
      </c>
      <c r="B2715" s="2" t="str">
        <f>HYPERLINK("https://leetcode.com/problems/compact-object/", "Compact Object")</f>
        <v>Compact Object</v>
      </c>
      <c r="C2715" s="1">
        <v>223</v>
      </c>
      <c r="D2715" s="1">
        <v>25</v>
      </c>
      <c r="E2715" s="3">
        <f t="shared" si="20"/>
        <v>0.89919354838709675</v>
      </c>
      <c r="G2715" s="1" t="s">
        <v>24</v>
      </c>
      <c r="H2715" s="1">
        <v>44421</v>
      </c>
      <c r="I2715" s="1">
        <v>66006</v>
      </c>
      <c r="J2715" s="7">
        <v>0.67300000000000004</v>
      </c>
      <c r="K2715" s="1" t="s">
        <v>21</v>
      </c>
      <c r="L2715" s="1" t="s">
        <v>21</v>
      </c>
      <c r="M2715" s="1" t="s">
        <v>29</v>
      </c>
      <c r="N2715" s="1" t="s">
        <v>555</v>
      </c>
      <c r="O2715" s="1" t="str">
        <f t="shared" ca="1" si="21"/>
        <v>Please solve the LeetCode problem '2705. Compact Object'.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16" spans="1:15" x14ac:dyDescent="0.25">
      <c r="A2716" s="1">
        <v>2933</v>
      </c>
      <c r="B2716" s="2" t="str">
        <f>HYPERLINK("https://leetcode.com/problems/high-access-employees/", "High-Access Employees")</f>
        <v>High-Access Employees</v>
      </c>
      <c r="C2716" s="1">
        <v>223</v>
      </c>
      <c r="D2716" s="1">
        <v>22</v>
      </c>
      <c r="E2716" s="3">
        <f t="shared" si="20"/>
        <v>0.91020408163265309</v>
      </c>
      <c r="F2716" s="1" t="s">
        <v>49</v>
      </c>
      <c r="G2716" s="1" t="s">
        <v>24</v>
      </c>
      <c r="H2716" s="1">
        <v>32521</v>
      </c>
      <c r="I2716" s="1">
        <v>68948</v>
      </c>
      <c r="J2716" s="7">
        <v>0.47199999999999998</v>
      </c>
      <c r="K2716" s="1" t="s">
        <v>21</v>
      </c>
      <c r="L2716" s="1" t="s">
        <v>29</v>
      </c>
      <c r="M2716" s="1" t="s">
        <v>29</v>
      </c>
      <c r="N2716" s="1" t="s">
        <v>22</v>
      </c>
      <c r="O2716" s="1" t="str">
        <f t="shared" ca="1" si="21"/>
        <v>Please solve the LeetCode problem '2933. High-Access Employees'.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17" spans="1:15" x14ac:dyDescent="0.25">
      <c r="A2717" s="1">
        <v>634</v>
      </c>
      <c r="B2717" s="2" t="str">
        <f>HYPERLINK("https://leetcode.com/problems/find-the-derangement-of-an-array/", "Find the Derangement of An Array")</f>
        <v>Find the Derangement of An Array</v>
      </c>
      <c r="C2717" s="1">
        <v>222</v>
      </c>
      <c r="D2717" s="1">
        <v>165</v>
      </c>
      <c r="E2717" s="3">
        <f t="shared" si="20"/>
        <v>0.5736434108527132</v>
      </c>
      <c r="F2717" s="1" t="s">
        <v>70</v>
      </c>
      <c r="G2717" s="1" t="s">
        <v>24</v>
      </c>
      <c r="H2717" s="1">
        <v>12384</v>
      </c>
      <c r="I2717" s="1">
        <v>29725</v>
      </c>
      <c r="J2717" s="7">
        <v>0.41699999999999998</v>
      </c>
      <c r="K2717" s="1" t="s">
        <v>29</v>
      </c>
      <c r="L2717" s="1" t="s">
        <v>21</v>
      </c>
      <c r="M2717" s="1" t="s">
        <v>29</v>
      </c>
      <c r="N2717" s="1" t="s">
        <v>22</v>
      </c>
      <c r="O2717" s="1" t="str">
        <f t="shared" ca="1" si="21"/>
        <v>Please solve the LeetCode problem '634. Find the Derangement of An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18" spans="1:15" x14ac:dyDescent="0.25">
      <c r="A2718" s="1">
        <v>2628</v>
      </c>
      <c r="B2718" s="2" t="str">
        <f>HYPERLINK("https://leetcode.com/problems/json-deep-equal/", "JSON Deep Equal")</f>
        <v>JSON Deep Equal</v>
      </c>
      <c r="C2718" s="1">
        <v>222</v>
      </c>
      <c r="D2718" s="1">
        <v>18</v>
      </c>
      <c r="E2718" s="3">
        <f t="shared" si="20"/>
        <v>0.92500000000000004</v>
      </c>
      <c r="G2718" s="1" t="s">
        <v>24</v>
      </c>
      <c r="H2718" s="1">
        <v>14822</v>
      </c>
      <c r="I2718" s="1">
        <v>37600</v>
      </c>
      <c r="J2718" s="7">
        <v>0.39400000000000002</v>
      </c>
      <c r="K2718" s="1" t="s">
        <v>29</v>
      </c>
      <c r="L2718" s="1" t="s">
        <v>21</v>
      </c>
      <c r="M2718" s="1" t="s">
        <v>29</v>
      </c>
      <c r="N2718" s="1" t="s">
        <v>555</v>
      </c>
      <c r="O2718" s="1" t="str">
        <f t="shared" ca="1" si="21"/>
        <v>Please solve the LeetCode problem '2628. JSON Deep Equal'.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19" spans="1:15" x14ac:dyDescent="0.25">
      <c r="A2719" s="1">
        <v>3286</v>
      </c>
      <c r="B2719" s="2" t="str">
        <f>HYPERLINK("https://leetcode.com/problems/find-a-safe-walk-through-a-grid/", "Find a Safe Walk Through a Grid")</f>
        <v>Find a Safe Walk Through a Grid</v>
      </c>
      <c r="C2719" s="1">
        <v>222</v>
      </c>
      <c r="D2719" s="1">
        <v>13</v>
      </c>
      <c r="E2719" s="3">
        <f t="shared" si="20"/>
        <v>0.94468085106382982</v>
      </c>
      <c r="F2719" s="1" t="s">
        <v>415</v>
      </c>
      <c r="G2719" s="1" t="s">
        <v>24</v>
      </c>
      <c r="H2719" s="1">
        <v>34534</v>
      </c>
      <c r="I2719" s="1">
        <v>106747</v>
      </c>
      <c r="J2719" s="7">
        <v>0.32400000000000001</v>
      </c>
      <c r="K2719" s="1" t="s">
        <v>21</v>
      </c>
      <c r="L2719" s="1" t="s">
        <v>29</v>
      </c>
      <c r="M2719" s="1" t="s">
        <v>29</v>
      </c>
      <c r="N2719" s="1" t="s">
        <v>22</v>
      </c>
      <c r="O2719" s="1" t="str">
        <f t="shared" ca="1" si="21"/>
        <v>Please solve the LeetCode problem '3286. Find a Safe Walk Through a Grid'.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20" spans="1:15" x14ac:dyDescent="0.25">
      <c r="A2720" s="1">
        <v>3153</v>
      </c>
      <c r="B2720" s="2" t="str">
        <f>HYPERLINK("https://leetcode.com/problems/sum-of-digit-differences-of-all-pairs/", "Sum of Digit Differences of All Pairs")</f>
        <v>Sum of Digit Differences of All Pairs</v>
      </c>
      <c r="C2720" s="1">
        <v>221</v>
      </c>
      <c r="D2720" s="1">
        <v>20</v>
      </c>
      <c r="E2720" s="3">
        <f t="shared" si="20"/>
        <v>0.91701244813278004</v>
      </c>
      <c r="F2720" s="1" t="s">
        <v>233</v>
      </c>
      <c r="G2720" s="1" t="s">
        <v>24</v>
      </c>
      <c r="H2720" s="1">
        <v>28651</v>
      </c>
      <c r="I2720" s="1">
        <v>66733</v>
      </c>
      <c r="J2720" s="7">
        <v>0.42899999999999999</v>
      </c>
      <c r="K2720" s="1" t="s">
        <v>21</v>
      </c>
      <c r="L2720" s="1" t="s">
        <v>29</v>
      </c>
      <c r="M2720" s="1" t="s">
        <v>29</v>
      </c>
      <c r="N2720" s="1" t="s">
        <v>22</v>
      </c>
      <c r="O2720" s="1" t="str">
        <f t="shared" ca="1" si="21"/>
        <v>Please solve the LeetCode problem '3153. Sum of Digit Differences of All Pairs'.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21" spans="1:15" x14ac:dyDescent="0.25">
      <c r="A2721" s="1">
        <v>3282</v>
      </c>
      <c r="B2721" s="2" t="str">
        <f>HYPERLINK("https://leetcode.com/problems/reach-end-of-array-with-max-score/", "Reach End of Array With Max Score")</f>
        <v>Reach End of Array With Max Score</v>
      </c>
      <c r="C2721" s="1">
        <v>221</v>
      </c>
      <c r="D2721" s="1">
        <v>15</v>
      </c>
      <c r="E2721" s="3">
        <f t="shared" si="20"/>
        <v>0.93644067796610164</v>
      </c>
      <c r="F2721" s="1" t="s">
        <v>96</v>
      </c>
      <c r="G2721" s="1" t="s">
        <v>24</v>
      </c>
      <c r="H2721" s="1">
        <v>28501</v>
      </c>
      <c r="I2721" s="1">
        <v>85747</v>
      </c>
      <c r="J2721" s="7">
        <v>0.33200000000000002</v>
      </c>
      <c r="K2721" s="1" t="s">
        <v>21</v>
      </c>
      <c r="L2721" s="1" t="s">
        <v>29</v>
      </c>
      <c r="M2721" s="1" t="s">
        <v>29</v>
      </c>
      <c r="N2721" s="1" t="s">
        <v>22</v>
      </c>
      <c r="O2721" s="1" t="str">
        <f t="shared" ca="1" si="21"/>
        <v>Please solve the LeetCode problem '3282. Reach End of Array With Max Score'.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22" spans="1:15" x14ac:dyDescent="0.25">
      <c r="A2722" s="1">
        <v>3371</v>
      </c>
      <c r="B2722" s="2" t="str">
        <f>HYPERLINK("https://leetcode.com/problems/identify-the-largest-outlier-in-an-array/", "Identify the Largest Outlier in an Array")</f>
        <v>Identify the Largest Outlier in an Array</v>
      </c>
      <c r="C2722" s="1">
        <v>221</v>
      </c>
      <c r="D2722" s="1">
        <v>30</v>
      </c>
      <c r="E2722" s="3">
        <f t="shared" si="20"/>
        <v>0.88047808764940239</v>
      </c>
      <c r="F2722" s="1" t="s">
        <v>1080</v>
      </c>
      <c r="G2722" s="1" t="s">
        <v>24</v>
      </c>
      <c r="H2722" s="1">
        <v>51398</v>
      </c>
      <c r="I2722" s="1">
        <v>142174</v>
      </c>
      <c r="J2722" s="7">
        <v>0.36199999999999999</v>
      </c>
      <c r="K2722" s="1" t="s">
        <v>21</v>
      </c>
      <c r="L2722" s="1" t="s">
        <v>29</v>
      </c>
      <c r="M2722" s="1" t="s">
        <v>29</v>
      </c>
      <c r="N2722" s="1" t="s">
        <v>22</v>
      </c>
      <c r="O2722" s="1" t="str">
        <f t="shared" ca="1" si="21"/>
        <v>Please solve the LeetCode problem '3371. Identify the Largest Outlier in an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23" spans="1:15" x14ac:dyDescent="0.25">
      <c r="A2723" s="1">
        <v>2288</v>
      </c>
      <c r="B2723" s="2" t="str">
        <f>HYPERLINK("https://leetcode.com/problems/apply-discount-to-prices/", "Apply Discount to Prices")</f>
        <v>Apply Discount to Prices</v>
      </c>
      <c r="C2723" s="1">
        <v>220</v>
      </c>
      <c r="D2723" s="1">
        <v>1127</v>
      </c>
      <c r="E2723" s="3">
        <f t="shared" si="20"/>
        <v>0.16332590942835931</v>
      </c>
      <c r="F2723" s="1" t="s">
        <v>146</v>
      </c>
      <c r="G2723" s="1" t="s">
        <v>24</v>
      </c>
      <c r="H2723" s="1">
        <v>30962</v>
      </c>
      <c r="I2723" s="1">
        <v>91962</v>
      </c>
      <c r="J2723" s="7">
        <v>0.33700000000000002</v>
      </c>
      <c r="K2723" s="1" t="s">
        <v>21</v>
      </c>
      <c r="L2723" s="1" t="s">
        <v>29</v>
      </c>
      <c r="M2723" s="1" t="s">
        <v>29</v>
      </c>
      <c r="N2723" s="1" t="s">
        <v>22</v>
      </c>
      <c r="O2723" s="1" t="str">
        <f t="shared" ca="1" si="21"/>
        <v>Please solve the LeetCode problem '2288. Apply Discount to Prices'.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24" spans="1:15" x14ac:dyDescent="0.25">
      <c r="A2724" s="1">
        <v>3281</v>
      </c>
      <c r="B2724" s="2" t="str">
        <f>HYPERLINK("https://leetcode.com/problems/maximize-score-of-numbers-in-ranges/", "Maximize Score of Numbers in Ranges")</f>
        <v>Maximize Score of Numbers in Ranges</v>
      </c>
      <c r="C2724" s="1">
        <v>220</v>
      </c>
      <c r="D2724" s="1">
        <v>50</v>
      </c>
      <c r="E2724" s="3">
        <f t="shared" si="20"/>
        <v>0.81481481481481477</v>
      </c>
      <c r="F2724" s="1" t="s">
        <v>440</v>
      </c>
      <c r="G2724" s="1" t="s">
        <v>24</v>
      </c>
      <c r="H2724" s="1">
        <v>23217</v>
      </c>
      <c r="I2724" s="1">
        <v>65551</v>
      </c>
      <c r="J2724" s="7">
        <v>0.35399999999999998</v>
      </c>
      <c r="K2724" s="1" t="s">
        <v>21</v>
      </c>
      <c r="L2724" s="1" t="s">
        <v>29</v>
      </c>
      <c r="M2724" s="1" t="s">
        <v>29</v>
      </c>
      <c r="N2724" s="1" t="s">
        <v>22</v>
      </c>
      <c r="O2724" s="1" t="str">
        <f t="shared" ca="1" si="21"/>
        <v>Please solve the LeetCode problem '3281. Maximize Score of Numbers in Ranges'.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25" spans="1:15" x14ac:dyDescent="0.25">
      <c r="A2725" s="1">
        <v>1430</v>
      </c>
      <c r="B2725" s="2" t="str">
        <f>HYPERLINK("https://leetcode.com/problems/check-if-a-string-is-a-valid-sequence-from-root-to-leaves-path-in-a-binary-tree/", "Check If a String Is a Valid Sequence from Root to Leaves Path in a Binary Tree")</f>
        <v>Check If a String Is a Valid Sequence from Root to Leaves Path in a Binary Tree</v>
      </c>
      <c r="C2725" s="1">
        <v>219</v>
      </c>
      <c r="D2725" s="1">
        <v>15</v>
      </c>
      <c r="E2725" s="3">
        <f t="shared" si="20"/>
        <v>0.9358974358974359</v>
      </c>
      <c r="F2725" s="1" t="s">
        <v>80</v>
      </c>
      <c r="G2725" s="1" t="s">
        <v>24</v>
      </c>
      <c r="H2725" s="1">
        <v>46266</v>
      </c>
      <c r="I2725" s="1">
        <v>97521</v>
      </c>
      <c r="J2725" s="7">
        <v>0.47399999999999998</v>
      </c>
      <c r="K2725" s="1" t="s">
        <v>29</v>
      </c>
      <c r="L2725" s="1" t="s">
        <v>29</v>
      </c>
      <c r="M2725" s="1" t="s">
        <v>29</v>
      </c>
      <c r="N2725" s="1" t="s">
        <v>22</v>
      </c>
      <c r="O2725" s="1" t="str">
        <f t="shared" ca="1" si="21"/>
        <v>Please solve the LeetCode problem '1430. Check If a String Is a Valid Sequence from Root to Leaves Path in a Binary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26" spans="1:15" x14ac:dyDescent="0.25">
      <c r="A2726" s="1">
        <v>1098</v>
      </c>
      <c r="B2726" s="2" t="str">
        <f>HYPERLINK("https://leetcode.com/problems/unpopular-books/", "Unpopular Books")</f>
        <v>Unpopular Books</v>
      </c>
      <c r="C2726" s="1">
        <v>217</v>
      </c>
      <c r="D2726" s="1">
        <v>621</v>
      </c>
      <c r="E2726" s="3">
        <f t="shared" si="20"/>
        <v>0.25894988066825775</v>
      </c>
      <c r="F2726" s="1" t="s">
        <v>297</v>
      </c>
      <c r="G2726" s="1" t="s">
        <v>24</v>
      </c>
      <c r="H2726" s="1">
        <v>47381</v>
      </c>
      <c r="I2726" s="1">
        <v>109107</v>
      </c>
      <c r="J2726" s="7">
        <v>0.434</v>
      </c>
      <c r="K2726" s="1" t="s">
        <v>29</v>
      </c>
      <c r="L2726" s="1" t="s">
        <v>29</v>
      </c>
      <c r="M2726" s="1" t="s">
        <v>29</v>
      </c>
      <c r="N2726" s="1" t="s">
        <v>297</v>
      </c>
      <c r="O2726" s="1" t="str">
        <f t="shared" ca="1" si="21"/>
        <v>Please solve the LeetCode problem '1098. Unpopular Books'.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27" spans="1:15" x14ac:dyDescent="0.25">
      <c r="A2727" s="1">
        <v>1348</v>
      </c>
      <c r="B2727" s="2" t="str">
        <f>HYPERLINK("https://leetcode.com/problems/tweet-counts-per-frequency/", "Tweet Counts Per Frequency")</f>
        <v>Tweet Counts Per Frequency</v>
      </c>
      <c r="C2727" s="1">
        <v>217</v>
      </c>
      <c r="D2727" s="1">
        <v>307</v>
      </c>
      <c r="E2727" s="3">
        <f t="shared" si="20"/>
        <v>0.41412213740458015</v>
      </c>
      <c r="F2727" s="1" t="s">
        <v>1081</v>
      </c>
      <c r="G2727" s="1" t="s">
        <v>24</v>
      </c>
      <c r="H2727" s="1">
        <v>38490</v>
      </c>
      <c r="I2727" s="1">
        <v>84067</v>
      </c>
      <c r="J2727" s="7">
        <v>0.45800000000000002</v>
      </c>
      <c r="K2727" s="1" t="s">
        <v>21</v>
      </c>
      <c r="L2727" s="1" t="s">
        <v>29</v>
      </c>
      <c r="M2727" s="1" t="s">
        <v>29</v>
      </c>
      <c r="N2727" s="1" t="s">
        <v>22</v>
      </c>
      <c r="O2727" s="1" t="str">
        <f t="shared" ca="1" si="21"/>
        <v>Please solve the LeetCode problem '1348. Tweet Counts Per Frequency'.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28" spans="1:15" x14ac:dyDescent="0.25">
      <c r="A2728" s="1">
        <v>3539</v>
      </c>
      <c r="B2728" s="2" t="str">
        <f>HYPERLINK("https://leetcode.com/problems/find-sum-of-array-product-of-magical-sequences/", "Find Sum of Array Product of Magical Sequences")</f>
        <v>Find Sum of Array Product of Magical Sequences</v>
      </c>
      <c r="C2728" s="1">
        <v>217</v>
      </c>
      <c r="D2728" s="1">
        <v>155</v>
      </c>
      <c r="E2728" s="3">
        <f t="shared" si="20"/>
        <v>0.58333333333333337</v>
      </c>
      <c r="F2728" s="1" t="s">
        <v>1390</v>
      </c>
      <c r="G2728" s="1" t="s">
        <v>28</v>
      </c>
      <c r="H2728" s="1">
        <v>52177</v>
      </c>
      <c r="I2728" s="1">
        <v>84122</v>
      </c>
      <c r="J2728" s="7">
        <v>0.62</v>
      </c>
      <c r="K2728" s="1" t="s">
        <v>21</v>
      </c>
      <c r="L2728" s="1" t="s">
        <v>21</v>
      </c>
      <c r="M2728" s="1" t="s">
        <v>29</v>
      </c>
      <c r="N2728" s="1" t="s">
        <v>22</v>
      </c>
      <c r="O2728" s="1" t="str">
        <f t="shared" ca="1" si="21"/>
        <v>Please solve the LeetCode problem '3539. Find Sum of Array Product of Magical Sequences'.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29" spans="1:15" x14ac:dyDescent="0.25">
      <c r="A2729" s="1">
        <v>288</v>
      </c>
      <c r="B2729" s="2" t="str">
        <f>HYPERLINK("https://leetcode.com/problems/unique-word-abbreviation/", "Unique Word Abbreviation")</f>
        <v>Unique Word Abbreviation</v>
      </c>
      <c r="C2729" s="1">
        <v>216</v>
      </c>
      <c r="D2729" s="1">
        <v>1855</v>
      </c>
      <c r="E2729" s="3">
        <f t="shared" si="20"/>
        <v>0.104297440849831</v>
      </c>
      <c r="F2729" s="1" t="s">
        <v>843</v>
      </c>
      <c r="G2729" s="1" t="s">
        <v>24</v>
      </c>
      <c r="H2729" s="1">
        <v>79609</v>
      </c>
      <c r="I2729" s="1">
        <v>290929</v>
      </c>
      <c r="J2729" s="7">
        <v>0.27400000000000002</v>
      </c>
      <c r="K2729" s="1" t="s">
        <v>29</v>
      </c>
      <c r="L2729" s="1" t="s">
        <v>21</v>
      </c>
      <c r="M2729" s="1" t="s">
        <v>29</v>
      </c>
      <c r="N2729" s="1" t="s">
        <v>22</v>
      </c>
      <c r="O2729" s="1" t="str">
        <f t="shared" ca="1" si="21"/>
        <v>Please solve the LeetCode problem '288. Unique Word Abbreviation'.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30" spans="1:15" x14ac:dyDescent="0.25">
      <c r="A2730" s="1">
        <v>1134</v>
      </c>
      <c r="B2730" s="2" t="str">
        <f>HYPERLINK("https://leetcode.com/problems/armstrong-number/", "Armstrong Number")</f>
        <v>Armstrong Number</v>
      </c>
      <c r="C2730" s="1">
        <v>216</v>
      </c>
      <c r="D2730" s="1">
        <v>20</v>
      </c>
      <c r="E2730" s="3">
        <f t="shared" si="20"/>
        <v>0.9152542372881356</v>
      </c>
      <c r="F2730" s="1" t="s">
        <v>84</v>
      </c>
      <c r="G2730" s="1" t="s">
        <v>20</v>
      </c>
      <c r="H2730" s="1">
        <v>42262</v>
      </c>
      <c r="I2730" s="1">
        <v>54305</v>
      </c>
      <c r="J2730" s="7">
        <v>0.77800000000000002</v>
      </c>
      <c r="K2730" s="1" t="s">
        <v>29</v>
      </c>
      <c r="L2730" s="1" t="s">
        <v>21</v>
      </c>
      <c r="M2730" s="1" t="s">
        <v>29</v>
      </c>
      <c r="N2730" s="1" t="s">
        <v>22</v>
      </c>
      <c r="O2730" s="1" t="str">
        <f t="shared" ca="1" si="21"/>
        <v>Please solve the LeetCode problem '1134. Armstrong Number'.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31" spans="1:15" x14ac:dyDescent="0.25">
      <c r="A2731" s="1">
        <v>2727</v>
      </c>
      <c r="B2731" s="2" t="str">
        <f>HYPERLINK("https://leetcode.com/problems/is-object-empty/", "Is Object Empty")</f>
        <v>Is Object Empty</v>
      </c>
      <c r="C2731" s="1">
        <v>216</v>
      </c>
      <c r="D2731" s="1">
        <v>16</v>
      </c>
      <c r="E2731" s="3">
        <f t="shared" si="20"/>
        <v>0.93103448275862066</v>
      </c>
      <c r="G2731" s="1" t="s">
        <v>20</v>
      </c>
      <c r="H2731" s="1">
        <v>113533</v>
      </c>
      <c r="I2731" s="1">
        <v>138945</v>
      </c>
      <c r="J2731" s="7">
        <v>0.81699999999999995</v>
      </c>
      <c r="K2731" s="1" t="s">
        <v>21</v>
      </c>
      <c r="L2731" s="1" t="s">
        <v>21</v>
      </c>
      <c r="M2731" s="1" t="s">
        <v>29</v>
      </c>
      <c r="N2731" s="1" t="s">
        <v>555</v>
      </c>
      <c r="O2731" s="1" t="str">
        <f t="shared" ca="1" si="21"/>
        <v>Please solve the LeetCode problem '2727. Is Object Empty'.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32" spans="1:15" x14ac:dyDescent="0.25">
      <c r="A2732" s="1">
        <v>1357</v>
      </c>
      <c r="B2732" s="2" t="str">
        <f>HYPERLINK("https://leetcode.com/problems/apply-discount-every-n-orders/", "Apply Discount Every n Orders")</f>
        <v>Apply Discount Every n Orders</v>
      </c>
      <c r="C2732" s="1">
        <v>215</v>
      </c>
      <c r="D2732" s="1">
        <v>232</v>
      </c>
      <c r="E2732" s="3">
        <f t="shared" si="20"/>
        <v>0.48098434004474272</v>
      </c>
      <c r="F2732" s="1" t="s">
        <v>708</v>
      </c>
      <c r="G2732" s="1" t="s">
        <v>24</v>
      </c>
      <c r="H2732" s="1">
        <v>28672</v>
      </c>
      <c r="I2732" s="1">
        <v>44005</v>
      </c>
      <c r="J2732" s="7">
        <v>0.65200000000000002</v>
      </c>
      <c r="K2732" s="1" t="s">
        <v>21</v>
      </c>
      <c r="L2732" s="1" t="s">
        <v>29</v>
      </c>
      <c r="M2732" s="1" t="s">
        <v>29</v>
      </c>
      <c r="N2732" s="1" t="s">
        <v>22</v>
      </c>
      <c r="O2732" s="1" t="str">
        <f t="shared" ca="1" si="21"/>
        <v>Please solve the LeetCode problem '1357. Apply Discount Every n Orders'.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33" spans="1:15" x14ac:dyDescent="0.25">
      <c r="A2733" s="1">
        <v>1410</v>
      </c>
      <c r="B2733" s="2" t="str">
        <f>HYPERLINK("https://leetcode.com/problems/html-entity-parser/", "HTML Entity Parser")</f>
        <v>HTML Entity Parser</v>
      </c>
      <c r="C2733" s="1">
        <v>214</v>
      </c>
      <c r="D2733" s="1">
        <v>332</v>
      </c>
      <c r="E2733" s="3">
        <f t="shared" si="20"/>
        <v>0.39194139194139194</v>
      </c>
      <c r="F2733" s="1" t="s">
        <v>131</v>
      </c>
      <c r="G2733" s="1" t="s">
        <v>24</v>
      </c>
      <c r="H2733" s="1">
        <v>30921</v>
      </c>
      <c r="I2733" s="1">
        <v>61561</v>
      </c>
      <c r="J2733" s="7">
        <v>0.502</v>
      </c>
      <c r="K2733" s="1" t="s">
        <v>21</v>
      </c>
      <c r="L2733" s="1" t="s">
        <v>29</v>
      </c>
      <c r="M2733" s="1" t="s">
        <v>29</v>
      </c>
      <c r="N2733" s="1" t="s">
        <v>22</v>
      </c>
      <c r="O2733" s="1" t="str">
        <f t="shared" ca="1" si="21"/>
        <v>Please solve the LeetCode problem '1410. HTML Entity Parser'.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34" spans="1:15" x14ac:dyDescent="0.25">
      <c r="A2734" s="1">
        <v>3020</v>
      </c>
      <c r="B2734" s="2" t="str">
        <f>HYPERLINK("https://leetcode.com/problems/find-the-maximum-number-of-elements-in-subset/", "Find the Maximum Number of Elements in Subset")</f>
        <v>Find the Maximum Number of Elements in Subset</v>
      </c>
      <c r="C2734" s="1">
        <v>214</v>
      </c>
      <c r="D2734" s="1">
        <v>43</v>
      </c>
      <c r="E2734" s="3">
        <f t="shared" si="20"/>
        <v>0.83268482490272377</v>
      </c>
      <c r="F2734" s="1" t="s">
        <v>804</v>
      </c>
      <c r="G2734" s="1" t="s">
        <v>24</v>
      </c>
      <c r="H2734" s="1">
        <v>28147</v>
      </c>
      <c r="I2734" s="1">
        <v>105256</v>
      </c>
      <c r="J2734" s="7">
        <v>0.26700000000000002</v>
      </c>
      <c r="K2734" s="1" t="s">
        <v>21</v>
      </c>
      <c r="L2734" s="1" t="s">
        <v>29</v>
      </c>
      <c r="M2734" s="1" t="s">
        <v>29</v>
      </c>
      <c r="N2734" s="1" t="s">
        <v>22</v>
      </c>
      <c r="O2734" s="1" t="str">
        <f t="shared" ca="1" si="21"/>
        <v>Please solve the LeetCode problem '3020. Find the Maximum Number of Elements in Subset'.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35" spans="1:15" x14ac:dyDescent="0.25">
      <c r="A2735" s="1">
        <v>3112</v>
      </c>
      <c r="B2735" s="2" t="str">
        <f>HYPERLINK("https://leetcode.com/problems/minimum-time-to-visit-disappearing-nodes/", "Minimum Time to Visit Disappearing Nodes")</f>
        <v>Minimum Time to Visit Disappearing Nodes</v>
      </c>
      <c r="C2735" s="1">
        <v>214</v>
      </c>
      <c r="D2735" s="1">
        <v>24</v>
      </c>
      <c r="E2735" s="3">
        <f t="shared" si="20"/>
        <v>0.89915966386554624</v>
      </c>
      <c r="F2735" s="1" t="s">
        <v>318</v>
      </c>
      <c r="G2735" s="1" t="s">
        <v>24</v>
      </c>
      <c r="H2735" s="1">
        <v>26665</v>
      </c>
      <c r="I2735" s="1">
        <v>71843</v>
      </c>
      <c r="J2735" s="7">
        <v>0.371</v>
      </c>
      <c r="K2735" s="1" t="s">
        <v>21</v>
      </c>
      <c r="L2735" s="1" t="s">
        <v>29</v>
      </c>
      <c r="M2735" s="1" t="s">
        <v>29</v>
      </c>
      <c r="N2735" s="1" t="s">
        <v>22</v>
      </c>
      <c r="O2735" s="1" t="str">
        <f t="shared" ca="1" si="21"/>
        <v>Please solve the LeetCode problem '3112. Minimum Time to Visit Disappearing Nodes'.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36" spans="1:15" x14ac:dyDescent="0.25">
      <c r="A2736" s="1">
        <v>2732</v>
      </c>
      <c r="B2736" s="2" t="str">
        <f>HYPERLINK("https://leetcode.com/problems/find-a-good-subset-of-the-matrix/", "Find a Good Subset of the Matrix")</f>
        <v>Find a Good Subset of the Matrix</v>
      </c>
      <c r="C2736" s="1">
        <v>213</v>
      </c>
      <c r="D2736" s="1">
        <v>30</v>
      </c>
      <c r="E2736" s="3">
        <f t="shared" si="20"/>
        <v>0.87654320987654322</v>
      </c>
      <c r="F2736" s="1" t="s">
        <v>1085</v>
      </c>
      <c r="G2736" s="1" t="s">
        <v>28</v>
      </c>
      <c r="H2736" s="1">
        <v>8125</v>
      </c>
      <c r="I2736" s="1">
        <v>17383</v>
      </c>
      <c r="J2736" s="7">
        <v>0.46700000000000003</v>
      </c>
      <c r="K2736" s="1" t="s">
        <v>21</v>
      </c>
      <c r="L2736" s="1" t="s">
        <v>29</v>
      </c>
      <c r="M2736" s="1" t="s">
        <v>29</v>
      </c>
      <c r="N2736" s="1" t="s">
        <v>22</v>
      </c>
      <c r="O2736" s="1" t="str">
        <f t="shared" ca="1" si="21"/>
        <v>Please solve the LeetCode problem '2732. Find a Good Subset of the Matrix'.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37" spans="1:15" x14ac:dyDescent="0.25">
      <c r="A2737" s="1">
        <v>2949</v>
      </c>
      <c r="B2737" s="2" t="str">
        <f>HYPERLINK("https://leetcode.com/problems/count-beautiful-substrings-ii/", "Count Beautiful Substrings II")</f>
        <v>Count Beautiful Substrings II</v>
      </c>
      <c r="C2737" s="1">
        <v>213</v>
      </c>
      <c r="D2737" s="1">
        <v>9</v>
      </c>
      <c r="E2737" s="3">
        <f t="shared" si="20"/>
        <v>0.95945945945945943</v>
      </c>
      <c r="F2737" s="1" t="s">
        <v>1084</v>
      </c>
      <c r="G2737" s="1" t="s">
        <v>28</v>
      </c>
      <c r="H2737" s="1">
        <v>7621</v>
      </c>
      <c r="I2737" s="1">
        <v>28759</v>
      </c>
      <c r="J2737" s="7">
        <v>0.26500000000000001</v>
      </c>
      <c r="K2737" s="1" t="s">
        <v>21</v>
      </c>
      <c r="L2737" s="1" t="s">
        <v>29</v>
      </c>
      <c r="M2737" s="1" t="s">
        <v>29</v>
      </c>
      <c r="N2737" s="1" t="s">
        <v>22</v>
      </c>
      <c r="O2737" s="1" t="str">
        <f t="shared" ca="1" si="21"/>
        <v>Please solve the LeetCode problem '2949. Count Beautiful Substrings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38" spans="1:15" x14ac:dyDescent="0.25">
      <c r="A2738" s="1">
        <v>2951</v>
      </c>
      <c r="B2738" s="2" t="str">
        <f>HYPERLINK("https://leetcode.com/problems/find-the-peaks/", "Find the Peaks")</f>
        <v>Find the Peaks</v>
      </c>
      <c r="C2738" s="1">
        <v>213</v>
      </c>
      <c r="D2738" s="1">
        <v>18</v>
      </c>
      <c r="E2738" s="3">
        <f t="shared" si="20"/>
        <v>0.92207792207792205</v>
      </c>
      <c r="F2738" s="1" t="s">
        <v>654</v>
      </c>
      <c r="G2738" s="1" t="s">
        <v>20</v>
      </c>
      <c r="H2738" s="1">
        <v>75863</v>
      </c>
      <c r="I2738" s="1">
        <v>101291</v>
      </c>
      <c r="J2738" s="7">
        <v>0.749</v>
      </c>
      <c r="K2738" s="1" t="s">
        <v>21</v>
      </c>
      <c r="L2738" s="1" t="s">
        <v>29</v>
      </c>
      <c r="M2738" s="1" t="s">
        <v>29</v>
      </c>
      <c r="N2738" s="1" t="s">
        <v>22</v>
      </c>
      <c r="O2738" s="1" t="str">
        <f t="shared" ca="1" si="21"/>
        <v>Please solve the LeetCode problem '2951. Find the Peaks'.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39" spans="1:15" x14ac:dyDescent="0.25">
      <c r="A2739" s="1">
        <v>2766</v>
      </c>
      <c r="B2739" s="2" t="str">
        <f>HYPERLINK("https://leetcode.com/problems/relocate-marbles/", "Relocate Marbles")</f>
        <v>Relocate Marbles</v>
      </c>
      <c r="C2739" s="1">
        <v>212</v>
      </c>
      <c r="D2739" s="1">
        <v>18</v>
      </c>
      <c r="E2739" s="3">
        <f t="shared" si="20"/>
        <v>0.92173913043478262</v>
      </c>
      <c r="F2739" s="1" t="s">
        <v>700</v>
      </c>
      <c r="G2739" s="1" t="s">
        <v>24</v>
      </c>
      <c r="H2739" s="1">
        <v>24800</v>
      </c>
      <c r="I2739" s="1">
        <v>48569</v>
      </c>
      <c r="J2739" s="7">
        <v>0.51100000000000001</v>
      </c>
      <c r="K2739" s="1" t="s">
        <v>21</v>
      </c>
      <c r="L2739" s="1" t="s">
        <v>29</v>
      </c>
      <c r="M2739" s="1" t="s">
        <v>29</v>
      </c>
      <c r="N2739" s="1" t="s">
        <v>22</v>
      </c>
      <c r="O2739" s="1" t="str">
        <f t="shared" ca="1" si="21"/>
        <v>Please solve the LeetCode problem '2766. Relocate Marbles'.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40" spans="1:15" x14ac:dyDescent="0.25">
      <c r="A2740" s="1">
        <v>2945</v>
      </c>
      <c r="B2740" s="2" t="str">
        <f>HYPERLINK("https://leetcode.com/problems/find-maximum-non-decreasing-array-length/", "Find Maximum Non-decreasing Array Length")</f>
        <v>Find Maximum Non-decreasing Array Length</v>
      </c>
      <c r="C2740" s="1">
        <v>212</v>
      </c>
      <c r="D2740" s="1">
        <v>25</v>
      </c>
      <c r="E2740" s="3">
        <f t="shared" si="20"/>
        <v>0.89451476793248941</v>
      </c>
      <c r="F2740" s="1" t="s">
        <v>1083</v>
      </c>
      <c r="G2740" s="1" t="s">
        <v>28</v>
      </c>
      <c r="H2740" s="1">
        <v>6315</v>
      </c>
      <c r="I2740" s="1">
        <v>34631</v>
      </c>
      <c r="J2740" s="7">
        <v>0.182</v>
      </c>
      <c r="K2740" s="1" t="s">
        <v>21</v>
      </c>
      <c r="L2740" s="1" t="s">
        <v>29</v>
      </c>
      <c r="M2740" s="1" t="s">
        <v>29</v>
      </c>
      <c r="N2740" s="1" t="s">
        <v>22</v>
      </c>
      <c r="O2740" s="1" t="str">
        <f t="shared" ca="1" si="21"/>
        <v>Please solve the LeetCode problem '2945. Find Maximum Non-decreasing Array Length'.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41" spans="1:15" x14ac:dyDescent="0.25">
      <c r="A2741" s="1">
        <v>2725</v>
      </c>
      <c r="B2741" s="2" t="str">
        <f>HYPERLINK("https://leetcode.com/problems/interval-cancellation/", "Interval Cancellation")</f>
        <v>Interval Cancellation</v>
      </c>
      <c r="C2741" s="1">
        <v>211</v>
      </c>
      <c r="D2741" s="1">
        <v>96</v>
      </c>
      <c r="E2741" s="3">
        <f t="shared" si="20"/>
        <v>0.68729641693811072</v>
      </c>
      <c r="G2741" s="1" t="s">
        <v>20</v>
      </c>
      <c r="H2741" s="1">
        <v>79022</v>
      </c>
      <c r="I2741" s="1">
        <v>93485</v>
      </c>
      <c r="J2741" s="7">
        <v>0.84499999999999997</v>
      </c>
      <c r="K2741" s="1" t="s">
        <v>21</v>
      </c>
      <c r="L2741" s="1" t="s">
        <v>21</v>
      </c>
      <c r="M2741" s="1" t="s">
        <v>29</v>
      </c>
      <c r="N2741" s="1" t="s">
        <v>555</v>
      </c>
      <c r="O2741" s="1" t="str">
        <f t="shared" ca="1" si="21"/>
        <v>Please solve the LeetCode problem '2725. Interval Cancellation'.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42" spans="1:15" x14ac:dyDescent="0.25">
      <c r="A2742" s="1">
        <v>3180</v>
      </c>
      <c r="B2742" s="2" t="str">
        <f>HYPERLINK("https://leetcode.com/problems/maximum-total-reward-using-operations-i/", "Maximum Total Reward Using Operations I")</f>
        <v>Maximum Total Reward Using Operations I</v>
      </c>
      <c r="C2742" s="1">
        <v>210</v>
      </c>
      <c r="D2742" s="1">
        <v>17</v>
      </c>
      <c r="E2742" s="3">
        <f t="shared" si="20"/>
        <v>0.92511013215859028</v>
      </c>
      <c r="F2742" s="1" t="s">
        <v>30</v>
      </c>
      <c r="G2742" s="1" t="s">
        <v>24</v>
      </c>
      <c r="H2742" s="1">
        <v>30197</v>
      </c>
      <c r="I2742" s="1">
        <v>98843</v>
      </c>
      <c r="J2742" s="7">
        <v>0.30599999999999999</v>
      </c>
      <c r="K2742" s="1" t="s">
        <v>21</v>
      </c>
      <c r="L2742" s="1" t="s">
        <v>29</v>
      </c>
      <c r="M2742" s="1" t="s">
        <v>29</v>
      </c>
      <c r="N2742" s="1" t="s">
        <v>22</v>
      </c>
      <c r="O2742" s="1" t="str">
        <f t="shared" ca="1" si="21"/>
        <v>Please solve the LeetCode problem '3180. Maximum Total Reward Using Operations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43" spans="1:15" x14ac:dyDescent="0.25">
      <c r="A2743" s="1">
        <v>1811</v>
      </c>
      <c r="B2743" s="2" t="str">
        <f>HYPERLINK("https://leetcode.com/problems/find-interview-candidates/", "Find Interview Candidates")</f>
        <v>Find Interview Candidates</v>
      </c>
      <c r="C2743" s="1">
        <v>209</v>
      </c>
      <c r="D2743" s="1">
        <v>29</v>
      </c>
      <c r="E2743" s="3">
        <f t="shared" si="20"/>
        <v>0.87815126050420167</v>
      </c>
      <c r="F2743" s="1" t="s">
        <v>297</v>
      </c>
      <c r="G2743" s="1" t="s">
        <v>24</v>
      </c>
      <c r="H2743" s="1">
        <v>19084</v>
      </c>
      <c r="I2743" s="1">
        <v>31555</v>
      </c>
      <c r="J2743" s="7">
        <v>0.60499999999999998</v>
      </c>
      <c r="K2743" s="1" t="s">
        <v>29</v>
      </c>
      <c r="L2743" s="1" t="s">
        <v>29</v>
      </c>
      <c r="M2743" s="1" t="s">
        <v>29</v>
      </c>
      <c r="N2743" s="1" t="s">
        <v>297</v>
      </c>
      <c r="O2743" s="1" t="str">
        <f t="shared" ca="1" si="21"/>
        <v>Please solve the LeetCode problem '1811. Find Interview Candidates'.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44" spans="1:15" x14ac:dyDescent="0.25">
      <c r="A2744" s="1">
        <v>2633</v>
      </c>
      <c r="B2744" s="2" t="str">
        <f>HYPERLINK("https://leetcode.com/problems/convert-object-to-json-string/", "Convert Object to JSON String")</f>
        <v>Convert Object to JSON String</v>
      </c>
      <c r="C2744" s="1">
        <v>209</v>
      </c>
      <c r="D2744" s="1">
        <v>12</v>
      </c>
      <c r="E2744" s="3">
        <f t="shared" si="20"/>
        <v>0.94570135746606332</v>
      </c>
      <c r="G2744" s="1" t="s">
        <v>24</v>
      </c>
      <c r="H2744" s="1">
        <v>13738</v>
      </c>
      <c r="I2744" s="1">
        <v>17637</v>
      </c>
      <c r="J2744" s="7">
        <v>0.77900000000000003</v>
      </c>
      <c r="K2744" s="1" t="s">
        <v>29</v>
      </c>
      <c r="L2744" s="1" t="s">
        <v>21</v>
      </c>
      <c r="M2744" s="1" t="s">
        <v>29</v>
      </c>
      <c r="N2744" s="1" t="s">
        <v>555</v>
      </c>
      <c r="O2744" s="1" t="str">
        <f t="shared" ca="1" si="21"/>
        <v>Please solve the LeetCode problem '2633. Convert Object to JSON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45" spans="1:15" x14ac:dyDescent="0.25">
      <c r="A2745" s="1">
        <v>351</v>
      </c>
      <c r="B2745" s="2" t="str">
        <f>HYPERLINK("https://leetcode.com/problems/android-unlock-patterns/", "Android Unlock Patterns")</f>
        <v>Android Unlock Patterns</v>
      </c>
      <c r="C2745" s="1">
        <v>208</v>
      </c>
      <c r="D2745" s="1">
        <v>240</v>
      </c>
      <c r="E2745" s="3">
        <f t="shared" si="20"/>
        <v>0.4642857142857143</v>
      </c>
      <c r="F2745" s="1" t="s">
        <v>1391</v>
      </c>
      <c r="G2745" s="1" t="s">
        <v>24</v>
      </c>
      <c r="H2745" s="1">
        <v>83109</v>
      </c>
      <c r="I2745" s="1">
        <v>154878</v>
      </c>
      <c r="J2745" s="7">
        <v>0.53700000000000003</v>
      </c>
      <c r="K2745" s="1" t="s">
        <v>29</v>
      </c>
      <c r="L2745" s="1" t="s">
        <v>21</v>
      </c>
      <c r="M2745" s="1" t="s">
        <v>29</v>
      </c>
      <c r="N2745" s="1" t="s">
        <v>22</v>
      </c>
      <c r="O2745" s="1" t="str">
        <f t="shared" ca="1" si="21"/>
        <v>Please solve the LeetCode problem '351. Android Unlock Patterns'.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46" spans="1:15" x14ac:dyDescent="0.25">
      <c r="A2746" s="1">
        <v>1076</v>
      </c>
      <c r="B2746" s="2" t="str">
        <f>HYPERLINK("https://leetcode.com/problems/project-employees-ii/", "Project Employees II")</f>
        <v>Project Employees II</v>
      </c>
      <c r="C2746" s="1">
        <v>207</v>
      </c>
      <c r="D2746" s="1">
        <v>63</v>
      </c>
      <c r="E2746" s="3">
        <f t="shared" si="20"/>
        <v>0.76666666666666672</v>
      </c>
      <c r="F2746" s="1" t="s">
        <v>297</v>
      </c>
      <c r="G2746" s="1" t="s">
        <v>20</v>
      </c>
      <c r="H2746" s="1">
        <v>65854</v>
      </c>
      <c r="I2746" s="1">
        <v>130762</v>
      </c>
      <c r="J2746" s="7">
        <v>0.504</v>
      </c>
      <c r="K2746" s="1" t="s">
        <v>29</v>
      </c>
      <c r="L2746" s="1" t="s">
        <v>29</v>
      </c>
      <c r="M2746" s="1" t="s">
        <v>29</v>
      </c>
      <c r="N2746" s="1" t="s">
        <v>297</v>
      </c>
      <c r="O2746" s="1" t="str">
        <f t="shared" ca="1" si="21"/>
        <v>Please solve the LeetCode problem '1076. Project Employees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47" spans="1:15" x14ac:dyDescent="0.25">
      <c r="A2747" s="1">
        <v>1698</v>
      </c>
      <c r="B2747" s="2" t="str">
        <f>HYPERLINK("https://leetcode.com/problems/number-of-distinct-substrings-in-a-string/", "Number of Distinct Substrings in a String")</f>
        <v>Number of Distinct Substrings in a String</v>
      </c>
      <c r="C2747" s="1">
        <v>207</v>
      </c>
      <c r="D2747" s="1">
        <v>44</v>
      </c>
      <c r="E2747" s="3">
        <f t="shared" si="20"/>
        <v>0.82470119521912355</v>
      </c>
      <c r="F2747" s="1" t="s">
        <v>1092</v>
      </c>
      <c r="G2747" s="1" t="s">
        <v>24</v>
      </c>
      <c r="H2747" s="1">
        <v>14071</v>
      </c>
      <c r="I2747" s="1">
        <v>21740</v>
      </c>
      <c r="J2747" s="7">
        <v>0.64700000000000002</v>
      </c>
      <c r="K2747" s="1" t="s">
        <v>29</v>
      </c>
      <c r="L2747" s="1" t="s">
        <v>29</v>
      </c>
      <c r="M2747" s="1" t="s">
        <v>29</v>
      </c>
      <c r="N2747" s="1" t="s">
        <v>22</v>
      </c>
      <c r="O2747" s="1" t="str">
        <f t="shared" ca="1" si="21"/>
        <v>Please solve the LeetCode problem '1698. Number of Distinct Substrings in a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48" spans="1:15" x14ac:dyDescent="0.25">
      <c r="A2748" s="1">
        <v>1778</v>
      </c>
      <c r="B2748" s="2" t="str">
        <f>HYPERLINK("https://leetcode.com/problems/shortest-path-in-a-hidden-grid/", "Shortest Path in a Hidden Grid")</f>
        <v>Shortest Path in a Hidden Grid</v>
      </c>
      <c r="C2748" s="1">
        <v>206</v>
      </c>
      <c r="D2748" s="1">
        <v>88</v>
      </c>
      <c r="E2748" s="3">
        <f t="shared" si="20"/>
        <v>0.70068027210884354</v>
      </c>
      <c r="F2748" s="1" t="s">
        <v>1089</v>
      </c>
      <c r="G2748" s="1" t="s">
        <v>24</v>
      </c>
      <c r="H2748" s="1">
        <v>17175</v>
      </c>
      <c r="I2748" s="1">
        <v>38692</v>
      </c>
      <c r="J2748" s="7">
        <v>0.44400000000000001</v>
      </c>
      <c r="K2748" s="1" t="s">
        <v>29</v>
      </c>
      <c r="L2748" s="1" t="s">
        <v>29</v>
      </c>
      <c r="M2748" s="1" t="s">
        <v>29</v>
      </c>
      <c r="N2748" s="1" t="s">
        <v>22</v>
      </c>
      <c r="O2748" s="1" t="str">
        <f t="shared" ca="1" si="21"/>
        <v>Please solve the LeetCode problem '1778. Shortest Path in a Hidden Grid'.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49" spans="1:15" x14ac:dyDescent="0.25">
      <c r="A2749" s="1">
        <v>2573</v>
      </c>
      <c r="B2749" s="2" t="str">
        <f>HYPERLINK("https://leetcode.com/problems/find-the-string-with-lcp/", "Find the String with LCP")</f>
        <v>Find the String with LCP</v>
      </c>
      <c r="C2749" s="1">
        <v>206</v>
      </c>
      <c r="D2749" s="1">
        <v>19</v>
      </c>
      <c r="E2749" s="3">
        <f t="shared" si="20"/>
        <v>0.91555555555555557</v>
      </c>
      <c r="F2749" s="1" t="s">
        <v>1093</v>
      </c>
      <c r="G2749" s="1" t="s">
        <v>28</v>
      </c>
      <c r="H2749" s="1">
        <v>6966</v>
      </c>
      <c r="I2749" s="1">
        <v>21532</v>
      </c>
      <c r="J2749" s="7">
        <v>0.32400000000000001</v>
      </c>
      <c r="K2749" s="1" t="s">
        <v>21</v>
      </c>
      <c r="L2749" s="1" t="s">
        <v>29</v>
      </c>
      <c r="M2749" s="1" t="s">
        <v>29</v>
      </c>
      <c r="N2749" s="1" t="s">
        <v>22</v>
      </c>
      <c r="O2749" s="1" t="str">
        <f t="shared" ca="1" si="21"/>
        <v>Please solve the LeetCode problem '2573. Find the String with LCP'.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50" spans="1:15" x14ac:dyDescent="0.25">
      <c r="A2750" s="1">
        <v>2935</v>
      </c>
      <c r="B2750" s="2" t="str">
        <f>HYPERLINK("https://leetcode.com/problems/maximum-strong-pair-xor-ii/", "Maximum Strong Pair XOR II")</f>
        <v>Maximum Strong Pair XOR II</v>
      </c>
      <c r="C2750" s="1">
        <v>206</v>
      </c>
      <c r="D2750" s="1">
        <v>2</v>
      </c>
      <c r="E2750" s="3">
        <f t="shared" si="20"/>
        <v>0.99038461538461542</v>
      </c>
      <c r="F2750" s="1" t="s">
        <v>1087</v>
      </c>
      <c r="G2750" s="1" t="s">
        <v>28</v>
      </c>
      <c r="H2750" s="1">
        <v>8367</v>
      </c>
      <c r="I2750" s="1">
        <v>26235</v>
      </c>
      <c r="J2750" s="7">
        <v>0.31900000000000001</v>
      </c>
      <c r="K2750" s="1" t="s">
        <v>21</v>
      </c>
      <c r="L2750" s="1" t="s">
        <v>29</v>
      </c>
      <c r="M2750" s="1" t="s">
        <v>29</v>
      </c>
      <c r="N2750" s="1" t="s">
        <v>22</v>
      </c>
      <c r="O2750" s="1" t="str">
        <f t="shared" ca="1" si="21"/>
        <v>Please solve the LeetCode problem '2935. Maximum Strong Pair XOR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51" spans="1:15" x14ac:dyDescent="0.25">
      <c r="A2751" s="1">
        <v>3008</v>
      </c>
      <c r="B2751" s="2" t="str">
        <f>HYPERLINK("https://leetcode.com/problems/find-beautiful-indices-in-the-given-array-ii/", "Find Beautiful Indices in the Given Array II")</f>
        <v>Find Beautiful Indices in the Given Array II</v>
      </c>
      <c r="C2751" s="1">
        <v>206</v>
      </c>
      <c r="D2751" s="1">
        <v>15</v>
      </c>
      <c r="E2751" s="3">
        <f t="shared" si="20"/>
        <v>0.9321266968325792</v>
      </c>
      <c r="F2751" s="1" t="s">
        <v>1090</v>
      </c>
      <c r="G2751" s="1" t="s">
        <v>28</v>
      </c>
      <c r="H2751" s="1">
        <v>16829</v>
      </c>
      <c r="I2751" s="1">
        <v>61280</v>
      </c>
      <c r="J2751" s="7">
        <v>0.27500000000000002</v>
      </c>
      <c r="K2751" s="1" t="s">
        <v>21</v>
      </c>
      <c r="L2751" s="1" t="s">
        <v>29</v>
      </c>
      <c r="M2751" s="1" t="s">
        <v>29</v>
      </c>
      <c r="N2751" s="1" t="s">
        <v>22</v>
      </c>
      <c r="O2751" s="1" t="str">
        <f t="shared" ca="1" si="21"/>
        <v>Please solve the LeetCode problem '3008. Find Beautiful Indices in the Given Array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52" spans="1:15" x14ac:dyDescent="0.25">
      <c r="A2752" s="1">
        <v>3015</v>
      </c>
      <c r="B2752" s="2" t="str">
        <f>HYPERLINK("https://leetcode.com/problems/count-the-number-of-houses-at-a-certain-distance-i/", "Count the Number of Houses at a Certain Distance I")</f>
        <v>Count the Number of Houses at a Certain Distance I</v>
      </c>
      <c r="C2752" s="1">
        <v>206</v>
      </c>
      <c r="D2752" s="1">
        <v>44</v>
      </c>
      <c r="E2752" s="3">
        <f t="shared" si="20"/>
        <v>0.82399999999999995</v>
      </c>
      <c r="F2752" s="1" t="s">
        <v>1088</v>
      </c>
      <c r="G2752" s="1" t="s">
        <v>24</v>
      </c>
      <c r="H2752" s="1">
        <v>26228</v>
      </c>
      <c r="I2752" s="1">
        <v>46016</v>
      </c>
      <c r="J2752" s="7">
        <v>0.56999999999999995</v>
      </c>
      <c r="K2752" s="1" t="s">
        <v>21</v>
      </c>
      <c r="L2752" s="1" t="s">
        <v>29</v>
      </c>
      <c r="M2752" s="1" t="s">
        <v>29</v>
      </c>
      <c r="N2752" s="1" t="s">
        <v>22</v>
      </c>
      <c r="O2752" s="1" t="str">
        <f t="shared" ca="1" si="21"/>
        <v>Please solve the LeetCode problem '3015. Count the Number of Houses at a Certain Distance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53" spans="1:15" x14ac:dyDescent="0.25">
      <c r="A2753" s="1">
        <v>3244</v>
      </c>
      <c r="B2753" s="2" t="str">
        <f>HYPERLINK("https://leetcode.com/problems/shortest-distance-after-road-addition-queries-ii/", "Shortest Distance After Road Addition Queries II")</f>
        <v>Shortest Distance After Road Addition Queries II</v>
      </c>
      <c r="C2753" s="1">
        <v>206</v>
      </c>
      <c r="D2753" s="1">
        <v>6</v>
      </c>
      <c r="E2753" s="3">
        <f t="shared" si="20"/>
        <v>0.97169811320754718</v>
      </c>
      <c r="F2753" s="1" t="s">
        <v>1091</v>
      </c>
      <c r="G2753" s="1" t="s">
        <v>28</v>
      </c>
      <c r="H2753" s="1">
        <v>15161</v>
      </c>
      <c r="I2753" s="1">
        <v>57485</v>
      </c>
      <c r="J2753" s="7">
        <v>0.26400000000000001</v>
      </c>
      <c r="K2753" s="1" t="s">
        <v>21</v>
      </c>
      <c r="L2753" s="1" t="s">
        <v>29</v>
      </c>
      <c r="M2753" s="1" t="s">
        <v>29</v>
      </c>
      <c r="N2753" s="1" t="s">
        <v>22</v>
      </c>
      <c r="O2753" s="1" t="str">
        <f t="shared" ca="1" si="21"/>
        <v>Please solve the LeetCode problem '3244. Shortest Distance After Road Addition Queries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54" spans="1:15" x14ac:dyDescent="0.25">
      <c r="A2754" s="1">
        <v>558</v>
      </c>
      <c r="B2754" s="2" t="str">
        <f>HYPERLINK("https://leetcode.com/problems/logical-or-of-two-binary-grids-represented-as-quad-trees/", "Logical OR of Two Binary Grids Represented as Quad-Trees")</f>
        <v>Logical OR of Two Binary Grids Represented as Quad-Trees</v>
      </c>
      <c r="C2754" s="1">
        <v>204</v>
      </c>
      <c r="D2754" s="1">
        <v>482</v>
      </c>
      <c r="E2754" s="3">
        <f t="shared" si="20"/>
        <v>0.29737609329446063</v>
      </c>
      <c r="F2754" s="1" t="s">
        <v>1094</v>
      </c>
      <c r="G2754" s="1" t="s">
        <v>24</v>
      </c>
      <c r="H2754" s="1">
        <v>18911</v>
      </c>
      <c r="I2754" s="1">
        <v>36297</v>
      </c>
      <c r="J2754" s="7">
        <v>0.52100000000000002</v>
      </c>
      <c r="K2754" s="1" t="s">
        <v>21</v>
      </c>
      <c r="L2754" s="1" t="s">
        <v>29</v>
      </c>
      <c r="M2754" s="1" t="s">
        <v>29</v>
      </c>
      <c r="N2754" s="1" t="s">
        <v>22</v>
      </c>
      <c r="O2754" s="1" t="str">
        <f t="shared" ca="1" si="21"/>
        <v>Please solve the LeetCode problem '558. Logical OR of Two Binary Grids Represented as Quad-Trees'.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55" spans="1:15" x14ac:dyDescent="0.25">
      <c r="A2755" s="1">
        <v>1858</v>
      </c>
      <c r="B2755" s="2" t="str">
        <f>HYPERLINK("https://leetcode.com/problems/longest-word-with-all-prefixes/", "Longest Word With All Prefixes")</f>
        <v>Longest Word With All Prefixes</v>
      </c>
      <c r="C2755" s="1">
        <v>204</v>
      </c>
      <c r="D2755" s="1">
        <v>7</v>
      </c>
      <c r="E2755" s="3">
        <f t="shared" si="20"/>
        <v>0.96682464454976302</v>
      </c>
      <c r="F2755" s="1" t="s">
        <v>553</v>
      </c>
      <c r="G2755" s="1" t="s">
        <v>24</v>
      </c>
      <c r="H2755" s="1">
        <v>14249</v>
      </c>
      <c r="I2755" s="1">
        <v>19807</v>
      </c>
      <c r="J2755" s="7">
        <v>0.71899999999999997</v>
      </c>
      <c r="K2755" s="1" t="s">
        <v>29</v>
      </c>
      <c r="L2755" s="1" t="s">
        <v>21</v>
      </c>
      <c r="M2755" s="1" t="s">
        <v>29</v>
      </c>
      <c r="N2755" s="1" t="s">
        <v>22</v>
      </c>
      <c r="O2755" s="1" t="str">
        <f t="shared" ca="1" si="21"/>
        <v>Please solve the LeetCode problem '1858. Longest Word With All Prefixes'.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56" spans="1:15" x14ac:dyDescent="0.25">
      <c r="A2756" s="1">
        <v>2869</v>
      </c>
      <c r="B2756" s="2" t="str">
        <f>HYPERLINK("https://leetcode.com/problems/minimum-operations-to-collect-elements/", "Minimum Operations to Collect Elements")</f>
        <v>Minimum Operations to Collect Elements</v>
      </c>
      <c r="C2756" s="1">
        <v>204</v>
      </c>
      <c r="D2756" s="1">
        <v>24</v>
      </c>
      <c r="E2756" s="3">
        <f t="shared" si="20"/>
        <v>0.89473684210526316</v>
      </c>
      <c r="F2756" s="1" t="s">
        <v>667</v>
      </c>
      <c r="G2756" s="1" t="s">
        <v>20</v>
      </c>
      <c r="H2756" s="1">
        <v>48466</v>
      </c>
      <c r="I2756" s="1">
        <v>78131</v>
      </c>
      <c r="J2756" s="7">
        <v>0.62</v>
      </c>
      <c r="K2756" s="1" t="s">
        <v>21</v>
      </c>
      <c r="L2756" s="1" t="s">
        <v>29</v>
      </c>
      <c r="M2756" s="1" t="s">
        <v>29</v>
      </c>
      <c r="N2756" s="1" t="s">
        <v>22</v>
      </c>
      <c r="O2756" s="1" t="str">
        <f t="shared" ca="1" si="21"/>
        <v>Please solve the LeetCode problem '2869. Minimum Operations to Collect Elements'.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57" spans="1:15" x14ac:dyDescent="0.25">
      <c r="A2757" s="1">
        <v>1082</v>
      </c>
      <c r="B2757" s="2" t="str">
        <f>HYPERLINK("https://leetcode.com/problems/sales-analysis-i/", "Sales Analysis I")</f>
        <v>Sales Analysis I</v>
      </c>
      <c r="C2757" s="1">
        <v>203</v>
      </c>
      <c r="D2757" s="1">
        <v>81</v>
      </c>
      <c r="E2757" s="3">
        <f t="shared" si="20"/>
        <v>0.71478873239436624</v>
      </c>
      <c r="F2757" s="1" t="s">
        <v>297</v>
      </c>
      <c r="G2757" s="1" t="s">
        <v>20</v>
      </c>
      <c r="H2757" s="1">
        <v>67230</v>
      </c>
      <c r="I2757" s="1">
        <v>89947</v>
      </c>
      <c r="J2757" s="7">
        <v>0.747</v>
      </c>
      <c r="K2757" s="1" t="s">
        <v>29</v>
      </c>
      <c r="L2757" s="1" t="s">
        <v>21</v>
      </c>
      <c r="M2757" s="1" t="s">
        <v>29</v>
      </c>
      <c r="N2757" s="1" t="s">
        <v>297</v>
      </c>
      <c r="O2757" s="1" t="str">
        <f t="shared" ca="1" si="21"/>
        <v>Please solve the LeetCode problem '1082. Sales Analysis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58" spans="1:15" x14ac:dyDescent="0.25">
      <c r="A2758" s="1">
        <v>2934</v>
      </c>
      <c r="B2758" s="2" t="str">
        <f>HYPERLINK("https://leetcode.com/problems/minimum-operations-to-maximize-last-elements-in-arrays/", "Minimum Operations to Maximize Last Elements in Arrays")</f>
        <v>Minimum Operations to Maximize Last Elements in Arrays</v>
      </c>
      <c r="C2758" s="1">
        <v>203</v>
      </c>
      <c r="D2758" s="1">
        <v>16</v>
      </c>
      <c r="E2758" s="3">
        <f t="shared" si="20"/>
        <v>0.9269406392694064</v>
      </c>
      <c r="F2758" s="1" t="s">
        <v>654</v>
      </c>
      <c r="G2758" s="1" t="s">
        <v>24</v>
      </c>
      <c r="H2758" s="1">
        <v>14655</v>
      </c>
      <c r="I2758" s="1">
        <v>33505</v>
      </c>
      <c r="J2758" s="7">
        <v>0.437</v>
      </c>
      <c r="K2758" s="1" t="s">
        <v>21</v>
      </c>
      <c r="L2758" s="1" t="s">
        <v>29</v>
      </c>
      <c r="M2758" s="1" t="s">
        <v>29</v>
      </c>
      <c r="N2758" s="1" t="s">
        <v>22</v>
      </c>
      <c r="O2758" s="1" t="str">
        <f t="shared" ca="1" si="21"/>
        <v>Please solve the LeetCode problem '2934. Minimum Operations to Maximize Last Elements in Arrays'.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59" spans="1:15" x14ac:dyDescent="0.25">
      <c r="A2759" s="1">
        <v>3171</v>
      </c>
      <c r="B2759" s="2" t="str">
        <f>HYPERLINK("https://leetcode.com/problems/find-subarray-with-bitwise-or-closest-to-k/", "Find Subarray With Bitwise OR Closest to K")</f>
        <v>Find Subarray With Bitwise OR Closest to K</v>
      </c>
      <c r="C2759" s="1">
        <v>203</v>
      </c>
      <c r="D2759" s="1">
        <v>7</v>
      </c>
      <c r="E2759" s="3">
        <f t="shared" si="20"/>
        <v>0.96666666666666667</v>
      </c>
      <c r="F2759" s="1" t="s">
        <v>979</v>
      </c>
      <c r="G2759" s="1" t="s">
        <v>28</v>
      </c>
      <c r="H2759" s="1">
        <v>15141</v>
      </c>
      <c r="I2759" s="1">
        <v>49369</v>
      </c>
      <c r="J2759" s="7">
        <v>0.307</v>
      </c>
      <c r="K2759" s="1" t="s">
        <v>21</v>
      </c>
      <c r="L2759" s="1" t="s">
        <v>29</v>
      </c>
      <c r="M2759" s="1" t="s">
        <v>29</v>
      </c>
      <c r="N2759" s="1" t="s">
        <v>22</v>
      </c>
      <c r="O2759" s="1" t="str">
        <f t="shared" ca="1" si="21"/>
        <v>Please solve the LeetCode problem '3171. Find Subarray With Bitwise OR Closest to K'.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60" spans="1:15" x14ac:dyDescent="0.25">
      <c r="A2760" s="1">
        <v>2904</v>
      </c>
      <c r="B2760" s="2" t="str">
        <f>HYPERLINK("https://leetcode.com/problems/shortest-and-lexicographically-smallest-beautiful-string/", "Shortest and Lexicographically Smallest Beautiful String")</f>
        <v>Shortest and Lexicographically Smallest Beautiful String</v>
      </c>
      <c r="C2760" s="1">
        <v>202</v>
      </c>
      <c r="D2760" s="1">
        <v>11</v>
      </c>
      <c r="E2760" s="3">
        <f t="shared" si="20"/>
        <v>0.94835680751173712</v>
      </c>
      <c r="F2760" s="1" t="s">
        <v>314</v>
      </c>
      <c r="G2760" s="1" t="s">
        <v>24</v>
      </c>
      <c r="H2760" s="1">
        <v>32614</v>
      </c>
      <c r="I2760" s="1">
        <v>80181</v>
      </c>
      <c r="J2760" s="7">
        <v>0.40699999999999997</v>
      </c>
      <c r="K2760" s="1" t="s">
        <v>21</v>
      </c>
      <c r="L2760" s="1" t="s">
        <v>29</v>
      </c>
      <c r="M2760" s="1" t="s">
        <v>29</v>
      </c>
      <c r="N2760" s="1" t="s">
        <v>22</v>
      </c>
      <c r="O2760" s="1" t="str">
        <f t="shared" ca="1" si="21"/>
        <v>Please solve the LeetCode problem '2904. Shortest and Lexicographically Smallest Beautiful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61" spans="1:15" x14ac:dyDescent="0.25">
      <c r="A2761" s="1">
        <v>1747</v>
      </c>
      <c r="B2761" s="2" t="str">
        <f>HYPERLINK("https://leetcode.com/problems/leetflex-banned-accounts/", "Leetflex Banned Accounts")</f>
        <v>Leetflex Banned Accounts</v>
      </c>
      <c r="C2761" s="1">
        <v>201</v>
      </c>
      <c r="D2761" s="1">
        <v>18</v>
      </c>
      <c r="E2761" s="3">
        <f t="shared" si="20"/>
        <v>0.9178082191780822</v>
      </c>
      <c r="F2761" s="1" t="s">
        <v>297</v>
      </c>
      <c r="G2761" s="1" t="s">
        <v>24</v>
      </c>
      <c r="H2761" s="1">
        <v>29951</v>
      </c>
      <c r="I2761" s="1">
        <v>48399</v>
      </c>
      <c r="J2761" s="7">
        <v>0.61899999999999999</v>
      </c>
      <c r="K2761" s="1" t="s">
        <v>29</v>
      </c>
      <c r="L2761" s="1" t="s">
        <v>21</v>
      </c>
      <c r="M2761" s="1" t="s">
        <v>29</v>
      </c>
      <c r="N2761" s="1" t="s">
        <v>297</v>
      </c>
      <c r="O2761" s="1" t="str">
        <f t="shared" ca="1" si="21"/>
        <v>Please solve the LeetCode problem '1747. Leetflex Banned Accounts'.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62" spans="1:15" x14ac:dyDescent="0.25">
      <c r="A2762" s="1">
        <v>3081</v>
      </c>
      <c r="B2762" s="2" t="str">
        <f>HYPERLINK("https://leetcode.com/problems/replace-question-marks-in-string-to-minimize-its-value/", "Replace Question Marks in String to Minimize Its Value")</f>
        <v>Replace Question Marks in String to Minimize Its Value</v>
      </c>
      <c r="C2762" s="1">
        <v>201</v>
      </c>
      <c r="D2762" s="1">
        <v>32</v>
      </c>
      <c r="E2762" s="3">
        <f t="shared" si="20"/>
        <v>0.86266094420600858</v>
      </c>
      <c r="F2762" s="1" t="s">
        <v>148</v>
      </c>
      <c r="G2762" s="1" t="s">
        <v>24</v>
      </c>
      <c r="H2762" s="1">
        <v>17381</v>
      </c>
      <c r="I2762" s="1">
        <v>60301</v>
      </c>
      <c r="J2762" s="7">
        <v>0.28799999999999998</v>
      </c>
      <c r="K2762" s="1" t="s">
        <v>21</v>
      </c>
      <c r="L2762" s="1" t="s">
        <v>29</v>
      </c>
      <c r="M2762" s="1" t="s">
        <v>29</v>
      </c>
      <c r="N2762" s="1" t="s">
        <v>22</v>
      </c>
      <c r="O2762" s="1" t="str">
        <f t="shared" ca="1" si="21"/>
        <v>Please solve the LeetCode problem '3081. Replace Question Marks in String to Minimize Its Value'.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63" spans="1:15" x14ac:dyDescent="0.25">
      <c r="A2763" s="1">
        <v>3218</v>
      </c>
      <c r="B2763" s="2" t="str">
        <f>HYPERLINK("https://leetcode.com/problems/minimum-cost-for-cutting-cake-i/", "Minimum Cost for Cutting Cake I")</f>
        <v>Minimum Cost for Cutting Cake I</v>
      </c>
      <c r="C2763" s="1">
        <v>201</v>
      </c>
      <c r="D2763" s="1">
        <v>8</v>
      </c>
      <c r="E2763" s="3">
        <f t="shared" si="20"/>
        <v>0.96172248803827753</v>
      </c>
      <c r="F2763" s="1" t="s">
        <v>1095</v>
      </c>
      <c r="G2763" s="1" t="s">
        <v>24</v>
      </c>
      <c r="H2763" s="1">
        <v>30334</v>
      </c>
      <c r="I2763" s="1">
        <v>52029</v>
      </c>
      <c r="J2763" s="7">
        <v>0.58299999999999996</v>
      </c>
      <c r="K2763" s="1" t="s">
        <v>21</v>
      </c>
      <c r="L2763" s="1" t="s">
        <v>29</v>
      </c>
      <c r="M2763" s="1" t="s">
        <v>29</v>
      </c>
      <c r="N2763" s="1" t="s">
        <v>22</v>
      </c>
      <c r="O2763" s="1" t="str">
        <f t="shared" ca="1" si="21"/>
        <v>Please solve the LeetCode problem '3218. Minimum Cost for Cutting Cake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64" spans="1:15" x14ac:dyDescent="0.25">
      <c r="A2764" s="1">
        <v>3006</v>
      </c>
      <c r="B2764" s="2" t="str">
        <f>HYPERLINK("https://leetcode.com/problems/find-beautiful-indices-in-the-given-array-i/", "Find Beautiful Indices in the Given Array I")</f>
        <v>Find Beautiful Indices in the Given Array I</v>
      </c>
      <c r="C2764" s="1">
        <v>200</v>
      </c>
      <c r="D2764" s="1">
        <v>47</v>
      </c>
      <c r="E2764" s="3">
        <f t="shared" si="20"/>
        <v>0.80971659919028338</v>
      </c>
      <c r="F2764" s="1" t="s">
        <v>1090</v>
      </c>
      <c r="G2764" s="1" t="s">
        <v>24</v>
      </c>
      <c r="H2764" s="1">
        <v>45357</v>
      </c>
      <c r="I2764" s="1">
        <v>112568</v>
      </c>
      <c r="J2764" s="7">
        <v>0.40300000000000002</v>
      </c>
      <c r="K2764" s="1" t="s">
        <v>21</v>
      </c>
      <c r="L2764" s="1" t="s">
        <v>29</v>
      </c>
      <c r="M2764" s="1" t="s">
        <v>29</v>
      </c>
      <c r="N2764" s="1" t="s">
        <v>22</v>
      </c>
      <c r="O2764" s="1" t="str">
        <f t="shared" ca="1" si="21"/>
        <v>Please solve the LeetCode problem '3006. Find Beautiful Indices in the Given Array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65" spans="1:15" x14ac:dyDescent="0.25">
      <c r="A2765" s="1">
        <v>3048</v>
      </c>
      <c r="B2765" s="2" t="str">
        <f>HYPERLINK("https://leetcode.com/problems/earliest-second-to-mark-indices-i/", "Earliest Second to Mark Indices I")</f>
        <v>Earliest Second to Mark Indices I</v>
      </c>
      <c r="C2765" s="1">
        <v>200</v>
      </c>
      <c r="D2765" s="1">
        <v>99</v>
      </c>
      <c r="E2765" s="3">
        <f t="shared" si="20"/>
        <v>0.66889632107023411</v>
      </c>
      <c r="F2765" s="1" t="s">
        <v>35</v>
      </c>
      <c r="G2765" s="1" t="s">
        <v>24</v>
      </c>
      <c r="H2765" s="1">
        <v>10809</v>
      </c>
      <c r="I2765" s="1">
        <v>29888</v>
      </c>
      <c r="J2765" s="7">
        <v>0.36199999999999999</v>
      </c>
      <c r="K2765" s="1" t="s">
        <v>21</v>
      </c>
      <c r="L2765" s="1" t="s">
        <v>29</v>
      </c>
      <c r="M2765" s="1" t="s">
        <v>29</v>
      </c>
      <c r="N2765" s="1" t="s">
        <v>22</v>
      </c>
      <c r="O2765" s="1" t="str">
        <f t="shared" ca="1" si="21"/>
        <v>Please solve the LeetCode problem '3048. Earliest Second to Mark Indices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66" spans="1:15" x14ac:dyDescent="0.25">
      <c r="A2766" s="1">
        <v>3099</v>
      </c>
      <c r="B2766" s="2" t="str">
        <f>HYPERLINK("https://leetcode.com/problems/harshad-number/", "Harshad Number")</f>
        <v>Harshad Number</v>
      </c>
      <c r="C2766" s="1">
        <v>200</v>
      </c>
      <c r="D2766" s="1">
        <v>12</v>
      </c>
      <c r="E2766" s="3">
        <f t="shared" si="20"/>
        <v>0.94339622641509435</v>
      </c>
      <c r="F2766" s="1" t="s">
        <v>84</v>
      </c>
      <c r="G2766" s="1" t="s">
        <v>20</v>
      </c>
      <c r="H2766" s="1">
        <v>100737</v>
      </c>
      <c r="I2766" s="1">
        <v>120786</v>
      </c>
      <c r="J2766" s="7">
        <v>0.83399999999999996</v>
      </c>
      <c r="K2766" s="1" t="s">
        <v>21</v>
      </c>
      <c r="L2766" s="1" t="s">
        <v>29</v>
      </c>
      <c r="M2766" s="1" t="s">
        <v>29</v>
      </c>
      <c r="N2766" s="1" t="s">
        <v>22</v>
      </c>
      <c r="O2766" s="1" t="str">
        <f t="shared" ca="1" si="21"/>
        <v>Please solve the LeetCode problem '3099. Harshad Number'.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67" spans="1:15" x14ac:dyDescent="0.25">
      <c r="A2767" s="1">
        <v>2973</v>
      </c>
      <c r="B2767" s="2" t="str">
        <f>HYPERLINK("https://leetcode.com/problems/find-number-of-coins-to-place-in-tree-nodes/", "Find Number of Coins to Place in Tree Nodes")</f>
        <v>Find Number of Coins to Place in Tree Nodes</v>
      </c>
      <c r="C2767" s="1">
        <v>199</v>
      </c>
      <c r="D2767" s="1">
        <v>22</v>
      </c>
      <c r="E2767" s="3">
        <f t="shared" si="20"/>
        <v>0.90045248868778283</v>
      </c>
      <c r="F2767" s="1" t="s">
        <v>1096</v>
      </c>
      <c r="G2767" s="1" t="s">
        <v>28</v>
      </c>
      <c r="H2767" s="1">
        <v>10990</v>
      </c>
      <c r="I2767" s="1">
        <v>29577</v>
      </c>
      <c r="J2767" s="7">
        <v>0.372</v>
      </c>
      <c r="K2767" s="1" t="s">
        <v>21</v>
      </c>
      <c r="L2767" s="1" t="s">
        <v>29</v>
      </c>
      <c r="M2767" s="1" t="s">
        <v>29</v>
      </c>
      <c r="N2767" s="1" t="s">
        <v>22</v>
      </c>
      <c r="O2767" s="1" t="str">
        <f t="shared" ca="1" si="21"/>
        <v>Please solve the LeetCode problem '2973. Find Number of Coins to Place in Tree Nodes'.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68" spans="1:15" x14ac:dyDescent="0.25">
      <c r="A2768" s="1">
        <v>2245</v>
      </c>
      <c r="B2768" s="2" t="str">
        <f>HYPERLINK("https://leetcode.com/problems/maximum-trailing-zeros-in-a-cornered-path/", "Maximum Trailing Zeros in a Cornered Path")</f>
        <v>Maximum Trailing Zeros in a Cornered Path</v>
      </c>
      <c r="C2768" s="1">
        <v>198</v>
      </c>
      <c r="D2768" s="1">
        <v>407</v>
      </c>
      <c r="E2768" s="3">
        <f t="shared" si="20"/>
        <v>0.32727272727272727</v>
      </c>
      <c r="F2768" s="1" t="s">
        <v>425</v>
      </c>
      <c r="G2768" s="1" t="s">
        <v>24</v>
      </c>
      <c r="H2768" s="1">
        <v>9426</v>
      </c>
      <c r="I2768" s="1">
        <v>25243</v>
      </c>
      <c r="J2768" s="7">
        <v>0.373</v>
      </c>
      <c r="K2768" s="1" t="s">
        <v>21</v>
      </c>
      <c r="L2768" s="1" t="s">
        <v>29</v>
      </c>
      <c r="M2768" s="1" t="s">
        <v>29</v>
      </c>
      <c r="N2768" s="1" t="s">
        <v>22</v>
      </c>
      <c r="O2768" s="1" t="str">
        <f t="shared" ca="1" si="21"/>
        <v>Please solve the LeetCode problem '2245. Maximum Trailing Zeros in a Cornered Path'.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69" spans="1:15" x14ac:dyDescent="0.25">
      <c r="A2769" s="1">
        <v>2957</v>
      </c>
      <c r="B2769" s="2" t="str">
        <f>HYPERLINK("https://leetcode.com/problems/remove-adjacent-almost-equal-characters/", "Remove Adjacent Almost-Equal Characters")</f>
        <v>Remove Adjacent Almost-Equal Characters</v>
      </c>
      <c r="C2769" s="1">
        <v>198</v>
      </c>
      <c r="D2769" s="1">
        <v>25</v>
      </c>
      <c r="E2769" s="3">
        <f t="shared" si="20"/>
        <v>0.88789237668161436</v>
      </c>
      <c r="F2769" s="1" t="s">
        <v>861</v>
      </c>
      <c r="G2769" s="1" t="s">
        <v>24</v>
      </c>
      <c r="H2769" s="1">
        <v>28224</v>
      </c>
      <c r="I2769" s="1">
        <v>53391</v>
      </c>
      <c r="J2769" s="7">
        <v>0.52900000000000003</v>
      </c>
      <c r="K2769" s="1" t="s">
        <v>21</v>
      </c>
      <c r="L2769" s="1" t="s">
        <v>29</v>
      </c>
      <c r="M2769" s="1" t="s">
        <v>29</v>
      </c>
      <c r="N2769" s="1" t="s">
        <v>22</v>
      </c>
      <c r="O2769" s="1" t="str">
        <f t="shared" ca="1" si="21"/>
        <v>Please solve the LeetCode problem '2957. Remove Adjacent Almost-Equal Characters'.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70" spans="1:15" x14ac:dyDescent="0.25">
      <c r="A2770" s="1">
        <v>2184</v>
      </c>
      <c r="B2770" s="2" t="str">
        <f>HYPERLINK("https://leetcode.com/problems/number-of-ways-to-build-sturdy-brick-wall/", "Number of Ways to Build Sturdy Brick Wall")</f>
        <v>Number of Ways to Build Sturdy Brick Wall</v>
      </c>
      <c r="C2770" s="1">
        <v>197</v>
      </c>
      <c r="D2770" s="1">
        <v>129</v>
      </c>
      <c r="E2770" s="3">
        <f t="shared" si="20"/>
        <v>0.60429447852760731</v>
      </c>
      <c r="F2770" s="1" t="s">
        <v>1359</v>
      </c>
      <c r="G2770" s="1" t="s">
        <v>24</v>
      </c>
      <c r="H2770" s="1">
        <v>9972</v>
      </c>
      <c r="I2770" s="1">
        <v>20164</v>
      </c>
      <c r="J2770" s="7">
        <v>0.495</v>
      </c>
      <c r="K2770" s="1" t="s">
        <v>29</v>
      </c>
      <c r="L2770" s="1" t="s">
        <v>29</v>
      </c>
      <c r="M2770" s="1" t="s">
        <v>29</v>
      </c>
      <c r="N2770" s="1" t="s">
        <v>22</v>
      </c>
      <c r="O2770" s="1" t="str">
        <f t="shared" ca="1" si="21"/>
        <v>Please solve the LeetCode problem '2184. Number of Ways to Build Sturdy Brick Wall'.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71" spans="1:15" x14ac:dyDescent="0.25">
      <c r="A2771" s="1">
        <v>2839</v>
      </c>
      <c r="B2771" s="2" t="str">
        <f>HYPERLINK("https://leetcode.com/problems/check-if-strings-can-be-made-equal-with-operations-i/", "Check if Strings Can be Made Equal With Operations I")</f>
        <v>Check if Strings Can be Made Equal With Operations I</v>
      </c>
      <c r="C2771" s="1">
        <v>197</v>
      </c>
      <c r="D2771" s="1">
        <v>30</v>
      </c>
      <c r="E2771" s="3">
        <f t="shared" si="20"/>
        <v>0.86784140969162993</v>
      </c>
      <c r="F2771" s="1" t="s">
        <v>146</v>
      </c>
      <c r="G2771" s="1" t="s">
        <v>20</v>
      </c>
      <c r="H2771" s="1">
        <v>44321</v>
      </c>
      <c r="I2771" s="1">
        <v>92992</v>
      </c>
      <c r="J2771" s="7">
        <v>0.47699999999999998</v>
      </c>
      <c r="K2771" s="1" t="s">
        <v>21</v>
      </c>
      <c r="L2771" s="1" t="s">
        <v>29</v>
      </c>
      <c r="M2771" s="1" t="s">
        <v>29</v>
      </c>
      <c r="N2771" s="1" t="s">
        <v>22</v>
      </c>
      <c r="O2771" s="1" t="str">
        <f t="shared" ca="1" si="21"/>
        <v>Please solve the LeetCode problem '2839. Check if Strings Can be Made Equal With Operations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72" spans="1:15" x14ac:dyDescent="0.25">
      <c r="A2772" s="1">
        <v>2908</v>
      </c>
      <c r="B2772" s="2" t="str">
        <f>HYPERLINK("https://leetcode.com/problems/minimum-sum-of-mountain-triplets-i/", "Minimum Sum of Mountain Triplets I")</f>
        <v>Minimum Sum of Mountain Triplets I</v>
      </c>
      <c r="C2772" s="1">
        <v>197</v>
      </c>
      <c r="D2772" s="1">
        <v>14</v>
      </c>
      <c r="E2772" s="3">
        <f t="shared" si="20"/>
        <v>0.93364928909952605</v>
      </c>
      <c r="F2772" s="1" t="s">
        <v>113</v>
      </c>
      <c r="G2772" s="1" t="s">
        <v>20</v>
      </c>
      <c r="H2772" s="1">
        <v>46591</v>
      </c>
      <c r="I2772" s="1">
        <v>69562</v>
      </c>
      <c r="J2772" s="7">
        <v>0.67</v>
      </c>
      <c r="K2772" s="1" t="s">
        <v>21</v>
      </c>
      <c r="L2772" s="1" t="s">
        <v>29</v>
      </c>
      <c r="M2772" s="1" t="s">
        <v>29</v>
      </c>
      <c r="N2772" s="1" t="s">
        <v>22</v>
      </c>
      <c r="O2772" s="1" t="str">
        <f t="shared" ca="1" si="21"/>
        <v>Please solve the LeetCode problem '2908. Minimum Sum of Mountain Triplets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73" spans="1:15" x14ac:dyDescent="0.25">
      <c r="A2773" s="1">
        <v>3138</v>
      </c>
      <c r="B2773" s="2" t="str">
        <f>HYPERLINK("https://leetcode.com/problems/minimum-length-of-anagram-concatenation/", "Minimum Length of Anagram Concatenation")</f>
        <v>Minimum Length of Anagram Concatenation</v>
      </c>
      <c r="C2773" s="1">
        <v>197</v>
      </c>
      <c r="D2773" s="1">
        <v>102</v>
      </c>
      <c r="E2773" s="3">
        <f t="shared" si="20"/>
        <v>0.65886287625418061</v>
      </c>
      <c r="F2773" s="1" t="s">
        <v>237</v>
      </c>
      <c r="G2773" s="1" t="s">
        <v>24</v>
      </c>
      <c r="H2773" s="1">
        <v>33082</v>
      </c>
      <c r="I2773" s="1">
        <v>83061</v>
      </c>
      <c r="J2773" s="7">
        <v>0.39800000000000002</v>
      </c>
      <c r="K2773" s="1" t="s">
        <v>21</v>
      </c>
      <c r="L2773" s="1" t="s">
        <v>29</v>
      </c>
      <c r="M2773" s="1" t="s">
        <v>29</v>
      </c>
      <c r="N2773" s="1" t="s">
        <v>22</v>
      </c>
      <c r="O2773" s="1" t="str">
        <f t="shared" ca="1" si="21"/>
        <v>Please solve the LeetCode problem '3138. Minimum Length of Anagram Concatenation'.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74" spans="1:15" x14ac:dyDescent="0.25">
      <c r="A2774" s="1">
        <v>2340</v>
      </c>
      <c r="B2774" s="2" t="str">
        <f>HYPERLINK("https://leetcode.com/problems/minimum-adjacent-swaps-to-make-a-valid-array/", "Minimum Adjacent Swaps to Make a Valid Array")</f>
        <v>Minimum Adjacent Swaps to Make a Valid Array</v>
      </c>
      <c r="C2774" s="1">
        <v>196</v>
      </c>
      <c r="D2774" s="1">
        <v>27</v>
      </c>
      <c r="E2774" s="3">
        <f t="shared" si="20"/>
        <v>0.87892376681614348</v>
      </c>
      <c r="F2774" s="1" t="s">
        <v>96</v>
      </c>
      <c r="G2774" s="1" t="s">
        <v>24</v>
      </c>
      <c r="H2774" s="1">
        <v>40402</v>
      </c>
      <c r="I2774" s="1">
        <v>55947</v>
      </c>
      <c r="J2774" s="7">
        <v>0.72199999999999998</v>
      </c>
      <c r="K2774" s="1" t="s">
        <v>29</v>
      </c>
      <c r="L2774" s="1" t="s">
        <v>29</v>
      </c>
      <c r="M2774" s="1" t="s">
        <v>29</v>
      </c>
      <c r="N2774" s="1" t="s">
        <v>22</v>
      </c>
      <c r="O2774" s="1" t="str">
        <f t="shared" ca="1" si="21"/>
        <v>Please solve the LeetCode problem '2340. Minimum Adjacent Swaps to Make a Valid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75" spans="1:15" x14ac:dyDescent="0.25">
      <c r="A2775" s="1">
        <v>2569</v>
      </c>
      <c r="B2775" s="2" t="str">
        <f>HYPERLINK("https://leetcode.com/problems/handling-sum-queries-after-update/", "Handling Sum Queries After Update")</f>
        <v>Handling Sum Queries After Update</v>
      </c>
      <c r="C2775" s="1">
        <v>196</v>
      </c>
      <c r="D2775" s="1">
        <v>25</v>
      </c>
      <c r="E2775" s="3">
        <f t="shared" si="20"/>
        <v>0.8868778280542986</v>
      </c>
      <c r="F2775" s="1" t="s">
        <v>1098</v>
      </c>
      <c r="G2775" s="1" t="s">
        <v>28</v>
      </c>
      <c r="H2775" s="1">
        <v>7499</v>
      </c>
      <c r="I2775" s="1">
        <v>24784</v>
      </c>
      <c r="J2775" s="7">
        <v>0.30299999999999999</v>
      </c>
      <c r="K2775" s="1" t="s">
        <v>21</v>
      </c>
      <c r="L2775" s="1" t="s">
        <v>29</v>
      </c>
      <c r="M2775" s="1" t="s">
        <v>29</v>
      </c>
      <c r="N2775" s="1" t="s">
        <v>22</v>
      </c>
      <c r="O2775" s="1" t="str">
        <f t="shared" ca="1" si="21"/>
        <v>Please solve the LeetCode problem '2569. Handling Sum Queries After Update'.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76" spans="1:15" x14ac:dyDescent="0.25">
      <c r="A2776" s="1">
        <v>2970</v>
      </c>
      <c r="B2776" s="2" t="str">
        <f>HYPERLINK("https://leetcode.com/problems/count-the-number-of-incremovable-subarrays-i/", "Count the Number of Incremovable Subarrays I")</f>
        <v>Count the Number of Incremovable Subarrays I</v>
      </c>
      <c r="C2776" s="1">
        <v>196</v>
      </c>
      <c r="D2776" s="1">
        <v>123</v>
      </c>
      <c r="E2776" s="3">
        <f t="shared" si="20"/>
        <v>0.61442006269592475</v>
      </c>
      <c r="F2776" s="1" t="s">
        <v>1100</v>
      </c>
      <c r="G2776" s="1" t="s">
        <v>20</v>
      </c>
      <c r="H2776" s="1">
        <v>29054</v>
      </c>
      <c r="I2776" s="1">
        <v>51822</v>
      </c>
      <c r="J2776" s="7">
        <v>0.56100000000000005</v>
      </c>
      <c r="K2776" s="1" t="s">
        <v>21</v>
      </c>
      <c r="L2776" s="1" t="s">
        <v>29</v>
      </c>
      <c r="M2776" s="1" t="s">
        <v>29</v>
      </c>
      <c r="N2776" s="1" t="s">
        <v>22</v>
      </c>
      <c r="O2776" s="1" t="str">
        <f t="shared" ca="1" si="21"/>
        <v>Please solve the LeetCode problem '2970. Count the Number of Incremovable Subarrays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77" spans="1:15" x14ac:dyDescent="0.25">
      <c r="A2777" s="1">
        <v>3233</v>
      </c>
      <c r="B2777" s="2" t="str">
        <f>HYPERLINK("https://leetcode.com/problems/find-the-count-of-numbers-which-are-not-special/", "Find the Count of Numbers Which Are Not Special")</f>
        <v>Find the Count of Numbers Which Are Not Special</v>
      </c>
      <c r="C2777" s="1">
        <v>196</v>
      </c>
      <c r="D2777" s="1">
        <v>26</v>
      </c>
      <c r="E2777" s="3">
        <f t="shared" si="20"/>
        <v>0.88288288288288286</v>
      </c>
      <c r="F2777" s="1" t="s">
        <v>640</v>
      </c>
      <c r="G2777" s="1" t="s">
        <v>24</v>
      </c>
      <c r="H2777" s="1">
        <v>37104</v>
      </c>
      <c r="I2777" s="1">
        <v>135196</v>
      </c>
      <c r="J2777" s="7">
        <v>0.27400000000000002</v>
      </c>
      <c r="K2777" s="1" t="s">
        <v>21</v>
      </c>
      <c r="L2777" s="1" t="s">
        <v>29</v>
      </c>
      <c r="M2777" s="1" t="s">
        <v>29</v>
      </c>
      <c r="N2777" s="1" t="s">
        <v>22</v>
      </c>
      <c r="O2777" s="1" t="str">
        <f t="shared" ca="1" si="21"/>
        <v>Please solve the LeetCode problem '3233. Find the Count of Numbers Which Are Not Special'.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78" spans="1:15" x14ac:dyDescent="0.25">
      <c r="A2778" s="1">
        <v>2361</v>
      </c>
      <c r="B2778" s="2" t="str">
        <f>HYPERLINK("https://leetcode.com/problems/minimum-costs-using-the-train-line/", "Minimum Costs Using the Train Line")</f>
        <v>Minimum Costs Using the Train Line</v>
      </c>
      <c r="C2778" s="1">
        <v>195</v>
      </c>
      <c r="D2778" s="1">
        <v>32</v>
      </c>
      <c r="E2778" s="3">
        <f t="shared" si="20"/>
        <v>0.8590308370044053</v>
      </c>
      <c r="F2778" s="1" t="s">
        <v>30</v>
      </c>
      <c r="G2778" s="1" t="s">
        <v>28</v>
      </c>
      <c r="H2778" s="1">
        <v>14703</v>
      </c>
      <c r="I2778" s="1">
        <v>18916</v>
      </c>
      <c r="J2778" s="7">
        <v>0.77700000000000002</v>
      </c>
      <c r="K2778" s="1" t="s">
        <v>29</v>
      </c>
      <c r="L2778" s="1" t="s">
        <v>21</v>
      </c>
      <c r="M2778" s="1" t="s">
        <v>29</v>
      </c>
      <c r="N2778" s="1" t="s">
        <v>22</v>
      </c>
      <c r="O2778" s="1" t="str">
        <f t="shared" ca="1" si="21"/>
        <v>Please solve the LeetCode problem '2361. Minimum Costs Using the Train Line'.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79" spans="1:15" x14ac:dyDescent="0.25">
      <c r="A2779" s="1">
        <v>2468</v>
      </c>
      <c r="B2779" s="2" t="str">
        <f>HYPERLINK("https://leetcode.com/problems/split-message-based-on-limit/", "Split Message Based on Limit")</f>
        <v>Split Message Based on Limit</v>
      </c>
      <c r="C2779" s="1">
        <v>195</v>
      </c>
      <c r="D2779" s="1">
        <v>200</v>
      </c>
      <c r="E2779" s="3">
        <f t="shared" si="20"/>
        <v>0.49367088607594939</v>
      </c>
      <c r="F2779" s="1" t="s">
        <v>1392</v>
      </c>
      <c r="G2779" s="1" t="s">
        <v>28</v>
      </c>
      <c r="H2779" s="1">
        <v>21585</v>
      </c>
      <c r="I2779" s="1">
        <v>51275</v>
      </c>
      <c r="J2779" s="7">
        <v>0.42099999999999999</v>
      </c>
      <c r="K2779" s="1" t="s">
        <v>21</v>
      </c>
      <c r="L2779" s="1" t="s">
        <v>29</v>
      </c>
      <c r="M2779" s="1" t="s">
        <v>29</v>
      </c>
      <c r="N2779" s="1" t="s">
        <v>22</v>
      </c>
      <c r="O2779" s="1" t="str">
        <f t="shared" ca="1" si="21"/>
        <v>Please solve the LeetCode problem '2468. Split Message Based on Limit'.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80" spans="1:15" x14ac:dyDescent="0.25">
      <c r="A2780" s="1">
        <v>2897</v>
      </c>
      <c r="B2780" s="2" t="str">
        <f>HYPERLINK("https://leetcode.com/problems/apply-operations-on-array-to-maximize-sum-of-squares/", "Apply Operations on Array to Maximize Sum of Squares")</f>
        <v>Apply Operations on Array to Maximize Sum of Squares</v>
      </c>
      <c r="C2780" s="1">
        <v>195</v>
      </c>
      <c r="D2780" s="1">
        <v>4</v>
      </c>
      <c r="E2780" s="3">
        <f t="shared" si="20"/>
        <v>0.97989949748743721</v>
      </c>
      <c r="F2780" s="1" t="s">
        <v>719</v>
      </c>
      <c r="G2780" s="1" t="s">
        <v>28</v>
      </c>
      <c r="H2780" s="1">
        <v>8285</v>
      </c>
      <c r="I2780" s="1">
        <v>18777</v>
      </c>
      <c r="J2780" s="7">
        <v>0.441</v>
      </c>
      <c r="K2780" s="1" t="s">
        <v>21</v>
      </c>
      <c r="L2780" s="1" t="s">
        <v>29</v>
      </c>
      <c r="M2780" s="1" t="s">
        <v>29</v>
      </c>
      <c r="N2780" s="1" t="s">
        <v>22</v>
      </c>
      <c r="O2780" s="1" t="str">
        <f t="shared" ca="1" si="21"/>
        <v>Please solve the LeetCode problem '2897. Apply Operations on Array to Maximize Sum of Squares'.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81" spans="1:15" x14ac:dyDescent="0.25">
      <c r="A2781" s="1">
        <v>2959</v>
      </c>
      <c r="B2781" s="2" t="str">
        <f>HYPERLINK("https://leetcode.com/problems/number-of-possible-sets-of-closing-branches/", "Number of Possible Sets of Closing Branches")</f>
        <v>Number of Possible Sets of Closing Branches</v>
      </c>
      <c r="C2781" s="1">
        <v>195</v>
      </c>
      <c r="D2781" s="1">
        <v>17</v>
      </c>
      <c r="E2781" s="3">
        <f t="shared" si="20"/>
        <v>0.91981132075471694</v>
      </c>
      <c r="F2781" s="1" t="s">
        <v>1097</v>
      </c>
      <c r="G2781" s="1" t="s">
        <v>28</v>
      </c>
      <c r="H2781" s="1">
        <v>10340</v>
      </c>
      <c r="I2781" s="1">
        <v>20557</v>
      </c>
      <c r="J2781" s="7">
        <v>0.503</v>
      </c>
      <c r="K2781" s="1" t="s">
        <v>21</v>
      </c>
      <c r="L2781" s="1" t="s">
        <v>29</v>
      </c>
      <c r="M2781" s="1" t="s">
        <v>29</v>
      </c>
      <c r="N2781" s="1" t="s">
        <v>22</v>
      </c>
      <c r="O2781" s="1" t="str">
        <f t="shared" ca="1" si="21"/>
        <v>Please solve the LeetCode problem '2959. Number of Possible Sets of Closing Branches'.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82" spans="1:15" x14ac:dyDescent="0.25">
      <c r="A2782" s="1">
        <v>3194</v>
      </c>
      <c r="B2782" s="2" t="str">
        <f>HYPERLINK("https://leetcode.com/problems/minimum-average-of-smallest-and-largest-elements/", "Minimum Average of Smallest and Largest Elements")</f>
        <v>Minimum Average of Smallest and Largest Elements</v>
      </c>
      <c r="C2782" s="1">
        <v>195</v>
      </c>
      <c r="D2782" s="1">
        <v>16</v>
      </c>
      <c r="E2782" s="3">
        <f t="shared" si="20"/>
        <v>0.92417061611374407</v>
      </c>
      <c r="F2782" s="1" t="s">
        <v>31</v>
      </c>
      <c r="G2782" s="1" t="s">
        <v>20</v>
      </c>
      <c r="H2782" s="1">
        <v>103800</v>
      </c>
      <c r="I2782" s="1">
        <v>121851</v>
      </c>
      <c r="J2782" s="7">
        <v>0.85199999999999998</v>
      </c>
      <c r="K2782" s="1" t="s">
        <v>21</v>
      </c>
      <c r="L2782" s="1" t="s">
        <v>29</v>
      </c>
      <c r="M2782" s="1" t="s">
        <v>29</v>
      </c>
      <c r="N2782" s="1" t="s">
        <v>22</v>
      </c>
      <c r="O2782" s="1" t="str">
        <f t="shared" ca="1" si="21"/>
        <v>Please solve the LeetCode problem '3194. Minimum Average of Smallest and Largest Elements'.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83" spans="1:15" x14ac:dyDescent="0.25">
      <c r="A2783" s="1">
        <v>831</v>
      </c>
      <c r="B2783" s="2" t="str">
        <f>HYPERLINK("https://leetcode.com/problems/masking-personal-information/", "Masking Personal Information")</f>
        <v>Masking Personal Information</v>
      </c>
      <c r="C2783" s="1">
        <v>194</v>
      </c>
      <c r="D2783" s="1">
        <v>465</v>
      </c>
      <c r="E2783" s="3">
        <f t="shared" si="20"/>
        <v>0.29438543247344462</v>
      </c>
      <c r="F2783" s="1" t="s">
        <v>146</v>
      </c>
      <c r="G2783" s="1" t="s">
        <v>24</v>
      </c>
      <c r="H2783" s="1">
        <v>29606</v>
      </c>
      <c r="I2783" s="1">
        <v>55609</v>
      </c>
      <c r="J2783" s="7">
        <v>0.53200000000000003</v>
      </c>
      <c r="K2783" s="1" t="s">
        <v>21</v>
      </c>
      <c r="L2783" s="1" t="s">
        <v>21</v>
      </c>
      <c r="M2783" s="1" t="s">
        <v>29</v>
      </c>
      <c r="N2783" s="1" t="s">
        <v>22</v>
      </c>
      <c r="O2783" s="1" t="str">
        <f t="shared" ca="1" si="21"/>
        <v>Please solve the LeetCode problem '831. Masking Personal Information'.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84" spans="1:15" x14ac:dyDescent="0.25">
      <c r="A2784" s="1">
        <v>3012</v>
      </c>
      <c r="B2784" s="2" t="str">
        <f>HYPERLINK("https://leetcode.com/problems/minimize-length-of-array-using-operations/", "Minimize Length of Array Using Operations")</f>
        <v>Minimize Length of Array Using Operations</v>
      </c>
      <c r="C2784" s="1">
        <v>194</v>
      </c>
      <c r="D2784" s="1">
        <v>43</v>
      </c>
      <c r="E2784" s="3">
        <f t="shared" si="20"/>
        <v>0.81856540084388185</v>
      </c>
      <c r="F2784" s="1" t="s">
        <v>1099</v>
      </c>
      <c r="G2784" s="1" t="s">
        <v>24</v>
      </c>
      <c r="H2784" s="1">
        <v>17095</v>
      </c>
      <c r="I2784" s="1">
        <v>48089</v>
      </c>
      <c r="J2784" s="7">
        <v>0.35499999999999998</v>
      </c>
      <c r="K2784" s="1" t="s">
        <v>21</v>
      </c>
      <c r="L2784" s="1" t="s">
        <v>29</v>
      </c>
      <c r="M2784" s="1" t="s">
        <v>29</v>
      </c>
      <c r="N2784" s="1" t="s">
        <v>22</v>
      </c>
      <c r="O2784" s="1" t="str">
        <f t="shared" ca="1" si="21"/>
        <v>Please solve the LeetCode problem '3012. Minimize Length of Array Using Operations'.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85" spans="1:15" x14ac:dyDescent="0.25">
      <c r="A2785" s="1">
        <v>672</v>
      </c>
      <c r="B2785" s="2" t="str">
        <f>HYPERLINK("https://leetcode.com/problems/bulb-switcher-ii/", "Bulb Switcher II")</f>
        <v>Bulb Switcher II</v>
      </c>
      <c r="C2785" s="1">
        <v>193</v>
      </c>
      <c r="D2785" s="1">
        <v>244</v>
      </c>
      <c r="E2785" s="3">
        <f t="shared" si="20"/>
        <v>0.4416475972540046</v>
      </c>
      <c r="F2785" s="1" t="s">
        <v>1101</v>
      </c>
      <c r="G2785" s="1" t="s">
        <v>24</v>
      </c>
      <c r="H2785" s="1">
        <v>29299</v>
      </c>
      <c r="I2785" s="1">
        <v>58757</v>
      </c>
      <c r="J2785" s="7">
        <v>0.499</v>
      </c>
      <c r="K2785" s="1" t="s">
        <v>21</v>
      </c>
      <c r="L2785" s="1" t="s">
        <v>21</v>
      </c>
      <c r="M2785" s="1" t="s">
        <v>29</v>
      </c>
      <c r="N2785" s="1" t="s">
        <v>22</v>
      </c>
      <c r="O2785" s="1" t="str">
        <f t="shared" ca="1" si="21"/>
        <v>Please solve the LeetCode problem '672. Bulb Switcher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86" spans="1:15" x14ac:dyDescent="0.25">
      <c r="A2786" s="1">
        <v>1097</v>
      </c>
      <c r="B2786" s="2" t="str">
        <f>HYPERLINK("https://leetcode.com/problems/game-play-analysis-v/", "Game Play Analysis V")</f>
        <v>Game Play Analysis V</v>
      </c>
      <c r="C2786" s="1">
        <v>193</v>
      </c>
      <c r="D2786" s="1">
        <v>36</v>
      </c>
      <c r="E2786" s="3">
        <f t="shared" si="20"/>
        <v>0.84279475982532748</v>
      </c>
      <c r="F2786" s="1" t="s">
        <v>297</v>
      </c>
      <c r="G2786" s="1" t="s">
        <v>28</v>
      </c>
      <c r="H2786" s="1">
        <v>28388</v>
      </c>
      <c r="I2786" s="1">
        <v>56321</v>
      </c>
      <c r="J2786" s="7">
        <v>0.504</v>
      </c>
      <c r="K2786" s="1" t="s">
        <v>29</v>
      </c>
      <c r="L2786" s="1" t="s">
        <v>21</v>
      </c>
      <c r="M2786" s="1" t="s">
        <v>29</v>
      </c>
      <c r="N2786" s="1" t="s">
        <v>297</v>
      </c>
      <c r="O2786" s="1" t="str">
        <f t="shared" ca="1" si="21"/>
        <v>Please solve the LeetCode problem '1097. Game Play Analysis V'.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87" spans="1:15" x14ac:dyDescent="0.25">
      <c r="A2787" s="1">
        <v>2069</v>
      </c>
      <c r="B2787" s="2" t="str">
        <f>HYPERLINK("https://leetcode.com/problems/walking-robot-simulation-ii/", "Walking Robot Simulation II")</f>
        <v>Walking Robot Simulation II</v>
      </c>
      <c r="C2787" s="1">
        <v>193</v>
      </c>
      <c r="D2787" s="1">
        <v>321</v>
      </c>
      <c r="E2787" s="3">
        <f t="shared" si="20"/>
        <v>0.3754863813229572</v>
      </c>
      <c r="F2787" s="1" t="s">
        <v>1103</v>
      </c>
      <c r="G2787" s="1" t="s">
        <v>24</v>
      </c>
      <c r="H2787" s="1">
        <v>16697</v>
      </c>
      <c r="I2787" s="1">
        <v>65381</v>
      </c>
      <c r="J2787" s="7">
        <v>0.255</v>
      </c>
      <c r="K2787" s="1" t="s">
        <v>21</v>
      </c>
      <c r="L2787" s="1" t="s">
        <v>29</v>
      </c>
      <c r="M2787" s="1" t="s">
        <v>29</v>
      </c>
      <c r="N2787" s="1" t="s">
        <v>22</v>
      </c>
      <c r="O2787" s="1" t="str">
        <f t="shared" ca="1" si="21"/>
        <v>Please solve the LeetCode problem '2069. Walking Robot Simulation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88" spans="1:15" x14ac:dyDescent="0.25">
      <c r="A2788" s="1">
        <v>2639</v>
      </c>
      <c r="B2788" s="2" t="str">
        <f>HYPERLINK("https://leetcode.com/problems/find-the-width-of-columns-of-a-grid/", "Find the Width of Columns of a Grid")</f>
        <v>Find the Width of Columns of a Grid</v>
      </c>
      <c r="C2788" s="1">
        <v>193</v>
      </c>
      <c r="D2788" s="1">
        <v>54</v>
      </c>
      <c r="E2788" s="3">
        <f t="shared" si="20"/>
        <v>0.78137651821862353</v>
      </c>
      <c r="F2788" s="1" t="s">
        <v>266</v>
      </c>
      <c r="G2788" s="1" t="s">
        <v>20</v>
      </c>
      <c r="H2788" s="1">
        <v>39521</v>
      </c>
      <c r="I2788" s="1">
        <v>56226</v>
      </c>
      <c r="J2788" s="7">
        <v>0.70299999999999996</v>
      </c>
      <c r="K2788" s="1" t="s">
        <v>21</v>
      </c>
      <c r="L2788" s="1" t="s">
        <v>29</v>
      </c>
      <c r="M2788" s="1" t="s">
        <v>29</v>
      </c>
      <c r="N2788" s="1" t="s">
        <v>22</v>
      </c>
      <c r="O2788" s="1" t="str">
        <f t="shared" ca="1" si="21"/>
        <v>Please solve the LeetCode problem '2639. Find the Width of Columns of a Grid'.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89" spans="1:15" x14ac:dyDescent="0.25">
      <c r="A2789" s="1">
        <v>3014</v>
      </c>
      <c r="B2789" s="2" t="str">
        <f>HYPERLINK("https://leetcode.com/problems/minimum-number-of-pushes-to-type-word-i/", "Minimum Number of Pushes to Type Word I")</f>
        <v>Minimum Number of Pushes to Type Word I</v>
      </c>
      <c r="C2789" s="1">
        <v>193</v>
      </c>
      <c r="D2789" s="1">
        <v>38</v>
      </c>
      <c r="E2789" s="3">
        <f t="shared" si="20"/>
        <v>0.83549783549783552</v>
      </c>
      <c r="F2789" s="1" t="s">
        <v>418</v>
      </c>
      <c r="G2789" s="1" t="s">
        <v>20</v>
      </c>
      <c r="H2789" s="1">
        <v>49957</v>
      </c>
      <c r="I2789" s="1">
        <v>74833</v>
      </c>
      <c r="J2789" s="7">
        <v>0.66800000000000004</v>
      </c>
      <c r="K2789" s="1" t="s">
        <v>21</v>
      </c>
      <c r="L2789" s="1" t="s">
        <v>29</v>
      </c>
      <c r="M2789" s="1" t="s">
        <v>29</v>
      </c>
      <c r="N2789" s="1" t="s">
        <v>22</v>
      </c>
      <c r="O2789" s="1" t="str">
        <f t="shared" ca="1" si="21"/>
        <v>Please solve the LeetCode problem '3014. Minimum Number of Pushes to Type Word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90" spans="1:15" x14ac:dyDescent="0.25">
      <c r="A2790" s="1">
        <v>3196</v>
      </c>
      <c r="B2790" s="2" t="str">
        <f>HYPERLINK("https://leetcode.com/problems/maximize-total-cost-of-alternating-subarrays/", "Maximize Total Cost of Alternating Subarrays")</f>
        <v>Maximize Total Cost of Alternating Subarrays</v>
      </c>
      <c r="C2790" s="1">
        <v>193</v>
      </c>
      <c r="D2790" s="1">
        <v>29</v>
      </c>
      <c r="E2790" s="3">
        <f t="shared" si="20"/>
        <v>0.86936936936936937</v>
      </c>
      <c r="F2790" s="1" t="s">
        <v>30</v>
      </c>
      <c r="G2790" s="1" t="s">
        <v>24</v>
      </c>
      <c r="H2790" s="1">
        <v>25171</v>
      </c>
      <c r="I2790" s="1">
        <v>85513</v>
      </c>
      <c r="J2790" s="7">
        <v>0.29399999999999998</v>
      </c>
      <c r="K2790" s="1" t="s">
        <v>21</v>
      </c>
      <c r="L2790" s="1" t="s">
        <v>29</v>
      </c>
      <c r="M2790" s="1" t="s">
        <v>29</v>
      </c>
      <c r="N2790" s="1" t="s">
        <v>22</v>
      </c>
      <c r="O2790" s="1" t="str">
        <f t="shared" ca="1" si="21"/>
        <v>Please solve the LeetCode problem '3196. Maximize Total Cost of Alternating Subarrays'.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91" spans="1:15" x14ac:dyDescent="0.25">
      <c r="A2791" s="1">
        <v>2946</v>
      </c>
      <c r="B2791" s="2" t="str">
        <f>HYPERLINK("https://leetcode.com/problems/matrix-similarity-after-cyclic-shifts/", "Matrix Similarity After Cyclic Shifts")</f>
        <v>Matrix Similarity After Cyclic Shifts</v>
      </c>
      <c r="C2791" s="1">
        <v>192</v>
      </c>
      <c r="D2791" s="1">
        <v>68</v>
      </c>
      <c r="E2791" s="3">
        <f t="shared" si="20"/>
        <v>0.7384615384615385</v>
      </c>
      <c r="F2791" s="1" t="s">
        <v>1102</v>
      </c>
      <c r="G2791" s="1" t="s">
        <v>20</v>
      </c>
      <c r="H2791" s="1">
        <v>30233</v>
      </c>
      <c r="I2791" s="1">
        <v>51124</v>
      </c>
      <c r="J2791" s="7">
        <v>0.59099999999999997</v>
      </c>
      <c r="K2791" s="1" t="s">
        <v>21</v>
      </c>
      <c r="L2791" s="1" t="s">
        <v>29</v>
      </c>
      <c r="M2791" s="1" t="s">
        <v>29</v>
      </c>
      <c r="N2791" s="1" t="s">
        <v>22</v>
      </c>
      <c r="O2791" s="1" t="str">
        <f t="shared" ca="1" si="21"/>
        <v>Please solve the LeetCode problem '2946. Matrix Similarity After Cyclic Shifts'.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92" spans="1:15" x14ac:dyDescent="0.25">
      <c r="A2792" s="1">
        <v>3413</v>
      </c>
      <c r="B2792" s="2" t="str">
        <f>HYPERLINK("https://leetcode.com/problems/maximum-coins-from-k-consecutive-bags/", "Maximum Coins From K Consecutive Bags")</f>
        <v>Maximum Coins From K Consecutive Bags</v>
      </c>
      <c r="C2792" s="1">
        <v>192</v>
      </c>
      <c r="D2792" s="1">
        <v>26</v>
      </c>
      <c r="E2792" s="3">
        <f t="shared" si="20"/>
        <v>0.88073394495412849</v>
      </c>
      <c r="F2792" s="1" t="s">
        <v>236</v>
      </c>
      <c r="G2792" s="1" t="s">
        <v>24</v>
      </c>
      <c r="H2792" s="1">
        <v>8356</v>
      </c>
      <c r="I2792" s="1">
        <v>34492</v>
      </c>
      <c r="J2792" s="7">
        <v>0.24199999999999999</v>
      </c>
      <c r="K2792" s="1" t="s">
        <v>21</v>
      </c>
      <c r="L2792" s="1" t="s">
        <v>29</v>
      </c>
      <c r="M2792" s="1" t="s">
        <v>29</v>
      </c>
      <c r="N2792" s="1" t="s">
        <v>22</v>
      </c>
      <c r="O2792" s="1" t="str">
        <f t="shared" ca="1" si="21"/>
        <v>Please solve the LeetCode problem '3413. Maximum Coins From K Consecutive Bags'.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93" spans="1:15" x14ac:dyDescent="0.25">
      <c r="A2793" s="1">
        <v>618</v>
      </c>
      <c r="B2793" s="2" t="str">
        <f>HYPERLINK("https://leetcode.com/problems/students-report-by-geography/", "Students Report By Geography")</f>
        <v>Students Report By Geography</v>
      </c>
      <c r="C2793" s="1">
        <v>191</v>
      </c>
      <c r="D2793" s="1">
        <v>170</v>
      </c>
      <c r="E2793" s="3">
        <f t="shared" si="20"/>
        <v>0.52908587257617734</v>
      </c>
      <c r="F2793" s="1" t="s">
        <v>297</v>
      </c>
      <c r="G2793" s="1" t="s">
        <v>28</v>
      </c>
      <c r="H2793" s="1">
        <v>28795</v>
      </c>
      <c r="I2793" s="1">
        <v>45333</v>
      </c>
      <c r="J2793" s="7">
        <v>0.63500000000000001</v>
      </c>
      <c r="K2793" s="1" t="s">
        <v>29</v>
      </c>
      <c r="L2793" s="1" t="s">
        <v>21</v>
      </c>
      <c r="M2793" s="1" t="s">
        <v>29</v>
      </c>
      <c r="N2793" s="1" t="s">
        <v>297</v>
      </c>
      <c r="O2793" s="1" t="str">
        <f t="shared" ca="1" si="21"/>
        <v>Please solve the LeetCode problem '618. Students Report By Geography'.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94" spans="1:15" x14ac:dyDescent="0.25">
      <c r="A2794" s="1">
        <v>822</v>
      </c>
      <c r="B2794" s="2" t="str">
        <f>HYPERLINK("https://leetcode.com/problems/card-flipping-game/", "Card Flipping Game")</f>
        <v>Card Flipping Game</v>
      </c>
      <c r="C2794" s="1">
        <v>191</v>
      </c>
      <c r="D2794" s="1">
        <v>794</v>
      </c>
      <c r="E2794" s="3">
        <f t="shared" si="20"/>
        <v>0.19390862944162437</v>
      </c>
      <c r="F2794" s="1" t="s">
        <v>19</v>
      </c>
      <c r="G2794" s="1" t="s">
        <v>24</v>
      </c>
      <c r="H2794" s="1">
        <v>25090</v>
      </c>
      <c r="I2794" s="1">
        <v>50567</v>
      </c>
      <c r="J2794" s="7">
        <v>0.496</v>
      </c>
      <c r="K2794" s="1" t="s">
        <v>21</v>
      </c>
      <c r="L2794" s="1" t="s">
        <v>21</v>
      </c>
      <c r="M2794" s="1" t="s">
        <v>29</v>
      </c>
      <c r="N2794" s="1" t="s">
        <v>22</v>
      </c>
      <c r="O2794" s="1" t="str">
        <f t="shared" ca="1" si="21"/>
        <v>Please solve the LeetCode problem '822. Card Flipping Game'.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95" spans="1:15" x14ac:dyDescent="0.25">
      <c r="A2795" s="1">
        <v>1940</v>
      </c>
      <c r="B2795" s="2" t="str">
        <f>HYPERLINK("https://leetcode.com/problems/longest-common-subsequence-between-sorted-arrays/", "Longest Common Subsequence Between Sorted Arrays")</f>
        <v>Longest Common Subsequence Between Sorted Arrays</v>
      </c>
      <c r="C2795" s="1">
        <v>191</v>
      </c>
      <c r="D2795" s="1">
        <v>7</v>
      </c>
      <c r="E2795" s="3">
        <f t="shared" si="20"/>
        <v>0.96464646464646464</v>
      </c>
      <c r="F2795" s="1" t="s">
        <v>294</v>
      </c>
      <c r="G2795" s="1" t="s">
        <v>24</v>
      </c>
      <c r="H2795" s="1">
        <v>14794</v>
      </c>
      <c r="I2795" s="1">
        <v>18201</v>
      </c>
      <c r="J2795" s="7">
        <v>0.81299999999999994</v>
      </c>
      <c r="K2795" s="1" t="s">
        <v>29</v>
      </c>
      <c r="L2795" s="1" t="s">
        <v>21</v>
      </c>
      <c r="M2795" s="1" t="s">
        <v>29</v>
      </c>
      <c r="N2795" s="1" t="s">
        <v>22</v>
      </c>
      <c r="O2795" s="1" t="str">
        <f t="shared" ca="1" si="21"/>
        <v>Please solve the LeetCode problem '1940. Longest Common Subsequence Between Sorted Arrays'.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96" spans="1:15" x14ac:dyDescent="0.25">
      <c r="A2796" s="1">
        <v>3232</v>
      </c>
      <c r="B2796" s="2" t="str">
        <f>HYPERLINK("https://leetcode.com/problems/find-if-digit-game-can-be-won/", "Find if Digit Game Can Be Won")</f>
        <v>Find if Digit Game Can Be Won</v>
      </c>
      <c r="C2796" s="1">
        <v>191</v>
      </c>
      <c r="D2796" s="1">
        <v>11</v>
      </c>
      <c r="E2796" s="3">
        <f t="shared" si="20"/>
        <v>0.9455445544554455</v>
      </c>
      <c r="F2796" s="1" t="s">
        <v>115</v>
      </c>
      <c r="G2796" s="1" t="s">
        <v>20</v>
      </c>
      <c r="H2796" s="1">
        <v>103915</v>
      </c>
      <c r="I2796" s="1">
        <v>127605</v>
      </c>
      <c r="J2796" s="7">
        <v>0.81399999999999995</v>
      </c>
      <c r="K2796" s="1" t="s">
        <v>21</v>
      </c>
      <c r="L2796" s="1" t="s">
        <v>29</v>
      </c>
      <c r="M2796" s="1" t="s">
        <v>29</v>
      </c>
      <c r="N2796" s="1" t="s">
        <v>22</v>
      </c>
      <c r="O2796" s="1" t="str">
        <f t="shared" ca="1" si="21"/>
        <v>Please solve the LeetCode problem '3232. Find if Digit Game Can Be Won'.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97" spans="1:15" x14ac:dyDescent="0.25">
      <c r="A2797" s="1">
        <v>479</v>
      </c>
      <c r="B2797" s="2" t="str">
        <f>HYPERLINK("https://leetcode.com/problems/largest-palindrome-product/", "Largest Palindrome Product")</f>
        <v>Largest Palindrome Product</v>
      </c>
      <c r="C2797" s="1">
        <v>190</v>
      </c>
      <c r="D2797" s="1">
        <v>1569</v>
      </c>
      <c r="E2797" s="3">
        <f t="shared" si="20"/>
        <v>0.10801591813530415</v>
      </c>
      <c r="F2797" s="1" t="s">
        <v>602</v>
      </c>
      <c r="G2797" s="1" t="s">
        <v>28</v>
      </c>
      <c r="H2797" s="1">
        <v>32841</v>
      </c>
      <c r="I2797" s="1">
        <v>86600</v>
      </c>
      <c r="J2797" s="7">
        <v>0.379</v>
      </c>
      <c r="K2797" s="1" t="s">
        <v>21</v>
      </c>
      <c r="L2797" s="1" t="s">
        <v>29</v>
      </c>
      <c r="M2797" s="1" t="s">
        <v>29</v>
      </c>
      <c r="N2797" s="1" t="s">
        <v>22</v>
      </c>
      <c r="O2797" s="1" t="str">
        <f t="shared" ca="1" si="21"/>
        <v>Please solve the LeetCode problem '479. Largest Palindrome Product'.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98" spans="1:15" x14ac:dyDescent="0.25">
      <c r="A2798" s="1">
        <v>2291</v>
      </c>
      <c r="B2798" s="2" t="str">
        <f>HYPERLINK("https://leetcode.com/problems/maximum-profit-from-trading-stocks/", "Maximum Profit From Trading Stocks")</f>
        <v>Maximum Profit From Trading Stocks</v>
      </c>
      <c r="C2798" s="1">
        <v>190</v>
      </c>
      <c r="D2798" s="1">
        <v>9</v>
      </c>
      <c r="E2798" s="3">
        <f t="shared" si="20"/>
        <v>0.95477386934673369</v>
      </c>
      <c r="F2798" s="1" t="s">
        <v>30</v>
      </c>
      <c r="G2798" s="1" t="s">
        <v>24</v>
      </c>
      <c r="H2798" s="1">
        <v>16661</v>
      </c>
      <c r="I2798" s="1">
        <v>35011</v>
      </c>
      <c r="J2798" s="7">
        <v>0.47599999999999998</v>
      </c>
      <c r="K2798" s="1" t="s">
        <v>29</v>
      </c>
      <c r="L2798" s="1" t="s">
        <v>29</v>
      </c>
      <c r="M2798" s="1" t="s">
        <v>29</v>
      </c>
      <c r="N2798" s="1" t="s">
        <v>22</v>
      </c>
      <c r="O2798" s="1" t="str">
        <f t="shared" ca="1" si="21"/>
        <v>Please solve the LeetCode problem '2291. Maximum Profit From Trading Stocks'.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799" spans="1:15" x14ac:dyDescent="0.25">
      <c r="A2799" s="1">
        <v>3404</v>
      </c>
      <c r="B2799" s="2" t="str">
        <f>HYPERLINK("https://leetcode.com/problems/count-special-subsequences/", "Count Special Subsequences")</f>
        <v>Count Special Subsequences</v>
      </c>
      <c r="C2799" s="1">
        <v>190</v>
      </c>
      <c r="D2799" s="1">
        <v>27</v>
      </c>
      <c r="E2799" s="3">
        <f t="shared" si="20"/>
        <v>0.87557603686635943</v>
      </c>
      <c r="F2799" s="1" t="s">
        <v>1105</v>
      </c>
      <c r="G2799" s="1" t="s">
        <v>24</v>
      </c>
      <c r="H2799" s="1">
        <v>11141</v>
      </c>
      <c r="I2799" s="1">
        <v>37542</v>
      </c>
      <c r="J2799" s="7">
        <v>0.29699999999999999</v>
      </c>
      <c r="K2799" s="1" t="s">
        <v>21</v>
      </c>
      <c r="L2799" s="1" t="s">
        <v>29</v>
      </c>
      <c r="M2799" s="1" t="s">
        <v>29</v>
      </c>
      <c r="N2799" s="1" t="s">
        <v>22</v>
      </c>
      <c r="O2799" s="1" t="str">
        <f t="shared" ca="1" si="21"/>
        <v>Please solve the LeetCode problem '3404. Count Special Subsequences'.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00" spans="1:15" x14ac:dyDescent="0.25">
      <c r="A2800" s="1">
        <v>1767</v>
      </c>
      <c r="B2800" s="2" t="str">
        <f>HYPERLINK("https://leetcode.com/problems/find-the-subtasks-that-did-not-execute/", "Find the Subtasks That Did Not Execute")</f>
        <v>Find the Subtasks That Did Not Execute</v>
      </c>
      <c r="C2800" s="1">
        <v>189</v>
      </c>
      <c r="D2800" s="1">
        <v>15</v>
      </c>
      <c r="E2800" s="3">
        <f t="shared" si="20"/>
        <v>0.92647058823529416</v>
      </c>
      <c r="F2800" s="1" t="s">
        <v>297</v>
      </c>
      <c r="G2800" s="1" t="s">
        <v>28</v>
      </c>
      <c r="H2800" s="1">
        <v>18948</v>
      </c>
      <c r="I2800" s="1">
        <v>24125</v>
      </c>
      <c r="J2800" s="7">
        <v>0.78500000000000003</v>
      </c>
      <c r="K2800" s="1" t="s">
        <v>29</v>
      </c>
      <c r="L2800" s="1" t="s">
        <v>29</v>
      </c>
      <c r="M2800" s="1" t="s">
        <v>29</v>
      </c>
      <c r="N2800" s="1" t="s">
        <v>297</v>
      </c>
      <c r="O2800" s="1" t="str">
        <f t="shared" ca="1" si="21"/>
        <v>Please solve the LeetCode problem '1767. Find the Subtasks That Did Not Execute'.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01" spans="1:15" x14ac:dyDescent="0.25">
      <c r="A2801" s="1">
        <v>3154</v>
      </c>
      <c r="B2801" s="2" t="str">
        <f>HYPERLINK("https://leetcode.com/problems/find-number-of-ways-to-reach-the-k-th-stair/", "Find Number of Ways to Reach the K-th Stair")</f>
        <v>Find Number of Ways to Reach the K-th Stair</v>
      </c>
      <c r="C2801" s="1">
        <v>189</v>
      </c>
      <c r="D2801" s="1">
        <v>12</v>
      </c>
      <c r="E2801" s="3">
        <f t="shared" si="20"/>
        <v>0.94029850746268662</v>
      </c>
      <c r="F2801" s="1" t="s">
        <v>1104</v>
      </c>
      <c r="G2801" s="1" t="s">
        <v>28</v>
      </c>
      <c r="H2801" s="1">
        <v>15218</v>
      </c>
      <c r="I2801" s="1">
        <v>40812</v>
      </c>
      <c r="J2801" s="7">
        <v>0.373</v>
      </c>
      <c r="K2801" s="1" t="s">
        <v>21</v>
      </c>
      <c r="L2801" s="1" t="s">
        <v>29</v>
      </c>
      <c r="M2801" s="1" t="s">
        <v>29</v>
      </c>
      <c r="N2801" s="1" t="s">
        <v>22</v>
      </c>
      <c r="O2801" s="1" t="str">
        <f t="shared" ca="1" si="21"/>
        <v>Please solve the LeetCode problem '3154. Find Number of Ways to Reach the K-th Stair'.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02" spans="1:15" x14ac:dyDescent="0.25">
      <c r="A2802" s="1">
        <v>606</v>
      </c>
      <c r="B2802" s="2" t="str">
        <f>HYPERLINK("https://leetcode.com/problems/construct-string-from-binary-tree/", "Construct String from Binary Tree")</f>
        <v>Construct String from Binary Tree</v>
      </c>
      <c r="C2802" s="1">
        <v>188</v>
      </c>
      <c r="D2802" s="1">
        <v>71</v>
      </c>
      <c r="E2802" s="3">
        <f t="shared" si="20"/>
        <v>0.72586872586872586</v>
      </c>
      <c r="F2802" s="1" t="s">
        <v>362</v>
      </c>
      <c r="G2802" s="1" t="s">
        <v>24</v>
      </c>
      <c r="H2802" s="1">
        <v>350984</v>
      </c>
      <c r="I2802" s="1">
        <v>497741</v>
      </c>
      <c r="J2802" s="7">
        <v>0.70499999999999996</v>
      </c>
      <c r="K2802" s="1" t="s">
        <v>21</v>
      </c>
      <c r="L2802" s="1" t="s">
        <v>21</v>
      </c>
      <c r="M2802" s="1" t="s">
        <v>29</v>
      </c>
      <c r="N2802" s="1" t="s">
        <v>22</v>
      </c>
      <c r="O2802" s="1" t="str">
        <f t="shared" ca="1" si="21"/>
        <v>Please solve the LeetCode problem '606. Construct String from Binary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03" spans="1:15" x14ac:dyDescent="0.25">
      <c r="A2803" s="1">
        <v>1215</v>
      </c>
      <c r="B2803" s="2" t="str">
        <f>HYPERLINK("https://leetcode.com/problems/stepping-numbers/", "Stepping Numbers")</f>
        <v>Stepping Numbers</v>
      </c>
      <c r="C2803" s="1">
        <v>188</v>
      </c>
      <c r="D2803" s="1">
        <v>21</v>
      </c>
      <c r="E2803" s="3">
        <f t="shared" si="20"/>
        <v>0.8995215311004785</v>
      </c>
      <c r="F2803" s="1" t="s">
        <v>1106</v>
      </c>
      <c r="G2803" s="1" t="s">
        <v>24</v>
      </c>
      <c r="H2803" s="1">
        <v>10985</v>
      </c>
      <c r="I2803" s="1">
        <v>22855</v>
      </c>
      <c r="J2803" s="7">
        <v>0.48099999999999998</v>
      </c>
      <c r="K2803" s="1" t="s">
        <v>29</v>
      </c>
      <c r="L2803" s="1" t="s">
        <v>29</v>
      </c>
      <c r="M2803" s="1" t="s">
        <v>29</v>
      </c>
      <c r="N2803" s="1" t="s">
        <v>22</v>
      </c>
      <c r="O2803" s="1" t="str">
        <f t="shared" ca="1" si="21"/>
        <v>Please solve the LeetCode problem '1215. Stepping Numbers'.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04" spans="1:15" x14ac:dyDescent="0.25">
      <c r="A2804" s="1">
        <v>1127</v>
      </c>
      <c r="B2804" s="2" t="str">
        <f>HYPERLINK("https://leetcode.com/problems/user-purchase-platform/", "User Purchase Platform")</f>
        <v>User Purchase Platform</v>
      </c>
      <c r="C2804" s="1">
        <v>187</v>
      </c>
      <c r="D2804" s="1">
        <v>138</v>
      </c>
      <c r="E2804" s="3">
        <f t="shared" si="20"/>
        <v>0.57538461538461538</v>
      </c>
      <c r="F2804" s="1" t="s">
        <v>297</v>
      </c>
      <c r="G2804" s="1" t="s">
        <v>28</v>
      </c>
      <c r="H2804" s="1">
        <v>19359</v>
      </c>
      <c r="I2804" s="1">
        <v>41676</v>
      </c>
      <c r="J2804" s="7">
        <v>0.46500000000000002</v>
      </c>
      <c r="K2804" s="1" t="s">
        <v>29</v>
      </c>
      <c r="L2804" s="1" t="s">
        <v>29</v>
      </c>
      <c r="M2804" s="1" t="s">
        <v>29</v>
      </c>
      <c r="N2804" s="1" t="s">
        <v>297</v>
      </c>
      <c r="O2804" s="1" t="str">
        <f t="shared" ca="1" si="21"/>
        <v>Please solve the LeetCode problem '1127. User Purchase Platform'.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05" spans="1:15" x14ac:dyDescent="0.25">
      <c r="A2805" s="1">
        <v>1241</v>
      </c>
      <c r="B2805" s="2" t="str">
        <f>HYPERLINK("https://leetcode.com/problems/number-of-comments-per-post/", "Number of Comments per Post")</f>
        <v>Number of Comments per Post</v>
      </c>
      <c r="C2805" s="1">
        <v>187</v>
      </c>
      <c r="D2805" s="1">
        <v>545</v>
      </c>
      <c r="E2805" s="3">
        <f t="shared" si="20"/>
        <v>0.25546448087431695</v>
      </c>
      <c r="F2805" s="1" t="s">
        <v>297</v>
      </c>
      <c r="G2805" s="1" t="s">
        <v>20</v>
      </c>
      <c r="H2805" s="1">
        <v>40725</v>
      </c>
      <c r="I2805" s="1">
        <v>61961</v>
      </c>
      <c r="J2805" s="7">
        <v>0.65700000000000003</v>
      </c>
      <c r="K2805" s="1" t="s">
        <v>29</v>
      </c>
      <c r="L2805" s="1" t="s">
        <v>29</v>
      </c>
      <c r="M2805" s="1" t="s">
        <v>29</v>
      </c>
      <c r="N2805" s="1" t="s">
        <v>297</v>
      </c>
      <c r="O2805" s="1" t="str">
        <f t="shared" ca="1" si="21"/>
        <v>Please solve the LeetCode problem '1241. Number of Comments per Post'.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06" spans="1:15" x14ac:dyDescent="0.25">
      <c r="A2806" s="1">
        <v>3185</v>
      </c>
      <c r="B2806" s="2" t="str">
        <f>HYPERLINK("https://leetcode.com/problems/count-pairs-that-form-a-complete-day-ii/", "Count Pairs That Form a Complete Day II")</f>
        <v>Count Pairs That Form a Complete Day II</v>
      </c>
      <c r="C2806" s="1">
        <v>187</v>
      </c>
      <c r="D2806" s="1">
        <v>12</v>
      </c>
      <c r="E2806" s="3">
        <f t="shared" si="20"/>
        <v>0.93969849246231152</v>
      </c>
      <c r="F2806" s="1" t="s">
        <v>294</v>
      </c>
      <c r="G2806" s="1" t="s">
        <v>24</v>
      </c>
      <c r="H2806" s="1">
        <v>47440</v>
      </c>
      <c r="I2806" s="1">
        <v>109059</v>
      </c>
      <c r="J2806" s="7">
        <v>0.435</v>
      </c>
      <c r="K2806" s="1" t="s">
        <v>21</v>
      </c>
      <c r="L2806" s="1" t="s">
        <v>29</v>
      </c>
      <c r="M2806" s="1" t="s">
        <v>29</v>
      </c>
      <c r="N2806" s="1" t="s">
        <v>22</v>
      </c>
      <c r="O2806" s="1" t="str">
        <f t="shared" ca="1" si="21"/>
        <v>Please solve the LeetCode problem '3185. Count Pairs That Form a Complete Day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07" spans="1:15" x14ac:dyDescent="0.25">
      <c r="A2807" s="1">
        <v>3290</v>
      </c>
      <c r="B2807" s="2" t="str">
        <f>HYPERLINK("https://leetcode.com/problems/maximum-multiplication-score/", "Maximum Multiplication Score")</f>
        <v>Maximum Multiplication Score</v>
      </c>
      <c r="C2807" s="1">
        <v>187</v>
      </c>
      <c r="D2807" s="1">
        <v>14</v>
      </c>
      <c r="E2807" s="3">
        <f t="shared" si="20"/>
        <v>0.93034825870646765</v>
      </c>
      <c r="F2807" s="1" t="s">
        <v>30</v>
      </c>
      <c r="G2807" s="1" t="s">
        <v>24</v>
      </c>
      <c r="H2807" s="1">
        <v>35959</v>
      </c>
      <c r="I2807" s="1">
        <v>87313</v>
      </c>
      <c r="J2807" s="7">
        <v>0.41199999999999998</v>
      </c>
      <c r="K2807" s="1" t="s">
        <v>21</v>
      </c>
      <c r="L2807" s="1" t="s">
        <v>29</v>
      </c>
      <c r="M2807" s="1" t="s">
        <v>29</v>
      </c>
      <c r="N2807" s="1" t="s">
        <v>22</v>
      </c>
      <c r="O2807" s="1" t="str">
        <f t="shared" ca="1" si="21"/>
        <v>Please solve the LeetCode problem '3290. Maximum Multiplication Score'.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08" spans="1:15" x14ac:dyDescent="0.25">
      <c r="A2808" s="1">
        <v>2930</v>
      </c>
      <c r="B2808" s="2" t="str">
        <f>HYPERLINK("https://leetcode.com/problems/number-of-strings-which-can-be-rearranged-to-contain-substring/", "Number of Strings Which Can Be Rearranged to Contain Substring")</f>
        <v>Number of Strings Which Can Be Rearranged to Contain Substring</v>
      </c>
      <c r="C2808" s="1">
        <v>186</v>
      </c>
      <c r="D2808" s="1">
        <v>72</v>
      </c>
      <c r="E2808" s="3">
        <f t="shared" si="20"/>
        <v>0.72093023255813948</v>
      </c>
      <c r="F2808" s="1" t="s">
        <v>70</v>
      </c>
      <c r="G2808" s="1" t="s">
        <v>24</v>
      </c>
      <c r="H2808" s="1">
        <v>8600</v>
      </c>
      <c r="I2808" s="1">
        <v>15161</v>
      </c>
      <c r="J2808" s="7">
        <v>0.56699999999999995</v>
      </c>
      <c r="K2808" s="1" t="s">
        <v>21</v>
      </c>
      <c r="L2808" s="1" t="s">
        <v>29</v>
      </c>
      <c r="M2808" s="1" t="s">
        <v>29</v>
      </c>
      <c r="N2808" s="1" t="s">
        <v>22</v>
      </c>
      <c r="O2808" s="1" t="str">
        <f t="shared" ca="1" si="21"/>
        <v>Please solve the LeetCode problem '2930. Number of Strings Which Can Be Rearranged to Contain Substring'.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09" spans="1:15" x14ac:dyDescent="0.25">
      <c r="A2809" s="1">
        <v>3040</v>
      </c>
      <c r="B2809" s="2" t="str">
        <f>HYPERLINK("https://leetcode.com/problems/maximum-number-of-operations-with-the-same-score-ii/", "Maximum Number of Operations With the Same Score II")</f>
        <v>Maximum Number of Operations With the Same Score II</v>
      </c>
      <c r="C2809" s="1">
        <v>186</v>
      </c>
      <c r="D2809" s="1">
        <v>16</v>
      </c>
      <c r="E2809" s="3">
        <f t="shared" ref="E2809:E3063" si="22">IF(INDEX(C:C, ROW())+INDEX(D:D, ROW())=0, 0, INDEX(C:C, ROW())/(INDEX(C:C, ROW())+INDEX(D:D, ROW())))</f>
        <v>0.92079207920792083</v>
      </c>
      <c r="F2809" s="1" t="s">
        <v>434</v>
      </c>
      <c r="G2809" s="1" t="s">
        <v>24</v>
      </c>
      <c r="H2809" s="1">
        <v>24856</v>
      </c>
      <c r="I2809" s="1">
        <v>73169</v>
      </c>
      <c r="J2809" s="7">
        <v>0.34</v>
      </c>
      <c r="K2809" s="1" t="s">
        <v>21</v>
      </c>
      <c r="L2809" s="1" t="s">
        <v>29</v>
      </c>
      <c r="M2809" s="1" t="s">
        <v>29</v>
      </c>
      <c r="N2809" s="1" t="s">
        <v>22</v>
      </c>
      <c r="O2809" s="1" t="str">
        <f t="shared" ref="O2809:O3063" ca="1" si="23"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>Please solve the LeetCode problem '3040. Maximum Number of Operations With the Same Score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10" spans="1:15" x14ac:dyDescent="0.25">
      <c r="A2810" s="1">
        <v>1830</v>
      </c>
      <c r="B2810" s="2" t="str">
        <f>HYPERLINK("https://leetcode.com/problems/minimum-number-of-operations-to-make-string-sorted/", "Minimum Number of Operations to Make String Sorted")</f>
        <v>Minimum Number of Operations to Make String Sorted</v>
      </c>
      <c r="C2810" s="1">
        <v>185</v>
      </c>
      <c r="D2810" s="1">
        <v>131</v>
      </c>
      <c r="E2810" s="3">
        <f t="shared" si="22"/>
        <v>0.58544303797468356</v>
      </c>
      <c r="F2810" s="1" t="s">
        <v>1393</v>
      </c>
      <c r="G2810" s="1" t="s">
        <v>28</v>
      </c>
      <c r="H2810" s="1">
        <v>5333</v>
      </c>
      <c r="I2810" s="1">
        <v>10536</v>
      </c>
      <c r="J2810" s="7">
        <v>0.50600000000000001</v>
      </c>
      <c r="K2810" s="1" t="s">
        <v>21</v>
      </c>
      <c r="L2810" s="1" t="s">
        <v>29</v>
      </c>
      <c r="M2810" s="1" t="s">
        <v>29</v>
      </c>
      <c r="N2810" s="1" t="s">
        <v>22</v>
      </c>
      <c r="O2810" s="1" t="str">
        <f t="shared" ca="1" si="23"/>
        <v>Please solve the LeetCode problem '1830. Minimum Number of Operations to Make String Sorted'.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11" spans="1:15" x14ac:dyDescent="0.25">
      <c r="A2811" s="1">
        <v>2031</v>
      </c>
      <c r="B2811" s="2" t="str">
        <f>HYPERLINK("https://leetcode.com/problems/count-subarrays-with-more-ones-than-zeros/", "Count Subarrays With More Ones Than Zeros")</f>
        <v>Count Subarrays With More Ones Than Zeros</v>
      </c>
      <c r="C2811" s="1">
        <v>185</v>
      </c>
      <c r="D2811" s="1">
        <v>17</v>
      </c>
      <c r="E2811" s="3">
        <f t="shared" si="22"/>
        <v>0.91584158415841588</v>
      </c>
      <c r="F2811" s="1" t="s">
        <v>1108</v>
      </c>
      <c r="G2811" s="1" t="s">
        <v>24</v>
      </c>
      <c r="H2811" s="1">
        <v>5240</v>
      </c>
      <c r="I2811" s="1">
        <v>10673</v>
      </c>
      <c r="J2811" s="7">
        <v>0.49099999999999999</v>
      </c>
      <c r="K2811" s="1" t="s">
        <v>29</v>
      </c>
      <c r="L2811" s="1" t="s">
        <v>29</v>
      </c>
      <c r="M2811" s="1" t="s">
        <v>29</v>
      </c>
      <c r="N2811" s="1" t="s">
        <v>22</v>
      </c>
      <c r="O2811" s="1" t="str">
        <f t="shared" ca="1" si="23"/>
        <v>Please solve the LeetCode problem '2031. Count Subarrays With More Ones Than Zeros'.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12" spans="1:15" x14ac:dyDescent="0.25">
      <c r="A2812" s="1">
        <v>2923</v>
      </c>
      <c r="B2812" s="2" t="str">
        <f>HYPERLINK("https://leetcode.com/problems/find-champion-i/", "Find Champion I")</f>
        <v>Find Champion I</v>
      </c>
      <c r="C2812" s="1">
        <v>185</v>
      </c>
      <c r="D2812" s="1">
        <v>52</v>
      </c>
      <c r="E2812" s="3">
        <f t="shared" si="22"/>
        <v>0.78059071729957807</v>
      </c>
      <c r="F2812" s="1" t="s">
        <v>266</v>
      </c>
      <c r="G2812" s="1" t="s">
        <v>20</v>
      </c>
      <c r="H2812" s="1">
        <v>51500</v>
      </c>
      <c r="I2812" s="1">
        <v>70443</v>
      </c>
      <c r="J2812" s="7">
        <v>0.73099999999999998</v>
      </c>
      <c r="K2812" s="1" t="s">
        <v>21</v>
      </c>
      <c r="L2812" s="1" t="s">
        <v>29</v>
      </c>
      <c r="M2812" s="1" t="s">
        <v>29</v>
      </c>
      <c r="N2812" s="1" t="s">
        <v>22</v>
      </c>
      <c r="O2812" s="1" t="str">
        <f t="shared" ca="1" si="23"/>
        <v>Please solve the LeetCode problem '2923. Find Champion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13" spans="1:15" x14ac:dyDescent="0.25">
      <c r="A2813" s="1">
        <v>3102</v>
      </c>
      <c r="B2813" s="2" t="str">
        <f>HYPERLINK("https://leetcode.com/problems/minimize-manhattan-distances/", "Minimize Manhattan Distances")</f>
        <v>Minimize Manhattan Distances</v>
      </c>
      <c r="C2813" s="1">
        <v>185</v>
      </c>
      <c r="D2813" s="1">
        <v>15</v>
      </c>
      <c r="E2813" s="3">
        <f t="shared" si="22"/>
        <v>0.92500000000000004</v>
      </c>
      <c r="F2813" s="1" t="s">
        <v>1107</v>
      </c>
      <c r="G2813" s="1" t="s">
        <v>28</v>
      </c>
      <c r="H2813" s="1">
        <v>10428</v>
      </c>
      <c r="I2813" s="1">
        <v>31987</v>
      </c>
      <c r="J2813" s="7">
        <v>0.32600000000000001</v>
      </c>
      <c r="K2813" s="1" t="s">
        <v>21</v>
      </c>
      <c r="L2813" s="1" t="s">
        <v>29</v>
      </c>
      <c r="M2813" s="1" t="s">
        <v>29</v>
      </c>
      <c r="N2813" s="1" t="s">
        <v>22</v>
      </c>
      <c r="O2813" s="1" t="str">
        <f t="shared" ca="1" si="23"/>
        <v>Please solve the LeetCode problem '3102. Minimize Manhattan Distances'.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14" spans="1:15" x14ac:dyDescent="0.25">
      <c r="A2814" s="1">
        <v>574</v>
      </c>
      <c r="B2814" s="2" t="str">
        <f>HYPERLINK("https://leetcode.com/problems/winning-candidate/", "Winning Candidate")</f>
        <v>Winning Candidate</v>
      </c>
      <c r="C2814" s="1">
        <v>184</v>
      </c>
      <c r="D2814" s="1">
        <v>414</v>
      </c>
      <c r="E2814" s="3">
        <f t="shared" si="22"/>
        <v>0.30769230769230771</v>
      </c>
      <c r="F2814" s="1" t="s">
        <v>297</v>
      </c>
      <c r="G2814" s="1" t="s">
        <v>24</v>
      </c>
      <c r="H2814" s="1">
        <v>76263</v>
      </c>
      <c r="I2814" s="1">
        <v>122037</v>
      </c>
      <c r="J2814" s="7">
        <v>0.625</v>
      </c>
      <c r="K2814" s="1" t="s">
        <v>29</v>
      </c>
      <c r="L2814" s="1" t="s">
        <v>21</v>
      </c>
      <c r="M2814" s="1" t="s">
        <v>29</v>
      </c>
      <c r="N2814" s="1" t="s">
        <v>297</v>
      </c>
      <c r="O2814" s="1" t="str">
        <f t="shared" ca="1" si="23"/>
        <v>Please solve the LeetCode problem '574. Winning Candidate'.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15" spans="1:15" x14ac:dyDescent="0.25">
      <c r="A2815" s="1">
        <v>1350</v>
      </c>
      <c r="B2815" s="2" t="str">
        <f>HYPERLINK("https://leetcode.com/problems/students-with-invalid-departments/", "Students With Invalid Departments")</f>
        <v>Students With Invalid Departments</v>
      </c>
      <c r="C2815" s="1">
        <v>184</v>
      </c>
      <c r="D2815" s="1">
        <v>9</v>
      </c>
      <c r="E2815" s="3">
        <f t="shared" si="22"/>
        <v>0.95336787564766834</v>
      </c>
      <c r="F2815" s="1" t="s">
        <v>297</v>
      </c>
      <c r="G2815" s="1" t="s">
        <v>20</v>
      </c>
      <c r="H2815" s="1">
        <v>65680</v>
      </c>
      <c r="I2815" s="1">
        <v>73117</v>
      </c>
      <c r="J2815" s="7">
        <v>0.89800000000000002</v>
      </c>
      <c r="K2815" s="1" t="s">
        <v>29</v>
      </c>
      <c r="L2815" s="1" t="s">
        <v>29</v>
      </c>
      <c r="M2815" s="1" t="s">
        <v>29</v>
      </c>
      <c r="N2815" s="1" t="s">
        <v>297</v>
      </c>
      <c r="O2815" s="1" t="str">
        <f t="shared" ca="1" si="23"/>
        <v>Please solve the LeetCode problem '1350. Students With Invalid Departments'.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16" spans="1:15" x14ac:dyDescent="0.25">
      <c r="A2816" s="1">
        <v>1973</v>
      </c>
      <c r="B2816" s="2" t="str">
        <f>HYPERLINK("https://leetcode.com/problems/count-nodes-equal-to-sum-of-descendants/", "Count Nodes Equal to Sum of Descendants")</f>
        <v>Count Nodes Equal to Sum of Descendants</v>
      </c>
      <c r="C2816" s="1">
        <v>184</v>
      </c>
      <c r="D2816" s="1">
        <v>10</v>
      </c>
      <c r="E2816" s="3">
        <f t="shared" si="22"/>
        <v>0.94845360824742264</v>
      </c>
      <c r="F2816" s="1" t="s">
        <v>67</v>
      </c>
      <c r="G2816" s="1" t="s">
        <v>24</v>
      </c>
      <c r="H2816" s="1">
        <v>15688</v>
      </c>
      <c r="I2816" s="1">
        <v>20291</v>
      </c>
      <c r="J2816" s="7">
        <v>0.77300000000000002</v>
      </c>
      <c r="K2816" s="1" t="s">
        <v>29</v>
      </c>
      <c r="L2816" s="1" t="s">
        <v>21</v>
      </c>
      <c r="M2816" s="1" t="s">
        <v>29</v>
      </c>
      <c r="N2816" s="1" t="s">
        <v>22</v>
      </c>
      <c r="O2816" s="1" t="str">
        <f t="shared" ca="1" si="23"/>
        <v>Please solve the LeetCode problem '1973. Count Nodes Equal to Sum of Descendants'.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17" spans="1:15" x14ac:dyDescent="0.25">
      <c r="A2817" s="1">
        <v>3146</v>
      </c>
      <c r="B2817" s="2" t="str">
        <f>HYPERLINK("https://leetcode.com/problems/permutation-difference-between-two-strings/", "Permutation Difference between Two Strings")</f>
        <v>Permutation Difference between Two Strings</v>
      </c>
      <c r="C2817" s="1">
        <v>184</v>
      </c>
      <c r="D2817" s="1">
        <v>17</v>
      </c>
      <c r="E2817" s="3">
        <f t="shared" si="22"/>
        <v>0.91542288557213936</v>
      </c>
      <c r="F2817" s="1" t="s">
        <v>131</v>
      </c>
      <c r="G2817" s="1" t="s">
        <v>20</v>
      </c>
      <c r="H2817" s="1">
        <v>105188</v>
      </c>
      <c r="I2817" s="1">
        <v>120052</v>
      </c>
      <c r="J2817" s="7">
        <v>0.876</v>
      </c>
      <c r="K2817" s="1" t="s">
        <v>21</v>
      </c>
      <c r="L2817" s="1" t="s">
        <v>29</v>
      </c>
      <c r="M2817" s="1" t="s">
        <v>29</v>
      </c>
      <c r="N2817" s="1" t="s">
        <v>22</v>
      </c>
      <c r="O2817" s="1" t="str">
        <f t="shared" ca="1" si="23"/>
        <v>Please solve the LeetCode problem '3146. Permutation Difference between Two Strings'.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18" spans="1:15" x14ac:dyDescent="0.25">
      <c r="A2818" s="1">
        <v>411</v>
      </c>
      <c r="B2818" s="2" t="str">
        <f>HYPERLINK("https://leetcode.com/problems/minimum-unique-word-abbreviation/", "Minimum Unique Word Abbreviation")</f>
        <v>Minimum Unique Word Abbreviation</v>
      </c>
      <c r="C2818" s="1">
        <v>183</v>
      </c>
      <c r="D2818" s="1">
        <v>146</v>
      </c>
      <c r="E2818" s="3">
        <f t="shared" si="22"/>
        <v>0.55623100303951367</v>
      </c>
      <c r="F2818" s="1" t="s">
        <v>282</v>
      </c>
      <c r="G2818" s="1" t="s">
        <v>28</v>
      </c>
      <c r="H2818" s="1">
        <v>15587</v>
      </c>
      <c r="I2818" s="1">
        <v>38632</v>
      </c>
      <c r="J2818" s="7">
        <v>0.40300000000000002</v>
      </c>
      <c r="K2818" s="1" t="s">
        <v>29</v>
      </c>
      <c r="L2818" s="1" t="s">
        <v>29</v>
      </c>
      <c r="M2818" s="1" t="s">
        <v>29</v>
      </c>
      <c r="N2818" s="1" t="s">
        <v>22</v>
      </c>
      <c r="O2818" s="1" t="str">
        <f t="shared" ca="1" si="23"/>
        <v>Please solve the LeetCode problem '411. Minimum Unique Word Abbreviation'.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19" spans="1:15" x14ac:dyDescent="0.25">
      <c r="A2819" s="1">
        <v>2851</v>
      </c>
      <c r="B2819" s="2" t="str">
        <f>HYPERLINK("https://leetcode.com/problems/string-transformation/", "String Transformation")</f>
        <v>String Transformation</v>
      </c>
      <c r="C2819" s="1">
        <v>183</v>
      </c>
      <c r="D2819" s="1">
        <v>49</v>
      </c>
      <c r="E2819" s="3">
        <f t="shared" si="22"/>
        <v>0.78879310344827591</v>
      </c>
      <c r="F2819" s="1" t="s">
        <v>1109</v>
      </c>
      <c r="G2819" s="1" t="s">
        <v>28</v>
      </c>
      <c r="H2819" s="1">
        <v>6671</v>
      </c>
      <c r="I2819" s="1">
        <v>25168</v>
      </c>
      <c r="J2819" s="7">
        <v>0.26500000000000001</v>
      </c>
      <c r="K2819" s="1" t="s">
        <v>21</v>
      </c>
      <c r="L2819" s="1" t="s">
        <v>29</v>
      </c>
      <c r="M2819" s="1" t="s">
        <v>29</v>
      </c>
      <c r="N2819" s="1" t="s">
        <v>22</v>
      </c>
      <c r="O2819" s="1" t="str">
        <f t="shared" ca="1" si="23"/>
        <v>Please solve the LeetCode problem '2851. String Transformation'.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20" spans="1:15" x14ac:dyDescent="0.25">
      <c r="A2820" s="1">
        <v>3001</v>
      </c>
      <c r="B2820" s="2" t="str">
        <f>HYPERLINK("https://leetcode.com/problems/minimum-moves-to-capture-the-queen/", "Minimum Moves to Capture The Queen")</f>
        <v>Minimum Moves to Capture The Queen</v>
      </c>
      <c r="C2820" s="1">
        <v>183</v>
      </c>
      <c r="D2820" s="1">
        <v>206</v>
      </c>
      <c r="E2820" s="3">
        <f t="shared" si="22"/>
        <v>0.4704370179948586</v>
      </c>
      <c r="F2820" s="1" t="s">
        <v>602</v>
      </c>
      <c r="G2820" s="1" t="s">
        <v>24</v>
      </c>
      <c r="H2820" s="1">
        <v>22186</v>
      </c>
      <c r="I2820" s="1">
        <v>100250</v>
      </c>
      <c r="J2820" s="7">
        <v>0.221</v>
      </c>
      <c r="K2820" s="1" t="s">
        <v>21</v>
      </c>
      <c r="L2820" s="1" t="s">
        <v>29</v>
      </c>
      <c r="M2820" s="1" t="s">
        <v>29</v>
      </c>
      <c r="N2820" s="1" t="s">
        <v>22</v>
      </c>
      <c r="O2820" s="1" t="str">
        <f t="shared" ca="1" si="23"/>
        <v>Please solve the LeetCode problem '3001. Minimum Moves to Capture The Queen'.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21" spans="1:15" x14ac:dyDescent="0.25">
      <c r="A2821" s="1">
        <v>2860</v>
      </c>
      <c r="B2821" s="2" t="str">
        <f>HYPERLINK("https://leetcode.com/problems/happy-students/", "Happy Students")</f>
        <v>Happy Students</v>
      </c>
      <c r="C2821" s="1">
        <v>182</v>
      </c>
      <c r="D2821" s="1">
        <v>309</v>
      </c>
      <c r="E2821" s="3">
        <f t="shared" si="22"/>
        <v>0.37067209775967414</v>
      </c>
      <c r="F2821" s="1" t="s">
        <v>913</v>
      </c>
      <c r="G2821" s="1" t="s">
        <v>24</v>
      </c>
      <c r="H2821" s="1">
        <v>25062</v>
      </c>
      <c r="I2821" s="1">
        <v>49414</v>
      </c>
      <c r="J2821" s="7">
        <v>0.50700000000000001</v>
      </c>
      <c r="K2821" s="1" t="s">
        <v>21</v>
      </c>
      <c r="L2821" s="1" t="s">
        <v>29</v>
      </c>
      <c r="M2821" s="1" t="s">
        <v>29</v>
      </c>
      <c r="N2821" s="1" t="s">
        <v>22</v>
      </c>
      <c r="O2821" s="1" t="str">
        <f t="shared" ca="1" si="23"/>
        <v>Please solve the LeetCode problem '2860. Happy Students'.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22" spans="1:15" x14ac:dyDescent="0.25">
      <c r="A2822" s="1">
        <v>2932</v>
      </c>
      <c r="B2822" s="2" t="str">
        <f>HYPERLINK("https://leetcode.com/problems/maximum-strong-pair-xor-i/", "Maximum Strong Pair XOR I")</f>
        <v>Maximum Strong Pair XOR I</v>
      </c>
      <c r="C2822" s="1">
        <v>182</v>
      </c>
      <c r="D2822" s="1">
        <v>27</v>
      </c>
      <c r="E2822" s="3">
        <f t="shared" si="22"/>
        <v>0.87081339712918659</v>
      </c>
      <c r="F2822" s="1" t="s">
        <v>1087</v>
      </c>
      <c r="G2822" s="1" t="s">
        <v>20</v>
      </c>
      <c r="H2822" s="1">
        <v>56047</v>
      </c>
      <c r="I2822" s="1">
        <v>73967</v>
      </c>
      <c r="J2822" s="7">
        <v>0.75800000000000001</v>
      </c>
      <c r="K2822" s="1" t="s">
        <v>21</v>
      </c>
      <c r="L2822" s="1" t="s">
        <v>29</v>
      </c>
      <c r="M2822" s="1" t="s">
        <v>29</v>
      </c>
      <c r="N2822" s="1" t="s">
        <v>22</v>
      </c>
      <c r="O2822" s="1" t="str">
        <f t="shared" ca="1" si="23"/>
        <v>Please solve the LeetCode problem '2932. Maximum Strong Pair XOR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23" spans="1:15" x14ac:dyDescent="0.25">
      <c r="A2823" s="1">
        <v>3093</v>
      </c>
      <c r="B2823" s="2" t="str">
        <f>HYPERLINK("https://leetcode.com/problems/longest-common-suffix-queries/", "Longest Common Suffix Queries")</f>
        <v>Longest Common Suffix Queries</v>
      </c>
      <c r="C2823" s="1">
        <v>182</v>
      </c>
      <c r="D2823" s="1">
        <v>21</v>
      </c>
      <c r="E2823" s="3">
        <f t="shared" si="22"/>
        <v>0.89655172413793105</v>
      </c>
      <c r="F2823" s="1" t="s">
        <v>54</v>
      </c>
      <c r="G2823" s="1" t="s">
        <v>28</v>
      </c>
      <c r="H2823" s="1">
        <v>13741</v>
      </c>
      <c r="I2823" s="1">
        <v>38292</v>
      </c>
      <c r="J2823" s="7">
        <v>0.35899999999999999</v>
      </c>
      <c r="K2823" s="1" t="s">
        <v>21</v>
      </c>
      <c r="L2823" s="1" t="s">
        <v>29</v>
      </c>
      <c r="M2823" s="1" t="s">
        <v>29</v>
      </c>
      <c r="N2823" s="1" t="s">
        <v>22</v>
      </c>
      <c r="O2823" s="1" t="str">
        <f t="shared" ca="1" si="23"/>
        <v>Please solve the LeetCode problem '3093. Longest Common Suffix Queries'.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24" spans="1:15" x14ac:dyDescent="0.25">
      <c r="A2824" s="1">
        <v>591</v>
      </c>
      <c r="B2824" s="2" t="str">
        <f>HYPERLINK("https://leetcode.com/problems/tag-validator/", "Tag Validator")</f>
        <v>Tag Validator</v>
      </c>
      <c r="C2824" s="1">
        <v>181</v>
      </c>
      <c r="D2824" s="1">
        <v>653</v>
      </c>
      <c r="E2824" s="3">
        <f t="shared" si="22"/>
        <v>0.2170263788968825</v>
      </c>
      <c r="F2824" s="1" t="s">
        <v>36</v>
      </c>
      <c r="G2824" s="1" t="s">
        <v>28</v>
      </c>
      <c r="H2824" s="1">
        <v>19945</v>
      </c>
      <c r="I2824" s="1">
        <v>49676</v>
      </c>
      <c r="J2824" s="7">
        <v>0.40200000000000002</v>
      </c>
      <c r="K2824" s="1" t="s">
        <v>21</v>
      </c>
      <c r="L2824" s="1" t="s">
        <v>21</v>
      </c>
      <c r="M2824" s="1" t="s">
        <v>29</v>
      </c>
      <c r="N2824" s="1" t="s">
        <v>22</v>
      </c>
      <c r="O2824" s="1" t="str">
        <f t="shared" ca="1" si="23"/>
        <v>Please solve the LeetCode problem '591. Tag Validator'.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25" spans="1:15" x14ac:dyDescent="0.25">
      <c r="A2825" s="1">
        <v>770</v>
      </c>
      <c r="B2825" s="2" t="str">
        <f>HYPERLINK("https://leetcode.com/problems/basic-calculator-iv/", "Basic Calculator IV")</f>
        <v>Basic Calculator IV</v>
      </c>
      <c r="C2825" s="1">
        <v>181</v>
      </c>
      <c r="D2825" s="1">
        <v>1444</v>
      </c>
      <c r="E2825" s="3">
        <f t="shared" si="22"/>
        <v>0.11138461538461539</v>
      </c>
      <c r="F2825" s="1" t="s">
        <v>1110</v>
      </c>
      <c r="G2825" s="1" t="s">
        <v>28</v>
      </c>
      <c r="H2825" s="1">
        <v>15738</v>
      </c>
      <c r="I2825" s="1">
        <v>31724</v>
      </c>
      <c r="J2825" s="7">
        <v>0.496</v>
      </c>
      <c r="K2825" s="1" t="s">
        <v>21</v>
      </c>
      <c r="L2825" s="1" t="s">
        <v>21</v>
      </c>
      <c r="M2825" s="1" t="s">
        <v>29</v>
      </c>
      <c r="N2825" s="1" t="s">
        <v>22</v>
      </c>
      <c r="O2825" s="1" t="str">
        <f t="shared" ca="1" si="23"/>
        <v>Please solve the LeetCode problem '770. Basic Calculator IV'.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26" spans="1:15" x14ac:dyDescent="0.25">
      <c r="A2826" s="1">
        <v>2913</v>
      </c>
      <c r="B2826" s="2" t="str">
        <f>HYPERLINK("https://leetcode.com/problems/subarrays-distinct-element-sum-of-squares-i/", "Subarrays Distinct Element Sum of Squares I")</f>
        <v>Subarrays Distinct Element Sum of Squares I</v>
      </c>
      <c r="C2826" s="1">
        <v>180</v>
      </c>
      <c r="D2826" s="1">
        <v>36</v>
      </c>
      <c r="E2826" s="3">
        <f t="shared" si="22"/>
        <v>0.83333333333333337</v>
      </c>
      <c r="F2826" s="1" t="s">
        <v>19</v>
      </c>
      <c r="G2826" s="1" t="s">
        <v>20</v>
      </c>
      <c r="H2826" s="1">
        <v>43307</v>
      </c>
      <c r="I2826" s="1">
        <v>54091</v>
      </c>
      <c r="J2826" s="7">
        <v>0.80100000000000005</v>
      </c>
      <c r="K2826" s="1" t="s">
        <v>21</v>
      </c>
      <c r="L2826" s="1" t="s">
        <v>29</v>
      </c>
      <c r="M2826" s="1" t="s">
        <v>29</v>
      </c>
      <c r="N2826" s="1" t="s">
        <v>22</v>
      </c>
      <c r="O2826" s="1" t="str">
        <f t="shared" ca="1" si="23"/>
        <v>Please solve the LeetCode problem '2913. Subarrays Distinct Element Sum of Squares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27" spans="1:15" x14ac:dyDescent="0.25">
      <c r="A2827" s="1">
        <v>1958</v>
      </c>
      <c r="B2827" s="2" t="str">
        <f>HYPERLINK("https://leetcode.com/problems/check-if-move-is-legal/", "Check if Move is Legal")</f>
        <v>Check if Move is Legal</v>
      </c>
      <c r="C2827" s="1">
        <v>179</v>
      </c>
      <c r="D2827" s="1">
        <v>283</v>
      </c>
      <c r="E2827" s="3">
        <f t="shared" si="22"/>
        <v>0.38744588744588743</v>
      </c>
      <c r="F2827" s="1" t="s">
        <v>982</v>
      </c>
      <c r="G2827" s="1" t="s">
        <v>24</v>
      </c>
      <c r="H2827" s="1">
        <v>17824</v>
      </c>
      <c r="I2827" s="1">
        <v>35726</v>
      </c>
      <c r="J2827" s="7">
        <v>0.499</v>
      </c>
      <c r="K2827" s="1" t="s">
        <v>21</v>
      </c>
      <c r="L2827" s="1" t="s">
        <v>29</v>
      </c>
      <c r="M2827" s="1" t="s">
        <v>29</v>
      </c>
      <c r="N2827" s="1" t="s">
        <v>22</v>
      </c>
      <c r="O2827" s="1" t="str">
        <f t="shared" ca="1" si="23"/>
        <v>Please solve the LeetCode problem '1958. Check if Move is Legal'.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28" spans="1:15" x14ac:dyDescent="0.25">
      <c r="A2828" s="1">
        <v>2345</v>
      </c>
      <c r="B2828" s="2" t="str">
        <f>HYPERLINK("https://leetcode.com/problems/finding-the-number-of-visible-mountains/", "Finding the Number of Visible Mountains")</f>
        <v>Finding the Number of Visible Mountains</v>
      </c>
      <c r="C2828" s="1">
        <v>179</v>
      </c>
      <c r="D2828" s="1">
        <v>80</v>
      </c>
      <c r="E2828" s="3">
        <f t="shared" si="22"/>
        <v>0.69111969111969107</v>
      </c>
      <c r="F2828" s="1" t="s">
        <v>299</v>
      </c>
      <c r="G2828" s="1" t="s">
        <v>24</v>
      </c>
      <c r="H2828" s="1">
        <v>12657</v>
      </c>
      <c r="I2828" s="1">
        <v>34150</v>
      </c>
      <c r="J2828" s="7">
        <v>0.371</v>
      </c>
      <c r="K2828" s="1" t="s">
        <v>29</v>
      </c>
      <c r="L2828" s="1" t="s">
        <v>29</v>
      </c>
      <c r="M2828" s="1" t="s">
        <v>29</v>
      </c>
      <c r="N2828" s="1" t="s">
        <v>22</v>
      </c>
      <c r="O2828" s="1" t="str">
        <f t="shared" ca="1" si="23"/>
        <v>Please solve the LeetCode problem '2345. Finding the Number of Visible Mountains'.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29" spans="1:15" x14ac:dyDescent="0.25">
      <c r="A2829" s="1">
        <v>3193</v>
      </c>
      <c r="B2829" s="2" t="str">
        <f>HYPERLINK("https://leetcode.com/problems/count-the-number-of-inversions/", "Count the Number of Inversions")</f>
        <v>Count the Number of Inversions</v>
      </c>
      <c r="C2829" s="1">
        <v>179</v>
      </c>
      <c r="D2829" s="1">
        <v>34</v>
      </c>
      <c r="E2829" s="3">
        <f t="shared" si="22"/>
        <v>0.84037558685446012</v>
      </c>
      <c r="F2829" s="1" t="s">
        <v>30</v>
      </c>
      <c r="G2829" s="1" t="s">
        <v>28</v>
      </c>
      <c r="H2829" s="1">
        <v>9542</v>
      </c>
      <c r="I2829" s="1">
        <v>32571</v>
      </c>
      <c r="J2829" s="7">
        <v>0.29299999999999998</v>
      </c>
      <c r="K2829" s="1" t="s">
        <v>21</v>
      </c>
      <c r="L2829" s="1" t="s">
        <v>29</v>
      </c>
      <c r="M2829" s="1" t="s">
        <v>29</v>
      </c>
      <c r="N2829" s="1" t="s">
        <v>22</v>
      </c>
      <c r="O2829" s="1" t="str">
        <f t="shared" ca="1" si="23"/>
        <v>Please solve the LeetCode problem '3193. Count the Number of Inversions'.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30" spans="1:15" x14ac:dyDescent="0.25">
      <c r="A2830" s="1">
        <v>3249</v>
      </c>
      <c r="B2830" s="2" t="str">
        <f>HYPERLINK("https://leetcode.com/problems/count-the-number-of-good-nodes/", "Count the Number of Good Nodes")</f>
        <v>Count the Number of Good Nodes</v>
      </c>
      <c r="C2830" s="1">
        <v>177</v>
      </c>
      <c r="D2830" s="1">
        <v>47</v>
      </c>
      <c r="E2830" s="3">
        <f t="shared" si="22"/>
        <v>0.7901785714285714</v>
      </c>
      <c r="F2830" s="1" t="s">
        <v>726</v>
      </c>
      <c r="G2830" s="1" t="s">
        <v>24</v>
      </c>
      <c r="H2830" s="1">
        <v>30586</v>
      </c>
      <c r="I2830" s="1">
        <v>55415</v>
      </c>
      <c r="J2830" s="7">
        <v>0.55200000000000005</v>
      </c>
      <c r="K2830" s="1" t="s">
        <v>21</v>
      </c>
      <c r="L2830" s="1" t="s">
        <v>29</v>
      </c>
      <c r="M2830" s="1" t="s">
        <v>29</v>
      </c>
      <c r="N2830" s="1" t="s">
        <v>22</v>
      </c>
      <c r="O2830" s="1" t="str">
        <f t="shared" ca="1" si="23"/>
        <v>Please solve the LeetCode problem '3249. Count the Number of Good Nodes'.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31" spans="1:15" x14ac:dyDescent="0.25">
      <c r="A2831" s="1">
        <v>3266</v>
      </c>
      <c r="B2831" s="2" t="str">
        <f>HYPERLINK("https://leetcode.com/problems/final-array-state-after-k-multiplication-operations-ii/", "Final Array State After K Multiplication Operations II")</f>
        <v>Final Array State After K Multiplication Operations II</v>
      </c>
      <c r="C2831" s="1">
        <v>177</v>
      </c>
      <c r="D2831" s="1">
        <v>23</v>
      </c>
      <c r="E2831" s="3">
        <f t="shared" si="22"/>
        <v>0.88500000000000001</v>
      </c>
      <c r="F2831" s="1" t="s">
        <v>751</v>
      </c>
      <c r="G2831" s="1" t="s">
        <v>28</v>
      </c>
      <c r="H2831" s="1">
        <v>10943</v>
      </c>
      <c r="I2831" s="1">
        <v>84915</v>
      </c>
      <c r="J2831" s="7">
        <v>0.129</v>
      </c>
      <c r="K2831" s="1" t="s">
        <v>21</v>
      </c>
      <c r="L2831" s="1" t="s">
        <v>29</v>
      </c>
      <c r="M2831" s="1" t="s">
        <v>29</v>
      </c>
      <c r="N2831" s="1" t="s">
        <v>22</v>
      </c>
      <c r="O2831" s="1" t="str">
        <f t="shared" ca="1" si="23"/>
        <v>Please solve the LeetCode problem '3266. Final Array State After K Multiplication Operations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32" spans="1:15" x14ac:dyDescent="0.25">
      <c r="A2832" s="1">
        <v>3041</v>
      </c>
      <c r="B2832" s="2" t="str">
        <f>HYPERLINK("https://leetcode.com/problems/maximize-consecutive-elements-in-an-array-after-modification/", "Maximize Consecutive Elements in an Array After Modification")</f>
        <v>Maximize Consecutive Elements in an Array After Modification</v>
      </c>
      <c r="C2832" s="1">
        <v>176</v>
      </c>
      <c r="D2832" s="1">
        <v>9</v>
      </c>
      <c r="E2832" s="3">
        <f t="shared" si="22"/>
        <v>0.9513513513513514</v>
      </c>
      <c r="F2832" s="1" t="s">
        <v>270</v>
      </c>
      <c r="G2832" s="1" t="s">
        <v>28</v>
      </c>
      <c r="H2832" s="1">
        <v>10939</v>
      </c>
      <c r="I2832" s="1">
        <v>32803</v>
      </c>
      <c r="J2832" s="7">
        <v>0.33300000000000002</v>
      </c>
      <c r="K2832" s="1" t="s">
        <v>21</v>
      </c>
      <c r="L2832" s="1" t="s">
        <v>29</v>
      </c>
      <c r="M2832" s="1" t="s">
        <v>29</v>
      </c>
      <c r="N2832" s="1" t="s">
        <v>22</v>
      </c>
      <c r="O2832" s="1" t="str">
        <f t="shared" ca="1" si="23"/>
        <v>Please solve the LeetCode problem '3041. Maximize Consecutive Elements in an Array After Modification'.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33" spans="1:15" x14ac:dyDescent="0.25">
      <c r="A2833" s="1">
        <v>3121</v>
      </c>
      <c r="B2833" s="2" t="str">
        <f>HYPERLINK("https://leetcode.com/problems/count-the-number-of-special-characters-ii/", "Count the Number of Special Characters II")</f>
        <v>Count the Number of Special Characters II</v>
      </c>
      <c r="C2833" s="1">
        <v>176</v>
      </c>
      <c r="D2833" s="1">
        <v>16</v>
      </c>
      <c r="E2833" s="3">
        <f t="shared" si="22"/>
        <v>0.91666666666666663</v>
      </c>
      <c r="F2833" s="1" t="s">
        <v>131</v>
      </c>
      <c r="G2833" s="1" t="s">
        <v>24</v>
      </c>
      <c r="H2833" s="1">
        <v>40133</v>
      </c>
      <c r="I2833" s="1">
        <v>93156</v>
      </c>
      <c r="J2833" s="7">
        <v>0.43099999999999999</v>
      </c>
      <c r="K2833" s="1" t="s">
        <v>21</v>
      </c>
      <c r="L2833" s="1" t="s">
        <v>29</v>
      </c>
      <c r="M2833" s="1" t="s">
        <v>29</v>
      </c>
      <c r="N2833" s="1" t="s">
        <v>22</v>
      </c>
      <c r="O2833" s="1" t="str">
        <f t="shared" ca="1" si="23"/>
        <v>Please solve the LeetCode problem '3121. Count the Number of Special Characters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34" spans="1:15" x14ac:dyDescent="0.25">
      <c r="A2834" s="1">
        <v>3134</v>
      </c>
      <c r="B2834" s="2" t="str">
        <f>HYPERLINK("https://leetcode.com/problems/find-the-median-of-the-uniqueness-array/", "Find the Median of the Uniqueness Array")</f>
        <v>Find the Median of the Uniqueness Array</v>
      </c>
      <c r="C2834" s="1">
        <v>176</v>
      </c>
      <c r="D2834" s="1">
        <v>13</v>
      </c>
      <c r="E2834" s="3">
        <f t="shared" si="22"/>
        <v>0.93121693121693117</v>
      </c>
      <c r="F2834" s="1" t="s">
        <v>503</v>
      </c>
      <c r="G2834" s="1" t="s">
        <v>28</v>
      </c>
      <c r="H2834" s="1">
        <v>8589</v>
      </c>
      <c r="I2834" s="1">
        <v>28935</v>
      </c>
      <c r="J2834" s="7">
        <v>0.29699999999999999</v>
      </c>
      <c r="K2834" s="1" t="s">
        <v>21</v>
      </c>
      <c r="L2834" s="1" t="s">
        <v>29</v>
      </c>
      <c r="M2834" s="1" t="s">
        <v>29</v>
      </c>
      <c r="N2834" s="1" t="s">
        <v>22</v>
      </c>
      <c r="O2834" s="1" t="str">
        <f t="shared" ca="1" si="23"/>
        <v>Please solve the LeetCode problem '3134. Find the Median of the Uniqueness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35" spans="1:15" x14ac:dyDescent="0.25">
      <c r="A2835" s="1">
        <v>3660</v>
      </c>
      <c r="B2835" s="2" t="str">
        <f>HYPERLINK("https://leetcode.com/problems/jump-game-ix/", "Jump Game IX")</f>
        <v>Jump Game IX</v>
      </c>
      <c r="C2835" s="1">
        <v>176</v>
      </c>
      <c r="D2835" s="1">
        <v>13</v>
      </c>
      <c r="E2835" s="3">
        <f t="shared" si="22"/>
        <v>0.93121693121693117</v>
      </c>
      <c r="F2835" s="1" t="s">
        <v>30</v>
      </c>
      <c r="G2835" s="1" t="s">
        <v>24</v>
      </c>
      <c r="H2835" s="1">
        <v>13910</v>
      </c>
      <c r="I2835" s="1">
        <v>64966</v>
      </c>
      <c r="J2835" s="7">
        <v>0.214</v>
      </c>
      <c r="K2835" s="1" t="s">
        <v>21</v>
      </c>
      <c r="L2835" s="1" t="s">
        <v>29</v>
      </c>
      <c r="M2835" s="1" t="s">
        <v>29</v>
      </c>
      <c r="N2835" s="1" t="s">
        <v>22</v>
      </c>
      <c r="O2835" s="1" t="str">
        <f t="shared" ca="1" si="23"/>
        <v>Please solve the LeetCode problem '3660. Jump Game IX'.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36" spans="1:15" x14ac:dyDescent="0.25">
      <c r="A2836" s="1">
        <v>1093</v>
      </c>
      <c r="B2836" s="2" t="str">
        <f>HYPERLINK("https://leetcode.com/problems/statistics-from-a-large-sample/", "Statistics from a Large Sample")</f>
        <v>Statistics from a Large Sample</v>
      </c>
      <c r="C2836" s="1">
        <v>175</v>
      </c>
      <c r="D2836" s="1">
        <v>109</v>
      </c>
      <c r="E2836" s="3">
        <f t="shared" si="22"/>
        <v>0.61619718309859151</v>
      </c>
      <c r="F2836" s="1" t="s">
        <v>1112</v>
      </c>
      <c r="G2836" s="1" t="s">
        <v>24</v>
      </c>
      <c r="H2836" s="1">
        <v>25348</v>
      </c>
      <c r="I2836" s="1">
        <v>59157</v>
      </c>
      <c r="J2836" s="7">
        <v>0.42799999999999999</v>
      </c>
      <c r="K2836" s="1" t="s">
        <v>21</v>
      </c>
      <c r="L2836" s="1" t="s">
        <v>29</v>
      </c>
      <c r="M2836" s="1" t="s">
        <v>29</v>
      </c>
      <c r="N2836" s="1" t="s">
        <v>22</v>
      </c>
      <c r="O2836" s="1" t="str">
        <f t="shared" ca="1" si="23"/>
        <v>Please solve the LeetCode problem '1093. Statistics from a Large Sample'.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37" spans="1:15" x14ac:dyDescent="0.25">
      <c r="A2837" s="1">
        <v>3132</v>
      </c>
      <c r="B2837" s="2" t="str">
        <f>HYPERLINK("https://leetcode.com/problems/find-the-integer-added-to-array-ii/", "Find the Integer Added to Array II")</f>
        <v>Find the Integer Added to Array II</v>
      </c>
      <c r="C2837" s="1">
        <v>175</v>
      </c>
      <c r="D2837" s="1">
        <v>43</v>
      </c>
      <c r="E2837" s="3">
        <f t="shared" si="22"/>
        <v>0.80275229357798161</v>
      </c>
      <c r="F2837" s="1" t="s">
        <v>1111</v>
      </c>
      <c r="G2837" s="1" t="s">
        <v>24</v>
      </c>
      <c r="H2837" s="1">
        <v>25606</v>
      </c>
      <c r="I2837" s="1">
        <v>78270</v>
      </c>
      <c r="J2837" s="7">
        <v>0.32700000000000001</v>
      </c>
      <c r="K2837" s="1" t="s">
        <v>21</v>
      </c>
      <c r="L2837" s="1" t="s">
        <v>29</v>
      </c>
      <c r="M2837" s="1" t="s">
        <v>29</v>
      </c>
      <c r="N2837" s="1" t="s">
        <v>22</v>
      </c>
      <c r="O2837" s="1" t="str">
        <f t="shared" ca="1" si="23"/>
        <v>Please solve the LeetCode problem '3132. Find the Integer Added to Array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38" spans="1:15" x14ac:dyDescent="0.25">
      <c r="A2838" s="1">
        <v>3259</v>
      </c>
      <c r="B2838" s="2" t="str">
        <f>HYPERLINK("https://leetcode.com/problems/maximum-energy-boost-from-two-drinks/", "Maximum Energy Boost From Two Drinks")</f>
        <v>Maximum Energy Boost From Two Drinks</v>
      </c>
      <c r="C2838" s="1">
        <v>175</v>
      </c>
      <c r="D2838" s="1">
        <v>13</v>
      </c>
      <c r="E2838" s="3">
        <f t="shared" si="22"/>
        <v>0.93085106382978722</v>
      </c>
      <c r="F2838" s="1" t="s">
        <v>30</v>
      </c>
      <c r="G2838" s="1" t="s">
        <v>24</v>
      </c>
      <c r="H2838" s="1">
        <v>34982</v>
      </c>
      <c r="I2838" s="1">
        <v>70160</v>
      </c>
      <c r="J2838" s="7">
        <v>0.499</v>
      </c>
      <c r="K2838" s="1" t="s">
        <v>21</v>
      </c>
      <c r="L2838" s="1" t="s">
        <v>29</v>
      </c>
      <c r="M2838" s="1" t="s">
        <v>29</v>
      </c>
      <c r="N2838" s="1" t="s">
        <v>22</v>
      </c>
      <c r="O2838" s="1" t="str">
        <f t="shared" ca="1" si="23"/>
        <v>Please solve the LeetCode problem '3259. Maximum Energy Boost From Two Drinks'.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39" spans="1:15" x14ac:dyDescent="0.25">
      <c r="A2839" s="1">
        <v>1176</v>
      </c>
      <c r="B2839" s="2" t="str">
        <f>HYPERLINK("https://leetcode.com/problems/diet-plan-performance/", "Diet Plan Performance")</f>
        <v>Diet Plan Performance</v>
      </c>
      <c r="C2839" s="1">
        <v>174</v>
      </c>
      <c r="D2839" s="1">
        <v>296</v>
      </c>
      <c r="E2839" s="3">
        <f t="shared" si="22"/>
        <v>0.37021276595744679</v>
      </c>
      <c r="F2839" s="1" t="s">
        <v>295</v>
      </c>
      <c r="G2839" s="1" t="s">
        <v>20</v>
      </c>
      <c r="H2839" s="1">
        <v>41007</v>
      </c>
      <c r="I2839" s="1">
        <v>73601</v>
      </c>
      <c r="J2839" s="7">
        <v>0.55700000000000005</v>
      </c>
      <c r="K2839" s="1" t="s">
        <v>29</v>
      </c>
      <c r="L2839" s="1" t="s">
        <v>21</v>
      </c>
      <c r="M2839" s="1" t="s">
        <v>29</v>
      </c>
      <c r="N2839" s="1" t="s">
        <v>22</v>
      </c>
      <c r="O2839" s="1" t="str">
        <f t="shared" ca="1" si="23"/>
        <v>Please solve the LeetCode problem '1176. Diet Plan Performance'.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40" spans="1:15" x14ac:dyDescent="0.25">
      <c r="A2840" s="1">
        <v>2046</v>
      </c>
      <c r="B2840" s="2" t="str">
        <f>HYPERLINK("https://leetcode.com/problems/sort-linked-list-already-sorted-using-absolute-values/", "Sort Linked List Already Sorted Using Absolute Values")</f>
        <v>Sort Linked List Already Sorted Using Absolute Values</v>
      </c>
      <c r="C2840" s="1">
        <v>174</v>
      </c>
      <c r="D2840" s="1">
        <v>3</v>
      </c>
      <c r="E2840" s="3">
        <f t="shared" si="22"/>
        <v>0.98305084745762716</v>
      </c>
      <c r="F2840" s="1" t="s">
        <v>1117</v>
      </c>
      <c r="G2840" s="1" t="s">
        <v>24</v>
      </c>
      <c r="H2840" s="1">
        <v>11025</v>
      </c>
      <c r="I2840" s="1">
        <v>16441</v>
      </c>
      <c r="J2840" s="7">
        <v>0.67100000000000004</v>
      </c>
      <c r="K2840" s="1" t="s">
        <v>29</v>
      </c>
      <c r="L2840" s="1" t="s">
        <v>29</v>
      </c>
      <c r="M2840" s="1" t="s">
        <v>29</v>
      </c>
      <c r="N2840" s="1" t="s">
        <v>22</v>
      </c>
      <c r="O2840" s="1" t="str">
        <f t="shared" ca="1" si="23"/>
        <v>Please solve the LeetCode problem '2046. Sort Linked List Already Sorted Using Absolute Values'.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41" spans="1:15" x14ac:dyDescent="0.25">
      <c r="A2841" s="1">
        <v>2947</v>
      </c>
      <c r="B2841" s="2" t="str">
        <f>HYPERLINK("https://leetcode.com/problems/count-beautiful-substrings-i/", "Count Beautiful Substrings I")</f>
        <v>Count Beautiful Substrings I</v>
      </c>
      <c r="C2841" s="1">
        <v>174</v>
      </c>
      <c r="D2841" s="1">
        <v>16</v>
      </c>
      <c r="E2841" s="3">
        <f t="shared" si="22"/>
        <v>0.91578947368421049</v>
      </c>
      <c r="F2841" s="1" t="s">
        <v>1113</v>
      </c>
      <c r="G2841" s="1" t="s">
        <v>24</v>
      </c>
      <c r="H2841" s="1">
        <v>27447</v>
      </c>
      <c r="I2841" s="1">
        <v>45264</v>
      </c>
      <c r="J2841" s="7">
        <v>0.60599999999999998</v>
      </c>
      <c r="K2841" s="1" t="s">
        <v>21</v>
      </c>
      <c r="L2841" s="1" t="s">
        <v>29</v>
      </c>
      <c r="M2841" s="1" t="s">
        <v>29</v>
      </c>
      <c r="N2841" s="1" t="s">
        <v>22</v>
      </c>
      <c r="O2841" s="1" t="str">
        <f t="shared" ca="1" si="23"/>
        <v>Please solve the LeetCode problem '2947. Count Beautiful Substrings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42" spans="1:15" x14ac:dyDescent="0.25">
      <c r="A2842" s="1">
        <v>3159</v>
      </c>
      <c r="B2842" s="2" t="str">
        <f>HYPERLINK("https://leetcode.com/problems/find-occurrences-of-an-element-in-an-array/", "Find Occurrences of an Element in an Array")</f>
        <v>Find Occurrences of an Element in an Array</v>
      </c>
      <c r="C2842" s="1">
        <v>174</v>
      </c>
      <c r="D2842" s="1">
        <v>25</v>
      </c>
      <c r="E2842" s="3">
        <f t="shared" si="22"/>
        <v>0.87437185929648242</v>
      </c>
      <c r="F2842" s="1" t="s">
        <v>19</v>
      </c>
      <c r="G2842" s="1" t="s">
        <v>24</v>
      </c>
      <c r="H2842" s="1">
        <v>55589</v>
      </c>
      <c r="I2842" s="1">
        <v>75942</v>
      </c>
      <c r="J2842" s="7">
        <v>0.73199999999999998</v>
      </c>
      <c r="K2842" s="1" t="s">
        <v>21</v>
      </c>
      <c r="L2842" s="1" t="s">
        <v>29</v>
      </c>
      <c r="M2842" s="1" t="s">
        <v>29</v>
      </c>
      <c r="N2842" s="1" t="s">
        <v>22</v>
      </c>
      <c r="O2842" s="1" t="str">
        <f t="shared" ca="1" si="23"/>
        <v>Please solve the LeetCode problem '3159. Find Occurrences of an Element in an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43" spans="1:15" x14ac:dyDescent="0.25">
      <c r="A2843" s="1">
        <v>1183</v>
      </c>
      <c r="B2843" s="2" t="str">
        <f>HYPERLINK("https://leetcode.com/problems/maximum-number-of-ones/", "Maximum Number of Ones")</f>
        <v>Maximum Number of Ones</v>
      </c>
      <c r="C2843" s="1">
        <v>173</v>
      </c>
      <c r="D2843" s="1">
        <v>35</v>
      </c>
      <c r="E2843" s="3">
        <f t="shared" si="22"/>
        <v>0.83173076923076927</v>
      </c>
      <c r="F2843" s="1" t="s">
        <v>1118</v>
      </c>
      <c r="G2843" s="1" t="s">
        <v>28</v>
      </c>
      <c r="H2843" s="1">
        <v>7599</v>
      </c>
      <c r="I2843" s="1">
        <v>10789</v>
      </c>
      <c r="J2843" s="7">
        <v>0.70399999999999996</v>
      </c>
      <c r="K2843" s="1" t="s">
        <v>29</v>
      </c>
      <c r="L2843" s="1" t="s">
        <v>21</v>
      </c>
      <c r="M2843" s="1" t="s">
        <v>29</v>
      </c>
      <c r="N2843" s="1" t="s">
        <v>22</v>
      </c>
      <c r="O2843" s="1" t="str">
        <f t="shared" ca="1" si="23"/>
        <v>Please solve the LeetCode problem '1183. Maximum Number of Ones'.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44" spans="1:15" x14ac:dyDescent="0.25">
      <c r="A2844" s="1">
        <v>1634</v>
      </c>
      <c r="B2844" s="2" t="str">
        <f>HYPERLINK("https://leetcode.com/problems/add-two-polynomials-represented-as-linked-lists/", "Add Two Polynomials Represented as Linked Lists")</f>
        <v>Add Two Polynomials Represented as Linked Lists</v>
      </c>
      <c r="C2844" s="1">
        <v>173</v>
      </c>
      <c r="D2844" s="1">
        <v>14</v>
      </c>
      <c r="E2844" s="3">
        <f t="shared" si="22"/>
        <v>0.92513368983957223</v>
      </c>
      <c r="F2844" s="1" t="s">
        <v>1119</v>
      </c>
      <c r="G2844" s="1" t="s">
        <v>24</v>
      </c>
      <c r="H2844" s="1">
        <v>16285</v>
      </c>
      <c r="I2844" s="1">
        <v>26726</v>
      </c>
      <c r="J2844" s="7">
        <v>0.60899999999999999</v>
      </c>
      <c r="K2844" s="1" t="s">
        <v>29</v>
      </c>
      <c r="L2844" s="1" t="s">
        <v>21</v>
      </c>
      <c r="M2844" s="1" t="s">
        <v>29</v>
      </c>
      <c r="N2844" s="1" t="s">
        <v>22</v>
      </c>
      <c r="O2844" s="1" t="str">
        <f t="shared" ca="1" si="23"/>
        <v>Please solve the LeetCode problem '1634. Add Two Polynomials Represented as Linked Lists'.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45" spans="1:15" x14ac:dyDescent="0.25">
      <c r="A2845" s="1">
        <v>3029</v>
      </c>
      <c r="B2845" s="2" t="str">
        <f>HYPERLINK("https://leetcode.com/problems/minimum-time-to-revert-word-to-initial-state-i/", "Minimum Time to Revert Word to Initial State I")</f>
        <v>Minimum Time to Revert Word to Initial State I</v>
      </c>
      <c r="C2845" s="1">
        <v>173</v>
      </c>
      <c r="D2845" s="1">
        <v>34</v>
      </c>
      <c r="E2845" s="3">
        <f t="shared" si="22"/>
        <v>0.83574879227053145</v>
      </c>
      <c r="F2845" s="1" t="s">
        <v>283</v>
      </c>
      <c r="G2845" s="1" t="s">
        <v>24</v>
      </c>
      <c r="H2845" s="1">
        <v>23500</v>
      </c>
      <c r="I2845" s="1">
        <v>55778</v>
      </c>
      <c r="J2845" s="7">
        <v>0.42099999999999999</v>
      </c>
      <c r="K2845" s="1" t="s">
        <v>21</v>
      </c>
      <c r="L2845" s="1" t="s">
        <v>29</v>
      </c>
      <c r="M2845" s="1" t="s">
        <v>29</v>
      </c>
      <c r="N2845" s="1" t="s">
        <v>22</v>
      </c>
      <c r="O2845" s="1" t="str">
        <f t="shared" ca="1" si="23"/>
        <v>Please solve the LeetCode problem '3029. Minimum Time to Revert Word to Initial State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46" spans="1:15" x14ac:dyDescent="0.25">
      <c r="A2846" s="1">
        <v>3178</v>
      </c>
      <c r="B2846" s="2" t="str">
        <f>HYPERLINK("https://leetcode.com/problems/find-the-child-who-has-the-ball-after-k-seconds/", "Find the Child Who Has the Ball After K Seconds")</f>
        <v>Find the Child Who Has the Ball After K Seconds</v>
      </c>
      <c r="C2846" s="1">
        <v>173</v>
      </c>
      <c r="D2846" s="1">
        <v>11</v>
      </c>
      <c r="E2846" s="3">
        <f t="shared" si="22"/>
        <v>0.94021739130434778</v>
      </c>
      <c r="F2846" s="1" t="s">
        <v>465</v>
      </c>
      <c r="G2846" s="1" t="s">
        <v>20</v>
      </c>
      <c r="H2846" s="1">
        <v>57861</v>
      </c>
      <c r="I2846" s="1">
        <v>93489</v>
      </c>
      <c r="J2846" s="7">
        <v>0.61899999999999999</v>
      </c>
      <c r="K2846" s="1" t="s">
        <v>21</v>
      </c>
      <c r="L2846" s="1" t="s">
        <v>29</v>
      </c>
      <c r="M2846" s="1" t="s">
        <v>29</v>
      </c>
      <c r="N2846" s="1" t="s">
        <v>22</v>
      </c>
      <c r="O2846" s="1" t="str">
        <f t="shared" ca="1" si="23"/>
        <v>Please solve the LeetCode problem '3178. Find the Child Who Has the Ball After K Seconds'.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47" spans="1:15" x14ac:dyDescent="0.25">
      <c r="A2847" s="1">
        <v>3258</v>
      </c>
      <c r="B2847" s="2" t="str">
        <f>HYPERLINK("https://leetcode.com/problems/count-substrings-that-satisfy-k-constraint-i/", "Count Substrings That Satisfy K-Constraint I")</f>
        <v>Count Substrings That Satisfy K-Constraint I</v>
      </c>
      <c r="C2847" s="1">
        <v>173</v>
      </c>
      <c r="D2847" s="1">
        <v>35</v>
      </c>
      <c r="E2847" s="3">
        <f t="shared" si="22"/>
        <v>0.83173076923076927</v>
      </c>
      <c r="F2847" s="1" t="s">
        <v>314</v>
      </c>
      <c r="G2847" s="1" t="s">
        <v>20</v>
      </c>
      <c r="H2847" s="1">
        <v>55031</v>
      </c>
      <c r="I2847" s="1">
        <v>69912</v>
      </c>
      <c r="J2847" s="7">
        <v>0.78700000000000003</v>
      </c>
      <c r="K2847" s="1" t="s">
        <v>21</v>
      </c>
      <c r="L2847" s="1" t="s">
        <v>29</v>
      </c>
      <c r="M2847" s="1" t="s">
        <v>29</v>
      </c>
      <c r="N2847" s="1" t="s">
        <v>22</v>
      </c>
      <c r="O2847" s="1" t="str">
        <f t="shared" ca="1" si="23"/>
        <v>Please solve the LeetCode problem '3258. Count Substrings That Satisfy K-Constraint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48" spans="1:15" x14ac:dyDescent="0.25">
      <c r="A2848" s="1">
        <v>3291</v>
      </c>
      <c r="B2848" s="2" t="str">
        <f>HYPERLINK("https://leetcode.com/problems/minimum-number-of-valid-strings-to-form-target-i/", "Minimum Number of Valid Strings to Form Target I")</f>
        <v>Minimum Number of Valid Strings to Form Target I</v>
      </c>
      <c r="C2848" s="1">
        <v>173</v>
      </c>
      <c r="D2848" s="1">
        <v>17</v>
      </c>
      <c r="E2848" s="3">
        <f t="shared" si="22"/>
        <v>0.91052631578947374</v>
      </c>
      <c r="F2848" s="1" t="s">
        <v>1115</v>
      </c>
      <c r="G2848" s="1" t="s">
        <v>24</v>
      </c>
      <c r="H2848" s="1">
        <v>14584</v>
      </c>
      <c r="I2848" s="1">
        <v>67814</v>
      </c>
      <c r="J2848" s="7">
        <v>0.215</v>
      </c>
      <c r="K2848" s="1" t="s">
        <v>21</v>
      </c>
      <c r="L2848" s="1" t="s">
        <v>29</v>
      </c>
      <c r="M2848" s="1" t="s">
        <v>29</v>
      </c>
      <c r="N2848" s="1" t="s">
        <v>22</v>
      </c>
      <c r="O2848" s="1" t="str">
        <f t="shared" ca="1" si="23"/>
        <v>Please solve the LeetCode problem '3291. Minimum Number of Valid Strings to Form Target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49" spans="1:15" x14ac:dyDescent="0.25">
      <c r="A2849" s="1">
        <v>3676</v>
      </c>
      <c r="B2849" s="2" t="str">
        <f>HYPERLINK("https://leetcode.com/problems/count-bowl-subarrays/", "Count Bowl Subarrays")</f>
        <v>Count Bowl Subarrays</v>
      </c>
      <c r="C2849" s="1">
        <v>173</v>
      </c>
      <c r="D2849" s="1">
        <v>5</v>
      </c>
      <c r="E2849" s="3">
        <f t="shared" si="22"/>
        <v>0.9719101123595506</v>
      </c>
      <c r="F2849" s="1" t="s">
        <v>61</v>
      </c>
      <c r="G2849" s="1" t="s">
        <v>24</v>
      </c>
      <c r="H2849" s="1">
        <v>25986</v>
      </c>
      <c r="I2849" s="1">
        <v>56696</v>
      </c>
      <c r="J2849" s="7">
        <v>0.45800000000000002</v>
      </c>
      <c r="K2849" s="1" t="s">
        <v>21</v>
      </c>
      <c r="L2849" s="1" t="s">
        <v>29</v>
      </c>
      <c r="M2849" s="1" t="s">
        <v>29</v>
      </c>
      <c r="N2849" s="1" t="s">
        <v>22</v>
      </c>
      <c r="O2849" s="1" t="str">
        <f t="shared" ca="1" si="23"/>
        <v>Please solve the LeetCode problem '3676. Count Bowl Subarrays'.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50" spans="1:15" x14ac:dyDescent="0.25">
      <c r="A2850" s="1">
        <v>1132</v>
      </c>
      <c r="B2850" s="2" t="str">
        <f>HYPERLINK("https://leetcode.com/problems/reported-posts-ii/", "Reported Posts II")</f>
        <v>Reported Posts II</v>
      </c>
      <c r="C2850" s="1">
        <v>172</v>
      </c>
      <c r="D2850" s="1">
        <v>578</v>
      </c>
      <c r="E2850" s="3">
        <f t="shared" si="22"/>
        <v>0.22933333333333333</v>
      </c>
      <c r="F2850" s="1" t="s">
        <v>297</v>
      </c>
      <c r="G2850" s="1" t="s">
        <v>24</v>
      </c>
      <c r="H2850" s="1">
        <v>44364</v>
      </c>
      <c r="I2850" s="1">
        <v>138419</v>
      </c>
      <c r="J2850" s="7">
        <v>0.32100000000000001</v>
      </c>
      <c r="K2850" s="1" t="s">
        <v>29</v>
      </c>
      <c r="L2850" s="1" t="s">
        <v>21</v>
      </c>
      <c r="M2850" s="1" t="s">
        <v>29</v>
      </c>
      <c r="N2850" s="1" t="s">
        <v>297</v>
      </c>
      <c r="O2850" s="1" t="str">
        <f t="shared" ca="1" si="23"/>
        <v>Please solve the LeetCode problem '1132. Reported Posts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51" spans="1:15" x14ac:dyDescent="0.25">
      <c r="A2851" s="1">
        <v>2021</v>
      </c>
      <c r="B2851" s="2" t="str">
        <f>HYPERLINK("https://leetcode.com/problems/brightest-position-on-street/", "Brightest Position on Street")</f>
        <v>Brightest Position on Street</v>
      </c>
      <c r="C2851" s="1">
        <v>172</v>
      </c>
      <c r="D2851" s="1">
        <v>5</v>
      </c>
      <c r="E2851" s="3">
        <f t="shared" si="22"/>
        <v>0.97175141242937857</v>
      </c>
      <c r="F2851" s="1" t="s">
        <v>1120</v>
      </c>
      <c r="G2851" s="1" t="s">
        <v>24</v>
      </c>
      <c r="H2851" s="1">
        <v>15918</v>
      </c>
      <c r="I2851" s="1">
        <v>26248</v>
      </c>
      <c r="J2851" s="7">
        <v>0.60599999999999998</v>
      </c>
      <c r="K2851" s="1" t="s">
        <v>29</v>
      </c>
      <c r="L2851" s="1" t="s">
        <v>29</v>
      </c>
      <c r="M2851" s="1" t="s">
        <v>29</v>
      </c>
      <c r="N2851" s="1" t="s">
        <v>22</v>
      </c>
      <c r="O2851" s="1" t="str">
        <f t="shared" ca="1" si="23"/>
        <v>Please solve the LeetCode problem '2021. Brightest Position on Street'.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52" spans="1:15" x14ac:dyDescent="0.25">
      <c r="A2852" s="1">
        <v>2297</v>
      </c>
      <c r="B2852" s="2" t="str">
        <f>HYPERLINK("https://leetcode.com/problems/jump-game-viii/", "Jump Game VIII")</f>
        <v>Jump Game VIII</v>
      </c>
      <c r="C2852" s="1">
        <v>172</v>
      </c>
      <c r="D2852" s="1">
        <v>49</v>
      </c>
      <c r="E2852" s="3">
        <f t="shared" si="22"/>
        <v>0.77828054298642535</v>
      </c>
      <c r="F2852" s="1" t="s">
        <v>1121</v>
      </c>
      <c r="G2852" s="1" t="s">
        <v>24</v>
      </c>
      <c r="H2852" s="1">
        <v>7785</v>
      </c>
      <c r="I2852" s="1">
        <v>17150</v>
      </c>
      <c r="J2852" s="7">
        <v>0.45400000000000001</v>
      </c>
      <c r="K2852" s="1" t="s">
        <v>29</v>
      </c>
      <c r="L2852" s="1" t="s">
        <v>29</v>
      </c>
      <c r="M2852" s="1" t="s">
        <v>29</v>
      </c>
      <c r="N2852" s="1" t="s">
        <v>22</v>
      </c>
      <c r="O2852" s="1" t="str">
        <f t="shared" ca="1" si="23"/>
        <v>Please solve the LeetCode problem '2297. Jump Game VIII'.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53" spans="1:15" x14ac:dyDescent="0.25">
      <c r="A2853" s="1">
        <v>3144</v>
      </c>
      <c r="B2853" s="2" t="str">
        <f>HYPERLINK("https://leetcode.com/problems/minimum-substring-partition-of-equal-character-frequency/", "Minimum Substring Partition of Equal Character Frequency")</f>
        <v>Minimum Substring Partition of Equal Character Frequency</v>
      </c>
      <c r="C2853" s="1">
        <v>172</v>
      </c>
      <c r="D2853" s="1">
        <v>36</v>
      </c>
      <c r="E2853" s="3">
        <f t="shared" si="22"/>
        <v>0.82692307692307687</v>
      </c>
      <c r="F2853" s="1" t="s">
        <v>1114</v>
      </c>
      <c r="G2853" s="1" t="s">
        <v>24</v>
      </c>
      <c r="H2853" s="1">
        <v>17532</v>
      </c>
      <c r="I2853" s="1">
        <v>44074</v>
      </c>
      <c r="J2853" s="7">
        <v>0.39800000000000002</v>
      </c>
      <c r="K2853" s="1" t="s">
        <v>21</v>
      </c>
      <c r="L2853" s="1" t="s">
        <v>29</v>
      </c>
      <c r="M2853" s="1" t="s">
        <v>29</v>
      </c>
      <c r="N2853" s="1" t="s">
        <v>22</v>
      </c>
      <c r="O2853" s="1" t="str">
        <f t="shared" ca="1" si="23"/>
        <v>Please solve the LeetCode problem '3144. Minimum Substring Partition of Equal Character Frequency'.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54" spans="1:15" x14ac:dyDescent="0.25">
      <c r="A2854" s="1">
        <v>3213</v>
      </c>
      <c r="B2854" s="2" t="str">
        <f>HYPERLINK("https://leetcode.com/problems/construct-string-with-minimum-cost/", "Construct String with Minimum Cost")</f>
        <v>Construct String with Minimum Cost</v>
      </c>
      <c r="C2854" s="1">
        <v>172</v>
      </c>
      <c r="D2854" s="1">
        <v>29</v>
      </c>
      <c r="E2854" s="3">
        <f t="shared" si="22"/>
        <v>0.85572139303482586</v>
      </c>
      <c r="F2854" s="1" t="s">
        <v>1122</v>
      </c>
      <c r="G2854" s="1" t="s">
        <v>28</v>
      </c>
      <c r="H2854" s="1">
        <v>12895</v>
      </c>
      <c r="I2854" s="1">
        <v>68037</v>
      </c>
      <c r="J2854" s="7">
        <v>0.19</v>
      </c>
      <c r="K2854" s="1" t="s">
        <v>21</v>
      </c>
      <c r="L2854" s="1" t="s">
        <v>29</v>
      </c>
      <c r="M2854" s="1" t="s">
        <v>29</v>
      </c>
      <c r="N2854" s="1" t="s">
        <v>22</v>
      </c>
      <c r="O2854" s="1" t="str">
        <f t="shared" ca="1" si="23"/>
        <v>Please solve the LeetCode problem '3213. Construct String with Minimum Cost'.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55" spans="1:15" x14ac:dyDescent="0.25">
      <c r="A2855" s="1">
        <v>3478</v>
      </c>
      <c r="B2855" s="2" t="str">
        <f>HYPERLINK("https://leetcode.com/problems/choose-k-elements-with-maximum-sum/", "Choose K Elements With Maximum Sum")</f>
        <v>Choose K Elements With Maximum Sum</v>
      </c>
      <c r="C2855" s="1">
        <v>172</v>
      </c>
      <c r="D2855" s="1">
        <v>9</v>
      </c>
      <c r="E2855" s="3">
        <f t="shared" si="22"/>
        <v>0.95027624309392267</v>
      </c>
      <c r="F2855" s="1" t="s">
        <v>350</v>
      </c>
      <c r="G2855" s="1" t="s">
        <v>24</v>
      </c>
      <c r="H2855" s="1">
        <v>19235</v>
      </c>
      <c r="I2855" s="1">
        <v>58455</v>
      </c>
      <c r="J2855" s="7">
        <v>0.32900000000000001</v>
      </c>
      <c r="K2855" s="1" t="s">
        <v>21</v>
      </c>
      <c r="L2855" s="1" t="s">
        <v>29</v>
      </c>
      <c r="M2855" s="1" t="s">
        <v>29</v>
      </c>
      <c r="N2855" s="1" t="s">
        <v>22</v>
      </c>
      <c r="O2855" s="1" t="str">
        <f t="shared" ca="1" si="23"/>
        <v>Please solve the LeetCode problem '3478. Choose K Elements With Maximum Sum'.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56" spans="1:15" x14ac:dyDescent="0.25">
      <c r="A2856" s="1">
        <v>2676</v>
      </c>
      <c r="B2856" s="2" t="str">
        <f>HYPERLINK("https://leetcode.com/problems/throttle/", "Throttle")</f>
        <v>Throttle</v>
      </c>
      <c r="C2856" s="1">
        <v>171</v>
      </c>
      <c r="D2856" s="1">
        <v>30</v>
      </c>
      <c r="E2856" s="3">
        <f t="shared" si="22"/>
        <v>0.85074626865671643</v>
      </c>
      <c r="G2856" s="1" t="s">
        <v>24</v>
      </c>
      <c r="H2856" s="1">
        <v>11307</v>
      </c>
      <c r="I2856" s="1">
        <v>13581</v>
      </c>
      <c r="J2856" s="7">
        <v>0.83299999999999996</v>
      </c>
      <c r="K2856" s="1" t="s">
        <v>29</v>
      </c>
      <c r="L2856" s="1" t="s">
        <v>21</v>
      </c>
      <c r="M2856" s="1" t="s">
        <v>29</v>
      </c>
      <c r="N2856" s="1" t="s">
        <v>555</v>
      </c>
      <c r="O2856" s="1" t="str">
        <f t="shared" ca="1" si="23"/>
        <v>Please solve the LeetCode problem '2676. Throttle'.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57" spans="1:15" x14ac:dyDescent="0.25">
      <c r="A2857" s="1">
        <v>2960</v>
      </c>
      <c r="B2857" s="2" t="str">
        <f>HYPERLINK("https://leetcode.com/problems/count-tested-devices-after-test-operations/", "Count Tested Devices After Test Operations")</f>
        <v>Count Tested Devices After Test Operations</v>
      </c>
      <c r="C2857" s="1">
        <v>171</v>
      </c>
      <c r="D2857" s="1">
        <v>18</v>
      </c>
      <c r="E2857" s="3">
        <f t="shared" si="22"/>
        <v>0.90476190476190477</v>
      </c>
      <c r="F2857" s="1" t="s">
        <v>1116</v>
      </c>
      <c r="G2857" s="1" t="s">
        <v>20</v>
      </c>
      <c r="H2857" s="1">
        <v>53504</v>
      </c>
      <c r="I2857" s="1">
        <v>67932</v>
      </c>
      <c r="J2857" s="7">
        <v>0.78800000000000003</v>
      </c>
      <c r="K2857" s="1" t="s">
        <v>21</v>
      </c>
      <c r="L2857" s="1" t="s">
        <v>29</v>
      </c>
      <c r="M2857" s="1" t="s">
        <v>29</v>
      </c>
      <c r="N2857" s="1" t="s">
        <v>22</v>
      </c>
      <c r="O2857" s="1" t="str">
        <f t="shared" ca="1" si="23"/>
        <v>Please solve the LeetCode problem '2960. Count Tested Devices After Test Operations'.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58" spans="1:15" x14ac:dyDescent="0.25">
      <c r="A2858" s="1">
        <v>2649</v>
      </c>
      <c r="B2858" s="2" t="str">
        <f>HYPERLINK("https://leetcode.com/problems/nested-array-generator/", "Nested Array Generator")</f>
        <v>Nested Array Generator</v>
      </c>
      <c r="C2858" s="1">
        <v>170</v>
      </c>
      <c r="D2858" s="1">
        <v>13</v>
      </c>
      <c r="E2858" s="3">
        <f t="shared" si="22"/>
        <v>0.92896174863387981</v>
      </c>
      <c r="G2858" s="1" t="s">
        <v>24</v>
      </c>
      <c r="H2858" s="1">
        <v>17964</v>
      </c>
      <c r="I2858" s="1">
        <v>22432</v>
      </c>
      <c r="J2858" s="7">
        <v>0.80100000000000005</v>
      </c>
      <c r="K2858" s="1" t="s">
        <v>21</v>
      </c>
      <c r="L2858" s="1" t="s">
        <v>21</v>
      </c>
      <c r="M2858" s="1" t="s">
        <v>29</v>
      </c>
      <c r="N2858" s="1" t="s">
        <v>555</v>
      </c>
      <c r="O2858" s="1" t="str">
        <f t="shared" ca="1" si="23"/>
        <v>Please solve the LeetCode problem '2649. Nested Array Generator'.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59" spans="1:15" x14ac:dyDescent="0.25">
      <c r="A2859" s="1">
        <v>2996</v>
      </c>
      <c r="B2859" s="2" t="str">
        <f>HYPERLINK("https://leetcode.com/problems/smallest-missing-integer-greater-than-sequential-prefix-sum/", "Smallest Missing Integer Greater Than Sequential Prefix Sum")</f>
        <v>Smallest Missing Integer Greater Than Sequential Prefix Sum</v>
      </c>
      <c r="C2859" s="1">
        <v>170</v>
      </c>
      <c r="D2859" s="1">
        <v>307</v>
      </c>
      <c r="E2859" s="3">
        <f t="shared" si="22"/>
        <v>0.35639412997903563</v>
      </c>
      <c r="F2859" s="1" t="s">
        <v>92</v>
      </c>
      <c r="G2859" s="1" t="s">
        <v>20</v>
      </c>
      <c r="H2859" s="1">
        <v>48185</v>
      </c>
      <c r="I2859" s="1">
        <v>138076</v>
      </c>
      <c r="J2859" s="7">
        <v>0.34899999999999998</v>
      </c>
      <c r="K2859" s="1" t="s">
        <v>21</v>
      </c>
      <c r="L2859" s="1" t="s">
        <v>29</v>
      </c>
      <c r="M2859" s="1" t="s">
        <v>29</v>
      </c>
      <c r="N2859" s="1" t="s">
        <v>22</v>
      </c>
      <c r="O2859" s="1" t="str">
        <f t="shared" ca="1" si="23"/>
        <v>Please solve the LeetCode problem '2996. Smallest Missing Integer Greater Than Sequential Prefix Sum'.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60" spans="1:15" x14ac:dyDescent="0.25">
      <c r="A2860" s="1">
        <v>3077</v>
      </c>
      <c r="B2860" s="2" t="str">
        <f>HYPERLINK("https://leetcode.com/problems/maximum-strength-of-k-disjoint-subarrays/", "Maximum Strength of K Disjoint Subarrays")</f>
        <v>Maximum Strength of K Disjoint Subarrays</v>
      </c>
      <c r="C2860" s="1">
        <v>170</v>
      </c>
      <c r="D2860" s="1">
        <v>75</v>
      </c>
      <c r="E2860" s="3">
        <f t="shared" si="22"/>
        <v>0.69387755102040816</v>
      </c>
      <c r="F2860" s="1" t="s">
        <v>407</v>
      </c>
      <c r="G2860" s="1" t="s">
        <v>28</v>
      </c>
      <c r="H2860" s="1">
        <v>8292</v>
      </c>
      <c r="I2860" s="1">
        <v>30230</v>
      </c>
      <c r="J2860" s="7">
        <v>0.27400000000000002</v>
      </c>
      <c r="K2860" s="1" t="s">
        <v>21</v>
      </c>
      <c r="L2860" s="1" t="s">
        <v>29</v>
      </c>
      <c r="M2860" s="1" t="s">
        <v>29</v>
      </c>
      <c r="N2860" s="1" t="s">
        <v>22</v>
      </c>
      <c r="O2860" s="1" t="str">
        <f t="shared" ca="1" si="23"/>
        <v>Please solve the LeetCode problem '3077. Maximum Strength of K Disjoint Subarrays'.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61" spans="1:15" x14ac:dyDescent="0.25">
      <c r="A2861" s="1">
        <v>3248</v>
      </c>
      <c r="B2861" s="2" t="str">
        <f>HYPERLINK("https://leetcode.com/problems/snake-in-matrix/", "Snake in Matrix")</f>
        <v>Snake in Matrix</v>
      </c>
      <c r="C2861" s="1">
        <v>170</v>
      </c>
      <c r="D2861" s="1">
        <v>4</v>
      </c>
      <c r="E2861" s="3">
        <f t="shared" si="22"/>
        <v>0.97701149425287359</v>
      </c>
      <c r="F2861" s="1" t="s">
        <v>285</v>
      </c>
      <c r="G2861" s="1" t="s">
        <v>20</v>
      </c>
      <c r="H2861" s="1">
        <v>72949</v>
      </c>
      <c r="I2861" s="1">
        <v>88687</v>
      </c>
      <c r="J2861" s="7">
        <v>0.82299999999999995</v>
      </c>
      <c r="K2861" s="1" t="s">
        <v>21</v>
      </c>
      <c r="L2861" s="1" t="s">
        <v>29</v>
      </c>
      <c r="M2861" s="1" t="s">
        <v>29</v>
      </c>
      <c r="N2861" s="1" t="s">
        <v>22</v>
      </c>
      <c r="O2861" s="1" t="str">
        <f t="shared" ca="1" si="23"/>
        <v>Please solve the LeetCode problem '3248. Snake in Matrix'.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62" spans="1:15" x14ac:dyDescent="0.25">
      <c r="A2862" s="1">
        <v>614</v>
      </c>
      <c r="B2862" s="2" t="str">
        <f>HYPERLINK("https://leetcode.com/problems/second-degree-follower/", "Second Degree Follower")</f>
        <v>Second Degree Follower</v>
      </c>
      <c r="C2862" s="1">
        <v>169</v>
      </c>
      <c r="D2862" s="1">
        <v>745</v>
      </c>
      <c r="E2862" s="3">
        <f t="shared" si="22"/>
        <v>0.18490153172866522</v>
      </c>
      <c r="F2862" s="1" t="s">
        <v>297</v>
      </c>
      <c r="G2862" s="1" t="s">
        <v>24</v>
      </c>
      <c r="H2862" s="1">
        <v>62607</v>
      </c>
      <c r="I2862" s="1">
        <v>154048</v>
      </c>
      <c r="J2862" s="7">
        <v>0.40600000000000003</v>
      </c>
      <c r="K2862" s="1" t="s">
        <v>29</v>
      </c>
      <c r="L2862" s="1" t="s">
        <v>29</v>
      </c>
      <c r="M2862" s="1" t="s">
        <v>29</v>
      </c>
      <c r="N2862" s="1" t="s">
        <v>297</v>
      </c>
      <c r="O2862" s="1" t="str">
        <f t="shared" ca="1" si="23"/>
        <v>Please solve the LeetCode problem '614. Second Degree Follower'.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63" spans="1:15" x14ac:dyDescent="0.25">
      <c r="A2863" s="1">
        <v>3091</v>
      </c>
      <c r="B2863" s="2" t="str">
        <f>HYPERLINK("https://leetcode.com/problems/apply-operations-to-make-sum-of-array-greater-than-or-equal-to-k/", "Apply Operations to Make Sum of Array Greater Than or Equal to k")</f>
        <v>Apply Operations to Make Sum of Array Greater Than or Equal to k</v>
      </c>
      <c r="C2863" s="1">
        <v>169</v>
      </c>
      <c r="D2863" s="1">
        <v>18</v>
      </c>
      <c r="E2863" s="3">
        <f t="shared" si="22"/>
        <v>0.90374331550802134</v>
      </c>
      <c r="F2863" s="1" t="s">
        <v>1123</v>
      </c>
      <c r="G2863" s="1" t="s">
        <v>24</v>
      </c>
      <c r="H2863" s="1">
        <v>32009</v>
      </c>
      <c r="I2863" s="1">
        <v>72551</v>
      </c>
      <c r="J2863" s="7">
        <v>0.441</v>
      </c>
      <c r="K2863" s="1" t="s">
        <v>21</v>
      </c>
      <c r="L2863" s="1" t="s">
        <v>29</v>
      </c>
      <c r="M2863" s="1" t="s">
        <v>29</v>
      </c>
      <c r="N2863" s="1" t="s">
        <v>22</v>
      </c>
      <c r="O2863" s="1" t="str">
        <f t="shared" ca="1" si="23"/>
        <v>Please solve the LeetCode problem '3091. Apply Operations to Make Sum of Array Greater Than or Equal to k'.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64" spans="1:15" x14ac:dyDescent="0.25">
      <c r="A2864" s="1">
        <v>3366</v>
      </c>
      <c r="B2864" s="2" t="str">
        <f>HYPERLINK("https://leetcode.com/problems/minimum-array-sum/", "Minimum Array Sum")</f>
        <v>Minimum Array Sum</v>
      </c>
      <c r="C2864" s="1">
        <v>169</v>
      </c>
      <c r="D2864" s="1">
        <v>16</v>
      </c>
      <c r="E2864" s="3">
        <f t="shared" si="22"/>
        <v>0.91351351351351351</v>
      </c>
      <c r="F2864" s="1" t="s">
        <v>30</v>
      </c>
      <c r="G2864" s="1" t="s">
        <v>24</v>
      </c>
      <c r="H2864" s="1">
        <v>15870</v>
      </c>
      <c r="I2864" s="1">
        <v>51838</v>
      </c>
      <c r="J2864" s="7">
        <v>0.30599999999999999</v>
      </c>
      <c r="K2864" s="1" t="s">
        <v>21</v>
      </c>
      <c r="L2864" s="1" t="s">
        <v>29</v>
      </c>
      <c r="M2864" s="1" t="s">
        <v>29</v>
      </c>
      <c r="N2864" s="1" t="s">
        <v>22</v>
      </c>
      <c r="O2864" s="1" t="str">
        <f t="shared" ca="1" si="23"/>
        <v>Please solve the LeetCode problem '3366. Minimum Array Sum'.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65" spans="1:15" x14ac:dyDescent="0.25">
      <c r="A2865" s="1">
        <v>1369</v>
      </c>
      <c r="B2865" s="2" t="str">
        <f>HYPERLINK("https://leetcode.com/problems/get-the-second-most-recent-activity/", "Get the Second Most Recent Activity")</f>
        <v>Get the Second Most Recent Activity</v>
      </c>
      <c r="C2865" s="1">
        <v>168</v>
      </c>
      <c r="D2865" s="1">
        <v>13</v>
      </c>
      <c r="E2865" s="3">
        <f t="shared" si="22"/>
        <v>0.92817679558011046</v>
      </c>
      <c r="F2865" s="1" t="s">
        <v>297</v>
      </c>
      <c r="G2865" s="1" t="s">
        <v>28</v>
      </c>
      <c r="H2865" s="1">
        <v>25809</v>
      </c>
      <c r="I2865" s="1">
        <v>38360</v>
      </c>
      <c r="J2865" s="7">
        <v>0.67300000000000004</v>
      </c>
      <c r="K2865" s="1" t="s">
        <v>29</v>
      </c>
      <c r="L2865" s="1" t="s">
        <v>29</v>
      </c>
      <c r="M2865" s="1" t="s">
        <v>29</v>
      </c>
      <c r="N2865" s="1" t="s">
        <v>297</v>
      </c>
      <c r="O2865" s="1" t="str">
        <f t="shared" ca="1" si="23"/>
        <v>Please solve the LeetCode problem '1369. Get the Second Most Recent Activity'.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66" spans="1:15" x14ac:dyDescent="0.25">
      <c r="A2866" s="1">
        <v>3036</v>
      </c>
      <c r="B2866" s="2" t="str">
        <f>HYPERLINK("https://leetcode.com/problems/number-of-subarrays-that-match-a-pattern-ii/", "Number of Subarrays That Match a Pattern II")</f>
        <v>Number of Subarrays That Match a Pattern II</v>
      </c>
      <c r="C2866" s="1">
        <v>168</v>
      </c>
      <c r="D2866" s="1">
        <v>6</v>
      </c>
      <c r="E2866" s="3">
        <f t="shared" si="22"/>
        <v>0.96551724137931039</v>
      </c>
      <c r="F2866" s="1" t="s">
        <v>1124</v>
      </c>
      <c r="G2866" s="1" t="s">
        <v>28</v>
      </c>
      <c r="H2866" s="1">
        <v>13739</v>
      </c>
      <c r="I2866" s="1">
        <v>41366</v>
      </c>
      <c r="J2866" s="7">
        <v>0.33200000000000002</v>
      </c>
      <c r="K2866" s="1" t="s">
        <v>21</v>
      </c>
      <c r="L2866" s="1" t="s">
        <v>29</v>
      </c>
      <c r="M2866" s="1" t="s">
        <v>29</v>
      </c>
      <c r="N2866" s="1" t="s">
        <v>22</v>
      </c>
      <c r="O2866" s="1" t="str">
        <f t="shared" ca="1" si="23"/>
        <v>Please solve the LeetCode problem '3036. Number of Subarrays That Match a Pattern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67" spans="1:15" x14ac:dyDescent="0.25">
      <c r="A2867" s="1">
        <v>3120</v>
      </c>
      <c r="B2867" s="2" t="str">
        <f>HYPERLINK("https://leetcode.com/problems/count-the-number-of-special-characters-i/", "Count the Number of Special Characters I")</f>
        <v>Count the Number of Special Characters I</v>
      </c>
      <c r="C2867" s="1">
        <v>168</v>
      </c>
      <c r="D2867" s="1">
        <v>5</v>
      </c>
      <c r="E2867" s="3">
        <f t="shared" si="22"/>
        <v>0.97109826589595372</v>
      </c>
      <c r="F2867" s="1" t="s">
        <v>131</v>
      </c>
      <c r="G2867" s="1" t="s">
        <v>20</v>
      </c>
      <c r="H2867" s="1">
        <v>62361</v>
      </c>
      <c r="I2867" s="1">
        <v>93726</v>
      </c>
      <c r="J2867" s="7">
        <v>0.66500000000000004</v>
      </c>
      <c r="K2867" s="1" t="s">
        <v>21</v>
      </c>
      <c r="L2867" s="1" t="s">
        <v>29</v>
      </c>
      <c r="M2867" s="1" t="s">
        <v>29</v>
      </c>
      <c r="N2867" s="1" t="s">
        <v>22</v>
      </c>
      <c r="O2867" s="1" t="str">
        <f t="shared" ca="1" si="23"/>
        <v>Please solve the LeetCode problem '3120. Count the Number of Special Characters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68" spans="1:15" x14ac:dyDescent="0.25">
      <c r="A2868" s="1">
        <v>3131</v>
      </c>
      <c r="B2868" s="2" t="str">
        <f>HYPERLINK("https://leetcode.com/problems/find-the-integer-added-to-array-i/", "Find the Integer Added to Array I")</f>
        <v>Find the Integer Added to Array I</v>
      </c>
      <c r="C2868" s="1">
        <v>168</v>
      </c>
      <c r="D2868" s="1">
        <v>11</v>
      </c>
      <c r="E2868" s="3">
        <f t="shared" si="22"/>
        <v>0.93854748603351956</v>
      </c>
      <c r="F2868" s="1" t="s">
        <v>113</v>
      </c>
      <c r="G2868" s="1" t="s">
        <v>20</v>
      </c>
      <c r="H2868" s="1">
        <v>79355</v>
      </c>
      <c r="I2868" s="1">
        <v>95933</v>
      </c>
      <c r="J2868" s="7">
        <v>0.82699999999999996</v>
      </c>
      <c r="K2868" s="1" t="s">
        <v>21</v>
      </c>
      <c r="L2868" s="1" t="s">
        <v>29</v>
      </c>
      <c r="M2868" s="1" t="s">
        <v>29</v>
      </c>
      <c r="N2868" s="1" t="s">
        <v>22</v>
      </c>
      <c r="O2868" s="1" t="str">
        <f t="shared" ca="1" si="23"/>
        <v>Please solve the LeetCode problem '3131. Find the Integer Added to Array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69" spans="1:15" x14ac:dyDescent="0.25">
      <c r="A2869" s="1">
        <v>3143</v>
      </c>
      <c r="B2869" s="2" t="str">
        <f>HYPERLINK("https://leetcode.com/problems/maximum-points-inside-the-square/", "Maximum Points Inside the Square")</f>
        <v>Maximum Points Inside the Square</v>
      </c>
      <c r="C2869" s="1">
        <v>168</v>
      </c>
      <c r="D2869" s="1">
        <v>24</v>
      </c>
      <c r="E2869" s="3">
        <f t="shared" si="22"/>
        <v>0.875</v>
      </c>
      <c r="F2869" s="1" t="s">
        <v>780</v>
      </c>
      <c r="G2869" s="1" t="s">
        <v>24</v>
      </c>
      <c r="H2869" s="1">
        <v>20813</v>
      </c>
      <c r="I2869" s="1">
        <v>53348</v>
      </c>
      <c r="J2869" s="7">
        <v>0.39</v>
      </c>
      <c r="K2869" s="1" t="s">
        <v>21</v>
      </c>
      <c r="L2869" s="1" t="s">
        <v>29</v>
      </c>
      <c r="M2869" s="1" t="s">
        <v>29</v>
      </c>
      <c r="N2869" s="1" t="s">
        <v>22</v>
      </c>
      <c r="O2869" s="1" t="str">
        <f t="shared" ca="1" si="23"/>
        <v>Please solve the LeetCode problem '3143. Maximum Points Inside the Square'.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70" spans="1:15" x14ac:dyDescent="0.25">
      <c r="A2870" s="1">
        <v>1107</v>
      </c>
      <c r="B2870" s="2" t="str">
        <f>HYPERLINK("https://leetcode.com/problems/new-users-daily-count/", "New Users Daily Count")</f>
        <v>New Users Daily Count</v>
      </c>
      <c r="C2870" s="1">
        <v>167</v>
      </c>
      <c r="D2870" s="1">
        <v>173</v>
      </c>
      <c r="E2870" s="3">
        <f t="shared" si="22"/>
        <v>0.49117647058823527</v>
      </c>
      <c r="F2870" s="1" t="s">
        <v>297</v>
      </c>
      <c r="G2870" s="1" t="s">
        <v>24</v>
      </c>
      <c r="H2870" s="1">
        <v>44063</v>
      </c>
      <c r="I2870" s="1">
        <v>97756</v>
      </c>
      <c r="J2870" s="7">
        <v>0.45100000000000001</v>
      </c>
      <c r="K2870" s="1" t="s">
        <v>29</v>
      </c>
      <c r="L2870" s="1" t="s">
        <v>21</v>
      </c>
      <c r="M2870" s="1" t="s">
        <v>29</v>
      </c>
      <c r="N2870" s="1" t="s">
        <v>297</v>
      </c>
      <c r="O2870" s="1" t="str">
        <f t="shared" ca="1" si="23"/>
        <v>Please solve the LeetCode problem '1107. New Users Daily Count'.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71" spans="1:15" x14ac:dyDescent="0.25">
      <c r="A2871" s="1">
        <v>3076</v>
      </c>
      <c r="B2871" s="2" t="str">
        <f>HYPERLINK("https://leetcode.com/problems/shortest-uncommon-substring-in-an-array/", "Shortest Uncommon Substring in an Array")</f>
        <v>Shortest Uncommon Substring in an Array</v>
      </c>
      <c r="C2871" s="1">
        <v>167</v>
      </c>
      <c r="D2871" s="1">
        <v>27</v>
      </c>
      <c r="E2871" s="3">
        <f t="shared" si="22"/>
        <v>0.86082474226804129</v>
      </c>
      <c r="F2871" s="1" t="s">
        <v>279</v>
      </c>
      <c r="G2871" s="1" t="s">
        <v>24</v>
      </c>
      <c r="H2871" s="1">
        <v>34381</v>
      </c>
      <c r="I2871" s="1">
        <v>69076</v>
      </c>
      <c r="J2871" s="7">
        <v>0.498</v>
      </c>
      <c r="K2871" s="1" t="s">
        <v>21</v>
      </c>
      <c r="L2871" s="1" t="s">
        <v>29</v>
      </c>
      <c r="M2871" s="1" t="s">
        <v>29</v>
      </c>
      <c r="N2871" s="1" t="s">
        <v>22</v>
      </c>
      <c r="O2871" s="1" t="str">
        <f t="shared" ca="1" si="23"/>
        <v>Please solve the LeetCode problem '3076. Shortest Uncommon Substring in an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72" spans="1:15" x14ac:dyDescent="0.25">
      <c r="A2872" s="1">
        <v>3082</v>
      </c>
      <c r="B2872" s="2" t="str">
        <f>HYPERLINK("https://leetcode.com/problems/find-the-sum-of-the-power-of-all-subsequences/", "Find the Sum of the Power of All Subsequences")</f>
        <v>Find the Sum of the Power of All Subsequences</v>
      </c>
      <c r="C2872" s="1">
        <v>167</v>
      </c>
      <c r="D2872" s="1">
        <v>4</v>
      </c>
      <c r="E2872" s="3">
        <f t="shared" si="22"/>
        <v>0.97660818713450293</v>
      </c>
      <c r="F2872" s="1" t="s">
        <v>30</v>
      </c>
      <c r="G2872" s="1" t="s">
        <v>28</v>
      </c>
      <c r="H2872" s="1">
        <v>9685</v>
      </c>
      <c r="I2872" s="1">
        <v>25579</v>
      </c>
      <c r="J2872" s="7">
        <v>0.379</v>
      </c>
      <c r="K2872" s="1" t="s">
        <v>21</v>
      </c>
      <c r="L2872" s="1" t="s">
        <v>29</v>
      </c>
      <c r="M2872" s="1" t="s">
        <v>29</v>
      </c>
      <c r="N2872" s="1" t="s">
        <v>22</v>
      </c>
      <c r="O2872" s="1" t="str">
        <f t="shared" ca="1" si="23"/>
        <v>Please solve the LeetCode problem '3082. Find the Sum of the Power of All Subsequences'.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73" spans="1:15" x14ac:dyDescent="0.25">
      <c r="A2873" s="1">
        <v>3209</v>
      </c>
      <c r="B2873" s="2" t="str">
        <f>HYPERLINK("https://leetcode.com/problems/number-of-subarrays-with-and-value-of-k/", "Number of Subarrays With AND Value of K")</f>
        <v>Number of Subarrays With AND Value of K</v>
      </c>
      <c r="C2873" s="1">
        <v>167</v>
      </c>
      <c r="D2873" s="1">
        <v>7</v>
      </c>
      <c r="E2873" s="3">
        <f t="shared" si="22"/>
        <v>0.95977011494252873</v>
      </c>
      <c r="F2873" s="1" t="s">
        <v>979</v>
      </c>
      <c r="G2873" s="1" t="s">
        <v>28</v>
      </c>
      <c r="H2873" s="1">
        <v>13535</v>
      </c>
      <c r="I2873" s="1">
        <v>38876</v>
      </c>
      <c r="J2873" s="7">
        <v>0.34799999999999998</v>
      </c>
      <c r="K2873" s="1" t="s">
        <v>21</v>
      </c>
      <c r="L2873" s="1" t="s">
        <v>29</v>
      </c>
      <c r="M2873" s="1" t="s">
        <v>29</v>
      </c>
      <c r="N2873" s="1" t="s">
        <v>22</v>
      </c>
      <c r="O2873" s="1" t="str">
        <f t="shared" ca="1" si="23"/>
        <v>Please solve the LeetCode problem '3209. Number of Subarrays With AND Value of K'.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74" spans="1:15" x14ac:dyDescent="0.25">
      <c r="A2874" s="1">
        <v>660</v>
      </c>
      <c r="B2874" s="2" t="str">
        <f>HYPERLINK("https://leetcode.com/problems/remove-9/", "Remove 9")</f>
        <v>Remove 9</v>
      </c>
      <c r="C2874" s="1">
        <v>166</v>
      </c>
      <c r="D2874" s="1">
        <v>204</v>
      </c>
      <c r="E2874" s="3">
        <f t="shared" si="22"/>
        <v>0.44864864864864867</v>
      </c>
      <c r="F2874" s="1" t="s">
        <v>84</v>
      </c>
      <c r="G2874" s="1" t="s">
        <v>28</v>
      </c>
      <c r="H2874" s="1">
        <v>11259</v>
      </c>
      <c r="I2874" s="1">
        <v>19606</v>
      </c>
      <c r="J2874" s="7">
        <v>0.57399999999999995</v>
      </c>
      <c r="K2874" s="1" t="s">
        <v>29</v>
      </c>
      <c r="L2874" s="1" t="s">
        <v>21</v>
      </c>
      <c r="M2874" s="1" t="s">
        <v>29</v>
      </c>
      <c r="N2874" s="1" t="s">
        <v>22</v>
      </c>
      <c r="O2874" s="1" t="str">
        <f t="shared" ca="1" si="23"/>
        <v>Please solve the LeetCode problem '660. Remove 9'.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75" spans="1:15" x14ac:dyDescent="0.25">
      <c r="A2875" s="1">
        <v>1426</v>
      </c>
      <c r="B2875" s="2" t="str">
        <f>HYPERLINK("https://leetcode.com/problems/counting-elements/", "Counting Elements")</f>
        <v>Counting Elements</v>
      </c>
      <c r="C2875" s="1">
        <v>166</v>
      </c>
      <c r="D2875" s="1">
        <v>64</v>
      </c>
      <c r="E2875" s="3">
        <f t="shared" si="22"/>
        <v>0.72173913043478266</v>
      </c>
      <c r="F2875" s="1" t="s">
        <v>19</v>
      </c>
      <c r="G2875" s="1" t="s">
        <v>20</v>
      </c>
      <c r="H2875" s="1">
        <v>163630</v>
      </c>
      <c r="I2875" s="1">
        <v>269637</v>
      </c>
      <c r="J2875" s="7">
        <v>0.60699999999999998</v>
      </c>
      <c r="K2875" s="1" t="s">
        <v>29</v>
      </c>
      <c r="L2875" s="1" t="s">
        <v>21</v>
      </c>
      <c r="M2875" s="1" t="s">
        <v>29</v>
      </c>
      <c r="N2875" s="1" t="s">
        <v>22</v>
      </c>
      <c r="O2875" s="1" t="str">
        <f t="shared" ca="1" si="23"/>
        <v>Please solve the LeetCode problem '1426. Counting Elements'.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76" spans="1:15" x14ac:dyDescent="0.25">
      <c r="A2876" s="1">
        <v>1949</v>
      </c>
      <c r="B2876" s="2" t="str">
        <f>HYPERLINK("https://leetcode.com/problems/strong-friendship/", "Strong Friendship")</f>
        <v>Strong Friendship</v>
      </c>
      <c r="C2876" s="1">
        <v>166</v>
      </c>
      <c r="D2876" s="1">
        <v>86</v>
      </c>
      <c r="E2876" s="3">
        <f t="shared" si="22"/>
        <v>0.65873015873015872</v>
      </c>
      <c r="F2876" s="1" t="s">
        <v>297</v>
      </c>
      <c r="G2876" s="1" t="s">
        <v>24</v>
      </c>
      <c r="H2876" s="1">
        <v>15961</v>
      </c>
      <c r="I2876" s="1">
        <v>29384</v>
      </c>
      <c r="J2876" s="7">
        <v>0.54300000000000004</v>
      </c>
      <c r="K2876" s="1" t="s">
        <v>29</v>
      </c>
      <c r="L2876" s="1" t="s">
        <v>29</v>
      </c>
      <c r="M2876" s="1" t="s">
        <v>29</v>
      </c>
      <c r="N2876" s="1" t="s">
        <v>297</v>
      </c>
      <c r="O2876" s="1" t="str">
        <f t="shared" ca="1" si="23"/>
        <v>Please solve the LeetCode problem '1949. Strong Friendship'.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77" spans="1:15" x14ac:dyDescent="0.25">
      <c r="A2877" s="1">
        <v>2903</v>
      </c>
      <c r="B2877" s="2" t="str">
        <f>HYPERLINK("https://leetcode.com/problems/find-indices-with-index-and-value-difference-i/", "Find Indices With Index and Value Difference I")</f>
        <v>Find Indices With Index and Value Difference I</v>
      </c>
      <c r="C2877" s="1">
        <v>166</v>
      </c>
      <c r="D2877" s="1">
        <v>18</v>
      </c>
      <c r="E2877" s="3">
        <f t="shared" si="22"/>
        <v>0.90217391304347827</v>
      </c>
      <c r="F2877" s="1" t="s">
        <v>51</v>
      </c>
      <c r="G2877" s="1" t="s">
        <v>20</v>
      </c>
      <c r="H2877" s="1">
        <v>52343</v>
      </c>
      <c r="I2877" s="1">
        <v>86848</v>
      </c>
      <c r="J2877" s="7">
        <v>0.60299999999999998</v>
      </c>
      <c r="K2877" s="1" t="s">
        <v>21</v>
      </c>
      <c r="L2877" s="1" t="s">
        <v>29</v>
      </c>
      <c r="M2877" s="1" t="s">
        <v>29</v>
      </c>
      <c r="N2877" s="1" t="s">
        <v>22</v>
      </c>
      <c r="O2877" s="1" t="str">
        <f t="shared" ca="1" si="23"/>
        <v>Please solve the LeetCode problem '2903. Find Indices With Index and Value Difference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78" spans="1:15" x14ac:dyDescent="0.25">
      <c r="A2878" s="1">
        <v>3065</v>
      </c>
      <c r="B2878" s="2" t="str">
        <f>HYPERLINK("https://leetcode.com/problems/minimum-operations-to-exceed-threshold-value-i/", "Minimum Operations to Exceed Threshold Value I")</f>
        <v>Minimum Operations to Exceed Threshold Value I</v>
      </c>
      <c r="C2878" s="1">
        <v>166</v>
      </c>
      <c r="D2878" s="1">
        <v>17</v>
      </c>
      <c r="E2878" s="3">
        <f t="shared" si="22"/>
        <v>0.90710382513661203</v>
      </c>
      <c r="F2878" s="1" t="s">
        <v>113</v>
      </c>
      <c r="G2878" s="1" t="s">
        <v>20</v>
      </c>
      <c r="H2878" s="1">
        <v>98775</v>
      </c>
      <c r="I2878" s="1">
        <v>114210</v>
      </c>
      <c r="J2878" s="7">
        <v>0.86499999999999999</v>
      </c>
      <c r="K2878" s="1" t="s">
        <v>21</v>
      </c>
      <c r="L2878" s="1" t="s">
        <v>29</v>
      </c>
      <c r="M2878" s="1" t="s">
        <v>29</v>
      </c>
      <c r="N2878" s="1" t="s">
        <v>22</v>
      </c>
      <c r="O2878" s="1" t="str">
        <f t="shared" ca="1" si="23"/>
        <v>Please solve the LeetCode problem '3065. Minimum Operations to Exceed Threshold Value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79" spans="1:15" x14ac:dyDescent="0.25">
      <c r="A2879" s="1">
        <v>3039</v>
      </c>
      <c r="B2879" s="2" t="str">
        <f>HYPERLINK("https://leetcode.com/problems/apply-operations-to-make-string-empty/", "Apply Operations to Make String Empty")</f>
        <v>Apply Operations to Make String Empty</v>
      </c>
      <c r="C2879" s="1">
        <v>165</v>
      </c>
      <c r="D2879" s="1">
        <v>8</v>
      </c>
      <c r="E2879" s="3">
        <f t="shared" si="22"/>
        <v>0.95375722543352603</v>
      </c>
      <c r="F2879" s="1" t="s">
        <v>125</v>
      </c>
      <c r="G2879" s="1" t="s">
        <v>24</v>
      </c>
      <c r="H2879" s="1">
        <v>31817</v>
      </c>
      <c r="I2879" s="1">
        <v>55639</v>
      </c>
      <c r="J2879" s="7">
        <v>0.57199999999999995</v>
      </c>
      <c r="K2879" s="1" t="s">
        <v>21</v>
      </c>
      <c r="L2879" s="1" t="s">
        <v>29</v>
      </c>
      <c r="M2879" s="1" t="s">
        <v>29</v>
      </c>
      <c r="N2879" s="1" t="s">
        <v>22</v>
      </c>
      <c r="O2879" s="1" t="str">
        <f t="shared" ca="1" si="23"/>
        <v>Please solve the LeetCode problem '3039. Apply Operations to Make String Empty'.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80" spans="1:15" x14ac:dyDescent="0.25">
      <c r="A2880" s="1">
        <v>1571</v>
      </c>
      <c r="B2880" s="2" t="str">
        <f>HYPERLINK("https://leetcode.com/problems/warehouse-manager/", "Warehouse Manager")</f>
        <v>Warehouse Manager</v>
      </c>
      <c r="C2880" s="1">
        <v>164</v>
      </c>
      <c r="D2880" s="1">
        <v>12</v>
      </c>
      <c r="E2880" s="3">
        <f t="shared" si="22"/>
        <v>0.93181818181818177</v>
      </c>
      <c r="F2880" s="1" t="s">
        <v>297</v>
      </c>
      <c r="G2880" s="1" t="s">
        <v>20</v>
      </c>
      <c r="H2880" s="1">
        <v>51019</v>
      </c>
      <c r="I2880" s="1">
        <v>58421</v>
      </c>
      <c r="J2880" s="7">
        <v>0.873</v>
      </c>
      <c r="K2880" s="1" t="s">
        <v>29</v>
      </c>
      <c r="L2880" s="1" t="s">
        <v>21</v>
      </c>
      <c r="M2880" s="1" t="s">
        <v>29</v>
      </c>
      <c r="N2880" s="1" t="s">
        <v>297</v>
      </c>
      <c r="O2880" s="1" t="str">
        <f t="shared" ca="1" si="23"/>
        <v>Please solve the LeetCode problem '1571. Warehouse Manager'.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81" spans="1:15" x14ac:dyDescent="0.25">
      <c r="A2881" s="1">
        <v>2899</v>
      </c>
      <c r="B2881" s="2" t="str">
        <f>HYPERLINK("https://leetcode.com/problems/last-visited-integers/", "Last Visited Integers")</f>
        <v>Last Visited Integers</v>
      </c>
      <c r="C2881" s="1">
        <v>164</v>
      </c>
      <c r="D2881" s="1">
        <v>233</v>
      </c>
      <c r="E2881" s="3">
        <f t="shared" si="22"/>
        <v>0.41309823677581864</v>
      </c>
      <c r="F2881" s="1" t="s">
        <v>306</v>
      </c>
      <c r="G2881" s="1" t="s">
        <v>20</v>
      </c>
      <c r="H2881" s="1">
        <v>32404</v>
      </c>
      <c r="I2881" s="1">
        <v>52351</v>
      </c>
      <c r="J2881" s="7">
        <v>0.61899999999999999</v>
      </c>
      <c r="K2881" s="1" t="s">
        <v>21</v>
      </c>
      <c r="L2881" s="1" t="s">
        <v>29</v>
      </c>
      <c r="M2881" s="1" t="s">
        <v>29</v>
      </c>
      <c r="N2881" s="1" t="s">
        <v>22</v>
      </c>
      <c r="O2881" s="1" t="str">
        <f t="shared" ca="1" si="23"/>
        <v>Please solve the LeetCode problem '2899. Last Visited Integers'.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82" spans="1:15" x14ac:dyDescent="0.25">
      <c r="A2882" s="1">
        <v>3046</v>
      </c>
      <c r="B2882" s="2" t="str">
        <f>HYPERLINK("https://leetcode.com/problems/split-the-array/", "Split the Array")</f>
        <v>Split the Array</v>
      </c>
      <c r="C2882" s="1">
        <v>164</v>
      </c>
      <c r="D2882" s="1">
        <v>15</v>
      </c>
      <c r="E2882" s="3">
        <f t="shared" si="22"/>
        <v>0.91620111731843579</v>
      </c>
      <c r="F2882" s="1" t="s">
        <v>294</v>
      </c>
      <c r="G2882" s="1" t="s">
        <v>20</v>
      </c>
      <c r="H2882" s="1">
        <v>79041</v>
      </c>
      <c r="I2882" s="1">
        <v>130208</v>
      </c>
      <c r="J2882" s="7">
        <v>0.60699999999999998</v>
      </c>
      <c r="K2882" s="1" t="s">
        <v>21</v>
      </c>
      <c r="L2882" s="1" t="s">
        <v>29</v>
      </c>
      <c r="M2882" s="1" t="s">
        <v>29</v>
      </c>
      <c r="N2882" s="1" t="s">
        <v>22</v>
      </c>
      <c r="O2882" s="1" t="str">
        <f t="shared" ca="1" si="23"/>
        <v>Please solve the LeetCode problem '3046. Split the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83" spans="1:15" x14ac:dyDescent="0.25">
      <c r="A2883" s="1">
        <v>3106</v>
      </c>
      <c r="B2883" s="2" t="str">
        <f>HYPERLINK("https://leetcode.com/problems/lexicographically-smallest-string-after-operations-with-constraint/", "Lexicographically Smallest String After Operations With Constraint")</f>
        <v>Lexicographically Smallest String After Operations With Constraint</v>
      </c>
      <c r="C2883" s="1">
        <v>164</v>
      </c>
      <c r="D2883" s="1">
        <v>28</v>
      </c>
      <c r="E2883" s="3">
        <f t="shared" si="22"/>
        <v>0.85416666666666663</v>
      </c>
      <c r="F2883" s="1" t="s">
        <v>424</v>
      </c>
      <c r="G2883" s="1" t="s">
        <v>24</v>
      </c>
      <c r="H2883" s="1">
        <v>28942</v>
      </c>
      <c r="I2883" s="1">
        <v>46032</v>
      </c>
      <c r="J2883" s="7">
        <v>0.629</v>
      </c>
      <c r="K2883" s="1" t="s">
        <v>21</v>
      </c>
      <c r="L2883" s="1" t="s">
        <v>29</v>
      </c>
      <c r="M2883" s="1" t="s">
        <v>29</v>
      </c>
      <c r="N2883" s="1" t="s">
        <v>22</v>
      </c>
      <c r="O2883" s="1" t="str">
        <f t="shared" ca="1" si="23"/>
        <v>Please solve the LeetCode problem '3106. Lexicographically Smallest String After Operations With Constraint'.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84" spans="1:15" x14ac:dyDescent="0.25">
      <c r="A2884" s="1">
        <v>3273</v>
      </c>
      <c r="B2884" s="2" t="str">
        <f>HYPERLINK("https://leetcode.com/problems/minimum-amount-of-damage-dealt-to-bob/", "Minimum Amount of Damage Dealt to Bob")</f>
        <v>Minimum Amount of Damage Dealt to Bob</v>
      </c>
      <c r="C2884" s="1">
        <v>164</v>
      </c>
      <c r="D2884" s="1">
        <v>25</v>
      </c>
      <c r="E2884" s="3">
        <f t="shared" si="22"/>
        <v>0.86772486772486768</v>
      </c>
      <c r="F2884" s="1" t="s">
        <v>169</v>
      </c>
      <c r="G2884" s="1" t="s">
        <v>28</v>
      </c>
      <c r="H2884" s="1">
        <v>14060</v>
      </c>
      <c r="I2884" s="1">
        <v>35670</v>
      </c>
      <c r="J2884" s="7">
        <v>0.39400000000000002</v>
      </c>
      <c r="K2884" s="1" t="s">
        <v>21</v>
      </c>
      <c r="L2884" s="1" t="s">
        <v>29</v>
      </c>
      <c r="M2884" s="1" t="s">
        <v>29</v>
      </c>
      <c r="N2884" s="1" t="s">
        <v>22</v>
      </c>
      <c r="O2884" s="1" t="str">
        <f t="shared" ca="1" si="23"/>
        <v>Please solve the LeetCode problem '3273. Minimum Amount of Damage Dealt to Bob'.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85" spans="1:15" x14ac:dyDescent="0.25">
      <c r="A2885" s="1">
        <v>194</v>
      </c>
      <c r="B2885" s="2" t="str">
        <f>HYPERLINK("https://leetcode.com/problems/transpose-file/", "Transpose File")</f>
        <v>Transpose File</v>
      </c>
      <c r="C2885" s="1">
        <v>163</v>
      </c>
      <c r="D2885" s="1">
        <v>290</v>
      </c>
      <c r="E2885" s="3">
        <f t="shared" si="22"/>
        <v>0.3598233995584989</v>
      </c>
      <c r="F2885" s="1" t="s">
        <v>860</v>
      </c>
      <c r="G2885" s="1" t="s">
        <v>24</v>
      </c>
      <c r="H2885" s="1">
        <v>39156</v>
      </c>
      <c r="I2885" s="1">
        <v>129655</v>
      </c>
      <c r="J2885" s="7">
        <v>0.30199999999999999</v>
      </c>
      <c r="K2885" s="1" t="s">
        <v>21</v>
      </c>
      <c r="L2885" s="1" t="s">
        <v>29</v>
      </c>
      <c r="M2885" s="1" t="s">
        <v>29</v>
      </c>
      <c r="N2885" s="1" t="s">
        <v>860</v>
      </c>
      <c r="O2885" s="1" t="str">
        <f t="shared" ca="1" si="23"/>
        <v>Please solve the LeetCode problem '194. Transpose File'.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86" spans="1:15" x14ac:dyDescent="0.25">
      <c r="A2886" s="1">
        <v>1205</v>
      </c>
      <c r="B2886" s="2" t="str">
        <f>HYPERLINK("https://leetcode.com/problems/monthly-transactions-ii/", "Monthly Transactions II")</f>
        <v>Monthly Transactions II</v>
      </c>
      <c r="C2886" s="1">
        <v>163</v>
      </c>
      <c r="D2886" s="1">
        <v>554</v>
      </c>
      <c r="E2886" s="3">
        <f t="shared" si="22"/>
        <v>0.22733612273361228</v>
      </c>
      <c r="F2886" s="1" t="s">
        <v>297</v>
      </c>
      <c r="G2886" s="1" t="s">
        <v>24</v>
      </c>
      <c r="H2886" s="1">
        <v>27956</v>
      </c>
      <c r="I2886" s="1">
        <v>66497</v>
      </c>
      <c r="J2886" s="7">
        <v>0.42</v>
      </c>
      <c r="K2886" s="1" t="s">
        <v>29</v>
      </c>
      <c r="L2886" s="1" t="s">
        <v>21</v>
      </c>
      <c r="M2886" s="1" t="s">
        <v>29</v>
      </c>
      <c r="N2886" s="1" t="s">
        <v>297</v>
      </c>
      <c r="O2886" s="1" t="str">
        <f t="shared" ca="1" si="23"/>
        <v>Please solve the LeetCode problem '1205. Monthly Transactions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87" spans="1:15" x14ac:dyDescent="0.25">
      <c r="A2887" s="1">
        <v>3070</v>
      </c>
      <c r="B2887" s="2" t="str">
        <f>HYPERLINK("https://leetcode.com/problems/count-submatrices-with-top-left-element-and-sum-less-than-k/", "Count Submatrices with Top-Left Element and Sum Less Than k")</f>
        <v>Count Submatrices with Top-Left Element and Sum Less Than k</v>
      </c>
      <c r="C2887" s="1">
        <v>163</v>
      </c>
      <c r="D2887" s="1">
        <v>6</v>
      </c>
      <c r="E2887" s="3">
        <f t="shared" si="22"/>
        <v>0.96449704142011838</v>
      </c>
      <c r="F2887" s="1" t="s">
        <v>425</v>
      </c>
      <c r="G2887" s="1" t="s">
        <v>24</v>
      </c>
      <c r="H2887" s="1">
        <v>30733</v>
      </c>
      <c r="I2887" s="1">
        <v>52864</v>
      </c>
      <c r="J2887" s="7">
        <v>0.58099999999999996</v>
      </c>
      <c r="K2887" s="1" t="s">
        <v>21</v>
      </c>
      <c r="L2887" s="1" t="s">
        <v>29</v>
      </c>
      <c r="M2887" s="1" t="s">
        <v>29</v>
      </c>
      <c r="N2887" s="1" t="s">
        <v>22</v>
      </c>
      <c r="O2887" s="1" t="str">
        <f t="shared" ca="1" si="23"/>
        <v>Please solve the LeetCode problem '3070. Count Submatrices with Top-Left Element and Sum Less Than k'.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88" spans="1:15" x14ac:dyDescent="0.25">
      <c r="A2888" s="1">
        <v>3176</v>
      </c>
      <c r="B2888" s="2" t="str">
        <f>HYPERLINK("https://leetcode.com/problems/find-the-maximum-length-of-a-good-subsequence-i/", "Find the Maximum Length of a Good Subsequence I")</f>
        <v>Find the Maximum Length of a Good Subsequence I</v>
      </c>
      <c r="C2888" s="1">
        <v>163</v>
      </c>
      <c r="D2888" s="1">
        <v>94</v>
      </c>
      <c r="E2888" s="3">
        <f t="shared" si="22"/>
        <v>0.63424124513618674</v>
      </c>
      <c r="F2888" s="1" t="s">
        <v>174</v>
      </c>
      <c r="G2888" s="1" t="s">
        <v>24</v>
      </c>
      <c r="H2888" s="1">
        <v>22729</v>
      </c>
      <c r="I2888" s="1">
        <v>70210</v>
      </c>
      <c r="J2888" s="7">
        <v>0.32400000000000001</v>
      </c>
      <c r="K2888" s="1" t="s">
        <v>21</v>
      </c>
      <c r="L2888" s="1" t="s">
        <v>29</v>
      </c>
      <c r="M2888" s="1" t="s">
        <v>29</v>
      </c>
      <c r="N2888" s="1" t="s">
        <v>22</v>
      </c>
      <c r="O2888" s="1" t="str">
        <f t="shared" ca="1" si="23"/>
        <v>Please solve the LeetCode problem '3176. Find the Maximum Length of a Good Subsequence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89" spans="1:15" x14ac:dyDescent="0.25">
      <c r="A2889" s="1">
        <v>3316</v>
      </c>
      <c r="B2889" s="2" t="str">
        <f>HYPERLINK("https://leetcode.com/problems/find-maximum-removals-from-source-string/", "Find Maximum Removals From Source String")</f>
        <v>Find Maximum Removals From Source String</v>
      </c>
      <c r="C2889" s="1">
        <v>163</v>
      </c>
      <c r="D2889" s="1">
        <v>20</v>
      </c>
      <c r="E2889" s="3">
        <f t="shared" si="22"/>
        <v>0.89071038251366119</v>
      </c>
      <c r="F2889" s="1" t="s">
        <v>1125</v>
      </c>
      <c r="G2889" s="1" t="s">
        <v>24</v>
      </c>
      <c r="H2889" s="1">
        <v>11791</v>
      </c>
      <c r="I2889" s="1">
        <v>30221</v>
      </c>
      <c r="J2889" s="7">
        <v>0.39</v>
      </c>
      <c r="K2889" s="1" t="s">
        <v>21</v>
      </c>
      <c r="L2889" s="1" t="s">
        <v>29</v>
      </c>
      <c r="M2889" s="1" t="s">
        <v>29</v>
      </c>
      <c r="N2889" s="1" t="s">
        <v>22</v>
      </c>
      <c r="O2889" s="1" t="str">
        <f t="shared" ca="1" si="23"/>
        <v>Please solve the LeetCode problem '3316. Find Maximum Removals From Source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90" spans="1:15" x14ac:dyDescent="0.25">
      <c r="A2890" s="1">
        <v>3733</v>
      </c>
      <c r="B2890" s="2" t="str">
        <f>HYPERLINK("https://leetcode.com/problems/minimum-time-to-complete-all-deliveries/", "Minimum Time to Complete All Deliveries")</f>
        <v>Minimum Time to Complete All Deliveries</v>
      </c>
      <c r="C2890" s="1">
        <v>163</v>
      </c>
      <c r="D2890" s="1">
        <v>10</v>
      </c>
      <c r="E2890" s="3">
        <f t="shared" si="22"/>
        <v>0.94219653179190754</v>
      </c>
      <c r="F2890" s="1" t="s">
        <v>139</v>
      </c>
      <c r="G2890" s="1" t="s">
        <v>24</v>
      </c>
      <c r="H2890" s="1">
        <v>13250</v>
      </c>
      <c r="I2890" s="1">
        <v>39114</v>
      </c>
      <c r="J2890" s="7">
        <v>0.33900000000000002</v>
      </c>
      <c r="K2890" s="1" t="s">
        <v>21</v>
      </c>
      <c r="L2890" s="1" t="s">
        <v>29</v>
      </c>
      <c r="M2890" s="1" t="s">
        <v>29</v>
      </c>
      <c r="N2890" s="1" t="s">
        <v>22</v>
      </c>
      <c r="O2890" s="1" t="str">
        <f t="shared" ca="1" si="23"/>
        <v>Please solve the LeetCode problem '3733. Minimum Time to Complete All Deliveries'.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91" spans="1:15" x14ac:dyDescent="0.25">
      <c r="A2891" s="1">
        <v>3107</v>
      </c>
      <c r="B2891" s="2" t="str">
        <f>HYPERLINK("https://leetcode.com/problems/minimum-operations-to-make-median-of-array-equal-to-k/", "Minimum Operations to Make Median of Array Equal to K")</f>
        <v>Minimum Operations to Make Median of Array Equal to K</v>
      </c>
      <c r="C2891" s="1">
        <v>162</v>
      </c>
      <c r="D2891" s="1">
        <v>186</v>
      </c>
      <c r="E2891" s="3">
        <f t="shared" si="22"/>
        <v>0.46551724137931033</v>
      </c>
      <c r="F2891" s="1" t="s">
        <v>169</v>
      </c>
      <c r="G2891" s="1" t="s">
        <v>24</v>
      </c>
      <c r="H2891" s="1">
        <v>30144</v>
      </c>
      <c r="I2891" s="1">
        <v>63392</v>
      </c>
      <c r="J2891" s="7">
        <v>0.47599999999999998</v>
      </c>
      <c r="K2891" s="1" t="s">
        <v>21</v>
      </c>
      <c r="L2891" s="1" t="s">
        <v>29</v>
      </c>
      <c r="M2891" s="1" t="s">
        <v>29</v>
      </c>
      <c r="N2891" s="1" t="s">
        <v>22</v>
      </c>
      <c r="O2891" s="1" t="str">
        <f t="shared" ca="1" si="23"/>
        <v>Please solve the LeetCode problem '3107. Minimum Operations to Make Median of Array Equal to K'.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92" spans="1:15" x14ac:dyDescent="0.25">
      <c r="A2892" s="1">
        <v>3200</v>
      </c>
      <c r="B2892" s="2" t="str">
        <f>HYPERLINK("https://leetcode.com/problems/maximum-height-of-a-triangle/", "Maximum Height of a Triangle")</f>
        <v>Maximum Height of a Triangle</v>
      </c>
      <c r="C2892" s="1">
        <v>162</v>
      </c>
      <c r="D2892" s="1">
        <v>29</v>
      </c>
      <c r="E2892" s="3">
        <f t="shared" si="22"/>
        <v>0.84816753926701571</v>
      </c>
      <c r="F2892" s="1" t="s">
        <v>654</v>
      </c>
      <c r="G2892" s="1" t="s">
        <v>20</v>
      </c>
      <c r="H2892" s="1">
        <v>43460</v>
      </c>
      <c r="I2892" s="1">
        <v>98694</v>
      </c>
      <c r="J2892" s="7">
        <v>0.44</v>
      </c>
      <c r="K2892" s="1" t="s">
        <v>21</v>
      </c>
      <c r="L2892" s="1" t="s">
        <v>29</v>
      </c>
      <c r="M2892" s="1" t="s">
        <v>29</v>
      </c>
      <c r="N2892" s="1" t="s">
        <v>22</v>
      </c>
      <c r="O2892" s="1" t="str">
        <f t="shared" ca="1" si="23"/>
        <v>Please solve the LeetCode problem '3200. Maximum Height of a Triangle'.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93" spans="1:15" x14ac:dyDescent="0.25">
      <c r="A2893" s="1">
        <v>3206</v>
      </c>
      <c r="B2893" s="2" t="str">
        <f>HYPERLINK("https://leetcode.com/problems/alternating-groups-i/", "Alternating Groups I")</f>
        <v>Alternating Groups I</v>
      </c>
      <c r="C2893" s="1">
        <v>162</v>
      </c>
      <c r="D2893" s="1">
        <v>9</v>
      </c>
      <c r="E2893" s="3">
        <f t="shared" si="22"/>
        <v>0.94736842105263153</v>
      </c>
      <c r="F2893" s="1" t="s">
        <v>295</v>
      </c>
      <c r="G2893" s="1" t="s">
        <v>20</v>
      </c>
      <c r="H2893" s="1">
        <v>71115</v>
      </c>
      <c r="I2893" s="1">
        <v>103678</v>
      </c>
      <c r="J2893" s="7">
        <v>0.68600000000000005</v>
      </c>
      <c r="K2893" s="1" t="s">
        <v>21</v>
      </c>
      <c r="L2893" s="1" t="s">
        <v>29</v>
      </c>
      <c r="M2893" s="1" t="s">
        <v>29</v>
      </c>
      <c r="N2893" s="1" t="s">
        <v>22</v>
      </c>
      <c r="O2893" s="1" t="str">
        <f t="shared" ca="1" si="23"/>
        <v>Please solve the LeetCode problem '3206. Alternating Groups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94" spans="1:15" x14ac:dyDescent="0.25">
      <c r="A2894" s="1">
        <v>1532</v>
      </c>
      <c r="B2894" s="2" t="str">
        <f>HYPERLINK("https://leetcode.com/problems/the-most-recent-three-orders/", "The Most Recent Three Orders")</f>
        <v>The Most Recent Three Orders</v>
      </c>
      <c r="C2894" s="1">
        <v>161</v>
      </c>
      <c r="D2894" s="1">
        <v>11</v>
      </c>
      <c r="E2894" s="3">
        <f t="shared" si="22"/>
        <v>0.93604651162790697</v>
      </c>
      <c r="F2894" s="1" t="s">
        <v>297</v>
      </c>
      <c r="G2894" s="1" t="s">
        <v>24</v>
      </c>
      <c r="H2894" s="1">
        <v>38181</v>
      </c>
      <c r="I2894" s="1">
        <v>55297</v>
      </c>
      <c r="J2894" s="7">
        <v>0.69</v>
      </c>
      <c r="K2894" s="1" t="s">
        <v>29</v>
      </c>
      <c r="L2894" s="1" t="s">
        <v>29</v>
      </c>
      <c r="M2894" s="1" t="s">
        <v>29</v>
      </c>
      <c r="N2894" s="1" t="s">
        <v>297</v>
      </c>
      <c r="O2894" s="1" t="str">
        <f t="shared" ca="1" si="23"/>
        <v>Please solve the LeetCode problem '1532. The Most Recent Three Orders'.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95" spans="1:15" x14ac:dyDescent="0.25">
      <c r="A2895" s="1">
        <v>3028</v>
      </c>
      <c r="B2895" s="2" t="str">
        <f>HYPERLINK("https://leetcode.com/problems/ant-on-the-boundary/", "Ant on the Boundary")</f>
        <v>Ant on the Boundary</v>
      </c>
      <c r="C2895" s="1">
        <v>161</v>
      </c>
      <c r="D2895" s="1">
        <v>53</v>
      </c>
      <c r="E2895" s="3">
        <f t="shared" si="22"/>
        <v>0.75233644859813087</v>
      </c>
      <c r="F2895" s="1" t="s">
        <v>874</v>
      </c>
      <c r="G2895" s="1" t="s">
        <v>20</v>
      </c>
      <c r="H2895" s="1">
        <v>71596</v>
      </c>
      <c r="I2895" s="1">
        <v>96569</v>
      </c>
      <c r="J2895" s="7">
        <v>0.74099999999999999</v>
      </c>
      <c r="K2895" s="1" t="s">
        <v>21</v>
      </c>
      <c r="L2895" s="1" t="s">
        <v>29</v>
      </c>
      <c r="M2895" s="1" t="s">
        <v>29</v>
      </c>
      <c r="N2895" s="1" t="s">
        <v>22</v>
      </c>
      <c r="O2895" s="1" t="str">
        <f t="shared" ca="1" si="23"/>
        <v>Please solve the LeetCode problem '3028. Ant on the Boundary'.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96" spans="1:15" x14ac:dyDescent="0.25">
      <c r="A2896" s="1">
        <v>3728</v>
      </c>
      <c r="B2896" s="2" t="str">
        <f>HYPERLINK("https://leetcode.com/problems/stable-subarrays-with-equal-boundary-and-interior-sum/", "Stable Subarrays With Equal Boundary and Interior Sum")</f>
        <v>Stable Subarrays With Equal Boundary and Interior Sum</v>
      </c>
      <c r="C2896" s="1">
        <v>161</v>
      </c>
      <c r="D2896" s="1">
        <v>3</v>
      </c>
      <c r="E2896" s="3">
        <f t="shared" si="22"/>
        <v>0.98170731707317072</v>
      </c>
      <c r="F2896" s="1" t="s">
        <v>39</v>
      </c>
      <c r="G2896" s="1" t="s">
        <v>24</v>
      </c>
      <c r="H2896" s="1">
        <v>15152</v>
      </c>
      <c r="I2896" s="1">
        <v>59000</v>
      </c>
      <c r="J2896" s="7">
        <v>0.25700000000000001</v>
      </c>
      <c r="K2896" s="1" t="s">
        <v>21</v>
      </c>
      <c r="L2896" s="1" t="s">
        <v>29</v>
      </c>
      <c r="M2896" s="1" t="s">
        <v>29</v>
      </c>
      <c r="N2896" s="1" t="s">
        <v>22</v>
      </c>
      <c r="O2896" s="1" t="str">
        <f t="shared" ca="1" si="23"/>
        <v>Please solve the LeetCode problem '3728. Stable Subarrays With Equal Boundary and Interior Sum'.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97" spans="1:15" x14ac:dyDescent="0.25">
      <c r="A2897" s="1">
        <v>2902</v>
      </c>
      <c r="B2897" s="2" t="str">
        <f>HYPERLINK("https://leetcode.com/problems/count-of-sub-multisets-with-bounded-sum/", "Count of Sub-Multisets With Bounded Sum")</f>
        <v>Count of Sub-Multisets With Bounded Sum</v>
      </c>
      <c r="C2897" s="1">
        <v>160</v>
      </c>
      <c r="D2897" s="1">
        <v>27</v>
      </c>
      <c r="E2897" s="3">
        <f t="shared" si="22"/>
        <v>0.85561497326203206</v>
      </c>
      <c r="F2897" s="1" t="s">
        <v>1126</v>
      </c>
      <c r="G2897" s="1" t="s">
        <v>28</v>
      </c>
      <c r="H2897" s="1">
        <v>5866</v>
      </c>
      <c r="I2897" s="1">
        <v>26659</v>
      </c>
      <c r="J2897" s="7">
        <v>0.22</v>
      </c>
      <c r="K2897" s="1" t="s">
        <v>21</v>
      </c>
      <c r="L2897" s="1" t="s">
        <v>29</v>
      </c>
      <c r="M2897" s="1" t="s">
        <v>29</v>
      </c>
      <c r="N2897" s="1" t="s">
        <v>22</v>
      </c>
      <c r="O2897" s="1" t="str">
        <f t="shared" ca="1" si="23"/>
        <v>Please solve the LeetCode problem '2902. Count of Sub-Multisets With Bounded Sum'.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98" spans="1:15" x14ac:dyDescent="0.25">
      <c r="A2898" s="1">
        <v>3212</v>
      </c>
      <c r="B2898" s="2" t="str">
        <f>HYPERLINK("https://leetcode.com/problems/count-submatrices-with-equal-frequency-of-x-and-y/", "Count Submatrices With Equal Frequency of X and Y")</f>
        <v>Count Submatrices With Equal Frequency of X and Y</v>
      </c>
      <c r="C2898" s="1">
        <v>160</v>
      </c>
      <c r="D2898" s="1">
        <v>27</v>
      </c>
      <c r="E2898" s="3">
        <f t="shared" si="22"/>
        <v>0.85561497326203206</v>
      </c>
      <c r="F2898" s="1" t="s">
        <v>425</v>
      </c>
      <c r="G2898" s="1" t="s">
        <v>24</v>
      </c>
      <c r="H2898" s="1">
        <v>26575</v>
      </c>
      <c r="I2898" s="1">
        <v>51705</v>
      </c>
      <c r="J2898" s="7">
        <v>0.51400000000000001</v>
      </c>
      <c r="K2898" s="1" t="s">
        <v>21</v>
      </c>
      <c r="L2898" s="1" t="s">
        <v>29</v>
      </c>
      <c r="M2898" s="1" t="s">
        <v>29</v>
      </c>
      <c r="N2898" s="1" t="s">
        <v>22</v>
      </c>
      <c r="O2898" s="1" t="str">
        <f t="shared" ca="1" si="23"/>
        <v>Please solve the LeetCode problem '3212. Count Submatrices With Equal Frequency of X and 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899" spans="1:15" x14ac:dyDescent="0.25">
      <c r="A2899" s="1">
        <v>1453</v>
      </c>
      <c r="B2899" s="2" t="str">
        <f>HYPERLINK("https://leetcode.com/problems/maximum-number-of-darts-inside-of-a-circular-dartboard/", "Maximum Number of Darts Inside of a Circular Dartboard")</f>
        <v>Maximum Number of Darts Inside of a Circular Dartboard</v>
      </c>
      <c r="C2899" s="1">
        <v>159</v>
      </c>
      <c r="D2899" s="1">
        <v>277</v>
      </c>
      <c r="E2899" s="3">
        <f t="shared" si="22"/>
        <v>0.36467889908256879</v>
      </c>
      <c r="F2899" s="1" t="s">
        <v>397</v>
      </c>
      <c r="G2899" s="1" t="s">
        <v>28</v>
      </c>
      <c r="H2899" s="1">
        <v>8281</v>
      </c>
      <c r="I2899" s="1">
        <v>20766</v>
      </c>
      <c r="J2899" s="7">
        <v>0.39900000000000002</v>
      </c>
      <c r="K2899" s="1" t="s">
        <v>21</v>
      </c>
      <c r="L2899" s="1" t="s">
        <v>29</v>
      </c>
      <c r="M2899" s="1" t="s">
        <v>29</v>
      </c>
      <c r="N2899" s="1" t="s">
        <v>22</v>
      </c>
      <c r="O2899" s="1" t="str">
        <f t="shared" ca="1" si="23"/>
        <v>Please solve the LeetCode problem '1453. Maximum Number of Darts Inside of a Circular Dartboard'.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00" spans="1:15" x14ac:dyDescent="0.25">
      <c r="A2900" s="1">
        <v>3158</v>
      </c>
      <c r="B2900" s="2" t="str">
        <f>HYPERLINK("https://leetcode.com/problems/find-the-xor-of-numbers-which-appear-twice/", "Find the XOR of Numbers Which Appear Twice")</f>
        <v>Find the XOR of Numbers Which Appear Twice</v>
      </c>
      <c r="C2900" s="1">
        <v>159</v>
      </c>
      <c r="D2900" s="1">
        <v>14</v>
      </c>
      <c r="E2900" s="3">
        <f t="shared" si="22"/>
        <v>0.91907514450867056</v>
      </c>
      <c r="F2900" s="1" t="s">
        <v>667</v>
      </c>
      <c r="G2900" s="1" t="s">
        <v>20</v>
      </c>
      <c r="H2900" s="1">
        <v>72302</v>
      </c>
      <c r="I2900" s="1">
        <v>92064</v>
      </c>
      <c r="J2900" s="7">
        <v>0.78500000000000003</v>
      </c>
      <c r="K2900" s="1" t="s">
        <v>21</v>
      </c>
      <c r="L2900" s="1" t="s">
        <v>29</v>
      </c>
      <c r="M2900" s="1" t="s">
        <v>29</v>
      </c>
      <c r="N2900" s="1" t="s">
        <v>22</v>
      </c>
      <c r="O2900" s="1" t="str">
        <f t="shared" ca="1" si="23"/>
        <v>Please solve the LeetCode problem '3158. Find the XOR of Numbers Which Appear Twice'.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01" spans="1:15" x14ac:dyDescent="0.25">
      <c r="A2901" s="1">
        <v>3162</v>
      </c>
      <c r="B2901" s="2" t="str">
        <f>HYPERLINK("https://leetcode.com/problems/find-the-number-of-good-pairs-i/", "Find the Number of Good Pairs I")</f>
        <v>Find the Number of Good Pairs I</v>
      </c>
      <c r="C2901" s="1">
        <v>159</v>
      </c>
      <c r="D2901" s="1">
        <v>16</v>
      </c>
      <c r="E2901" s="3">
        <f t="shared" si="22"/>
        <v>0.90857142857142859</v>
      </c>
      <c r="F2901" s="1" t="s">
        <v>19</v>
      </c>
      <c r="G2901" s="1" t="s">
        <v>20</v>
      </c>
      <c r="H2901" s="1">
        <v>92224</v>
      </c>
      <c r="I2901" s="1">
        <v>106960</v>
      </c>
      <c r="J2901" s="7">
        <v>0.86199999999999999</v>
      </c>
      <c r="K2901" s="1" t="s">
        <v>21</v>
      </c>
      <c r="L2901" s="1" t="s">
        <v>29</v>
      </c>
      <c r="M2901" s="1" t="s">
        <v>29</v>
      </c>
      <c r="N2901" s="1" t="s">
        <v>22</v>
      </c>
      <c r="O2901" s="1" t="str">
        <f t="shared" ca="1" si="23"/>
        <v>Please solve the LeetCode problem '3162. Find the Number of Good Pairs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02" spans="1:15" x14ac:dyDescent="0.25">
      <c r="A2902" s="1">
        <v>1435</v>
      </c>
      <c r="B2902" s="2" t="str">
        <f>HYPERLINK("https://leetcode.com/problems/create-a-session-bar-chart/", "Create a Session Bar Chart")</f>
        <v>Create a Session Bar Chart</v>
      </c>
      <c r="C2902" s="1">
        <v>158</v>
      </c>
      <c r="D2902" s="1">
        <v>265</v>
      </c>
      <c r="E2902" s="3">
        <f t="shared" si="22"/>
        <v>0.37352245862884159</v>
      </c>
      <c r="F2902" s="1" t="s">
        <v>297</v>
      </c>
      <c r="G2902" s="1" t="s">
        <v>20</v>
      </c>
      <c r="H2902" s="1">
        <v>26896</v>
      </c>
      <c r="I2902" s="1">
        <v>35987</v>
      </c>
      <c r="J2902" s="7">
        <v>0.747</v>
      </c>
      <c r="K2902" s="1" t="s">
        <v>29</v>
      </c>
      <c r="L2902" s="1" t="s">
        <v>29</v>
      </c>
      <c r="M2902" s="1" t="s">
        <v>29</v>
      </c>
      <c r="N2902" s="1" t="s">
        <v>297</v>
      </c>
      <c r="O2902" s="1" t="str">
        <f t="shared" ca="1" si="23"/>
        <v>Please solve the LeetCode problem '1435. Create a Session Bar Chart'.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03" spans="1:15" x14ac:dyDescent="0.25">
      <c r="A2903" s="1">
        <v>1479</v>
      </c>
      <c r="B2903" s="2" t="str">
        <f>HYPERLINK("https://leetcode.com/problems/sales-by-day-of-the-week/", "Sales by Day of the Week")</f>
        <v>Sales by Day of the Week</v>
      </c>
      <c r="C2903" s="1">
        <v>158</v>
      </c>
      <c r="D2903" s="1">
        <v>39</v>
      </c>
      <c r="E2903" s="3">
        <f t="shared" si="22"/>
        <v>0.80203045685279184</v>
      </c>
      <c r="F2903" s="1" t="s">
        <v>297</v>
      </c>
      <c r="G2903" s="1" t="s">
        <v>28</v>
      </c>
      <c r="H2903" s="1">
        <v>21047</v>
      </c>
      <c r="I2903" s="1">
        <v>27505</v>
      </c>
      <c r="J2903" s="7">
        <v>0.76500000000000001</v>
      </c>
      <c r="K2903" s="1" t="s">
        <v>29</v>
      </c>
      <c r="L2903" s="1" t="s">
        <v>21</v>
      </c>
      <c r="M2903" s="1" t="s">
        <v>29</v>
      </c>
      <c r="N2903" s="1" t="s">
        <v>297</v>
      </c>
      <c r="O2903" s="1" t="str">
        <f t="shared" ca="1" si="23"/>
        <v>Please solve the LeetCode problem '1479. Sales by Day of the Week'.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04" spans="1:15" x14ac:dyDescent="0.25">
      <c r="A2904" s="1">
        <v>1682</v>
      </c>
      <c r="B2904" s="2" t="str">
        <f>HYPERLINK("https://leetcode.com/problems/longest-palindromic-subsequence-ii/", "Longest Palindromic Subsequence II")</f>
        <v>Longest Palindromic Subsequence II</v>
      </c>
      <c r="C2904" s="1">
        <v>158</v>
      </c>
      <c r="D2904" s="1">
        <v>30</v>
      </c>
      <c r="E2904" s="3">
        <f t="shared" si="22"/>
        <v>0.84042553191489366</v>
      </c>
      <c r="F2904" s="1" t="s">
        <v>82</v>
      </c>
      <c r="G2904" s="1" t="s">
        <v>24</v>
      </c>
      <c r="H2904" s="1">
        <v>6326</v>
      </c>
      <c r="I2904" s="1">
        <v>12540</v>
      </c>
      <c r="J2904" s="7">
        <v>0.504</v>
      </c>
      <c r="K2904" s="1" t="s">
        <v>29</v>
      </c>
      <c r="L2904" s="1" t="s">
        <v>29</v>
      </c>
      <c r="M2904" s="1" t="s">
        <v>29</v>
      </c>
      <c r="N2904" s="1" t="s">
        <v>22</v>
      </c>
      <c r="O2904" s="1" t="str">
        <f t="shared" ca="1" si="23"/>
        <v>Please solve the LeetCode problem '1682. Longest Palindromic Subsequence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05" spans="1:15" x14ac:dyDescent="0.25">
      <c r="A2905" s="1">
        <v>3265</v>
      </c>
      <c r="B2905" s="2" t="str">
        <f>HYPERLINK("https://leetcode.com/problems/count-almost-equal-pairs-i/", "Count Almost Equal Pairs I")</f>
        <v>Count Almost Equal Pairs I</v>
      </c>
      <c r="C2905" s="1">
        <v>158</v>
      </c>
      <c r="D2905" s="1">
        <v>26</v>
      </c>
      <c r="E2905" s="3">
        <f t="shared" si="22"/>
        <v>0.85869565217391308</v>
      </c>
      <c r="F2905" s="1" t="s">
        <v>1128</v>
      </c>
      <c r="G2905" s="1" t="s">
        <v>24</v>
      </c>
      <c r="H2905" s="1">
        <v>28799</v>
      </c>
      <c r="I2905" s="1">
        <v>75606</v>
      </c>
      <c r="J2905" s="7">
        <v>0.38100000000000001</v>
      </c>
      <c r="K2905" s="1" t="s">
        <v>21</v>
      </c>
      <c r="L2905" s="1" t="s">
        <v>29</v>
      </c>
      <c r="M2905" s="1" t="s">
        <v>29</v>
      </c>
      <c r="N2905" s="1" t="s">
        <v>22</v>
      </c>
      <c r="O2905" s="1" t="str">
        <f t="shared" ca="1" si="23"/>
        <v>Please solve the LeetCode problem '3265. Count Almost Equal Pairs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06" spans="1:15" x14ac:dyDescent="0.25">
      <c r="A2906" s="1">
        <v>3302</v>
      </c>
      <c r="B2906" s="2" t="str">
        <f>HYPERLINK("https://leetcode.com/problems/find-the-lexicographically-smallest-valid-sequence/", "Find the Lexicographically Smallest Valid Sequence")</f>
        <v>Find the Lexicographically Smallest Valid Sequence</v>
      </c>
      <c r="C2906" s="1">
        <v>158</v>
      </c>
      <c r="D2906" s="1">
        <v>33</v>
      </c>
      <c r="E2906" s="3">
        <f t="shared" si="22"/>
        <v>0.82722513089005234</v>
      </c>
      <c r="F2906" s="1" t="s">
        <v>920</v>
      </c>
      <c r="G2906" s="1" t="s">
        <v>24</v>
      </c>
      <c r="H2906" s="1">
        <v>7393</v>
      </c>
      <c r="I2906" s="1">
        <v>34480</v>
      </c>
      <c r="J2906" s="7">
        <v>0.214</v>
      </c>
      <c r="K2906" s="1" t="s">
        <v>21</v>
      </c>
      <c r="L2906" s="1" t="s">
        <v>29</v>
      </c>
      <c r="M2906" s="1" t="s">
        <v>29</v>
      </c>
      <c r="N2906" s="1" t="s">
        <v>22</v>
      </c>
      <c r="O2906" s="1" t="str">
        <f t="shared" ca="1" si="23"/>
        <v>Please solve the LeetCode problem '3302. Find the Lexicographically Smallest Valid Sequence'.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07" spans="1:15" x14ac:dyDescent="0.25">
      <c r="A2907" s="1">
        <v>1058</v>
      </c>
      <c r="B2907" s="2" t="str">
        <f>HYPERLINK("https://leetcode.com/problems/minimize-rounding-error-to-meet-target/", "Minimize Rounding Error to Meet Target")</f>
        <v>Minimize Rounding Error to Meet Target</v>
      </c>
      <c r="C2907" s="1">
        <v>157</v>
      </c>
      <c r="D2907" s="1">
        <v>149</v>
      </c>
      <c r="E2907" s="3">
        <f t="shared" si="22"/>
        <v>0.51307189542483655</v>
      </c>
      <c r="F2907" s="1" t="s">
        <v>1129</v>
      </c>
      <c r="G2907" s="1" t="s">
        <v>24</v>
      </c>
      <c r="H2907" s="1">
        <v>11157</v>
      </c>
      <c r="I2907" s="1">
        <v>24390</v>
      </c>
      <c r="J2907" s="7">
        <v>0.45700000000000002</v>
      </c>
      <c r="K2907" s="1" t="s">
        <v>29</v>
      </c>
      <c r="L2907" s="1" t="s">
        <v>29</v>
      </c>
      <c r="M2907" s="1" t="s">
        <v>29</v>
      </c>
      <c r="N2907" s="1" t="s">
        <v>22</v>
      </c>
      <c r="O2907" s="1" t="str">
        <f t="shared" ca="1" si="23"/>
        <v>Please solve the LeetCode problem '1058. Minimize Rounding Error to Meet Target'.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08" spans="1:15" x14ac:dyDescent="0.25">
      <c r="A2908" s="1">
        <v>1852</v>
      </c>
      <c r="B2908" s="2" t="str">
        <f>HYPERLINK("https://leetcode.com/problems/distinct-numbers-in-each-subarray/", "Distinct Numbers in Each Subarray")</f>
        <v>Distinct Numbers in Each Subarray</v>
      </c>
      <c r="C2908" s="1">
        <v>157</v>
      </c>
      <c r="D2908" s="1">
        <v>10</v>
      </c>
      <c r="E2908" s="3">
        <f t="shared" si="22"/>
        <v>0.94011976047904189</v>
      </c>
      <c r="F2908" s="1" t="s">
        <v>185</v>
      </c>
      <c r="G2908" s="1" t="s">
        <v>24</v>
      </c>
      <c r="H2908" s="1">
        <v>16562</v>
      </c>
      <c r="I2908" s="1">
        <v>21443</v>
      </c>
      <c r="J2908" s="7">
        <v>0.77200000000000002</v>
      </c>
      <c r="K2908" s="1" t="s">
        <v>29</v>
      </c>
      <c r="L2908" s="1" t="s">
        <v>21</v>
      </c>
      <c r="M2908" s="1" t="s">
        <v>29</v>
      </c>
      <c r="N2908" s="1" t="s">
        <v>22</v>
      </c>
      <c r="O2908" s="1" t="str">
        <f t="shared" ca="1" si="23"/>
        <v>Please solve the LeetCode problem '1852. Distinct Numbers in Each Subarray'.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09" spans="1:15" x14ac:dyDescent="0.25">
      <c r="A2909" s="1">
        <v>3031</v>
      </c>
      <c r="B2909" s="2" t="str">
        <f>HYPERLINK("https://leetcode.com/problems/minimum-time-to-revert-word-to-initial-state-ii/", "Minimum Time to Revert Word to Initial State II")</f>
        <v>Minimum Time to Revert Word to Initial State II</v>
      </c>
      <c r="C2909" s="1">
        <v>157</v>
      </c>
      <c r="D2909" s="1">
        <v>22</v>
      </c>
      <c r="E2909" s="3">
        <f t="shared" si="22"/>
        <v>0.87709497206703912</v>
      </c>
      <c r="F2909" s="1" t="s">
        <v>283</v>
      </c>
      <c r="G2909" s="1" t="s">
        <v>28</v>
      </c>
      <c r="H2909" s="1">
        <v>13218</v>
      </c>
      <c r="I2909" s="1">
        <v>37898</v>
      </c>
      <c r="J2909" s="7">
        <v>0.34899999999999998</v>
      </c>
      <c r="K2909" s="1" t="s">
        <v>21</v>
      </c>
      <c r="L2909" s="1" t="s">
        <v>29</v>
      </c>
      <c r="M2909" s="1" t="s">
        <v>29</v>
      </c>
      <c r="N2909" s="1" t="s">
        <v>22</v>
      </c>
      <c r="O2909" s="1" t="str">
        <f t="shared" ca="1" si="23"/>
        <v>Please solve the LeetCode problem '3031. Minimum Time to Revert Word to Initial State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10" spans="1:15" x14ac:dyDescent="0.25">
      <c r="A2910" s="1">
        <v>3019</v>
      </c>
      <c r="B2910" s="2" t="str">
        <f>HYPERLINK("https://leetcode.com/problems/number-of-changing-keys/", "Number of Changing Keys")</f>
        <v>Number of Changing Keys</v>
      </c>
      <c r="C2910" s="1">
        <v>156</v>
      </c>
      <c r="D2910" s="1">
        <v>16</v>
      </c>
      <c r="E2910" s="3">
        <f t="shared" si="22"/>
        <v>0.90697674418604646</v>
      </c>
      <c r="F2910" s="1" t="s">
        <v>146</v>
      </c>
      <c r="G2910" s="1" t="s">
        <v>20</v>
      </c>
      <c r="H2910" s="1">
        <v>77493</v>
      </c>
      <c r="I2910" s="1">
        <v>96474</v>
      </c>
      <c r="J2910" s="7">
        <v>0.80300000000000005</v>
      </c>
      <c r="K2910" s="1" t="s">
        <v>21</v>
      </c>
      <c r="L2910" s="1" t="s">
        <v>29</v>
      </c>
      <c r="M2910" s="1" t="s">
        <v>29</v>
      </c>
      <c r="N2910" s="1" t="s">
        <v>22</v>
      </c>
      <c r="O2910" s="1" t="str">
        <f t="shared" ca="1" si="23"/>
        <v>Please solve the LeetCode problem '3019. Number of Changing Keys'.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11" spans="1:15" x14ac:dyDescent="0.25">
      <c r="A2911" s="1">
        <v>3592</v>
      </c>
      <c r="B2911" s="2" t="str">
        <f>HYPERLINK("https://leetcode.com/problems/inverse-coin-change/", "Inverse Coin Change")</f>
        <v>Inverse Coin Change</v>
      </c>
      <c r="C2911" s="1">
        <v>156</v>
      </c>
      <c r="D2911" s="1">
        <v>20</v>
      </c>
      <c r="E2911" s="3">
        <f t="shared" si="22"/>
        <v>0.88636363636363635</v>
      </c>
      <c r="F2911" s="1" t="s">
        <v>30</v>
      </c>
      <c r="G2911" s="1" t="s">
        <v>24</v>
      </c>
      <c r="H2911" s="1">
        <v>20773</v>
      </c>
      <c r="I2911" s="1">
        <v>40487</v>
      </c>
      <c r="J2911" s="7">
        <v>0.51300000000000001</v>
      </c>
      <c r="K2911" s="1" t="s">
        <v>21</v>
      </c>
      <c r="L2911" s="1" t="s">
        <v>29</v>
      </c>
      <c r="M2911" s="1" t="s">
        <v>29</v>
      </c>
      <c r="N2911" s="1" t="s">
        <v>22</v>
      </c>
      <c r="O2911" s="1" t="str">
        <f t="shared" ca="1" si="23"/>
        <v>Please solve the LeetCode problem '3592. Inverse Coin Change'.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12" spans="1:15" x14ac:dyDescent="0.25">
      <c r="A2912" s="1">
        <v>2916</v>
      </c>
      <c r="B2912" s="2" t="str">
        <f>HYPERLINK("https://leetcode.com/problems/subarrays-distinct-element-sum-of-squares-ii/", "Subarrays Distinct Element Sum of Squares II")</f>
        <v>Subarrays Distinct Element Sum of Squares II</v>
      </c>
      <c r="C2912" s="1">
        <v>155</v>
      </c>
      <c r="D2912" s="1">
        <v>12</v>
      </c>
      <c r="E2912" s="3">
        <f t="shared" si="22"/>
        <v>0.92814371257485029</v>
      </c>
      <c r="F2912" s="1" t="s">
        <v>186</v>
      </c>
      <c r="G2912" s="1" t="s">
        <v>28</v>
      </c>
      <c r="H2912" s="1">
        <v>4474</v>
      </c>
      <c r="I2912" s="1">
        <v>19841</v>
      </c>
      <c r="J2912" s="7">
        <v>0.22500000000000001</v>
      </c>
      <c r="K2912" s="1" t="s">
        <v>21</v>
      </c>
      <c r="L2912" s="1" t="s">
        <v>29</v>
      </c>
      <c r="M2912" s="1" t="s">
        <v>29</v>
      </c>
      <c r="N2912" s="1" t="s">
        <v>22</v>
      </c>
      <c r="O2912" s="1" t="str">
        <f t="shared" ca="1" si="23"/>
        <v>Please solve the LeetCode problem '2916. Subarrays Distinct Element Sum of Squares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13" spans="1:15" x14ac:dyDescent="0.25">
      <c r="A2913" s="1">
        <v>3184</v>
      </c>
      <c r="B2913" s="2" t="str">
        <f>HYPERLINK("https://leetcode.com/problems/count-pairs-that-form-a-complete-day-i/", "Count Pairs That Form a Complete Day I")</f>
        <v>Count Pairs That Form a Complete Day I</v>
      </c>
      <c r="C2913" s="1">
        <v>155</v>
      </c>
      <c r="D2913" s="1">
        <v>11</v>
      </c>
      <c r="E2913" s="3">
        <f t="shared" si="22"/>
        <v>0.9337349397590361</v>
      </c>
      <c r="F2913" s="1" t="s">
        <v>294</v>
      </c>
      <c r="G2913" s="1" t="s">
        <v>20</v>
      </c>
      <c r="H2913" s="1">
        <v>73756</v>
      </c>
      <c r="I2913" s="1">
        <v>94654</v>
      </c>
      <c r="J2913" s="7">
        <v>0.77900000000000003</v>
      </c>
      <c r="K2913" s="1" t="s">
        <v>21</v>
      </c>
      <c r="L2913" s="1" t="s">
        <v>29</v>
      </c>
      <c r="M2913" s="1" t="s">
        <v>29</v>
      </c>
      <c r="N2913" s="1" t="s">
        <v>22</v>
      </c>
      <c r="O2913" s="1" t="str">
        <f t="shared" ca="1" si="23"/>
        <v>Please solve the LeetCode problem '3184. Count Pairs That Form a Complete Day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14" spans="1:15" x14ac:dyDescent="0.25">
      <c r="A2914" s="1">
        <v>3255</v>
      </c>
      <c r="B2914" s="2" t="str">
        <f>HYPERLINK("https://leetcode.com/problems/find-the-power-of-k-size-subarrays-ii/", "Find the Power of K-Size Subarrays II")</f>
        <v>Find the Power of K-Size Subarrays II</v>
      </c>
      <c r="C2914" s="1">
        <v>155</v>
      </c>
      <c r="D2914" s="1">
        <v>12</v>
      </c>
      <c r="E2914" s="3">
        <f t="shared" si="22"/>
        <v>0.92814371257485029</v>
      </c>
      <c r="F2914" s="1" t="s">
        <v>295</v>
      </c>
      <c r="G2914" s="1" t="s">
        <v>24</v>
      </c>
      <c r="H2914" s="1">
        <v>34218</v>
      </c>
      <c r="I2914" s="1">
        <v>109368</v>
      </c>
      <c r="J2914" s="7">
        <v>0.313</v>
      </c>
      <c r="K2914" s="1" t="s">
        <v>21</v>
      </c>
      <c r="L2914" s="1" t="s">
        <v>29</v>
      </c>
      <c r="M2914" s="1" t="s">
        <v>29</v>
      </c>
      <c r="N2914" s="1" t="s">
        <v>22</v>
      </c>
      <c r="O2914" s="1" t="str">
        <f t="shared" ca="1" si="23"/>
        <v>Please solve the LeetCode problem '3255. Find the Power of K-Size Subarrays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15" spans="1:15" x14ac:dyDescent="0.25">
      <c r="A2915" s="1">
        <v>3310</v>
      </c>
      <c r="B2915" s="2" t="str">
        <f>HYPERLINK("https://leetcode.com/problems/remove-methods-from-project/", "Remove Methods From Project")</f>
        <v>Remove Methods From Project</v>
      </c>
      <c r="C2915" s="1">
        <v>155</v>
      </c>
      <c r="D2915" s="1">
        <v>57</v>
      </c>
      <c r="E2915" s="3">
        <f t="shared" si="22"/>
        <v>0.73113207547169812</v>
      </c>
      <c r="F2915" s="1" t="s">
        <v>212</v>
      </c>
      <c r="G2915" s="1" t="s">
        <v>24</v>
      </c>
      <c r="H2915" s="1">
        <v>26273</v>
      </c>
      <c r="I2915" s="1">
        <v>52321</v>
      </c>
      <c r="J2915" s="7">
        <v>0.502</v>
      </c>
      <c r="K2915" s="1" t="s">
        <v>21</v>
      </c>
      <c r="L2915" s="1" t="s">
        <v>29</v>
      </c>
      <c r="M2915" s="1" t="s">
        <v>29</v>
      </c>
      <c r="N2915" s="1" t="s">
        <v>22</v>
      </c>
      <c r="O2915" s="1" t="str">
        <f t="shared" ca="1" si="23"/>
        <v>Please solve the LeetCode problem '3310. Remove Methods From Project'.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16" spans="1:15" x14ac:dyDescent="0.25">
      <c r="A2916" s="1">
        <v>3351</v>
      </c>
      <c r="B2916" s="2" t="str">
        <f>HYPERLINK("https://leetcode.com/problems/sum-of-good-subsequences/", "Sum of Good Subsequences")</f>
        <v>Sum of Good Subsequences</v>
      </c>
      <c r="C2916" s="1">
        <v>155</v>
      </c>
      <c r="D2916" s="1">
        <v>8</v>
      </c>
      <c r="E2916" s="3">
        <f t="shared" si="22"/>
        <v>0.95092024539877296</v>
      </c>
      <c r="F2916" s="1" t="s">
        <v>174</v>
      </c>
      <c r="G2916" s="1" t="s">
        <v>28</v>
      </c>
      <c r="H2916" s="1">
        <v>11945</v>
      </c>
      <c r="I2916" s="1">
        <v>38962</v>
      </c>
      <c r="J2916" s="7">
        <v>0.307</v>
      </c>
      <c r="K2916" s="1" t="s">
        <v>21</v>
      </c>
      <c r="L2916" s="1" t="s">
        <v>29</v>
      </c>
      <c r="M2916" s="1" t="s">
        <v>29</v>
      </c>
      <c r="N2916" s="1" t="s">
        <v>22</v>
      </c>
      <c r="O2916" s="1" t="str">
        <f t="shared" ca="1" si="23"/>
        <v>Please solve the LeetCode problem '3351. Sum of Good Subsequences'.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17" spans="1:15" x14ac:dyDescent="0.25">
      <c r="A2917" s="1">
        <v>1243</v>
      </c>
      <c r="B2917" s="2" t="str">
        <f>HYPERLINK("https://leetcode.com/problems/array-transformation/", "Array Transformation")</f>
        <v>Array Transformation</v>
      </c>
      <c r="C2917" s="1">
        <v>154</v>
      </c>
      <c r="D2917" s="1">
        <v>73</v>
      </c>
      <c r="E2917" s="3">
        <f t="shared" si="22"/>
        <v>0.67841409691629961</v>
      </c>
      <c r="F2917" s="1" t="s">
        <v>306</v>
      </c>
      <c r="G2917" s="1" t="s">
        <v>20</v>
      </c>
      <c r="H2917" s="1">
        <v>15999</v>
      </c>
      <c r="I2917" s="1">
        <v>29904</v>
      </c>
      <c r="J2917" s="7">
        <v>0.53500000000000003</v>
      </c>
      <c r="K2917" s="1" t="s">
        <v>29</v>
      </c>
      <c r="L2917" s="1" t="s">
        <v>29</v>
      </c>
      <c r="M2917" s="1" t="s">
        <v>29</v>
      </c>
      <c r="N2917" s="1" t="s">
        <v>22</v>
      </c>
      <c r="O2917" s="1" t="str">
        <f t="shared" ca="1" si="23"/>
        <v>Please solve the LeetCode problem '1243. Array Transformation'.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18" spans="1:15" x14ac:dyDescent="0.25">
      <c r="A2918" s="1">
        <v>3072</v>
      </c>
      <c r="B2918" s="2" t="str">
        <f>HYPERLINK("https://leetcode.com/problems/distribute-elements-into-two-arrays-ii/", "Distribute Elements Into Two Arrays II")</f>
        <v>Distribute Elements Into Two Arrays II</v>
      </c>
      <c r="C2918" s="1">
        <v>154</v>
      </c>
      <c r="D2918" s="1">
        <v>14</v>
      </c>
      <c r="E2918" s="3">
        <f t="shared" si="22"/>
        <v>0.91666666666666663</v>
      </c>
      <c r="F2918" s="1" t="s">
        <v>1130</v>
      </c>
      <c r="G2918" s="1" t="s">
        <v>28</v>
      </c>
      <c r="H2918" s="1">
        <v>13581</v>
      </c>
      <c r="I2918" s="1">
        <v>45009</v>
      </c>
      <c r="J2918" s="7">
        <v>0.30199999999999999</v>
      </c>
      <c r="K2918" s="1" t="s">
        <v>21</v>
      </c>
      <c r="L2918" s="1" t="s">
        <v>29</v>
      </c>
      <c r="M2918" s="1" t="s">
        <v>29</v>
      </c>
      <c r="N2918" s="1" t="s">
        <v>22</v>
      </c>
      <c r="O2918" s="1" t="str">
        <f t="shared" ca="1" si="23"/>
        <v>Please solve the LeetCode problem '3072. Distribute Elements Into Two Arrays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19" spans="1:15" x14ac:dyDescent="0.25">
      <c r="A2919" s="1">
        <v>3280</v>
      </c>
      <c r="B2919" s="2" t="str">
        <f>HYPERLINK("https://leetcode.com/problems/convert-date-to-binary/", "Convert Date to Binary")</f>
        <v>Convert Date to Binary</v>
      </c>
      <c r="C2919" s="1">
        <v>153</v>
      </c>
      <c r="D2919" s="1">
        <v>11</v>
      </c>
      <c r="E2919" s="3">
        <f t="shared" si="22"/>
        <v>0.93292682926829273</v>
      </c>
      <c r="F2919" s="1" t="s">
        <v>228</v>
      </c>
      <c r="G2919" s="1" t="s">
        <v>20</v>
      </c>
      <c r="H2919" s="1">
        <v>82998</v>
      </c>
      <c r="I2919" s="1">
        <v>93644</v>
      </c>
      <c r="J2919" s="7">
        <v>0.88600000000000001</v>
      </c>
      <c r="K2919" s="1" t="s">
        <v>21</v>
      </c>
      <c r="L2919" s="1" t="s">
        <v>29</v>
      </c>
      <c r="M2919" s="1" t="s">
        <v>29</v>
      </c>
      <c r="N2919" s="1" t="s">
        <v>22</v>
      </c>
      <c r="O2919" s="1" t="str">
        <f t="shared" ca="1" si="23"/>
        <v>Please solve the LeetCode problem '3280. Convert Date to Binary'.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20" spans="1:15" x14ac:dyDescent="0.25">
      <c r="A2920" s="1">
        <v>1194</v>
      </c>
      <c r="B2920" s="2" t="str">
        <f>HYPERLINK("https://leetcode.com/problems/tournament-winners/", "Tournament Winners")</f>
        <v>Tournament Winners</v>
      </c>
      <c r="C2920" s="1">
        <v>152</v>
      </c>
      <c r="D2920" s="1">
        <v>57</v>
      </c>
      <c r="E2920" s="3">
        <f t="shared" si="22"/>
        <v>0.72727272727272729</v>
      </c>
      <c r="F2920" s="1" t="s">
        <v>297</v>
      </c>
      <c r="G2920" s="1" t="s">
        <v>28</v>
      </c>
      <c r="H2920" s="1">
        <v>24591</v>
      </c>
      <c r="I2920" s="1">
        <v>49159</v>
      </c>
      <c r="J2920" s="7">
        <v>0.5</v>
      </c>
      <c r="K2920" s="1" t="s">
        <v>29</v>
      </c>
      <c r="L2920" s="1" t="s">
        <v>21</v>
      </c>
      <c r="M2920" s="1" t="s">
        <v>29</v>
      </c>
      <c r="N2920" s="1" t="s">
        <v>297</v>
      </c>
      <c r="O2920" s="1" t="str">
        <f t="shared" ca="1" si="23"/>
        <v>Please solve the LeetCode problem '1194. Tournament Winners'.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21" spans="1:15" x14ac:dyDescent="0.25">
      <c r="A2921" s="1">
        <v>1355</v>
      </c>
      <c r="B2921" s="2" t="str">
        <f>HYPERLINK("https://leetcode.com/problems/activity-participants/", "Activity Participants")</f>
        <v>Activity Participants</v>
      </c>
      <c r="C2921" s="1">
        <v>152</v>
      </c>
      <c r="D2921" s="1">
        <v>48</v>
      </c>
      <c r="E2921" s="3">
        <f t="shared" si="22"/>
        <v>0.76</v>
      </c>
      <c r="F2921" s="1" t="s">
        <v>297</v>
      </c>
      <c r="G2921" s="1" t="s">
        <v>24</v>
      </c>
      <c r="H2921" s="1">
        <v>34835</v>
      </c>
      <c r="I2921" s="1">
        <v>48414</v>
      </c>
      <c r="J2921" s="7">
        <v>0.72</v>
      </c>
      <c r="K2921" s="1" t="s">
        <v>29</v>
      </c>
      <c r="L2921" s="1" t="s">
        <v>21</v>
      </c>
      <c r="M2921" s="1" t="s">
        <v>29</v>
      </c>
      <c r="N2921" s="1" t="s">
        <v>297</v>
      </c>
      <c r="O2921" s="1" t="str">
        <f t="shared" ca="1" si="23"/>
        <v>Please solve the LeetCode problem '1355. Activity Participants'.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22" spans="1:15" x14ac:dyDescent="0.25">
      <c r="A2922" s="1">
        <v>3165</v>
      </c>
      <c r="B2922" s="2" t="str">
        <f>HYPERLINK("https://leetcode.com/problems/maximum-sum-of-subsequence-with-non-adjacent-elements/", "Maximum Sum of Subsequence With Non-adjacent Elements")</f>
        <v>Maximum Sum of Subsequence With Non-adjacent Elements</v>
      </c>
      <c r="C2922" s="1">
        <v>152</v>
      </c>
      <c r="D2922" s="1">
        <v>32</v>
      </c>
      <c r="E2922" s="3">
        <f t="shared" si="22"/>
        <v>0.82608695652173914</v>
      </c>
      <c r="F2922" s="1" t="s">
        <v>1132</v>
      </c>
      <c r="G2922" s="1" t="s">
        <v>28</v>
      </c>
      <c r="H2922" s="1">
        <v>8176</v>
      </c>
      <c r="I2922" s="1">
        <v>52898</v>
      </c>
      <c r="J2922" s="7">
        <v>0.155</v>
      </c>
      <c r="K2922" s="1" t="s">
        <v>21</v>
      </c>
      <c r="L2922" s="1" t="s">
        <v>29</v>
      </c>
      <c r="M2922" s="1" t="s">
        <v>29</v>
      </c>
      <c r="N2922" s="1" t="s">
        <v>22</v>
      </c>
      <c r="O2922" s="1" t="str">
        <f t="shared" ca="1" si="23"/>
        <v>Please solve the LeetCode problem '3165. Maximum Sum of Subsequence With Non-adjacent Elements'.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23" spans="1:15" x14ac:dyDescent="0.25">
      <c r="A2923" s="1">
        <v>3685</v>
      </c>
      <c r="B2923" s="2" t="str">
        <f>HYPERLINK("https://leetcode.com/problems/subsequence-sum-after-capping-elements/", "Subsequence Sum After Capping Elements")</f>
        <v>Subsequence Sum After Capping Elements</v>
      </c>
      <c r="C2923" s="1">
        <v>152</v>
      </c>
      <c r="D2923" s="1">
        <v>15</v>
      </c>
      <c r="E2923" s="3">
        <f t="shared" si="22"/>
        <v>0.91017964071856283</v>
      </c>
      <c r="F2923" s="1" t="s">
        <v>1127</v>
      </c>
      <c r="G2923" s="1" t="s">
        <v>24</v>
      </c>
      <c r="H2923" s="1">
        <v>16738</v>
      </c>
      <c r="I2923" s="1">
        <v>74019</v>
      </c>
      <c r="J2923" s="7">
        <v>0.22600000000000001</v>
      </c>
      <c r="K2923" s="1" t="s">
        <v>21</v>
      </c>
      <c r="L2923" s="1" t="s">
        <v>29</v>
      </c>
      <c r="M2923" s="1" t="s">
        <v>29</v>
      </c>
      <c r="N2923" s="1" t="s">
        <v>22</v>
      </c>
      <c r="O2923" s="1" t="str">
        <f t="shared" ca="1" si="23"/>
        <v>Please solve the LeetCode problem '3685. Subsequence Sum After Capping Elements'.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24" spans="1:15" x14ac:dyDescent="0.25">
      <c r="A2924" s="1">
        <v>2204</v>
      </c>
      <c r="B2924" s="2" t="str">
        <f>HYPERLINK("https://leetcode.com/problems/distance-to-a-cycle-in-undirected-graph/", "Distance to a Cycle in Undirected Graph")</f>
        <v>Distance to a Cycle in Undirected Graph</v>
      </c>
      <c r="C2924" s="1">
        <v>151</v>
      </c>
      <c r="D2924" s="1">
        <v>11</v>
      </c>
      <c r="E2924" s="3">
        <f t="shared" si="22"/>
        <v>0.9320987654320988</v>
      </c>
      <c r="F2924" s="1" t="s">
        <v>122</v>
      </c>
      <c r="G2924" s="1" t="s">
        <v>28</v>
      </c>
      <c r="H2924" s="1">
        <v>6643</v>
      </c>
      <c r="I2924" s="1">
        <v>9076</v>
      </c>
      <c r="J2924" s="7">
        <v>0.73199999999999998</v>
      </c>
      <c r="K2924" s="1" t="s">
        <v>29</v>
      </c>
      <c r="L2924" s="1" t="s">
        <v>21</v>
      </c>
      <c r="M2924" s="1" t="s">
        <v>29</v>
      </c>
      <c r="N2924" s="1" t="s">
        <v>22</v>
      </c>
      <c r="O2924" s="1" t="str">
        <f t="shared" ca="1" si="23"/>
        <v>Please solve the LeetCode problem '2204. Distance to a Cycle in Undirected Graph'.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25" spans="1:15" x14ac:dyDescent="0.25">
      <c r="A2925" s="1">
        <v>2878</v>
      </c>
      <c r="B2925" s="2" t="str">
        <f>HYPERLINK("https://leetcode.com/problems/get-the-size-of-a-dataframe/", "Get the Size of a DataFrame")</f>
        <v>Get the Size of a DataFrame</v>
      </c>
      <c r="C2925" s="1">
        <v>151</v>
      </c>
      <c r="D2925" s="1">
        <v>13</v>
      </c>
      <c r="E2925" s="3">
        <f t="shared" si="22"/>
        <v>0.92073170731707321</v>
      </c>
      <c r="G2925" s="1" t="s">
        <v>20</v>
      </c>
      <c r="H2925" s="1">
        <v>188266</v>
      </c>
      <c r="I2925" s="1">
        <v>221654</v>
      </c>
      <c r="J2925" s="7">
        <v>0.84899999999999998</v>
      </c>
      <c r="K2925" s="1" t="s">
        <v>21</v>
      </c>
      <c r="L2925" s="1" t="s">
        <v>21</v>
      </c>
      <c r="M2925" s="1" t="s">
        <v>29</v>
      </c>
      <c r="N2925" s="1" t="s">
        <v>1047</v>
      </c>
      <c r="O2925" s="1" t="str">
        <f t="shared" ca="1" si="23"/>
        <v>Please solve the LeetCode problem '2878. Get the Size of a DataFrame'.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26" spans="1:15" x14ac:dyDescent="0.25">
      <c r="A2926" s="1">
        <v>2928</v>
      </c>
      <c r="B2926" s="2" t="str">
        <f>HYPERLINK("https://leetcode.com/problems/distribute-candies-among-children-i/", "Distribute Candies Among Children I")</f>
        <v>Distribute Candies Among Children I</v>
      </c>
      <c r="C2926" s="1">
        <v>151</v>
      </c>
      <c r="D2926" s="1">
        <v>70</v>
      </c>
      <c r="E2926" s="3">
        <f t="shared" si="22"/>
        <v>0.68325791855203621</v>
      </c>
      <c r="F2926" s="1" t="s">
        <v>868</v>
      </c>
      <c r="G2926" s="1" t="s">
        <v>20</v>
      </c>
      <c r="H2926" s="1">
        <v>40694</v>
      </c>
      <c r="I2926" s="1">
        <v>53560</v>
      </c>
      <c r="J2926" s="7">
        <v>0.76</v>
      </c>
      <c r="K2926" s="1" t="s">
        <v>21</v>
      </c>
      <c r="L2926" s="1" t="s">
        <v>29</v>
      </c>
      <c r="M2926" s="1" t="s">
        <v>29</v>
      </c>
      <c r="N2926" s="1" t="s">
        <v>22</v>
      </c>
      <c r="O2926" s="1" t="str">
        <f t="shared" ca="1" si="23"/>
        <v>Please solve the LeetCode problem '2928. Distribute Candies Among Children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27" spans="1:15" x14ac:dyDescent="0.25">
      <c r="A2927" s="1">
        <v>3033</v>
      </c>
      <c r="B2927" s="2" t="str">
        <f>HYPERLINK("https://leetcode.com/problems/modify-the-matrix/", "Modify the Matrix")</f>
        <v>Modify the Matrix</v>
      </c>
      <c r="C2927" s="1">
        <v>151</v>
      </c>
      <c r="D2927" s="1">
        <v>9</v>
      </c>
      <c r="E2927" s="3">
        <f t="shared" si="22"/>
        <v>0.94374999999999998</v>
      </c>
      <c r="F2927" s="1" t="s">
        <v>266</v>
      </c>
      <c r="G2927" s="1" t="s">
        <v>20</v>
      </c>
      <c r="H2927" s="1">
        <v>55464</v>
      </c>
      <c r="I2927" s="1">
        <v>80512</v>
      </c>
      <c r="J2927" s="7">
        <v>0.68899999999999995</v>
      </c>
      <c r="K2927" s="1" t="s">
        <v>21</v>
      </c>
      <c r="L2927" s="1" t="s">
        <v>29</v>
      </c>
      <c r="M2927" s="1" t="s">
        <v>29</v>
      </c>
      <c r="N2927" s="1" t="s">
        <v>22</v>
      </c>
      <c r="O2927" s="1" t="str">
        <f t="shared" ca="1" si="23"/>
        <v>Please solve the LeetCode problem '3033. Modify the Matrix'.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28" spans="1:15" x14ac:dyDescent="0.25">
      <c r="A2928" s="1">
        <v>3192</v>
      </c>
      <c r="B2928" s="2" t="str">
        <f>HYPERLINK("https://leetcode.com/problems/minimum-operations-to-make-binary-array-elements-equal-to-one-ii/", "Minimum Operations to Make Binary Array Elements Equal to One II")</f>
        <v>Minimum Operations to Make Binary Array Elements Equal to One II</v>
      </c>
      <c r="C2928" s="1">
        <v>151</v>
      </c>
      <c r="D2928" s="1">
        <v>9</v>
      </c>
      <c r="E2928" s="3">
        <f t="shared" si="22"/>
        <v>0.94374999999999998</v>
      </c>
      <c r="F2928" s="1" t="s">
        <v>50</v>
      </c>
      <c r="G2928" s="1" t="s">
        <v>24</v>
      </c>
      <c r="H2928" s="1">
        <v>42697</v>
      </c>
      <c r="I2928" s="1">
        <v>65784</v>
      </c>
      <c r="J2928" s="7">
        <v>0.64900000000000002</v>
      </c>
      <c r="K2928" s="1" t="s">
        <v>21</v>
      </c>
      <c r="L2928" s="1" t="s">
        <v>29</v>
      </c>
      <c r="M2928" s="1" t="s">
        <v>29</v>
      </c>
      <c r="N2928" s="1" t="s">
        <v>22</v>
      </c>
      <c r="O2928" s="1" t="str">
        <f t="shared" ca="1" si="23"/>
        <v>Please solve the LeetCode problem '3192. Minimum Operations to Make Binary Array Elements Equal to One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29" spans="1:15" x14ac:dyDescent="0.25">
      <c r="A2929" s="1">
        <v>3250</v>
      </c>
      <c r="B2929" s="2" t="str">
        <f>HYPERLINK("https://leetcode.com/problems/find-the-count-of-monotonic-pairs-i/", "Find the Count of Monotonic Pairs I")</f>
        <v>Find the Count of Monotonic Pairs I</v>
      </c>
      <c r="C2929" s="1">
        <v>151</v>
      </c>
      <c r="D2929" s="1">
        <v>12</v>
      </c>
      <c r="E2929" s="3">
        <f t="shared" si="22"/>
        <v>0.92638036809815949</v>
      </c>
      <c r="F2929" s="1" t="s">
        <v>1133</v>
      </c>
      <c r="G2929" s="1" t="s">
        <v>28</v>
      </c>
      <c r="H2929" s="1">
        <v>20213</v>
      </c>
      <c r="I2929" s="1">
        <v>42665</v>
      </c>
      <c r="J2929" s="7">
        <v>0.47399999999999998</v>
      </c>
      <c r="K2929" s="1" t="s">
        <v>21</v>
      </c>
      <c r="L2929" s="1" t="s">
        <v>29</v>
      </c>
      <c r="M2929" s="1" t="s">
        <v>29</v>
      </c>
      <c r="N2929" s="1" t="s">
        <v>22</v>
      </c>
      <c r="O2929" s="1" t="str">
        <f t="shared" ca="1" si="23"/>
        <v>Please solve the LeetCode problem '3250. Find the Count of Monotonic Pairs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30" spans="1:15" x14ac:dyDescent="0.25">
      <c r="A2930" s="1">
        <v>3387</v>
      </c>
      <c r="B2930" s="2" t="str">
        <f>HYPERLINK("https://leetcode.com/problems/maximize-amount-after-two-days-of-conversions/", "Maximize Amount After Two Days of Conversions")</f>
        <v>Maximize Amount After Two Days of Conversions</v>
      </c>
      <c r="C2930" s="1">
        <v>151</v>
      </c>
      <c r="D2930" s="1">
        <v>41</v>
      </c>
      <c r="E2930" s="3">
        <f t="shared" si="22"/>
        <v>0.78645833333333337</v>
      </c>
      <c r="F2930" s="1" t="s">
        <v>1131</v>
      </c>
      <c r="G2930" s="1" t="s">
        <v>24</v>
      </c>
      <c r="H2930" s="1">
        <v>17979</v>
      </c>
      <c r="I2930" s="1">
        <v>29494</v>
      </c>
      <c r="J2930" s="7">
        <v>0.61</v>
      </c>
      <c r="K2930" s="1" t="s">
        <v>21</v>
      </c>
      <c r="L2930" s="1" t="s">
        <v>29</v>
      </c>
      <c r="M2930" s="1" t="s">
        <v>29</v>
      </c>
      <c r="N2930" s="1" t="s">
        <v>22</v>
      </c>
      <c r="O2930" s="1" t="str">
        <f t="shared" ca="1" si="23"/>
        <v>Please solve the LeetCode problem '3387. Maximize Amount After Two Days of Conversions'.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31" spans="1:15" x14ac:dyDescent="0.25">
      <c r="A2931" s="1">
        <v>2422</v>
      </c>
      <c r="B2931" s="2" t="str">
        <f>HYPERLINK("https://leetcode.com/problems/merge-operations-to-turn-array-into-a-palindrome/", "Merge Operations to Turn Array Into a Palindrome")</f>
        <v>Merge Operations to Turn Array Into a Palindrome</v>
      </c>
      <c r="C2931" s="1">
        <v>150</v>
      </c>
      <c r="D2931" s="1">
        <v>16</v>
      </c>
      <c r="E2931" s="3">
        <f t="shared" si="22"/>
        <v>0.90361445783132532</v>
      </c>
      <c r="F2931" s="1" t="s">
        <v>32</v>
      </c>
      <c r="G2931" s="1" t="s">
        <v>24</v>
      </c>
      <c r="H2931" s="1">
        <v>18796</v>
      </c>
      <c r="I2931" s="1">
        <v>27297</v>
      </c>
      <c r="J2931" s="7">
        <v>0.68899999999999995</v>
      </c>
      <c r="K2931" s="1" t="s">
        <v>29</v>
      </c>
      <c r="L2931" s="1" t="s">
        <v>29</v>
      </c>
      <c r="M2931" s="1" t="s">
        <v>29</v>
      </c>
      <c r="N2931" s="1" t="s">
        <v>22</v>
      </c>
      <c r="O2931" s="1" t="str">
        <f t="shared" ca="1" si="23"/>
        <v>Please solve the LeetCode problem '2422. Merge Operations to Turn Array Into a Palindrome'.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32" spans="1:15" x14ac:dyDescent="0.25">
      <c r="A2932" s="1">
        <v>2726</v>
      </c>
      <c r="B2932" s="2" t="str">
        <f>HYPERLINK("https://leetcode.com/problems/calculator-with-method-chaining/", "Calculator with Method Chaining")</f>
        <v>Calculator with Method Chaining</v>
      </c>
      <c r="C2932" s="1">
        <v>150</v>
      </c>
      <c r="D2932" s="1">
        <v>22</v>
      </c>
      <c r="E2932" s="3">
        <f t="shared" si="22"/>
        <v>0.87209302325581395</v>
      </c>
      <c r="G2932" s="1" t="s">
        <v>20</v>
      </c>
      <c r="H2932" s="1">
        <v>52284</v>
      </c>
      <c r="I2932" s="1">
        <v>67474</v>
      </c>
      <c r="J2932" s="7">
        <v>0.77500000000000002</v>
      </c>
      <c r="K2932" s="1" t="s">
        <v>21</v>
      </c>
      <c r="L2932" s="1" t="s">
        <v>21</v>
      </c>
      <c r="M2932" s="1" t="s">
        <v>29</v>
      </c>
      <c r="N2932" s="1" t="s">
        <v>555</v>
      </c>
      <c r="O2932" s="1" t="str">
        <f t="shared" ca="1" si="23"/>
        <v>Please solve the LeetCode problem '2726. Calculator with Method Chaining'.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33" spans="1:15" x14ac:dyDescent="0.25">
      <c r="A2933" s="1">
        <v>3364</v>
      </c>
      <c r="B2933" s="2" t="str">
        <f>HYPERLINK("https://leetcode.com/problems/minimum-positive-sum-subarray/", "Minimum Positive Sum Subarray ")</f>
        <v xml:space="preserve">Minimum Positive Sum Subarray </v>
      </c>
      <c r="C2933" s="1">
        <v>150</v>
      </c>
      <c r="D2933" s="1">
        <v>34</v>
      </c>
      <c r="E2933" s="3">
        <f t="shared" si="22"/>
        <v>0.81521739130434778</v>
      </c>
      <c r="F2933" s="1" t="s">
        <v>197</v>
      </c>
      <c r="G2933" s="1" t="s">
        <v>20</v>
      </c>
      <c r="H2933" s="1">
        <v>42575</v>
      </c>
      <c r="I2933" s="1">
        <v>95421</v>
      </c>
      <c r="J2933" s="7">
        <v>0.44600000000000001</v>
      </c>
      <c r="K2933" s="1" t="s">
        <v>21</v>
      </c>
      <c r="L2933" s="1" t="s">
        <v>29</v>
      </c>
      <c r="M2933" s="1" t="s">
        <v>29</v>
      </c>
      <c r="N2933" s="1" t="s">
        <v>22</v>
      </c>
      <c r="O2933" s="1" t="str">
        <f t="shared" ca="1" si="23"/>
        <v>Please solve the LeetCode problem '3364. Minimum Positive Sum Subarray 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34" spans="1:15" x14ac:dyDescent="0.25">
      <c r="A2934" s="1">
        <v>3168</v>
      </c>
      <c r="B2934" s="2" t="str">
        <f>HYPERLINK("https://leetcode.com/problems/minimum-number-of-chairs-in-a-waiting-room/", "Minimum Number of Chairs in a Waiting Room")</f>
        <v>Minimum Number of Chairs in a Waiting Room</v>
      </c>
      <c r="C2934" s="1">
        <v>149</v>
      </c>
      <c r="D2934" s="1">
        <v>14</v>
      </c>
      <c r="E2934" s="3">
        <f t="shared" si="22"/>
        <v>0.91411042944785281</v>
      </c>
      <c r="F2934" s="1" t="s">
        <v>414</v>
      </c>
      <c r="G2934" s="1" t="s">
        <v>20</v>
      </c>
      <c r="H2934" s="1">
        <v>68630</v>
      </c>
      <c r="I2934" s="1">
        <v>86799</v>
      </c>
      <c r="J2934" s="7">
        <v>0.79100000000000004</v>
      </c>
      <c r="K2934" s="1" t="s">
        <v>21</v>
      </c>
      <c r="L2934" s="1" t="s">
        <v>29</v>
      </c>
      <c r="M2934" s="1" t="s">
        <v>29</v>
      </c>
      <c r="N2934" s="1" t="s">
        <v>22</v>
      </c>
      <c r="O2934" s="1" t="str">
        <f t="shared" ca="1" si="23"/>
        <v>Please solve the LeetCode problem '3168. Minimum Number of Chairs in a Waiting Room'.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35" spans="1:15" x14ac:dyDescent="0.25">
      <c r="A2935" s="1">
        <v>1744</v>
      </c>
      <c r="B2935" s="2" t="str">
        <f>HYPERLINK("https://leetcode.com/problems/can-you-eat-your-favorite-candy-on-your-favorite-day/", "Can You Eat Your Favorite Candy on Your Favorite Day?")</f>
        <v>Can You Eat Your Favorite Candy on Your Favorite Day?</v>
      </c>
      <c r="C2935" s="1">
        <v>148</v>
      </c>
      <c r="D2935" s="1">
        <v>340</v>
      </c>
      <c r="E2935" s="3">
        <f t="shared" si="22"/>
        <v>0.30327868852459017</v>
      </c>
      <c r="F2935" s="1" t="s">
        <v>37</v>
      </c>
      <c r="G2935" s="1" t="s">
        <v>24</v>
      </c>
      <c r="H2935" s="1">
        <v>13374</v>
      </c>
      <c r="I2935" s="1">
        <v>37569</v>
      </c>
      <c r="J2935" s="7">
        <v>0.35599999999999998</v>
      </c>
      <c r="K2935" s="1" t="s">
        <v>21</v>
      </c>
      <c r="L2935" s="1" t="s">
        <v>29</v>
      </c>
      <c r="M2935" s="1" t="s">
        <v>29</v>
      </c>
      <c r="N2935" s="1" t="s">
        <v>22</v>
      </c>
      <c r="O2935" s="1" t="str">
        <f t="shared" ca="1" si="23"/>
        <v>Please solve the LeetCode problem '1744. Can You Eat Your Favorite Candy on Your Favorite Day?'.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36" spans="1:15" x14ac:dyDescent="0.25">
      <c r="A2936" s="1">
        <v>3409</v>
      </c>
      <c r="B2936" s="2" t="str">
        <f>HYPERLINK("https://leetcode.com/problems/longest-subsequence-with-decreasing-adjacent-difference/", "Longest Subsequence With Decreasing Adjacent Difference")</f>
        <v>Longest Subsequence With Decreasing Adjacent Difference</v>
      </c>
      <c r="C2936" s="1">
        <v>148</v>
      </c>
      <c r="D2936" s="1">
        <v>25</v>
      </c>
      <c r="E2936" s="3">
        <f t="shared" si="22"/>
        <v>0.8554913294797688</v>
      </c>
      <c r="F2936" s="1" t="s">
        <v>30</v>
      </c>
      <c r="G2936" s="1" t="s">
        <v>24</v>
      </c>
      <c r="H2936" s="1">
        <v>6905</v>
      </c>
      <c r="I2936" s="1">
        <v>42053</v>
      </c>
      <c r="J2936" s="7">
        <v>0.16400000000000001</v>
      </c>
      <c r="K2936" s="1" t="s">
        <v>21</v>
      </c>
      <c r="L2936" s="1" t="s">
        <v>29</v>
      </c>
      <c r="M2936" s="1" t="s">
        <v>29</v>
      </c>
      <c r="N2936" s="1" t="s">
        <v>22</v>
      </c>
      <c r="O2936" s="1" t="str">
        <f t="shared" ca="1" si="23"/>
        <v>Please solve the LeetCode problem '3409. Longest Subsequence With Decreasing Adjacent Difference'.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37" spans="1:15" x14ac:dyDescent="0.25">
      <c r="A2937" s="1">
        <v>1294</v>
      </c>
      <c r="B2937" s="2" t="str">
        <f>HYPERLINK("https://leetcode.com/problems/weather-type-in-each-country/", "Weather Type in Each Country")</f>
        <v>Weather Type in Each Country</v>
      </c>
      <c r="C2937" s="1">
        <v>147</v>
      </c>
      <c r="D2937" s="1">
        <v>30</v>
      </c>
      <c r="E2937" s="3">
        <f t="shared" si="22"/>
        <v>0.83050847457627119</v>
      </c>
      <c r="F2937" s="1" t="s">
        <v>297</v>
      </c>
      <c r="G2937" s="1" t="s">
        <v>20</v>
      </c>
      <c r="H2937" s="1">
        <v>45171</v>
      </c>
      <c r="I2937" s="1">
        <v>67394</v>
      </c>
      <c r="J2937" s="7">
        <v>0.67</v>
      </c>
      <c r="K2937" s="1" t="s">
        <v>29</v>
      </c>
      <c r="L2937" s="1" t="s">
        <v>29</v>
      </c>
      <c r="M2937" s="1" t="s">
        <v>29</v>
      </c>
      <c r="N2937" s="1" t="s">
        <v>297</v>
      </c>
      <c r="O2937" s="1" t="str">
        <f t="shared" ca="1" si="23"/>
        <v>Please solve the LeetCode problem '1294. Weather Type in Each Country'.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38" spans="1:15" x14ac:dyDescent="0.25">
      <c r="A2938" s="1">
        <v>1538</v>
      </c>
      <c r="B2938" s="2" t="str">
        <f>HYPERLINK("https://leetcode.com/problems/guess-the-majority-in-a-hidden-array/", "Guess the Majority in a Hidden Array")</f>
        <v>Guess the Majority in a Hidden Array</v>
      </c>
      <c r="C2938" s="1">
        <v>147</v>
      </c>
      <c r="D2938" s="1">
        <v>122</v>
      </c>
      <c r="E2938" s="3">
        <f t="shared" si="22"/>
        <v>0.54646840148698883</v>
      </c>
      <c r="F2938" s="1" t="s">
        <v>1137</v>
      </c>
      <c r="G2938" s="1" t="s">
        <v>24</v>
      </c>
      <c r="H2938" s="1">
        <v>5094</v>
      </c>
      <c r="I2938" s="1">
        <v>7364</v>
      </c>
      <c r="J2938" s="7">
        <v>0.69199999999999995</v>
      </c>
      <c r="K2938" s="1" t="s">
        <v>29</v>
      </c>
      <c r="L2938" s="1" t="s">
        <v>21</v>
      </c>
      <c r="M2938" s="1" t="s">
        <v>29</v>
      </c>
      <c r="N2938" s="1" t="s">
        <v>22</v>
      </c>
      <c r="O2938" s="1" t="str">
        <f t="shared" ca="1" si="23"/>
        <v>Please solve the LeetCode problem '1538. Guess the Majority in a Hidden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39" spans="1:15" x14ac:dyDescent="0.25">
      <c r="A2939" s="1">
        <v>1607</v>
      </c>
      <c r="B2939" s="2" t="str">
        <f>HYPERLINK("https://leetcode.com/problems/sellers-with-no-sales/", "Sellers With No Sales")</f>
        <v>Sellers With No Sales</v>
      </c>
      <c r="C2939" s="1">
        <v>147</v>
      </c>
      <c r="D2939" s="1">
        <v>14</v>
      </c>
      <c r="E2939" s="3">
        <f t="shared" si="22"/>
        <v>0.91304347826086951</v>
      </c>
      <c r="F2939" s="1" t="s">
        <v>297</v>
      </c>
      <c r="G2939" s="1" t="s">
        <v>20</v>
      </c>
      <c r="H2939" s="1">
        <v>44567</v>
      </c>
      <c r="I2939" s="1">
        <v>82090</v>
      </c>
      <c r="J2939" s="7">
        <v>0.54300000000000004</v>
      </c>
      <c r="K2939" s="1" t="s">
        <v>29</v>
      </c>
      <c r="L2939" s="1" t="s">
        <v>21</v>
      </c>
      <c r="M2939" s="1" t="s">
        <v>29</v>
      </c>
      <c r="N2939" s="1" t="s">
        <v>297</v>
      </c>
      <c r="O2939" s="1" t="str">
        <f t="shared" ca="1" si="23"/>
        <v>Please solve the LeetCode problem '1607. Sellers With No Sales'.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40" spans="1:15" x14ac:dyDescent="0.25">
      <c r="A2940" s="1">
        <v>3161</v>
      </c>
      <c r="B2940" s="2" t="str">
        <f>HYPERLINK("https://leetcode.com/problems/block-placement-queries/", "Block Placement Queries")</f>
        <v>Block Placement Queries</v>
      </c>
      <c r="C2940" s="1">
        <v>147</v>
      </c>
      <c r="D2940" s="1">
        <v>32</v>
      </c>
      <c r="E2940" s="3">
        <f t="shared" si="22"/>
        <v>0.82122905027932958</v>
      </c>
      <c r="F2940" s="1" t="s">
        <v>1140</v>
      </c>
      <c r="G2940" s="1" t="s">
        <v>28</v>
      </c>
      <c r="H2940" s="1">
        <v>12269</v>
      </c>
      <c r="I2940" s="1">
        <v>66784</v>
      </c>
      <c r="J2940" s="7">
        <v>0.184</v>
      </c>
      <c r="K2940" s="1" t="s">
        <v>21</v>
      </c>
      <c r="L2940" s="1" t="s">
        <v>29</v>
      </c>
      <c r="M2940" s="1" t="s">
        <v>29</v>
      </c>
      <c r="N2940" s="1" t="s">
        <v>22</v>
      </c>
      <c r="O2940" s="1" t="str">
        <f t="shared" ca="1" si="23"/>
        <v>Please solve the LeetCode problem '3161. Block Placement Queries'.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41" spans="1:15" x14ac:dyDescent="0.25">
      <c r="A2941" s="1">
        <v>1612</v>
      </c>
      <c r="B2941" s="2" t="str">
        <f>HYPERLINK("https://leetcode.com/problems/check-if-two-expression-trees-are-equivalent/", "Check If Two Expression Trees are Equivalent")</f>
        <v>Check If Two Expression Trees are Equivalent</v>
      </c>
      <c r="C2941" s="1">
        <v>146</v>
      </c>
      <c r="D2941" s="1">
        <v>24</v>
      </c>
      <c r="E2941" s="3">
        <f t="shared" si="22"/>
        <v>0.85882352941176465</v>
      </c>
      <c r="F2941" s="1" t="s">
        <v>1142</v>
      </c>
      <c r="G2941" s="1" t="s">
        <v>24</v>
      </c>
      <c r="H2941" s="1">
        <v>8530</v>
      </c>
      <c r="I2941" s="1">
        <v>11907</v>
      </c>
      <c r="J2941" s="7">
        <v>0.71599999999999997</v>
      </c>
      <c r="K2941" s="1" t="s">
        <v>29</v>
      </c>
      <c r="L2941" s="1" t="s">
        <v>29</v>
      </c>
      <c r="M2941" s="1" t="s">
        <v>29</v>
      </c>
      <c r="N2941" s="1" t="s">
        <v>22</v>
      </c>
      <c r="O2941" s="1" t="str">
        <f t="shared" ca="1" si="23"/>
        <v>Please solve the LeetCode problem '1612. Check If Two Expression Trees are Equivalent'.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42" spans="1:15" x14ac:dyDescent="0.25">
      <c r="A2942" s="1">
        <v>1950</v>
      </c>
      <c r="B2942" s="2" t="str">
        <f>HYPERLINK("https://leetcode.com/problems/maximum-of-minimum-values-in-all-subarrays/", "Maximum of Minimum Values in All Subarrays")</f>
        <v>Maximum of Minimum Values in All Subarrays</v>
      </c>
      <c r="C2942" s="1">
        <v>146</v>
      </c>
      <c r="D2942" s="1">
        <v>56</v>
      </c>
      <c r="E2942" s="3">
        <f t="shared" si="22"/>
        <v>0.72277227722772275</v>
      </c>
      <c r="F2942" s="1" t="s">
        <v>61</v>
      </c>
      <c r="G2942" s="1" t="s">
        <v>24</v>
      </c>
      <c r="H2942" s="1">
        <v>3529</v>
      </c>
      <c r="I2942" s="1">
        <v>7373</v>
      </c>
      <c r="J2942" s="7">
        <v>0.47899999999999998</v>
      </c>
      <c r="K2942" s="1" t="s">
        <v>29</v>
      </c>
      <c r="L2942" s="1" t="s">
        <v>29</v>
      </c>
      <c r="M2942" s="1" t="s">
        <v>29</v>
      </c>
      <c r="N2942" s="1" t="s">
        <v>22</v>
      </c>
      <c r="O2942" s="1" t="str">
        <f t="shared" ca="1" si="23"/>
        <v>Please solve the LeetCode problem '1950. Maximum of Minimum Values in All Subarrays'.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43" spans="1:15" x14ac:dyDescent="0.25">
      <c r="A2943" s="1">
        <v>2700</v>
      </c>
      <c r="B2943" s="2" t="str">
        <f>HYPERLINK("https://leetcode.com/problems/differences-between-two-objects/", "Differences Between Two Objects")</f>
        <v>Differences Between Two Objects</v>
      </c>
      <c r="C2943" s="1">
        <v>146</v>
      </c>
      <c r="D2943" s="1">
        <v>31</v>
      </c>
      <c r="E2943" s="3">
        <f t="shared" si="22"/>
        <v>0.82485875706214684</v>
      </c>
      <c r="G2943" s="1" t="s">
        <v>24</v>
      </c>
      <c r="H2943" s="1">
        <v>7806</v>
      </c>
      <c r="I2943" s="1">
        <v>10460</v>
      </c>
      <c r="J2943" s="7">
        <v>0.746</v>
      </c>
      <c r="K2943" s="1" t="s">
        <v>29</v>
      </c>
      <c r="L2943" s="1" t="s">
        <v>21</v>
      </c>
      <c r="M2943" s="1" t="s">
        <v>29</v>
      </c>
      <c r="N2943" s="1" t="s">
        <v>555</v>
      </c>
      <c r="O2943" s="1" t="str">
        <f t="shared" ca="1" si="23"/>
        <v>Please solve the LeetCode problem '2700. Differences Between Two Objects'.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44" spans="1:15" x14ac:dyDescent="0.25">
      <c r="A2944" s="1">
        <v>3084</v>
      </c>
      <c r="B2944" s="2" t="str">
        <f>HYPERLINK("https://leetcode.com/problems/count-substrings-starting-and-ending-with-given-character/", "Count Substrings Starting and Ending with Given Character")</f>
        <v>Count Substrings Starting and Ending with Given Character</v>
      </c>
      <c r="C2944" s="1">
        <v>146</v>
      </c>
      <c r="D2944" s="1">
        <v>9</v>
      </c>
      <c r="E2944" s="3">
        <f t="shared" si="22"/>
        <v>0.9419354838709677</v>
      </c>
      <c r="F2944" s="1" t="s">
        <v>1135</v>
      </c>
      <c r="G2944" s="1" t="s">
        <v>24</v>
      </c>
      <c r="H2944" s="1">
        <v>45037</v>
      </c>
      <c r="I2944" s="1">
        <v>90523</v>
      </c>
      <c r="J2944" s="7">
        <v>0.498</v>
      </c>
      <c r="K2944" s="1" t="s">
        <v>21</v>
      </c>
      <c r="L2944" s="1" t="s">
        <v>29</v>
      </c>
      <c r="M2944" s="1" t="s">
        <v>29</v>
      </c>
      <c r="N2944" s="1" t="s">
        <v>22</v>
      </c>
      <c r="O2944" s="1" t="str">
        <f t="shared" ca="1" si="23"/>
        <v>Please solve the LeetCode problem '3084. Count Substrings Starting and Ending with Given Character'.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45" spans="1:15" x14ac:dyDescent="0.25">
      <c r="A2945" s="1">
        <v>3098</v>
      </c>
      <c r="B2945" s="2" t="str">
        <f>HYPERLINK("https://leetcode.com/problems/find-the-sum-of-subsequence-powers/", "Find the Sum of Subsequence Powers")</f>
        <v>Find the Sum of Subsequence Powers</v>
      </c>
      <c r="C2945" s="1">
        <v>146</v>
      </c>
      <c r="D2945" s="1">
        <v>6</v>
      </c>
      <c r="E2945" s="3">
        <f t="shared" si="22"/>
        <v>0.96052631578947367</v>
      </c>
      <c r="F2945" s="1" t="s">
        <v>270</v>
      </c>
      <c r="G2945" s="1" t="s">
        <v>28</v>
      </c>
      <c r="H2945" s="1">
        <v>6802</v>
      </c>
      <c r="I2945" s="1">
        <v>27464</v>
      </c>
      <c r="J2945" s="7">
        <v>0.248</v>
      </c>
      <c r="K2945" s="1" t="s">
        <v>21</v>
      </c>
      <c r="L2945" s="1" t="s">
        <v>29</v>
      </c>
      <c r="M2945" s="1" t="s">
        <v>29</v>
      </c>
      <c r="N2945" s="1" t="s">
        <v>22</v>
      </c>
      <c r="O2945" s="1" t="str">
        <f t="shared" ca="1" si="23"/>
        <v>Please solve the LeetCode problem '3098. Find the Sum of Subsequence Powers'.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46" spans="1:15" x14ac:dyDescent="0.25">
      <c r="A2946" s="1">
        <v>3139</v>
      </c>
      <c r="B2946" s="2" t="str">
        <f>HYPERLINK("https://leetcode.com/problems/minimum-cost-to-equalize-array/", "Minimum Cost to Equalize Array")</f>
        <v>Minimum Cost to Equalize Array</v>
      </c>
      <c r="C2946" s="1">
        <v>146</v>
      </c>
      <c r="D2946" s="1">
        <v>24</v>
      </c>
      <c r="E2946" s="3">
        <f t="shared" si="22"/>
        <v>0.85882352941176465</v>
      </c>
      <c r="F2946" s="1" t="s">
        <v>946</v>
      </c>
      <c r="G2946" s="1" t="s">
        <v>28</v>
      </c>
      <c r="H2946" s="1">
        <v>6233</v>
      </c>
      <c r="I2946" s="1">
        <v>33533</v>
      </c>
      <c r="J2946" s="7">
        <v>0.186</v>
      </c>
      <c r="K2946" s="1" t="s">
        <v>21</v>
      </c>
      <c r="L2946" s="1" t="s">
        <v>29</v>
      </c>
      <c r="M2946" s="1" t="s">
        <v>29</v>
      </c>
      <c r="N2946" s="1" t="s">
        <v>22</v>
      </c>
      <c r="O2946" s="1" t="str">
        <f t="shared" ca="1" si="23"/>
        <v>Please solve the LeetCode problem '3139. Minimum Cost to Equalize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47" spans="1:15" x14ac:dyDescent="0.25">
      <c r="A2947" s="1">
        <v>1555</v>
      </c>
      <c r="B2947" s="2" t="str">
        <f>HYPERLINK("https://leetcode.com/problems/bank-account-summary/", "Bank Account Summary")</f>
        <v>Bank Account Summary</v>
      </c>
      <c r="C2947" s="1">
        <v>145</v>
      </c>
      <c r="D2947" s="1">
        <v>27</v>
      </c>
      <c r="E2947" s="3">
        <f t="shared" si="22"/>
        <v>0.84302325581395354</v>
      </c>
      <c r="F2947" s="1" t="s">
        <v>297</v>
      </c>
      <c r="G2947" s="1" t="s">
        <v>24</v>
      </c>
      <c r="H2947" s="1">
        <v>22355</v>
      </c>
      <c r="I2947" s="1">
        <v>42979</v>
      </c>
      <c r="J2947" s="7">
        <v>0.52</v>
      </c>
      <c r="K2947" s="1" t="s">
        <v>29</v>
      </c>
      <c r="L2947" s="1" t="s">
        <v>29</v>
      </c>
      <c r="M2947" s="1" t="s">
        <v>29</v>
      </c>
      <c r="N2947" s="1" t="s">
        <v>297</v>
      </c>
      <c r="O2947" s="1" t="str">
        <f t="shared" ca="1" si="23"/>
        <v>Please solve the LeetCode problem '1555. Bank Account Summary'.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48" spans="1:15" x14ac:dyDescent="0.25">
      <c r="A2948" s="1">
        <v>3469</v>
      </c>
      <c r="B2948" s="2" t="str">
        <f>HYPERLINK("https://leetcode.com/problems/find-minimum-cost-to-remove-array-elements/", "Find Minimum Cost to Remove Array Elements")</f>
        <v>Find Minimum Cost to Remove Array Elements</v>
      </c>
      <c r="C2948" s="1">
        <v>145</v>
      </c>
      <c r="D2948" s="1">
        <v>9</v>
      </c>
      <c r="E2948" s="3">
        <f t="shared" si="22"/>
        <v>0.94155844155844159</v>
      </c>
      <c r="F2948" s="1" t="s">
        <v>30</v>
      </c>
      <c r="G2948" s="1" t="s">
        <v>24</v>
      </c>
      <c r="H2948" s="1">
        <v>12142</v>
      </c>
      <c r="I2948" s="1">
        <v>57447</v>
      </c>
      <c r="J2948" s="7">
        <v>0.21099999999999999</v>
      </c>
      <c r="K2948" s="1" t="s">
        <v>21</v>
      </c>
      <c r="L2948" s="1" t="s">
        <v>29</v>
      </c>
      <c r="M2948" s="1" t="s">
        <v>29</v>
      </c>
      <c r="N2948" s="1" t="s">
        <v>22</v>
      </c>
      <c r="O2948" s="1" t="str">
        <f t="shared" ca="1" si="23"/>
        <v>Please solve the LeetCode problem '3469. Find Minimum Cost to Remove Array Elements'.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49" spans="1:15" x14ac:dyDescent="0.25">
      <c r="A2949" s="1">
        <v>2693</v>
      </c>
      <c r="B2949" s="2" t="str">
        <f>HYPERLINK("https://leetcode.com/problems/call-function-with-custom-context/", "Call Function with Custom Context")</f>
        <v>Call Function with Custom Context</v>
      </c>
      <c r="C2949" s="1">
        <v>144</v>
      </c>
      <c r="D2949" s="1">
        <v>13</v>
      </c>
      <c r="E2949" s="3">
        <f t="shared" si="22"/>
        <v>0.91719745222929938</v>
      </c>
      <c r="G2949" s="1" t="s">
        <v>24</v>
      </c>
      <c r="H2949" s="1">
        <v>14058</v>
      </c>
      <c r="I2949" s="1">
        <v>17981</v>
      </c>
      <c r="J2949" s="7">
        <v>0.78200000000000003</v>
      </c>
      <c r="K2949" s="1" t="s">
        <v>21</v>
      </c>
      <c r="L2949" s="1" t="s">
        <v>21</v>
      </c>
      <c r="M2949" s="1" t="s">
        <v>29</v>
      </c>
      <c r="N2949" s="1" t="s">
        <v>555</v>
      </c>
      <c r="O2949" s="1" t="str">
        <f t="shared" ca="1" si="23"/>
        <v>Please solve the LeetCode problem '2693. Call Function with Custom Context'.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50" spans="1:15" x14ac:dyDescent="0.25">
      <c r="A2950" s="1">
        <v>3071</v>
      </c>
      <c r="B2950" s="2" t="str">
        <f>HYPERLINK("https://leetcode.com/problems/minimum-operations-to-write-the-letter-y-on-a-grid/", "Minimum Operations to Write the Letter Y on a Grid")</f>
        <v>Minimum Operations to Write the Letter Y on a Grid</v>
      </c>
      <c r="C2950" s="1">
        <v>144</v>
      </c>
      <c r="D2950" s="1">
        <v>34</v>
      </c>
      <c r="E2950" s="3">
        <f t="shared" si="22"/>
        <v>0.8089887640449438</v>
      </c>
      <c r="F2950" s="1" t="s">
        <v>1139</v>
      </c>
      <c r="G2950" s="1" t="s">
        <v>24</v>
      </c>
      <c r="H2950" s="1">
        <v>34210</v>
      </c>
      <c r="I2950" s="1">
        <v>53424</v>
      </c>
      <c r="J2950" s="7">
        <v>0.64</v>
      </c>
      <c r="K2950" s="1" t="s">
        <v>21</v>
      </c>
      <c r="L2950" s="1" t="s">
        <v>29</v>
      </c>
      <c r="M2950" s="1" t="s">
        <v>29</v>
      </c>
      <c r="N2950" s="1" t="s">
        <v>22</v>
      </c>
      <c r="O2950" s="1" t="str">
        <f t="shared" ca="1" si="23"/>
        <v>Please solve the LeetCode problem '3071. Minimum Operations to Write the Letter Y on a Grid'.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51" spans="1:15" x14ac:dyDescent="0.25">
      <c r="A2951" s="1">
        <v>3149</v>
      </c>
      <c r="B2951" s="2" t="str">
        <f>HYPERLINK("https://leetcode.com/problems/find-the-minimum-cost-array-permutation/", "Find the Minimum Cost Array Permutation")</f>
        <v>Find the Minimum Cost Array Permutation</v>
      </c>
      <c r="C2951" s="1">
        <v>144</v>
      </c>
      <c r="D2951" s="1">
        <v>8</v>
      </c>
      <c r="E2951" s="3">
        <f t="shared" si="22"/>
        <v>0.94736842105263153</v>
      </c>
      <c r="F2951" s="1" t="s">
        <v>1359</v>
      </c>
      <c r="G2951" s="1" t="s">
        <v>28</v>
      </c>
      <c r="H2951" s="1">
        <v>6839</v>
      </c>
      <c r="I2951" s="1">
        <v>27288</v>
      </c>
      <c r="J2951" s="7">
        <v>0.251</v>
      </c>
      <c r="K2951" s="1" t="s">
        <v>21</v>
      </c>
      <c r="L2951" s="1" t="s">
        <v>29</v>
      </c>
      <c r="M2951" s="1" t="s">
        <v>29</v>
      </c>
      <c r="N2951" s="1" t="s">
        <v>22</v>
      </c>
      <c r="O2951" s="1" t="str">
        <f t="shared" ca="1" si="23"/>
        <v>Please solve the LeetCode problem '3149. Find the Minimum Cost Array Permutation'.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52" spans="1:15" x14ac:dyDescent="0.25">
      <c r="A2952" s="1">
        <v>2371</v>
      </c>
      <c r="B2952" s="2" t="str">
        <f>HYPERLINK("https://leetcode.com/problems/minimize-maximum-value-in-a-grid/", "Minimize Maximum Value in a Grid")</f>
        <v>Minimize Maximum Value in a Grid</v>
      </c>
      <c r="C2952" s="1">
        <v>143</v>
      </c>
      <c r="D2952" s="1">
        <v>6</v>
      </c>
      <c r="E2952" s="3">
        <f t="shared" si="22"/>
        <v>0.95973154362416102</v>
      </c>
      <c r="F2952" s="1" t="s">
        <v>732</v>
      </c>
      <c r="G2952" s="1" t="s">
        <v>28</v>
      </c>
      <c r="H2952" s="1">
        <v>7322</v>
      </c>
      <c r="I2952" s="1">
        <v>10431</v>
      </c>
      <c r="J2952" s="7">
        <v>0.70199999999999996</v>
      </c>
      <c r="K2952" s="1" t="s">
        <v>29</v>
      </c>
      <c r="L2952" s="1" t="s">
        <v>21</v>
      </c>
      <c r="M2952" s="1" t="s">
        <v>29</v>
      </c>
      <c r="N2952" s="1" t="s">
        <v>22</v>
      </c>
      <c r="O2952" s="1" t="str">
        <f t="shared" ca="1" si="23"/>
        <v>Please solve the LeetCode problem '2371. Minimize Maximum Value in a Grid'.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53" spans="1:15" x14ac:dyDescent="0.25">
      <c r="A2953" s="1">
        <v>3325</v>
      </c>
      <c r="B2953" s="2" t="str">
        <f>HYPERLINK("https://leetcode.com/problems/count-substrings-with-k-frequency-characters-i/", "Count Substrings With K-Frequency Characters I")</f>
        <v>Count Substrings With K-Frequency Characters I</v>
      </c>
      <c r="C2953" s="1">
        <v>143</v>
      </c>
      <c r="D2953" s="1">
        <v>9</v>
      </c>
      <c r="E2953" s="3">
        <f t="shared" si="22"/>
        <v>0.94078947368421051</v>
      </c>
      <c r="F2953" s="1" t="s">
        <v>23</v>
      </c>
      <c r="G2953" s="1" t="s">
        <v>24</v>
      </c>
      <c r="H2953" s="1">
        <v>35809</v>
      </c>
      <c r="I2953" s="1">
        <v>64596</v>
      </c>
      <c r="J2953" s="7">
        <v>0.55400000000000005</v>
      </c>
      <c r="K2953" s="1" t="s">
        <v>21</v>
      </c>
      <c r="L2953" s="1" t="s">
        <v>29</v>
      </c>
      <c r="M2953" s="1" t="s">
        <v>29</v>
      </c>
      <c r="N2953" s="1" t="s">
        <v>22</v>
      </c>
      <c r="O2953" s="1" t="str">
        <f t="shared" ca="1" si="23"/>
        <v>Please solve the LeetCode problem '3325. Count Substrings With K-Frequency Characters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54" spans="1:15" x14ac:dyDescent="0.25">
      <c r="A2954" s="1">
        <v>3428</v>
      </c>
      <c r="B2954" s="2" t="str">
        <f>HYPERLINK("https://leetcode.com/problems/maximum-and-minimum-sums-of-at-most-size-k-subsequences/", "Maximum and Minimum Sums of at Most Size K Subsequences")</f>
        <v>Maximum and Minimum Sums of at Most Size K Subsequences</v>
      </c>
      <c r="C2954" s="1">
        <v>143</v>
      </c>
      <c r="D2954" s="1">
        <v>34</v>
      </c>
      <c r="E2954" s="3">
        <f t="shared" si="22"/>
        <v>0.80790960451977401</v>
      </c>
      <c r="F2954" s="1" t="s">
        <v>1141</v>
      </c>
      <c r="G2954" s="1" t="s">
        <v>24</v>
      </c>
      <c r="H2954" s="1">
        <v>12408</v>
      </c>
      <c r="I2954" s="1">
        <v>58041</v>
      </c>
      <c r="J2954" s="7">
        <v>0.214</v>
      </c>
      <c r="K2954" s="1" t="s">
        <v>21</v>
      </c>
      <c r="L2954" s="1" t="s">
        <v>29</v>
      </c>
      <c r="M2954" s="1" t="s">
        <v>29</v>
      </c>
      <c r="N2954" s="1" t="s">
        <v>22</v>
      </c>
      <c r="O2954" s="1" t="str">
        <f t="shared" ca="1" si="23"/>
        <v>Please solve the LeetCode problem '3428. Maximum and Minimum Sums of at Most Size K Subsequences'.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55" spans="1:15" x14ac:dyDescent="0.25">
      <c r="A2955" s="1">
        <v>1777</v>
      </c>
      <c r="B2955" s="2" t="str">
        <f>HYPERLINK("https://leetcode.com/problems/products-price-for-each-store/", "Product's Price for Each Store")</f>
        <v>Product's Price for Each Store</v>
      </c>
      <c r="C2955" s="1">
        <v>142</v>
      </c>
      <c r="D2955" s="1">
        <v>13</v>
      </c>
      <c r="E2955" s="3">
        <f t="shared" si="22"/>
        <v>0.91612903225806452</v>
      </c>
      <c r="F2955" s="1" t="s">
        <v>297</v>
      </c>
      <c r="G2955" s="1" t="s">
        <v>20</v>
      </c>
      <c r="H2955" s="1">
        <v>24447</v>
      </c>
      <c r="I2955" s="1">
        <v>29756</v>
      </c>
      <c r="J2955" s="7">
        <v>0.82199999999999995</v>
      </c>
      <c r="K2955" s="1" t="s">
        <v>29</v>
      </c>
      <c r="L2955" s="1" t="s">
        <v>21</v>
      </c>
      <c r="M2955" s="1" t="s">
        <v>29</v>
      </c>
      <c r="N2955" s="1" t="s">
        <v>297</v>
      </c>
      <c r="O2955" s="1" t="str">
        <f t="shared" ca="1" si="23"/>
        <v>Please solve the LeetCode problem '1777. Product's Price for Each Store'.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56" spans="1:15" x14ac:dyDescent="0.25">
      <c r="A2956" s="1">
        <v>2393</v>
      </c>
      <c r="B2956" s="2" t="str">
        <f>HYPERLINK("https://leetcode.com/problems/count-strictly-increasing-subarrays/", "Count Strictly Increasing Subarrays")</f>
        <v>Count Strictly Increasing Subarrays</v>
      </c>
      <c r="C2956" s="1">
        <v>142</v>
      </c>
      <c r="D2956" s="1">
        <v>2</v>
      </c>
      <c r="E2956" s="3">
        <f t="shared" si="22"/>
        <v>0.98611111111111116</v>
      </c>
      <c r="F2956" s="1" t="s">
        <v>457</v>
      </c>
      <c r="G2956" s="1" t="s">
        <v>24</v>
      </c>
      <c r="H2956" s="1">
        <v>8055</v>
      </c>
      <c r="I2956" s="1">
        <v>11305</v>
      </c>
      <c r="J2956" s="7">
        <v>0.71299999999999997</v>
      </c>
      <c r="K2956" s="1" t="s">
        <v>29</v>
      </c>
      <c r="L2956" s="1" t="s">
        <v>21</v>
      </c>
      <c r="M2956" s="1" t="s">
        <v>29</v>
      </c>
      <c r="N2956" s="1" t="s">
        <v>22</v>
      </c>
      <c r="O2956" s="1" t="str">
        <f t="shared" ca="1" si="23"/>
        <v>Please solve the LeetCode problem '2393. Count Strictly Increasing Subarrays'.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57" spans="1:15" x14ac:dyDescent="0.25">
      <c r="A2957" s="1">
        <v>2711</v>
      </c>
      <c r="B2957" s="2" t="str">
        <f>HYPERLINK("https://leetcode.com/problems/difference-of-number-of-distinct-values-on-diagonals/", "Difference of Number of Distinct Values on Diagonals")</f>
        <v>Difference of Number of Distinct Values on Diagonals</v>
      </c>
      <c r="C2957" s="1">
        <v>142</v>
      </c>
      <c r="D2957" s="1">
        <v>210</v>
      </c>
      <c r="E2957" s="3">
        <f t="shared" si="22"/>
        <v>0.40340909090909088</v>
      </c>
      <c r="F2957" s="1" t="s">
        <v>78</v>
      </c>
      <c r="G2957" s="1" t="s">
        <v>24</v>
      </c>
      <c r="H2957" s="1">
        <v>22396</v>
      </c>
      <c r="I2957" s="1">
        <v>32803</v>
      </c>
      <c r="J2957" s="7">
        <v>0.68300000000000005</v>
      </c>
      <c r="K2957" s="1" t="s">
        <v>21</v>
      </c>
      <c r="L2957" s="1" t="s">
        <v>29</v>
      </c>
      <c r="M2957" s="1" t="s">
        <v>29</v>
      </c>
      <c r="N2957" s="1" t="s">
        <v>22</v>
      </c>
      <c r="O2957" s="1" t="str">
        <f t="shared" ca="1" si="23"/>
        <v>Please solve the LeetCode problem '2711. Difference of Number of Distinct Values on Diagonals'.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58" spans="1:15" x14ac:dyDescent="0.25">
      <c r="A2958" s="1">
        <v>2954</v>
      </c>
      <c r="B2958" s="2" t="str">
        <f>HYPERLINK("https://leetcode.com/problems/count-the-number-of-infection-sequences/", "Count the Number of Infection Sequences")</f>
        <v>Count the Number of Infection Sequences</v>
      </c>
      <c r="C2958" s="1">
        <v>142</v>
      </c>
      <c r="D2958" s="1">
        <v>32</v>
      </c>
      <c r="E2958" s="3">
        <f t="shared" si="22"/>
        <v>0.81609195402298851</v>
      </c>
      <c r="F2958" s="1" t="s">
        <v>1138</v>
      </c>
      <c r="G2958" s="1" t="s">
        <v>28</v>
      </c>
      <c r="H2958" s="1">
        <v>5704</v>
      </c>
      <c r="I2958" s="1">
        <v>15454</v>
      </c>
      <c r="J2958" s="7">
        <v>0.36899999999999999</v>
      </c>
      <c r="K2958" s="1" t="s">
        <v>21</v>
      </c>
      <c r="L2958" s="1" t="s">
        <v>29</v>
      </c>
      <c r="M2958" s="1" t="s">
        <v>29</v>
      </c>
      <c r="N2958" s="1" t="s">
        <v>22</v>
      </c>
      <c r="O2958" s="1" t="str">
        <f t="shared" ca="1" si="23"/>
        <v>Please solve the LeetCode problem '2954. Count the Number of Infection Sequences'.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59" spans="1:15" x14ac:dyDescent="0.25">
      <c r="A2959" s="1">
        <v>3319</v>
      </c>
      <c r="B2959" s="2" t="str">
        <f>HYPERLINK("https://leetcode.com/problems/k-th-largest-perfect-subtree-size-in-binary-tree/", "K-th Largest Perfect Subtree Size in Binary Tree")</f>
        <v>K-th Largest Perfect Subtree Size in Binary Tree</v>
      </c>
      <c r="C2959" s="1">
        <v>142</v>
      </c>
      <c r="D2959" s="1">
        <v>14</v>
      </c>
      <c r="E2959" s="3">
        <f t="shared" si="22"/>
        <v>0.91025641025641024</v>
      </c>
      <c r="F2959" s="1" t="s">
        <v>1134</v>
      </c>
      <c r="G2959" s="1" t="s">
        <v>24</v>
      </c>
      <c r="H2959" s="1">
        <v>27912</v>
      </c>
      <c r="I2959" s="1">
        <v>45088</v>
      </c>
      <c r="J2959" s="7">
        <v>0.61899999999999999</v>
      </c>
      <c r="K2959" s="1" t="s">
        <v>21</v>
      </c>
      <c r="L2959" s="1" t="s">
        <v>29</v>
      </c>
      <c r="M2959" s="1" t="s">
        <v>29</v>
      </c>
      <c r="N2959" s="1" t="s">
        <v>22</v>
      </c>
      <c r="O2959" s="1" t="str">
        <f t="shared" ca="1" si="23"/>
        <v>Please solve the LeetCode problem '3319. K-th Largest Perfect Subtree Size in Binary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60" spans="1:15" x14ac:dyDescent="0.25">
      <c r="A2960" s="1">
        <v>3458</v>
      </c>
      <c r="B2960" s="2" t="str">
        <f>HYPERLINK("https://leetcode.com/problems/select-k-disjoint-special-substrings/", "Select K Disjoint Special Substrings")</f>
        <v>Select K Disjoint Special Substrings</v>
      </c>
      <c r="C2960" s="1">
        <v>142</v>
      </c>
      <c r="D2960" s="1">
        <v>14</v>
      </c>
      <c r="E2960" s="3">
        <f t="shared" si="22"/>
        <v>0.91025641025641024</v>
      </c>
      <c r="F2960" s="1" t="s">
        <v>1146</v>
      </c>
      <c r="G2960" s="1" t="s">
        <v>24</v>
      </c>
      <c r="H2960" s="1">
        <v>10936</v>
      </c>
      <c r="I2960" s="1">
        <v>57858</v>
      </c>
      <c r="J2960" s="7">
        <v>0.189</v>
      </c>
      <c r="K2960" s="1" t="s">
        <v>21</v>
      </c>
      <c r="L2960" s="1" t="s">
        <v>29</v>
      </c>
      <c r="M2960" s="1" t="s">
        <v>29</v>
      </c>
      <c r="N2960" s="1" t="s">
        <v>22</v>
      </c>
      <c r="O2960" s="1" t="str">
        <f t="shared" ca="1" si="23"/>
        <v>Please solve the LeetCode problem '3458. Select K Disjoint Special Substrings'.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61" spans="1:15" x14ac:dyDescent="0.25">
      <c r="A2961" s="1">
        <v>3654</v>
      </c>
      <c r="B2961" s="2" t="str">
        <f>HYPERLINK("https://leetcode.com/problems/minimum-sum-after-divisible-sum-deletions/", "Minimum Sum After Divisible Sum Deletions")</f>
        <v>Minimum Sum After Divisible Sum Deletions</v>
      </c>
      <c r="C2961" s="1">
        <v>142</v>
      </c>
      <c r="D2961" s="1">
        <v>10</v>
      </c>
      <c r="E2961" s="3">
        <f t="shared" si="22"/>
        <v>0.93421052631578949</v>
      </c>
      <c r="F2961" s="1" t="s">
        <v>1136</v>
      </c>
      <c r="G2961" s="1" t="s">
        <v>24</v>
      </c>
      <c r="H2961" s="1">
        <v>25589</v>
      </c>
      <c r="I2961" s="1">
        <v>57123</v>
      </c>
      <c r="J2961" s="7">
        <v>0.44800000000000001</v>
      </c>
      <c r="K2961" s="1" t="s">
        <v>21</v>
      </c>
      <c r="L2961" s="1" t="s">
        <v>29</v>
      </c>
      <c r="M2961" s="1" t="s">
        <v>29</v>
      </c>
      <c r="N2961" s="1" t="s">
        <v>22</v>
      </c>
      <c r="O2961" s="1" t="str">
        <f t="shared" ca="1" si="23"/>
        <v>Please solve the LeetCode problem '3654. Minimum Sum After Divisible Sum Deletions'.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62" spans="1:15" x14ac:dyDescent="0.25">
      <c r="A2962" s="1">
        <v>2077</v>
      </c>
      <c r="B2962" s="2" t="str">
        <f>HYPERLINK("https://leetcode.com/problems/paths-in-maze-that-lead-to-same-room/", "Paths in Maze That Lead to Same Room")</f>
        <v>Paths in Maze That Lead to Same Room</v>
      </c>
      <c r="C2962" s="1">
        <v>141</v>
      </c>
      <c r="D2962" s="1">
        <v>12</v>
      </c>
      <c r="E2962" s="3">
        <f t="shared" si="22"/>
        <v>0.92156862745098034</v>
      </c>
      <c r="F2962" s="1" t="s">
        <v>319</v>
      </c>
      <c r="G2962" s="1" t="s">
        <v>24</v>
      </c>
      <c r="H2962" s="1">
        <v>6278</v>
      </c>
      <c r="I2962" s="1">
        <v>11143</v>
      </c>
      <c r="J2962" s="7">
        <v>0.56299999999999994</v>
      </c>
      <c r="K2962" s="1" t="s">
        <v>29</v>
      </c>
      <c r="L2962" s="1" t="s">
        <v>29</v>
      </c>
      <c r="M2962" s="1" t="s">
        <v>29</v>
      </c>
      <c r="N2962" s="1" t="s">
        <v>22</v>
      </c>
      <c r="O2962" s="1" t="str">
        <f t="shared" ca="1" si="23"/>
        <v>Please solve the LeetCode problem '2077. Paths in Maze That Lead to Same Room'.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63" spans="1:15" x14ac:dyDescent="0.25">
      <c r="A2963" s="1">
        <v>3177</v>
      </c>
      <c r="B2963" s="2" t="str">
        <f>HYPERLINK("https://leetcode.com/problems/find-the-maximum-length-of-a-good-subsequence-ii/", "Find the Maximum Length of a Good Subsequence II")</f>
        <v>Find the Maximum Length of a Good Subsequence II</v>
      </c>
      <c r="C2963" s="1">
        <v>141</v>
      </c>
      <c r="D2963" s="1">
        <v>10</v>
      </c>
      <c r="E2963" s="3">
        <f t="shared" si="22"/>
        <v>0.93377483443708609</v>
      </c>
      <c r="F2963" s="1" t="s">
        <v>174</v>
      </c>
      <c r="G2963" s="1" t="s">
        <v>28</v>
      </c>
      <c r="H2963" s="1">
        <v>9314</v>
      </c>
      <c r="I2963" s="1">
        <v>37310</v>
      </c>
      <c r="J2963" s="7">
        <v>0.25</v>
      </c>
      <c r="K2963" s="1" t="s">
        <v>21</v>
      </c>
      <c r="L2963" s="1" t="s">
        <v>29</v>
      </c>
      <c r="M2963" s="1" t="s">
        <v>29</v>
      </c>
      <c r="N2963" s="1" t="s">
        <v>22</v>
      </c>
      <c r="O2963" s="1" t="str">
        <f t="shared" ca="1" si="23"/>
        <v>Please solve the LeetCode problem '3177. Find the Maximum Length of a Good Subsequence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64" spans="1:15" x14ac:dyDescent="0.25">
      <c r="A2964" s="1">
        <v>3240</v>
      </c>
      <c r="B2964" s="2" t="str">
        <f>HYPERLINK("https://leetcode.com/problems/minimum-number-of-flips-to-make-binary-grid-palindromic-ii/", "Minimum Number of Flips to Make Binary Grid Palindromic II")</f>
        <v>Minimum Number of Flips to Make Binary Grid Palindromic II</v>
      </c>
      <c r="C2964" s="1">
        <v>141</v>
      </c>
      <c r="D2964" s="1">
        <v>57</v>
      </c>
      <c r="E2964" s="3">
        <f t="shared" si="22"/>
        <v>0.71212121212121215</v>
      </c>
      <c r="F2964" s="1" t="s">
        <v>559</v>
      </c>
      <c r="G2964" s="1" t="s">
        <v>24</v>
      </c>
      <c r="H2964" s="1">
        <v>12298</v>
      </c>
      <c r="I2964" s="1">
        <v>48542</v>
      </c>
      <c r="J2964" s="7">
        <v>0.253</v>
      </c>
      <c r="K2964" s="1" t="s">
        <v>21</v>
      </c>
      <c r="L2964" s="1" t="s">
        <v>29</v>
      </c>
      <c r="M2964" s="1" t="s">
        <v>29</v>
      </c>
      <c r="N2964" s="1" t="s">
        <v>22</v>
      </c>
      <c r="O2964" s="1" t="str">
        <f t="shared" ca="1" si="23"/>
        <v>Please solve the LeetCode problem '3240. Minimum Number of Flips to Make Binary Grid Palindromic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65" spans="1:15" x14ac:dyDescent="0.25">
      <c r="A2965" s="1">
        <v>3274</v>
      </c>
      <c r="B2965" s="2" t="str">
        <f>HYPERLINK("https://leetcode.com/problems/check-if-two-chessboard-squares-have-the-same-color/", "Check if Two Chessboard Squares Have the Same Color")</f>
        <v>Check if Two Chessboard Squares Have the Same Color</v>
      </c>
      <c r="C2965" s="1">
        <v>141</v>
      </c>
      <c r="D2965" s="1">
        <v>5</v>
      </c>
      <c r="E2965" s="3">
        <f t="shared" si="22"/>
        <v>0.96575342465753422</v>
      </c>
      <c r="F2965" s="1" t="s">
        <v>228</v>
      </c>
      <c r="G2965" s="1" t="s">
        <v>20</v>
      </c>
      <c r="H2965" s="1">
        <v>68491</v>
      </c>
      <c r="I2965" s="1">
        <v>94835</v>
      </c>
      <c r="J2965" s="7">
        <v>0.72199999999999998</v>
      </c>
      <c r="K2965" s="1" t="s">
        <v>21</v>
      </c>
      <c r="L2965" s="1" t="s">
        <v>29</v>
      </c>
      <c r="M2965" s="1" t="s">
        <v>29</v>
      </c>
      <c r="N2965" s="1" t="s">
        <v>22</v>
      </c>
      <c r="O2965" s="1" t="str">
        <f t="shared" ca="1" si="23"/>
        <v>Please solve the LeetCode problem '3274. Check if Two Chessboard Squares Have the Same Color'.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66" spans="1:15" x14ac:dyDescent="0.25">
      <c r="A2966" s="1">
        <v>3489</v>
      </c>
      <c r="B2966" s="2" t="str">
        <f>HYPERLINK("https://leetcode.com/problems/zero-array-transformation-iv/", "Zero Array Transformation IV")</f>
        <v>Zero Array Transformation IV</v>
      </c>
      <c r="C2966" s="1">
        <v>141</v>
      </c>
      <c r="D2966" s="1">
        <v>21</v>
      </c>
      <c r="E2966" s="3">
        <f t="shared" si="22"/>
        <v>0.87037037037037035</v>
      </c>
      <c r="F2966" s="1" t="s">
        <v>30</v>
      </c>
      <c r="G2966" s="1" t="s">
        <v>24</v>
      </c>
      <c r="H2966" s="1">
        <v>11226</v>
      </c>
      <c r="I2966" s="1">
        <v>36425</v>
      </c>
      <c r="J2966" s="7">
        <v>0.308</v>
      </c>
      <c r="K2966" s="1" t="s">
        <v>21</v>
      </c>
      <c r="L2966" s="1" t="s">
        <v>29</v>
      </c>
      <c r="M2966" s="1" t="s">
        <v>29</v>
      </c>
      <c r="N2966" s="1" t="s">
        <v>22</v>
      </c>
      <c r="O2966" s="1" t="str">
        <f t="shared" ca="1" si="23"/>
        <v>Please solve the LeetCode problem '3489. Zero Array Transformation IV'.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67" spans="1:15" x14ac:dyDescent="0.25">
      <c r="A2967" s="1">
        <v>3551</v>
      </c>
      <c r="B2967" s="2" t="str">
        <f>HYPERLINK("https://leetcode.com/problems/minimum-swaps-to-sort-by-digit-sum/", "Minimum Swaps to Sort by Digit Sum")</f>
        <v>Minimum Swaps to Sort by Digit Sum</v>
      </c>
      <c r="C2967" s="1">
        <v>141</v>
      </c>
      <c r="D2967" s="1">
        <v>5</v>
      </c>
      <c r="E2967" s="3">
        <f t="shared" si="22"/>
        <v>0.96575342465753422</v>
      </c>
      <c r="F2967" s="1" t="s">
        <v>92</v>
      </c>
      <c r="G2967" s="1" t="s">
        <v>24</v>
      </c>
      <c r="H2967" s="1">
        <v>25177</v>
      </c>
      <c r="I2967" s="1">
        <v>50037</v>
      </c>
      <c r="J2967" s="7">
        <v>0.503</v>
      </c>
      <c r="K2967" s="1" t="s">
        <v>21</v>
      </c>
      <c r="L2967" s="1" t="s">
        <v>29</v>
      </c>
      <c r="M2967" s="1" t="s">
        <v>29</v>
      </c>
      <c r="N2967" s="1" t="s">
        <v>22</v>
      </c>
      <c r="O2967" s="1" t="str">
        <f t="shared" ca="1" si="23"/>
        <v>Please solve the LeetCode problem '3551. Minimum Swaps to Sort by Digit Sum'.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68" spans="1:15" x14ac:dyDescent="0.25">
      <c r="A2968" s="1">
        <v>1549</v>
      </c>
      <c r="B2968" s="2" t="str">
        <f>HYPERLINK("https://leetcode.com/problems/the-most-recent-orders-for-each-product/", "The Most Recent Orders for Each Product")</f>
        <v>The Most Recent Orders for Each Product</v>
      </c>
      <c r="C2968" s="1">
        <v>140</v>
      </c>
      <c r="D2968" s="1">
        <v>12</v>
      </c>
      <c r="E2968" s="3">
        <f t="shared" si="22"/>
        <v>0.92105263157894735</v>
      </c>
      <c r="F2968" s="1" t="s">
        <v>297</v>
      </c>
      <c r="G2968" s="1" t="s">
        <v>24</v>
      </c>
      <c r="H2968" s="1">
        <v>38131</v>
      </c>
      <c r="I2968" s="1">
        <v>58668</v>
      </c>
      <c r="J2968" s="7">
        <v>0.65</v>
      </c>
      <c r="K2968" s="1" t="s">
        <v>29</v>
      </c>
      <c r="L2968" s="1" t="s">
        <v>21</v>
      </c>
      <c r="M2968" s="1" t="s">
        <v>29</v>
      </c>
      <c r="N2968" s="1" t="s">
        <v>297</v>
      </c>
      <c r="O2968" s="1" t="str">
        <f t="shared" ca="1" si="23"/>
        <v>Please solve the LeetCode problem '1549. The Most Recent Orders for Each Product'.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69" spans="1:15" x14ac:dyDescent="0.25">
      <c r="A2969" s="1">
        <v>3117</v>
      </c>
      <c r="B2969" s="2" t="str">
        <f>HYPERLINK("https://leetcode.com/problems/minimum-sum-of-values-by-dividing-array/", "Minimum Sum of Values by Dividing Array")</f>
        <v>Minimum Sum of Values by Dividing Array</v>
      </c>
      <c r="C2969" s="1">
        <v>140</v>
      </c>
      <c r="D2969" s="1">
        <v>4</v>
      </c>
      <c r="E2969" s="3">
        <f t="shared" si="22"/>
        <v>0.97222222222222221</v>
      </c>
      <c r="F2969" s="1" t="s">
        <v>1144</v>
      </c>
      <c r="G2969" s="1" t="s">
        <v>28</v>
      </c>
      <c r="H2969" s="1">
        <v>6765</v>
      </c>
      <c r="I2969" s="1">
        <v>24500</v>
      </c>
      <c r="J2969" s="7">
        <v>0.27600000000000002</v>
      </c>
      <c r="K2969" s="1" t="s">
        <v>21</v>
      </c>
      <c r="L2969" s="1" t="s">
        <v>29</v>
      </c>
      <c r="M2969" s="1" t="s">
        <v>29</v>
      </c>
      <c r="N2969" s="1" t="s">
        <v>22</v>
      </c>
      <c r="O2969" s="1" t="str">
        <f t="shared" ca="1" si="23"/>
        <v>Please solve the LeetCode problem '3117. Minimum Sum of Values by Dividing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70" spans="1:15" x14ac:dyDescent="0.25">
      <c r="A2970" s="1">
        <v>3261</v>
      </c>
      <c r="B2970" s="2" t="str">
        <f>HYPERLINK("https://leetcode.com/problems/count-substrings-that-satisfy-k-constraint-ii/", "Count Substrings That Satisfy K-Constraint II")</f>
        <v>Count Substrings That Satisfy K-Constraint II</v>
      </c>
      <c r="C2970" s="1">
        <v>140</v>
      </c>
      <c r="D2970" s="1">
        <v>12</v>
      </c>
      <c r="E2970" s="3">
        <f t="shared" si="22"/>
        <v>0.92105263157894735</v>
      </c>
      <c r="F2970" s="1" t="s">
        <v>1147</v>
      </c>
      <c r="G2970" s="1" t="s">
        <v>28</v>
      </c>
      <c r="H2970" s="1">
        <v>5729</v>
      </c>
      <c r="I2970" s="1">
        <v>24792</v>
      </c>
      <c r="J2970" s="7">
        <v>0.23100000000000001</v>
      </c>
      <c r="K2970" s="1" t="s">
        <v>21</v>
      </c>
      <c r="L2970" s="1" t="s">
        <v>29</v>
      </c>
      <c r="M2970" s="1" t="s">
        <v>29</v>
      </c>
      <c r="N2970" s="1" t="s">
        <v>22</v>
      </c>
      <c r="O2970" s="1" t="str">
        <f t="shared" ca="1" si="23"/>
        <v>Please solve the LeetCode problem '3261. Count Substrings That Satisfy K-Constraint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71" spans="1:15" x14ac:dyDescent="0.25">
      <c r="A2971" s="1">
        <v>3305</v>
      </c>
      <c r="B2971" s="2" t="str">
        <f>HYPERLINK("https://leetcode.com/problems/count-of-substrings-containing-every-vowel-and-k-consonants-i/", "Count of Substrings Containing Every Vowel and K Consonants I")</f>
        <v>Count of Substrings Containing Every Vowel and K Consonants I</v>
      </c>
      <c r="C2971" s="1">
        <v>140</v>
      </c>
      <c r="D2971" s="1">
        <v>12</v>
      </c>
      <c r="E2971" s="3">
        <f t="shared" si="22"/>
        <v>0.92105263157894735</v>
      </c>
      <c r="F2971" s="1" t="s">
        <v>23</v>
      </c>
      <c r="G2971" s="1" t="s">
        <v>24</v>
      </c>
      <c r="H2971" s="1">
        <v>32083</v>
      </c>
      <c r="I2971" s="1">
        <v>77052</v>
      </c>
      <c r="J2971" s="7">
        <v>0.41599999999999998</v>
      </c>
      <c r="K2971" s="1" t="s">
        <v>21</v>
      </c>
      <c r="L2971" s="1" t="s">
        <v>29</v>
      </c>
      <c r="M2971" s="1" t="s">
        <v>29</v>
      </c>
      <c r="N2971" s="1" t="s">
        <v>22</v>
      </c>
      <c r="O2971" s="1" t="str">
        <f t="shared" ca="1" si="23"/>
        <v>Please solve the LeetCode problem '3305. Count of Substrings Containing Every Vowel and K Consonants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72" spans="1:15" x14ac:dyDescent="0.25">
      <c r="A2972" s="1">
        <v>1972</v>
      </c>
      <c r="B2972" s="2" t="str">
        <f>HYPERLINK("https://leetcode.com/problems/first-and-last-call-on-the-same-day/", "First and Last Call On the Same Day")</f>
        <v>First and Last Call On the Same Day</v>
      </c>
      <c r="C2972" s="1">
        <v>139</v>
      </c>
      <c r="D2972" s="1">
        <v>44</v>
      </c>
      <c r="E2972" s="3">
        <f t="shared" si="22"/>
        <v>0.7595628415300546</v>
      </c>
      <c r="F2972" s="1" t="s">
        <v>297</v>
      </c>
      <c r="G2972" s="1" t="s">
        <v>28</v>
      </c>
      <c r="H2972" s="1">
        <v>12151</v>
      </c>
      <c r="I2972" s="1">
        <v>23819</v>
      </c>
      <c r="J2972" s="7">
        <v>0.51</v>
      </c>
      <c r="K2972" s="1" t="s">
        <v>29</v>
      </c>
      <c r="L2972" s="1" t="s">
        <v>21</v>
      </c>
      <c r="M2972" s="1" t="s">
        <v>29</v>
      </c>
      <c r="N2972" s="1" t="s">
        <v>297</v>
      </c>
      <c r="O2972" s="1" t="str">
        <f t="shared" ca="1" si="23"/>
        <v>Please solve the LeetCode problem '1972. First and Last Call On the Same Day'.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73" spans="1:15" x14ac:dyDescent="0.25">
      <c r="A2973" s="1">
        <v>2277</v>
      </c>
      <c r="B2973" s="2" t="str">
        <f>HYPERLINK("https://leetcode.com/problems/closest-node-to-path-in-tree/", "Closest Node to Path in Tree")</f>
        <v>Closest Node to Path in Tree</v>
      </c>
      <c r="C2973" s="1">
        <v>139</v>
      </c>
      <c r="D2973" s="1">
        <v>3</v>
      </c>
      <c r="E2973" s="3">
        <f t="shared" si="22"/>
        <v>0.97887323943661975</v>
      </c>
      <c r="F2973" s="1" t="s">
        <v>1075</v>
      </c>
      <c r="G2973" s="1" t="s">
        <v>28</v>
      </c>
      <c r="H2973" s="1">
        <v>6430</v>
      </c>
      <c r="I2973" s="1">
        <v>10317</v>
      </c>
      <c r="J2973" s="7">
        <v>0.623</v>
      </c>
      <c r="K2973" s="1" t="s">
        <v>29</v>
      </c>
      <c r="L2973" s="1" t="s">
        <v>29</v>
      </c>
      <c r="M2973" s="1" t="s">
        <v>29</v>
      </c>
      <c r="N2973" s="1" t="s">
        <v>22</v>
      </c>
      <c r="O2973" s="1" t="str">
        <f t="shared" ca="1" si="23"/>
        <v>Please solve the LeetCode problem '2277. Closest Node to Path in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74" spans="1:15" x14ac:dyDescent="0.25">
      <c r="A2974" s="1">
        <v>3187</v>
      </c>
      <c r="B2974" s="2" t="str">
        <f>HYPERLINK("https://leetcode.com/problems/peaks-in-array/", "Peaks in Array")</f>
        <v>Peaks in Array</v>
      </c>
      <c r="C2974" s="1">
        <v>139</v>
      </c>
      <c r="D2974" s="1">
        <v>10</v>
      </c>
      <c r="E2974" s="3">
        <f t="shared" si="22"/>
        <v>0.93288590604026844</v>
      </c>
      <c r="F2974" s="1" t="s">
        <v>1145</v>
      </c>
      <c r="G2974" s="1" t="s">
        <v>28</v>
      </c>
      <c r="H2974" s="1">
        <v>11412</v>
      </c>
      <c r="I2974" s="1">
        <v>42374</v>
      </c>
      <c r="J2974" s="7">
        <v>0.26900000000000002</v>
      </c>
      <c r="K2974" s="1" t="s">
        <v>21</v>
      </c>
      <c r="L2974" s="1" t="s">
        <v>29</v>
      </c>
      <c r="M2974" s="1" t="s">
        <v>29</v>
      </c>
      <c r="N2974" s="1" t="s">
        <v>22</v>
      </c>
      <c r="O2974" s="1" t="str">
        <f t="shared" ca="1" si="23"/>
        <v>Please solve the LeetCode problem '3187. Peaks in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75" spans="1:15" x14ac:dyDescent="0.25">
      <c r="A2975" s="1">
        <v>3283</v>
      </c>
      <c r="B2975" s="2" t="str">
        <f>HYPERLINK("https://leetcode.com/problems/maximum-number-of-moves-to-kill-all-pawns/", "Maximum Number of Moves to Kill All Pawns")</f>
        <v>Maximum Number of Moves to Kill All Pawns</v>
      </c>
      <c r="C2975" s="1">
        <v>139</v>
      </c>
      <c r="D2975" s="1">
        <v>12</v>
      </c>
      <c r="E2975" s="3">
        <f t="shared" si="22"/>
        <v>0.92052980132450335</v>
      </c>
      <c r="F2975" s="1" t="s">
        <v>1394</v>
      </c>
      <c r="G2975" s="1" t="s">
        <v>28</v>
      </c>
      <c r="H2975" s="1">
        <v>7088</v>
      </c>
      <c r="I2975" s="1">
        <v>21193</v>
      </c>
      <c r="J2975" s="7">
        <v>0.33400000000000002</v>
      </c>
      <c r="K2975" s="1" t="s">
        <v>21</v>
      </c>
      <c r="L2975" s="1" t="s">
        <v>29</v>
      </c>
      <c r="M2975" s="1" t="s">
        <v>29</v>
      </c>
      <c r="N2975" s="1" t="s">
        <v>22</v>
      </c>
      <c r="O2975" s="1" t="str">
        <f t="shared" ca="1" si="23"/>
        <v>Please solve the LeetCode problem '3283. Maximum Number of Moves to Kill All Pawns'.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76" spans="1:15" x14ac:dyDescent="0.25">
      <c r="A2976" s="1">
        <v>3013</v>
      </c>
      <c r="B2976" s="2" t="str">
        <f>HYPERLINK("https://leetcode.com/problems/divide-an-array-into-subarrays-with-minimum-cost-ii/", "Divide an Array Into Subarrays With Minimum Cost II")</f>
        <v>Divide an Array Into Subarrays With Minimum Cost II</v>
      </c>
      <c r="C2976" s="1">
        <v>138</v>
      </c>
      <c r="D2976" s="1">
        <v>19</v>
      </c>
      <c r="E2976" s="3">
        <f t="shared" si="22"/>
        <v>0.87898089171974525</v>
      </c>
      <c r="F2976" s="1" t="s">
        <v>344</v>
      </c>
      <c r="G2976" s="1" t="s">
        <v>28</v>
      </c>
      <c r="H2976" s="1">
        <v>7088</v>
      </c>
      <c r="I2976" s="1">
        <v>22680</v>
      </c>
      <c r="J2976" s="7">
        <v>0.313</v>
      </c>
      <c r="K2976" s="1" t="s">
        <v>21</v>
      </c>
      <c r="L2976" s="1" t="s">
        <v>29</v>
      </c>
      <c r="M2976" s="1" t="s">
        <v>29</v>
      </c>
      <c r="N2976" s="1" t="s">
        <v>22</v>
      </c>
      <c r="O2976" s="1" t="str">
        <f t="shared" ca="1" si="23"/>
        <v>Please solve the LeetCode problem '3013. Divide an Array Into Subarrays With Minimum Cost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77" spans="1:15" x14ac:dyDescent="0.25">
      <c r="A2977" s="1">
        <v>3714</v>
      </c>
      <c r="B2977" s="2" t="str">
        <f>HYPERLINK("https://leetcode.com/problems/longest-balanced-substring-ii/", "Longest Balanced Substring II")</f>
        <v>Longest Balanced Substring II</v>
      </c>
      <c r="C2977" s="1">
        <v>138</v>
      </c>
      <c r="D2977" s="1">
        <v>29</v>
      </c>
      <c r="E2977" s="3">
        <f t="shared" si="22"/>
        <v>0.82634730538922152</v>
      </c>
      <c r="F2977" s="1" t="s">
        <v>883</v>
      </c>
      <c r="G2977" s="1" t="s">
        <v>24</v>
      </c>
      <c r="H2977" s="1">
        <v>8284</v>
      </c>
      <c r="I2977" s="1">
        <v>41878</v>
      </c>
      <c r="J2977" s="7">
        <v>0.19800000000000001</v>
      </c>
      <c r="K2977" s="1" t="s">
        <v>21</v>
      </c>
      <c r="L2977" s="1" t="s">
        <v>29</v>
      </c>
      <c r="M2977" s="1" t="s">
        <v>29</v>
      </c>
      <c r="N2977" s="1" t="s">
        <v>22</v>
      </c>
      <c r="O2977" s="1" t="str">
        <f t="shared" ca="1" si="23"/>
        <v>Please solve the LeetCode problem '3714. Longest Balanced Substring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78" spans="1:15" x14ac:dyDescent="0.25">
      <c r="A2978" s="1">
        <v>2083</v>
      </c>
      <c r="B2978" s="2" t="str">
        <f>HYPERLINK("https://leetcode.com/problems/substrings-that-begin-and-end-with-the-same-letter/", "Substrings That Begin and End With the Same Letter")</f>
        <v>Substrings That Begin and End With the Same Letter</v>
      </c>
      <c r="C2978" s="1">
        <v>137</v>
      </c>
      <c r="D2978" s="1">
        <v>12</v>
      </c>
      <c r="E2978" s="3">
        <f t="shared" si="22"/>
        <v>0.91946308724832215</v>
      </c>
      <c r="F2978" s="1" t="s">
        <v>1148</v>
      </c>
      <c r="G2978" s="1" t="s">
        <v>24</v>
      </c>
      <c r="H2978" s="1">
        <v>13896</v>
      </c>
      <c r="I2978" s="1">
        <v>18677</v>
      </c>
      <c r="J2978" s="7">
        <v>0.74399999999999999</v>
      </c>
      <c r="K2978" s="1" t="s">
        <v>29</v>
      </c>
      <c r="L2978" s="1" t="s">
        <v>21</v>
      </c>
      <c r="M2978" s="1" t="s">
        <v>29</v>
      </c>
      <c r="N2978" s="1" t="s">
        <v>22</v>
      </c>
      <c r="O2978" s="1" t="str">
        <f t="shared" ca="1" si="23"/>
        <v>Please solve the LeetCode problem '2083. Substrings That Begin and End With the Same Letter'.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79" spans="1:15" x14ac:dyDescent="0.25">
      <c r="A2979" s="1">
        <v>2863</v>
      </c>
      <c r="B2979" s="2" t="str">
        <f>HYPERLINK("https://leetcode.com/problems/maximum-length-of-semi-decreasing-subarrays/", "Maximum Length of Semi-Decreasing Subarrays")</f>
        <v>Maximum Length of Semi-Decreasing Subarrays</v>
      </c>
      <c r="C2979" s="1">
        <v>137</v>
      </c>
      <c r="D2979" s="1">
        <v>17</v>
      </c>
      <c r="E2979" s="3">
        <f t="shared" si="22"/>
        <v>0.88961038961038963</v>
      </c>
      <c r="F2979" s="1" t="s">
        <v>299</v>
      </c>
      <c r="G2979" s="1" t="s">
        <v>24</v>
      </c>
      <c r="H2979" s="1">
        <v>14304</v>
      </c>
      <c r="I2979" s="1">
        <v>20423</v>
      </c>
      <c r="J2979" s="7">
        <v>0.7</v>
      </c>
      <c r="K2979" s="1" t="s">
        <v>29</v>
      </c>
      <c r="L2979" s="1" t="s">
        <v>29</v>
      </c>
      <c r="M2979" s="1" t="s">
        <v>29</v>
      </c>
      <c r="N2979" s="1" t="s">
        <v>22</v>
      </c>
      <c r="O2979" s="1" t="str">
        <f t="shared" ca="1" si="23"/>
        <v>Please solve the LeetCode problem '2863. Maximum Length of Semi-Decreasing Subarrays'.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80" spans="1:15" x14ac:dyDescent="0.25">
      <c r="A2980" s="1">
        <v>2980</v>
      </c>
      <c r="B2980" s="2" t="str">
        <f>HYPERLINK("https://leetcode.com/problems/check-if-bitwise-or-has-trailing-zeros/", "Check if Bitwise OR Has Trailing Zeros")</f>
        <v>Check if Bitwise OR Has Trailing Zeros</v>
      </c>
      <c r="C2980" s="1">
        <v>137</v>
      </c>
      <c r="D2980" s="1">
        <v>11</v>
      </c>
      <c r="E2980" s="3">
        <f t="shared" si="22"/>
        <v>0.92567567567567566</v>
      </c>
      <c r="F2980" s="1" t="s">
        <v>65</v>
      </c>
      <c r="G2980" s="1" t="s">
        <v>20</v>
      </c>
      <c r="H2980" s="1">
        <v>48150</v>
      </c>
      <c r="I2980" s="1">
        <v>67909</v>
      </c>
      <c r="J2980" s="7">
        <v>0.70899999999999996</v>
      </c>
      <c r="K2980" s="1" t="s">
        <v>21</v>
      </c>
      <c r="L2980" s="1" t="s">
        <v>29</v>
      </c>
      <c r="M2980" s="1" t="s">
        <v>29</v>
      </c>
      <c r="N2980" s="1" t="s">
        <v>22</v>
      </c>
      <c r="O2980" s="1" t="str">
        <f t="shared" ca="1" si="23"/>
        <v>Please solve the LeetCode problem '2980. Check if Bitwise OR Has Trailing Zeros'.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81" spans="1:15" x14ac:dyDescent="0.25">
      <c r="A2981" s="1">
        <v>3175</v>
      </c>
      <c r="B2981" s="2" t="str">
        <f>HYPERLINK("https://leetcode.com/problems/find-the-first-player-to-win-k-games-in-a-row/", "Find The First Player to win K Games in a Row")</f>
        <v>Find The First Player to win K Games in a Row</v>
      </c>
      <c r="C2981" s="1">
        <v>137</v>
      </c>
      <c r="D2981" s="1">
        <v>16</v>
      </c>
      <c r="E2981" s="3">
        <f t="shared" si="22"/>
        <v>0.89542483660130723</v>
      </c>
      <c r="F2981" s="1" t="s">
        <v>306</v>
      </c>
      <c r="G2981" s="1" t="s">
        <v>24</v>
      </c>
      <c r="H2981" s="1">
        <v>35627</v>
      </c>
      <c r="I2981" s="1">
        <v>89194</v>
      </c>
      <c r="J2981" s="7">
        <v>0.39900000000000002</v>
      </c>
      <c r="K2981" s="1" t="s">
        <v>21</v>
      </c>
      <c r="L2981" s="1" t="s">
        <v>29</v>
      </c>
      <c r="M2981" s="1" t="s">
        <v>29</v>
      </c>
      <c r="N2981" s="1" t="s">
        <v>22</v>
      </c>
      <c r="O2981" s="1" t="str">
        <f t="shared" ca="1" si="23"/>
        <v>Please solve the LeetCode problem '3175. Find The First Player to win K Games in a Row'.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82" spans="1:15" x14ac:dyDescent="0.25">
      <c r="A2982" s="1">
        <v>3241</v>
      </c>
      <c r="B2982" s="2" t="str">
        <f>HYPERLINK("https://leetcode.com/problems/time-taken-to-mark-all-nodes/", "Time Taken to Mark All Nodes")</f>
        <v>Time Taken to Mark All Nodes</v>
      </c>
      <c r="C2982" s="1">
        <v>137</v>
      </c>
      <c r="D2982" s="1">
        <v>6</v>
      </c>
      <c r="E2982" s="3">
        <f t="shared" si="22"/>
        <v>0.95804195804195802</v>
      </c>
      <c r="F2982" s="1" t="s">
        <v>230</v>
      </c>
      <c r="G2982" s="1" t="s">
        <v>28</v>
      </c>
      <c r="H2982" s="1">
        <v>6417</v>
      </c>
      <c r="I2982" s="1">
        <v>23589</v>
      </c>
      <c r="J2982" s="7">
        <v>0.27200000000000002</v>
      </c>
      <c r="K2982" s="1" t="s">
        <v>21</v>
      </c>
      <c r="L2982" s="1" t="s">
        <v>29</v>
      </c>
      <c r="M2982" s="1" t="s">
        <v>29</v>
      </c>
      <c r="N2982" s="1" t="s">
        <v>22</v>
      </c>
      <c r="O2982" s="1" t="str">
        <f t="shared" ca="1" si="23"/>
        <v>Please solve the LeetCode problem '3241. Time Taken to Mark All Nodes'.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83" spans="1:15" x14ac:dyDescent="0.25">
      <c r="A2983" s="1">
        <v>3593</v>
      </c>
      <c r="B2983" s="2" t="str">
        <f>HYPERLINK("https://leetcode.com/problems/minimum-increments-to-equalize-leaf-paths/", "Minimum Increments to Equalize Leaf Paths")</f>
        <v>Minimum Increments to Equalize Leaf Paths</v>
      </c>
      <c r="C2983" s="1">
        <v>137</v>
      </c>
      <c r="D2983" s="1">
        <v>10</v>
      </c>
      <c r="E2983" s="3">
        <f t="shared" si="22"/>
        <v>0.93197278911564629</v>
      </c>
      <c r="F2983" s="1" t="s">
        <v>939</v>
      </c>
      <c r="G2983" s="1" t="s">
        <v>24</v>
      </c>
      <c r="H2983" s="1">
        <v>15509</v>
      </c>
      <c r="I2983" s="1">
        <v>37718</v>
      </c>
      <c r="J2983" s="7">
        <v>0.41099999999999998</v>
      </c>
      <c r="K2983" s="1" t="s">
        <v>21</v>
      </c>
      <c r="L2983" s="1" t="s">
        <v>29</v>
      </c>
      <c r="M2983" s="1" t="s">
        <v>29</v>
      </c>
      <c r="N2983" s="1" t="s">
        <v>22</v>
      </c>
      <c r="O2983" s="1" t="str">
        <f t="shared" ca="1" si="23"/>
        <v>Please solve the LeetCode problem '3593. Minimum Increments to Equalize Leaf Paths'.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84" spans="1:15" x14ac:dyDescent="0.25">
      <c r="A2984" s="1">
        <v>578</v>
      </c>
      <c r="B2984" s="2" t="str">
        <f>HYPERLINK("https://leetcode.com/problems/get-highest-answer-rate-question/", "Get Highest Answer Rate Question")</f>
        <v>Get Highest Answer Rate Question</v>
      </c>
      <c r="C2984" s="1">
        <v>136</v>
      </c>
      <c r="D2984" s="1">
        <v>920</v>
      </c>
      <c r="E2984" s="3">
        <f t="shared" si="22"/>
        <v>0.12878787878787878</v>
      </c>
      <c r="F2984" s="1" t="s">
        <v>297</v>
      </c>
      <c r="G2984" s="1" t="s">
        <v>24</v>
      </c>
      <c r="H2984" s="1">
        <v>67756</v>
      </c>
      <c r="I2984" s="1">
        <v>169127</v>
      </c>
      <c r="J2984" s="7">
        <v>0.40100000000000002</v>
      </c>
      <c r="K2984" s="1" t="s">
        <v>29</v>
      </c>
      <c r="L2984" s="1" t="s">
        <v>21</v>
      </c>
      <c r="M2984" s="1" t="s">
        <v>29</v>
      </c>
      <c r="N2984" s="1" t="s">
        <v>297</v>
      </c>
      <c r="O2984" s="1" t="str">
        <f t="shared" ca="1" si="23"/>
        <v>Please solve the LeetCode problem '578. Get Highest Answer Rate Question'.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85" spans="1:15" x14ac:dyDescent="0.25">
      <c r="A2985" s="1">
        <v>2889</v>
      </c>
      <c r="B2985" s="2" t="str">
        <f>HYPERLINK("https://leetcode.com/problems/reshape-data-pivot/", "Reshape Data: Pivot")</f>
        <v>Reshape Data: Pivot</v>
      </c>
      <c r="C2985" s="1">
        <v>136</v>
      </c>
      <c r="D2985" s="1">
        <v>15</v>
      </c>
      <c r="E2985" s="3">
        <f t="shared" si="22"/>
        <v>0.90066225165562919</v>
      </c>
      <c r="G2985" s="1" t="s">
        <v>20</v>
      </c>
      <c r="H2985" s="1">
        <v>98381</v>
      </c>
      <c r="I2985" s="1">
        <v>118165</v>
      </c>
      <c r="J2985" s="7">
        <v>0.83299999999999996</v>
      </c>
      <c r="K2985" s="1" t="s">
        <v>21</v>
      </c>
      <c r="L2985" s="1" t="s">
        <v>21</v>
      </c>
      <c r="M2985" s="1" t="s">
        <v>29</v>
      </c>
      <c r="N2985" s="1" t="s">
        <v>1047</v>
      </c>
      <c r="O2985" s="1" t="str">
        <f t="shared" ca="1" si="23"/>
        <v>Please solve the LeetCode problem '2889. Reshape Data: Pivot'.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86" spans="1:15" x14ac:dyDescent="0.25">
      <c r="A2986" s="1">
        <v>3324</v>
      </c>
      <c r="B2986" s="2" t="str">
        <f>HYPERLINK("https://leetcode.com/problems/find-the-sequence-of-strings-appeared-on-the-screen/", "Find the Sequence of Strings Appeared on the Screen")</f>
        <v>Find the Sequence of Strings Appeared on the Screen</v>
      </c>
      <c r="C2986" s="1">
        <v>136</v>
      </c>
      <c r="D2986" s="1">
        <v>10</v>
      </c>
      <c r="E2986" s="3">
        <f t="shared" si="22"/>
        <v>0.93150684931506844</v>
      </c>
      <c r="F2986" s="1" t="s">
        <v>414</v>
      </c>
      <c r="G2986" s="1" t="s">
        <v>24</v>
      </c>
      <c r="H2986" s="1">
        <v>41483</v>
      </c>
      <c r="I2986" s="1">
        <v>51801</v>
      </c>
      <c r="J2986" s="7">
        <v>0.80100000000000005</v>
      </c>
      <c r="K2986" s="1" t="s">
        <v>21</v>
      </c>
      <c r="L2986" s="1" t="s">
        <v>29</v>
      </c>
      <c r="M2986" s="1" t="s">
        <v>29</v>
      </c>
      <c r="N2986" s="1" t="s">
        <v>22</v>
      </c>
      <c r="O2986" s="1" t="str">
        <f t="shared" ca="1" si="23"/>
        <v>Please solve the LeetCode problem '3324. Find the Sequence of Strings Appeared on the Screen'.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87" spans="1:15" x14ac:dyDescent="0.25">
      <c r="A2987" s="1">
        <v>1149</v>
      </c>
      <c r="B2987" s="2" t="str">
        <f>HYPERLINK("https://leetcode.com/problems/article-views-ii/", "Article Views II")</f>
        <v>Article Views II</v>
      </c>
      <c r="C2987" s="1">
        <v>135</v>
      </c>
      <c r="D2987" s="1">
        <v>29</v>
      </c>
      <c r="E2987" s="3">
        <f t="shared" si="22"/>
        <v>0.82317073170731703</v>
      </c>
      <c r="F2987" s="1" t="s">
        <v>297</v>
      </c>
      <c r="G2987" s="1" t="s">
        <v>24</v>
      </c>
      <c r="H2987" s="1">
        <v>43861</v>
      </c>
      <c r="I2987" s="1">
        <v>92780</v>
      </c>
      <c r="J2987" s="7">
        <v>0.47299999999999998</v>
      </c>
      <c r="K2987" s="1" t="s">
        <v>29</v>
      </c>
      <c r="L2987" s="1" t="s">
        <v>21</v>
      </c>
      <c r="M2987" s="1" t="s">
        <v>29</v>
      </c>
      <c r="N2987" s="1" t="s">
        <v>297</v>
      </c>
      <c r="O2987" s="1" t="str">
        <f t="shared" ca="1" si="23"/>
        <v>Please solve the LeetCode problem '1149. Article Views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88" spans="1:15" x14ac:dyDescent="0.25">
      <c r="A2988" s="1">
        <v>1468</v>
      </c>
      <c r="B2988" s="2" t="str">
        <f>HYPERLINK("https://leetcode.com/problems/calculate-salaries/", "Calculate Salaries")</f>
        <v>Calculate Salaries</v>
      </c>
      <c r="C2988" s="1">
        <v>134</v>
      </c>
      <c r="D2988" s="1">
        <v>25</v>
      </c>
      <c r="E2988" s="3">
        <f t="shared" si="22"/>
        <v>0.84276729559748431</v>
      </c>
      <c r="F2988" s="1" t="s">
        <v>297</v>
      </c>
      <c r="G2988" s="1" t="s">
        <v>24</v>
      </c>
      <c r="H2988" s="1">
        <v>28735</v>
      </c>
      <c r="I2988" s="1">
        <v>37131</v>
      </c>
      <c r="J2988" s="7">
        <v>0.77400000000000002</v>
      </c>
      <c r="K2988" s="1" t="s">
        <v>29</v>
      </c>
      <c r="L2988" s="1" t="s">
        <v>29</v>
      </c>
      <c r="M2988" s="1" t="s">
        <v>29</v>
      </c>
      <c r="N2988" s="1" t="s">
        <v>297</v>
      </c>
      <c r="O2988" s="1" t="str">
        <f t="shared" ca="1" si="23"/>
        <v>Please solve the LeetCode problem '1468. Calculate Salaries'.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89" spans="1:15" x14ac:dyDescent="0.25">
      <c r="A2989" s="1">
        <v>2675</v>
      </c>
      <c r="B2989" s="2" t="str">
        <f>HYPERLINK("https://leetcode.com/problems/array-of-objects-to-matrix/", "Array of Objects to Matrix")</f>
        <v>Array of Objects to Matrix</v>
      </c>
      <c r="C2989" s="1">
        <v>134</v>
      </c>
      <c r="D2989" s="1">
        <v>73</v>
      </c>
      <c r="E2989" s="3">
        <f t="shared" si="22"/>
        <v>0.64734299516908211</v>
      </c>
      <c r="G2989" s="1" t="s">
        <v>28</v>
      </c>
      <c r="H2989" s="1">
        <v>6136</v>
      </c>
      <c r="I2989" s="1">
        <v>8935</v>
      </c>
      <c r="J2989" s="7">
        <v>0.68700000000000006</v>
      </c>
      <c r="K2989" s="1" t="s">
        <v>29</v>
      </c>
      <c r="L2989" s="1" t="s">
        <v>21</v>
      </c>
      <c r="M2989" s="1" t="s">
        <v>29</v>
      </c>
      <c r="N2989" s="1" t="s">
        <v>555</v>
      </c>
      <c r="O2989" s="1" t="str">
        <f t="shared" ca="1" si="23"/>
        <v>Please solve the LeetCode problem '2675. Array of Objects to Matrix'.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90" spans="1:15" x14ac:dyDescent="0.25">
      <c r="A2990" s="1">
        <v>3418</v>
      </c>
      <c r="B2990" s="2" t="str">
        <f>HYPERLINK("https://leetcode.com/problems/maximum-amount-of-money-robot-can-earn/", "Maximum Amount of Money Robot Can Earn")</f>
        <v>Maximum Amount of Money Robot Can Earn</v>
      </c>
      <c r="C2990" s="1">
        <v>134</v>
      </c>
      <c r="D2990" s="1">
        <v>12</v>
      </c>
      <c r="E2990" s="3">
        <f t="shared" si="22"/>
        <v>0.9178082191780822</v>
      </c>
      <c r="F2990" s="1" t="s">
        <v>94</v>
      </c>
      <c r="G2990" s="1" t="s">
        <v>24</v>
      </c>
      <c r="H2990" s="1">
        <v>23072</v>
      </c>
      <c r="I2990" s="1">
        <v>78573</v>
      </c>
      <c r="J2990" s="7">
        <v>0.29399999999999998</v>
      </c>
      <c r="K2990" s="1" t="s">
        <v>21</v>
      </c>
      <c r="L2990" s="1" t="s">
        <v>29</v>
      </c>
      <c r="M2990" s="1" t="s">
        <v>29</v>
      </c>
      <c r="N2990" s="1" t="s">
        <v>22</v>
      </c>
      <c r="O2990" s="1" t="str">
        <f t="shared" ca="1" si="23"/>
        <v>Please solve the LeetCode problem '3418. Maximum Amount of Money Robot Can Earn'.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91" spans="1:15" x14ac:dyDescent="0.25">
      <c r="A2991" s="1">
        <v>625</v>
      </c>
      <c r="B2991" s="2" t="str">
        <f>HYPERLINK("https://leetcode.com/problems/minimum-factorization/", "Minimum Factorization")</f>
        <v>Minimum Factorization</v>
      </c>
      <c r="C2991" s="1">
        <v>133</v>
      </c>
      <c r="D2991" s="1">
        <v>112</v>
      </c>
      <c r="E2991" s="3">
        <f t="shared" si="22"/>
        <v>0.54285714285714282</v>
      </c>
      <c r="F2991" s="1" t="s">
        <v>296</v>
      </c>
      <c r="G2991" s="1" t="s">
        <v>24</v>
      </c>
      <c r="H2991" s="1">
        <v>12134</v>
      </c>
      <c r="I2991" s="1">
        <v>35791</v>
      </c>
      <c r="J2991" s="7">
        <v>0.33900000000000002</v>
      </c>
      <c r="K2991" s="1" t="s">
        <v>29</v>
      </c>
      <c r="L2991" s="1" t="s">
        <v>21</v>
      </c>
      <c r="M2991" s="1" t="s">
        <v>21</v>
      </c>
      <c r="N2991" s="1" t="s">
        <v>22</v>
      </c>
      <c r="O2991" s="1" t="str">
        <f t="shared" ca="1" si="23"/>
        <v>Please solve the LeetCode problem '625. Minimum Factorization'.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92" spans="1:15" x14ac:dyDescent="0.25">
      <c r="A2992" s="1">
        <v>1121</v>
      </c>
      <c r="B2992" s="2" t="str">
        <f>HYPERLINK("https://leetcode.com/problems/divide-array-into-increasing-sequences/", "Divide Array Into Increasing Sequences")</f>
        <v>Divide Array Into Increasing Sequences</v>
      </c>
      <c r="C2992" s="1">
        <v>133</v>
      </c>
      <c r="D2992" s="1">
        <v>32</v>
      </c>
      <c r="E2992" s="3">
        <f t="shared" si="22"/>
        <v>0.80606060606060603</v>
      </c>
      <c r="F2992" s="1" t="s">
        <v>1151</v>
      </c>
      <c r="G2992" s="1" t="s">
        <v>28</v>
      </c>
      <c r="H2992" s="1">
        <v>7245</v>
      </c>
      <c r="I2992" s="1">
        <v>11092</v>
      </c>
      <c r="J2992" s="7">
        <v>0.65300000000000002</v>
      </c>
      <c r="K2992" s="1" t="s">
        <v>29</v>
      </c>
      <c r="L2992" s="1" t="s">
        <v>21</v>
      </c>
      <c r="M2992" s="1" t="s">
        <v>29</v>
      </c>
      <c r="N2992" s="1" t="s">
        <v>22</v>
      </c>
      <c r="O2992" s="1" t="str">
        <f t="shared" ca="1" si="23"/>
        <v>Please solve the LeetCode problem '1121. Divide Array Into Increasing Sequences'.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93" spans="1:15" x14ac:dyDescent="0.25">
      <c r="A2993" s="1">
        <v>2630</v>
      </c>
      <c r="B2993" s="2" t="str">
        <f>HYPERLINK("https://leetcode.com/problems/memoize-ii/", "Memoize II")</f>
        <v>Memoize II</v>
      </c>
      <c r="C2993" s="1">
        <v>133</v>
      </c>
      <c r="D2993" s="1">
        <v>46</v>
      </c>
      <c r="E2993" s="3">
        <f t="shared" si="22"/>
        <v>0.74301675977653636</v>
      </c>
      <c r="G2993" s="1" t="s">
        <v>28</v>
      </c>
      <c r="H2993" s="1">
        <v>10953</v>
      </c>
      <c r="I2993" s="1">
        <v>28854</v>
      </c>
      <c r="J2993" s="7">
        <v>0.38</v>
      </c>
      <c r="K2993" s="1" t="s">
        <v>21</v>
      </c>
      <c r="L2993" s="1" t="s">
        <v>21</v>
      </c>
      <c r="M2993" s="1" t="s">
        <v>29</v>
      </c>
      <c r="N2993" s="1" t="s">
        <v>555</v>
      </c>
      <c r="O2993" s="1" t="str">
        <f t="shared" ca="1" si="23"/>
        <v>Please solve the LeetCode problem '2630. Memoize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94" spans="1:15" x14ac:dyDescent="0.25">
      <c r="A2994" s="1">
        <v>2880</v>
      </c>
      <c r="B2994" s="2" t="str">
        <f>HYPERLINK("https://leetcode.com/problems/select-data/", "Select Data")</f>
        <v>Select Data</v>
      </c>
      <c r="C2994" s="1">
        <v>133</v>
      </c>
      <c r="D2994" s="1">
        <v>8</v>
      </c>
      <c r="E2994" s="3">
        <f t="shared" si="22"/>
        <v>0.94326241134751776</v>
      </c>
      <c r="G2994" s="1" t="s">
        <v>20</v>
      </c>
      <c r="H2994" s="1">
        <v>158532</v>
      </c>
      <c r="I2994" s="1">
        <v>201258</v>
      </c>
      <c r="J2994" s="7">
        <v>0.78800000000000003</v>
      </c>
      <c r="K2994" s="1" t="s">
        <v>21</v>
      </c>
      <c r="L2994" s="1" t="s">
        <v>21</v>
      </c>
      <c r="M2994" s="1" t="s">
        <v>29</v>
      </c>
      <c r="N2994" s="1" t="s">
        <v>1047</v>
      </c>
      <c r="O2994" s="1" t="str">
        <f t="shared" ca="1" si="23"/>
        <v>Please solve the LeetCode problem '2880. Select Data'.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95" spans="1:15" x14ac:dyDescent="0.25">
      <c r="A2995" s="1">
        <v>3079</v>
      </c>
      <c r="B2995" s="2" t="str">
        <f>HYPERLINK("https://leetcode.com/problems/find-the-sum-of-encrypted-integers/", "Find the Sum of Encrypted Integers")</f>
        <v>Find the Sum of Encrypted Integers</v>
      </c>
      <c r="C2995" s="1">
        <v>133</v>
      </c>
      <c r="D2995" s="1">
        <v>19</v>
      </c>
      <c r="E2995" s="3">
        <f t="shared" si="22"/>
        <v>0.875</v>
      </c>
      <c r="F2995" s="1" t="s">
        <v>115</v>
      </c>
      <c r="G2995" s="1" t="s">
        <v>20</v>
      </c>
      <c r="H2995" s="1">
        <v>60544</v>
      </c>
      <c r="I2995" s="1">
        <v>81211</v>
      </c>
      <c r="J2995" s="7">
        <v>0.746</v>
      </c>
      <c r="K2995" s="1" t="s">
        <v>21</v>
      </c>
      <c r="L2995" s="1" t="s">
        <v>29</v>
      </c>
      <c r="M2995" s="1" t="s">
        <v>29</v>
      </c>
      <c r="N2995" s="1" t="s">
        <v>22</v>
      </c>
      <c r="O2995" s="1" t="str">
        <f t="shared" ca="1" si="23"/>
        <v>Please solve the LeetCode problem '3079. Find the Sum of Encrypted Integers'.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96" spans="1:15" x14ac:dyDescent="0.25">
      <c r="A2996" s="1">
        <v>3095</v>
      </c>
      <c r="B2996" s="2" t="str">
        <f>HYPERLINK("https://leetcode.com/problems/shortest-subarray-with-or-at-least-k-i/", "Shortest Subarray With OR at Least K I")</f>
        <v>Shortest Subarray With OR at Least K I</v>
      </c>
      <c r="C2996" s="1">
        <v>133</v>
      </c>
      <c r="D2996" s="1">
        <v>21</v>
      </c>
      <c r="E2996" s="3">
        <f t="shared" si="22"/>
        <v>0.86363636363636365</v>
      </c>
      <c r="F2996" s="1" t="s">
        <v>491</v>
      </c>
      <c r="G2996" s="1" t="s">
        <v>20</v>
      </c>
      <c r="H2996" s="1">
        <v>37875</v>
      </c>
      <c r="I2996" s="1">
        <v>86210</v>
      </c>
      <c r="J2996" s="7">
        <v>0.439</v>
      </c>
      <c r="K2996" s="1" t="s">
        <v>21</v>
      </c>
      <c r="L2996" s="1" t="s">
        <v>29</v>
      </c>
      <c r="M2996" s="1" t="s">
        <v>29</v>
      </c>
      <c r="N2996" s="1" t="s">
        <v>22</v>
      </c>
      <c r="O2996" s="1" t="str">
        <f t="shared" ca="1" si="23"/>
        <v>Please solve the LeetCode problem '3095. Shortest Subarray With OR at Least K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97" spans="1:15" x14ac:dyDescent="0.25">
      <c r="A2997" s="1">
        <v>3129</v>
      </c>
      <c r="B2997" s="2" t="str">
        <f>HYPERLINK("https://leetcode.com/problems/find-all-possible-stable-binary-arrays-i/", "Find All Possible Stable Binary Arrays I")</f>
        <v>Find All Possible Stable Binary Arrays I</v>
      </c>
      <c r="C2997" s="1">
        <v>133</v>
      </c>
      <c r="D2997" s="1">
        <v>44</v>
      </c>
      <c r="E2997" s="3">
        <f t="shared" si="22"/>
        <v>0.75141242937853103</v>
      </c>
      <c r="F2997" s="1" t="s">
        <v>599</v>
      </c>
      <c r="G2997" s="1" t="s">
        <v>24</v>
      </c>
      <c r="H2997" s="1">
        <v>9846</v>
      </c>
      <c r="I2997" s="1">
        <v>36555</v>
      </c>
      <c r="J2997" s="7">
        <v>0.26900000000000002</v>
      </c>
      <c r="K2997" s="1" t="s">
        <v>21</v>
      </c>
      <c r="L2997" s="1" t="s">
        <v>29</v>
      </c>
      <c r="M2997" s="1" t="s">
        <v>29</v>
      </c>
      <c r="N2997" s="1" t="s">
        <v>22</v>
      </c>
      <c r="O2997" s="1" t="str">
        <f t="shared" ca="1" si="23"/>
        <v>Please solve the LeetCode problem '3129. Find All Possible Stable Binary Arrays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98" spans="1:15" x14ac:dyDescent="0.25">
      <c r="A2998" s="1">
        <v>3181</v>
      </c>
      <c r="B2998" s="2" t="str">
        <f>HYPERLINK("https://leetcode.com/problems/maximum-total-reward-using-operations-ii/", "Maximum Total Reward Using Operations II")</f>
        <v>Maximum Total Reward Using Operations II</v>
      </c>
      <c r="C2998" s="1">
        <v>133</v>
      </c>
      <c r="D2998" s="1">
        <v>32</v>
      </c>
      <c r="E2998" s="3">
        <f t="shared" si="22"/>
        <v>0.80606060606060603</v>
      </c>
      <c r="F2998" s="1" t="s">
        <v>508</v>
      </c>
      <c r="G2998" s="1" t="s">
        <v>28</v>
      </c>
      <c r="H2998" s="1">
        <v>8497</v>
      </c>
      <c r="I2998" s="1">
        <v>39066</v>
      </c>
      <c r="J2998" s="7">
        <v>0.218</v>
      </c>
      <c r="K2998" s="1" t="s">
        <v>21</v>
      </c>
      <c r="L2998" s="1" t="s">
        <v>29</v>
      </c>
      <c r="M2998" s="1" t="s">
        <v>29</v>
      </c>
      <c r="N2998" s="1" t="s">
        <v>22</v>
      </c>
      <c r="O2998" s="1" t="str">
        <f t="shared" ca="1" si="23"/>
        <v>Please solve the LeetCode problem '3181. Maximum Total Reward Using Operations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2999" spans="1:15" x14ac:dyDescent="0.25">
      <c r="A2999" s="1">
        <v>3620</v>
      </c>
      <c r="B2999" s="2" t="str">
        <f>HYPERLINK("https://leetcode.com/problems/network-recovery-pathways/", "Network Recovery Pathways")</f>
        <v>Network Recovery Pathways</v>
      </c>
      <c r="C2999" s="1">
        <v>133</v>
      </c>
      <c r="D2999" s="1">
        <v>12</v>
      </c>
      <c r="E2999" s="3">
        <f t="shared" si="22"/>
        <v>0.91724137931034477</v>
      </c>
      <c r="F2999" s="1" t="s">
        <v>1149</v>
      </c>
      <c r="G2999" s="1" t="s">
        <v>28</v>
      </c>
      <c r="H2999" s="1">
        <v>14386</v>
      </c>
      <c r="I2999" s="1">
        <v>48090</v>
      </c>
      <c r="J2999" s="7">
        <v>0.29899999999999999</v>
      </c>
      <c r="K2999" s="1" t="s">
        <v>21</v>
      </c>
      <c r="L2999" s="1" t="s">
        <v>29</v>
      </c>
      <c r="M2999" s="1" t="s">
        <v>29</v>
      </c>
      <c r="N2999" s="1" t="s">
        <v>22</v>
      </c>
      <c r="O2999" s="1" t="str">
        <f t="shared" ca="1" si="23"/>
        <v>Please solve the LeetCode problem '3620. Network Recovery Pathways'.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00" spans="1:15" x14ac:dyDescent="0.25">
      <c r="A3000" s="1">
        <v>3326</v>
      </c>
      <c r="B3000" s="2" t="str">
        <f>HYPERLINK("https://leetcode.com/problems/minimum-division-operations-to-make-array-non-decreasing/", "Minimum Division Operations to Make Array Non Decreasing")</f>
        <v>Minimum Division Operations to Make Array Non Decreasing</v>
      </c>
      <c r="C3000" s="1">
        <v>132</v>
      </c>
      <c r="D3000" s="1">
        <v>28</v>
      </c>
      <c r="E3000" s="3">
        <f t="shared" si="22"/>
        <v>0.82499999999999996</v>
      </c>
      <c r="F3000" s="1" t="s">
        <v>1099</v>
      </c>
      <c r="G3000" s="1" t="s">
        <v>24</v>
      </c>
      <c r="H3000" s="1">
        <v>23578</v>
      </c>
      <c r="I3000" s="1">
        <v>81346</v>
      </c>
      <c r="J3000" s="7">
        <v>0.28999999999999998</v>
      </c>
      <c r="K3000" s="1" t="s">
        <v>21</v>
      </c>
      <c r="L3000" s="1" t="s">
        <v>29</v>
      </c>
      <c r="M3000" s="1" t="s">
        <v>29</v>
      </c>
      <c r="N3000" s="1" t="s">
        <v>22</v>
      </c>
      <c r="O3000" s="1" t="str">
        <f t="shared" ca="1" si="23"/>
        <v>Please solve the LeetCode problem '3326. Minimum Division Operations to Make Array Non Decreasing'.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01" spans="1:15" x14ac:dyDescent="0.25">
      <c r="A3001" s="1">
        <v>3447</v>
      </c>
      <c r="B3001" s="2" t="str">
        <f>HYPERLINK("https://leetcode.com/problems/assign-elements-to-groups-with-constraints/", "Assign Elements to Groups with Constraints")</f>
        <v>Assign Elements to Groups with Constraints</v>
      </c>
      <c r="C3001" s="1">
        <v>132</v>
      </c>
      <c r="D3001" s="1">
        <v>11</v>
      </c>
      <c r="E3001" s="3">
        <f t="shared" si="22"/>
        <v>0.92307692307692313</v>
      </c>
      <c r="F3001" s="1" t="s">
        <v>19</v>
      </c>
      <c r="G3001" s="1" t="s">
        <v>24</v>
      </c>
      <c r="H3001" s="1">
        <v>20145</v>
      </c>
      <c r="I3001" s="1">
        <v>75622</v>
      </c>
      <c r="J3001" s="7">
        <v>0.26600000000000001</v>
      </c>
      <c r="K3001" s="1" t="s">
        <v>21</v>
      </c>
      <c r="L3001" s="1" t="s">
        <v>29</v>
      </c>
      <c r="M3001" s="1" t="s">
        <v>29</v>
      </c>
      <c r="N3001" s="1" t="s">
        <v>22</v>
      </c>
      <c r="O3001" s="1" t="str">
        <f t="shared" ca="1" si="23"/>
        <v>Please solve the LeetCode problem '3447. Assign Elements to Groups with Constraints'.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02" spans="1:15" x14ac:dyDescent="0.25">
      <c r="A3002" s="1">
        <v>3128</v>
      </c>
      <c r="B3002" s="2" t="str">
        <f>HYPERLINK("https://leetcode.com/problems/right-triangles/", "Right Triangles")</f>
        <v>Right Triangles</v>
      </c>
      <c r="C3002" s="1">
        <v>131</v>
      </c>
      <c r="D3002" s="1">
        <v>24</v>
      </c>
      <c r="E3002" s="3">
        <f t="shared" si="22"/>
        <v>0.84516129032258069</v>
      </c>
      <c r="F3002" s="1" t="s">
        <v>1152</v>
      </c>
      <c r="G3002" s="1" t="s">
        <v>24</v>
      </c>
      <c r="H3002" s="1">
        <v>23100</v>
      </c>
      <c r="I3002" s="1">
        <v>47938</v>
      </c>
      <c r="J3002" s="7">
        <v>0.48199999999999998</v>
      </c>
      <c r="K3002" s="1" t="s">
        <v>21</v>
      </c>
      <c r="L3002" s="1" t="s">
        <v>29</v>
      </c>
      <c r="M3002" s="1" t="s">
        <v>29</v>
      </c>
      <c r="N3002" s="1" t="s">
        <v>22</v>
      </c>
      <c r="O3002" s="1" t="str">
        <f t="shared" ca="1" si="23"/>
        <v>Please solve the LeetCode problem '3128. Right Triangles'.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03" spans="1:15" x14ac:dyDescent="0.25">
      <c r="A3003" s="1">
        <v>3377</v>
      </c>
      <c r="B3003" s="2" t="str">
        <f>HYPERLINK("https://leetcode.com/problems/digit-operations-to-make-two-integers-equal/", "Digit Operations to Make Two Integers Equal")</f>
        <v>Digit Operations to Make Two Integers Equal</v>
      </c>
      <c r="C3003" s="1">
        <v>131</v>
      </c>
      <c r="D3003" s="1">
        <v>41</v>
      </c>
      <c r="E3003" s="3">
        <f t="shared" si="22"/>
        <v>0.76162790697674421</v>
      </c>
      <c r="F3003" s="1" t="s">
        <v>1153</v>
      </c>
      <c r="G3003" s="1" t="s">
        <v>24</v>
      </c>
      <c r="H3003" s="1">
        <v>9314</v>
      </c>
      <c r="I3003" s="1">
        <v>31627</v>
      </c>
      <c r="J3003" s="7">
        <v>0.29399999999999998</v>
      </c>
      <c r="K3003" s="1" t="s">
        <v>21</v>
      </c>
      <c r="L3003" s="1" t="s">
        <v>29</v>
      </c>
      <c r="M3003" s="1" t="s">
        <v>29</v>
      </c>
      <c r="N3003" s="1" t="s">
        <v>22</v>
      </c>
      <c r="O3003" s="1" t="str">
        <f t="shared" ca="1" si="23"/>
        <v>Please solve the LeetCode problem '3377. Digit Operations to Make Two Integers Equal'.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04" spans="1:15" x14ac:dyDescent="0.25">
      <c r="A3004" s="1">
        <v>2882</v>
      </c>
      <c r="B3004" s="2" t="str">
        <f>HYPERLINK("https://leetcode.com/problems/drop-duplicate-rows/", "Drop Duplicate Rows")</f>
        <v>Drop Duplicate Rows</v>
      </c>
      <c r="C3004" s="1">
        <v>130</v>
      </c>
      <c r="D3004" s="1">
        <v>6</v>
      </c>
      <c r="E3004" s="3">
        <f t="shared" si="22"/>
        <v>0.95588235294117652</v>
      </c>
      <c r="G3004" s="1" t="s">
        <v>20</v>
      </c>
      <c r="H3004" s="1">
        <v>134085</v>
      </c>
      <c r="I3004" s="1">
        <v>157279</v>
      </c>
      <c r="J3004" s="7">
        <v>0.85299999999999998</v>
      </c>
      <c r="K3004" s="1" t="s">
        <v>21</v>
      </c>
      <c r="L3004" s="1" t="s">
        <v>21</v>
      </c>
      <c r="M3004" s="1" t="s">
        <v>29</v>
      </c>
      <c r="N3004" s="1" t="s">
        <v>1047</v>
      </c>
      <c r="O3004" s="1" t="str">
        <f t="shared" ca="1" si="23"/>
        <v>Please solve the LeetCode problem '2882. Drop Duplicate Rows'.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05" spans="1:15" x14ac:dyDescent="0.25">
      <c r="A3005" s="1">
        <v>3552</v>
      </c>
      <c r="B3005" s="2" t="str">
        <f>HYPERLINK("https://leetcode.com/problems/grid-teleportation-traversal/", "Grid Teleportation Traversal")</f>
        <v>Grid Teleportation Traversal</v>
      </c>
      <c r="C3005" s="1">
        <v>130</v>
      </c>
      <c r="D3005" s="1">
        <v>11</v>
      </c>
      <c r="E3005" s="3">
        <f t="shared" si="22"/>
        <v>0.92198581560283688</v>
      </c>
      <c r="F3005" s="1" t="s">
        <v>1150</v>
      </c>
      <c r="G3005" s="1" t="s">
        <v>24</v>
      </c>
      <c r="H3005" s="1">
        <v>12836</v>
      </c>
      <c r="I3005" s="1">
        <v>55920</v>
      </c>
      <c r="J3005" s="7">
        <v>0.23</v>
      </c>
      <c r="K3005" s="1" t="s">
        <v>21</v>
      </c>
      <c r="L3005" s="1" t="s">
        <v>29</v>
      </c>
      <c r="M3005" s="1" t="s">
        <v>29</v>
      </c>
      <c r="N3005" s="1" t="s">
        <v>22</v>
      </c>
      <c r="O3005" s="1" t="str">
        <f t="shared" ca="1" si="23"/>
        <v>Please solve the LeetCode problem '3552. Grid Teleportation Traversal'.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06" spans="1:15" x14ac:dyDescent="0.25">
      <c r="A3006" s="1">
        <v>2061</v>
      </c>
      <c r="B3006" s="2" t="str">
        <f>HYPERLINK("https://leetcode.com/problems/number-of-spaces-cleaning-robot-cleaned/", "Number of Spaces Cleaning Robot Cleaned")</f>
        <v>Number of Spaces Cleaning Robot Cleaned</v>
      </c>
      <c r="C3006" s="1">
        <v>129</v>
      </c>
      <c r="D3006" s="1">
        <v>29</v>
      </c>
      <c r="E3006" s="3">
        <f t="shared" si="22"/>
        <v>0.81645569620253167</v>
      </c>
      <c r="F3006" s="1" t="s">
        <v>77</v>
      </c>
      <c r="G3006" s="1" t="s">
        <v>24</v>
      </c>
      <c r="H3006" s="1">
        <v>10744</v>
      </c>
      <c r="I3006" s="1">
        <v>17211</v>
      </c>
      <c r="J3006" s="7">
        <v>0.624</v>
      </c>
      <c r="K3006" s="1" t="s">
        <v>29</v>
      </c>
      <c r="L3006" s="1" t="s">
        <v>21</v>
      </c>
      <c r="M3006" s="1" t="s">
        <v>29</v>
      </c>
      <c r="N3006" s="1" t="s">
        <v>22</v>
      </c>
      <c r="O3006" s="1" t="str">
        <f t="shared" ca="1" si="23"/>
        <v>Please solve the LeetCode problem '2061. Number of Spaces Cleaning Robot Cleaned'.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07" spans="1:15" x14ac:dyDescent="0.25">
      <c r="A3007" s="1">
        <v>2911</v>
      </c>
      <c r="B3007" s="2" t="str">
        <f>HYPERLINK("https://leetcode.com/problems/minimum-changes-to-make-k-semi-palindromes/", "Minimum Changes to Make K Semi-palindromes")</f>
        <v>Minimum Changes to Make K Semi-palindromes</v>
      </c>
      <c r="C3007" s="1">
        <v>129</v>
      </c>
      <c r="D3007" s="1">
        <v>106</v>
      </c>
      <c r="E3007" s="3">
        <f t="shared" si="22"/>
        <v>0.54893617021276597</v>
      </c>
      <c r="F3007" s="1" t="s">
        <v>33</v>
      </c>
      <c r="G3007" s="1" t="s">
        <v>28</v>
      </c>
      <c r="H3007" s="1">
        <v>5032</v>
      </c>
      <c r="I3007" s="1">
        <v>14021</v>
      </c>
      <c r="J3007" s="7">
        <v>0.35899999999999999</v>
      </c>
      <c r="K3007" s="1" t="s">
        <v>21</v>
      </c>
      <c r="L3007" s="1" t="s">
        <v>29</v>
      </c>
      <c r="M3007" s="1" t="s">
        <v>29</v>
      </c>
      <c r="N3007" s="1" t="s">
        <v>22</v>
      </c>
      <c r="O3007" s="1" t="str">
        <f t="shared" ca="1" si="23"/>
        <v>Please solve the LeetCode problem '2911. Minimum Changes to Make K Semi-palindromes'.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08" spans="1:15" x14ac:dyDescent="0.25">
      <c r="A3008" s="1">
        <v>3080</v>
      </c>
      <c r="B3008" s="2" t="str">
        <f>HYPERLINK("https://leetcode.com/problems/mark-elements-on-array-by-performing-queries/", "Mark Elements on Array by Performing Queries")</f>
        <v>Mark Elements on Array by Performing Queries</v>
      </c>
      <c r="C3008" s="1">
        <v>129</v>
      </c>
      <c r="D3008" s="1">
        <v>27</v>
      </c>
      <c r="E3008" s="3">
        <f t="shared" si="22"/>
        <v>0.82692307692307687</v>
      </c>
      <c r="F3008" s="1" t="s">
        <v>432</v>
      </c>
      <c r="G3008" s="1" t="s">
        <v>24</v>
      </c>
      <c r="H3008" s="1">
        <v>21987</v>
      </c>
      <c r="I3008" s="1">
        <v>45011</v>
      </c>
      <c r="J3008" s="7">
        <v>0.48799999999999999</v>
      </c>
      <c r="K3008" s="1" t="s">
        <v>21</v>
      </c>
      <c r="L3008" s="1" t="s">
        <v>29</v>
      </c>
      <c r="M3008" s="1" t="s">
        <v>29</v>
      </c>
      <c r="N3008" s="1" t="s">
        <v>22</v>
      </c>
      <c r="O3008" s="1" t="str">
        <f t="shared" ca="1" si="23"/>
        <v>Please solve the LeetCode problem '3080. Mark Elements on Array by Performing Queries'.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09" spans="1:15" x14ac:dyDescent="0.25">
      <c r="A3009" s="1">
        <v>3301</v>
      </c>
      <c r="B3009" s="2" t="str">
        <f>HYPERLINK("https://leetcode.com/problems/maximize-the-total-height-of-unique-towers/", "Maximize the Total Height of Unique Towers")</f>
        <v>Maximize the Total Height of Unique Towers</v>
      </c>
      <c r="C3009" s="1">
        <v>128</v>
      </c>
      <c r="D3009" s="1">
        <v>8</v>
      </c>
      <c r="E3009" s="3">
        <f t="shared" si="22"/>
        <v>0.94117647058823528</v>
      </c>
      <c r="F3009" s="1" t="s">
        <v>169</v>
      </c>
      <c r="G3009" s="1" t="s">
        <v>24</v>
      </c>
      <c r="H3009" s="1">
        <v>34124</v>
      </c>
      <c r="I3009" s="1">
        <v>91834</v>
      </c>
      <c r="J3009" s="7">
        <v>0.372</v>
      </c>
      <c r="K3009" s="1" t="s">
        <v>21</v>
      </c>
      <c r="L3009" s="1" t="s">
        <v>29</v>
      </c>
      <c r="M3009" s="1" t="s">
        <v>29</v>
      </c>
      <c r="N3009" s="1" t="s">
        <v>22</v>
      </c>
      <c r="O3009" s="1" t="str">
        <f t="shared" ca="1" si="23"/>
        <v>Please solve the LeetCode problem '3301. Maximize the Total Height of Unique Towers'.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10" spans="1:15" x14ac:dyDescent="0.25">
      <c r="A3010" s="1">
        <v>3340</v>
      </c>
      <c r="B3010" s="2" t="str">
        <f>HYPERLINK("https://leetcode.com/problems/check-balanced-string/", "Check Balanced String")</f>
        <v>Check Balanced String</v>
      </c>
      <c r="C3010" s="1">
        <v>128</v>
      </c>
      <c r="D3010" s="1">
        <v>1</v>
      </c>
      <c r="E3010" s="3">
        <f t="shared" si="22"/>
        <v>0.99224806201550386</v>
      </c>
      <c r="F3010" s="1" t="s">
        <v>146</v>
      </c>
      <c r="G3010" s="1" t="s">
        <v>20</v>
      </c>
      <c r="H3010" s="1">
        <v>71353</v>
      </c>
      <c r="I3010" s="1">
        <v>86874</v>
      </c>
      <c r="J3010" s="7">
        <v>0.82099999999999995</v>
      </c>
      <c r="K3010" s="1" t="s">
        <v>21</v>
      </c>
      <c r="L3010" s="1" t="s">
        <v>29</v>
      </c>
      <c r="M3010" s="1" t="s">
        <v>29</v>
      </c>
      <c r="N3010" s="1" t="s">
        <v>22</v>
      </c>
      <c r="O3010" s="1" t="str">
        <f t="shared" ca="1" si="23"/>
        <v>Please solve the LeetCode problem '3340. Check Balanced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11" spans="1:15" x14ac:dyDescent="0.25">
      <c r="A3011" s="1">
        <v>1842</v>
      </c>
      <c r="B3011" s="2" t="str">
        <f>HYPERLINK("https://leetcode.com/problems/next-palindrome-using-same-digits/", "Next Palindrome Using Same Digits")</f>
        <v>Next Palindrome Using Same Digits</v>
      </c>
      <c r="C3011" s="1">
        <v>126</v>
      </c>
      <c r="D3011" s="1">
        <v>19</v>
      </c>
      <c r="E3011" s="3">
        <f t="shared" si="22"/>
        <v>0.86896551724137927</v>
      </c>
      <c r="F3011" s="1" t="s">
        <v>117</v>
      </c>
      <c r="G3011" s="1" t="s">
        <v>28</v>
      </c>
      <c r="H3011" s="1">
        <v>6841</v>
      </c>
      <c r="I3011" s="1">
        <v>12655</v>
      </c>
      <c r="J3011" s="7">
        <v>0.54100000000000004</v>
      </c>
      <c r="K3011" s="1" t="s">
        <v>29</v>
      </c>
      <c r="L3011" s="1" t="s">
        <v>29</v>
      </c>
      <c r="M3011" s="1" t="s">
        <v>29</v>
      </c>
      <c r="N3011" s="1" t="s">
        <v>22</v>
      </c>
      <c r="O3011" s="1" t="str">
        <f t="shared" ca="1" si="23"/>
        <v>Please solve the LeetCode problem '1842. Next Palindrome Using Same Digits'.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12" spans="1:15" x14ac:dyDescent="0.25">
      <c r="A3012" s="1">
        <v>3207</v>
      </c>
      <c r="B3012" s="2" t="str">
        <f>HYPERLINK("https://leetcode.com/problems/maximum-points-after-enemy-battles/", "Maximum Points After Enemy Battles")</f>
        <v>Maximum Points After Enemy Battles</v>
      </c>
      <c r="C3012" s="1">
        <v>126</v>
      </c>
      <c r="D3012" s="1">
        <v>43</v>
      </c>
      <c r="E3012" s="3">
        <f t="shared" si="22"/>
        <v>0.74556213017751483</v>
      </c>
      <c r="F3012" s="1" t="s">
        <v>96</v>
      </c>
      <c r="G3012" s="1" t="s">
        <v>24</v>
      </c>
      <c r="H3012" s="1">
        <v>29979</v>
      </c>
      <c r="I3012" s="1">
        <v>90705</v>
      </c>
      <c r="J3012" s="7">
        <v>0.33100000000000002</v>
      </c>
      <c r="K3012" s="1" t="s">
        <v>21</v>
      </c>
      <c r="L3012" s="1" t="s">
        <v>29</v>
      </c>
      <c r="M3012" s="1" t="s">
        <v>29</v>
      </c>
      <c r="N3012" s="1" t="s">
        <v>22</v>
      </c>
      <c r="O3012" s="1" t="str">
        <f t="shared" ca="1" si="23"/>
        <v>Please solve the LeetCode problem '3207. Maximum Points After Enemy Battles'.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13" spans="1:15" x14ac:dyDescent="0.25">
      <c r="A3013" s="1">
        <v>3219</v>
      </c>
      <c r="B3013" s="2" t="str">
        <f>HYPERLINK("https://leetcode.com/problems/minimum-cost-for-cutting-cake-ii/", "Minimum Cost for Cutting Cake II")</f>
        <v>Minimum Cost for Cutting Cake II</v>
      </c>
      <c r="C3013" s="1">
        <v>125</v>
      </c>
      <c r="D3013" s="1">
        <v>18</v>
      </c>
      <c r="E3013" s="3">
        <f t="shared" si="22"/>
        <v>0.87412587412587417</v>
      </c>
      <c r="F3013" s="1" t="s">
        <v>169</v>
      </c>
      <c r="G3013" s="1" t="s">
        <v>28</v>
      </c>
      <c r="H3013" s="1">
        <v>23810</v>
      </c>
      <c r="I3013" s="1">
        <v>43193</v>
      </c>
      <c r="J3013" s="7">
        <v>0.55100000000000005</v>
      </c>
      <c r="K3013" s="1" t="s">
        <v>21</v>
      </c>
      <c r="L3013" s="1" t="s">
        <v>29</v>
      </c>
      <c r="M3013" s="1" t="s">
        <v>29</v>
      </c>
      <c r="N3013" s="1" t="s">
        <v>22</v>
      </c>
      <c r="O3013" s="1" t="str">
        <f t="shared" ca="1" si="23"/>
        <v>Please solve the LeetCode problem '3219. Minimum Cost for Cutting Cake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14" spans="1:15" x14ac:dyDescent="0.25">
      <c r="A3014" s="1">
        <v>3222</v>
      </c>
      <c r="B3014" s="2" t="str">
        <f>HYPERLINK("https://leetcode.com/problems/find-the-winning-player-in-coin-game/", "Find the Winning Player in Coin Game")</f>
        <v>Find the Winning Player in Coin Game</v>
      </c>
      <c r="C3014" s="1">
        <v>124</v>
      </c>
      <c r="D3014" s="1">
        <v>15</v>
      </c>
      <c r="E3014" s="3">
        <f t="shared" si="22"/>
        <v>0.8920863309352518</v>
      </c>
      <c r="F3014" s="1" t="s">
        <v>1154</v>
      </c>
      <c r="G3014" s="1" t="s">
        <v>20</v>
      </c>
      <c r="H3014" s="1">
        <v>54759</v>
      </c>
      <c r="I3014" s="1">
        <v>103707</v>
      </c>
      <c r="J3014" s="7">
        <v>0.52800000000000002</v>
      </c>
      <c r="K3014" s="1" t="s">
        <v>21</v>
      </c>
      <c r="L3014" s="1" t="s">
        <v>29</v>
      </c>
      <c r="M3014" s="1" t="s">
        <v>29</v>
      </c>
      <c r="N3014" s="1" t="s">
        <v>22</v>
      </c>
      <c r="O3014" s="1" t="str">
        <f t="shared" ca="1" si="23"/>
        <v>Please solve the LeetCode problem '3222. Find the Winning Player in Coin Game'.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15" spans="1:15" x14ac:dyDescent="0.25">
      <c r="A3015" s="1">
        <v>3568</v>
      </c>
      <c r="B3015" s="2" t="str">
        <f>HYPERLINK("https://leetcode.com/problems/minimum-moves-to-clean-the-classroom/", "Minimum Moves to Clean the Classroom")</f>
        <v>Minimum Moves to Clean the Classroom</v>
      </c>
      <c r="C3015" s="1">
        <v>124</v>
      </c>
      <c r="D3015" s="1">
        <v>15</v>
      </c>
      <c r="E3015" s="3">
        <f t="shared" si="22"/>
        <v>0.8920863309352518</v>
      </c>
      <c r="F3015" s="1" t="s">
        <v>714</v>
      </c>
      <c r="G3015" s="1" t="s">
        <v>24</v>
      </c>
      <c r="H3015" s="1">
        <v>8768</v>
      </c>
      <c r="I3015" s="1">
        <v>33297</v>
      </c>
      <c r="J3015" s="7">
        <v>0.26300000000000001</v>
      </c>
      <c r="K3015" s="1" t="s">
        <v>21</v>
      </c>
      <c r="L3015" s="1" t="s">
        <v>29</v>
      </c>
      <c r="M3015" s="1" t="s">
        <v>29</v>
      </c>
      <c r="N3015" s="1" t="s">
        <v>22</v>
      </c>
      <c r="O3015" s="1" t="str">
        <f t="shared" ca="1" si="23"/>
        <v>Please solve the LeetCode problem '3568. Minimum Moves to Clean the Classroom'.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16" spans="1:15" x14ac:dyDescent="0.25">
      <c r="A3016" s="1">
        <v>3703</v>
      </c>
      <c r="B3016" s="2" t="str">
        <f>HYPERLINK("https://leetcode.com/problems/remove-k-balanced-substrings/", "Remove K-Balanced Substrings")</f>
        <v>Remove K-Balanced Substrings</v>
      </c>
      <c r="C3016" s="1">
        <v>124</v>
      </c>
      <c r="D3016" s="1">
        <v>11</v>
      </c>
      <c r="E3016" s="3">
        <f t="shared" si="22"/>
        <v>0.91851851851851851</v>
      </c>
      <c r="F3016" s="1" t="s">
        <v>365</v>
      </c>
      <c r="G3016" s="1" t="s">
        <v>24</v>
      </c>
      <c r="H3016" s="1">
        <v>18808</v>
      </c>
      <c r="I3016" s="1">
        <v>58478</v>
      </c>
      <c r="J3016" s="7">
        <v>0.32200000000000001</v>
      </c>
      <c r="K3016" s="1" t="s">
        <v>21</v>
      </c>
      <c r="L3016" s="1" t="s">
        <v>29</v>
      </c>
      <c r="M3016" s="1" t="s">
        <v>29</v>
      </c>
      <c r="N3016" s="1" t="s">
        <v>22</v>
      </c>
      <c r="O3016" s="1" t="str">
        <f t="shared" ca="1" si="23"/>
        <v>Please solve the LeetCode problem '3703. Remove K-Balanced Substrings'.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17" spans="1:15" x14ac:dyDescent="0.25">
      <c r="A3017" s="1">
        <v>1159</v>
      </c>
      <c r="B3017" s="2" t="str">
        <f>HYPERLINK("https://leetcode.com/problems/market-analysis-ii/", "Market Analysis II")</f>
        <v>Market Analysis II</v>
      </c>
      <c r="C3017" s="1">
        <v>123</v>
      </c>
      <c r="D3017" s="1">
        <v>81</v>
      </c>
      <c r="E3017" s="3">
        <f t="shared" si="22"/>
        <v>0.6029411764705882</v>
      </c>
      <c r="F3017" s="1" t="s">
        <v>297</v>
      </c>
      <c r="G3017" s="1" t="s">
        <v>28</v>
      </c>
      <c r="H3017" s="1">
        <v>23144</v>
      </c>
      <c r="I3017" s="1">
        <v>40172</v>
      </c>
      <c r="J3017" s="7">
        <v>0.57599999999999996</v>
      </c>
      <c r="K3017" s="1" t="s">
        <v>29</v>
      </c>
      <c r="L3017" s="1" t="s">
        <v>21</v>
      </c>
      <c r="M3017" s="1" t="s">
        <v>29</v>
      </c>
      <c r="N3017" s="1" t="s">
        <v>297</v>
      </c>
      <c r="O3017" s="1" t="str">
        <f t="shared" ca="1" si="23"/>
        <v>Please solve the LeetCode problem '1159. Market Analysis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18" spans="1:15" x14ac:dyDescent="0.25">
      <c r="A3018" s="1">
        <v>2532</v>
      </c>
      <c r="B3018" s="2" t="str">
        <f>HYPERLINK("https://leetcode.com/problems/time-to-cross-a-bridge/", "Time to Cross a Bridge")</f>
        <v>Time to Cross a Bridge</v>
      </c>
      <c r="C3018" s="1">
        <v>123</v>
      </c>
      <c r="D3018" s="1">
        <v>225</v>
      </c>
      <c r="E3018" s="3">
        <f t="shared" si="22"/>
        <v>0.35344827586206895</v>
      </c>
      <c r="F3018" s="1" t="s">
        <v>751</v>
      </c>
      <c r="G3018" s="1" t="s">
        <v>28</v>
      </c>
      <c r="H3018" s="1">
        <v>5601</v>
      </c>
      <c r="I3018" s="1">
        <v>12698</v>
      </c>
      <c r="J3018" s="7">
        <v>0.441</v>
      </c>
      <c r="K3018" s="1" t="s">
        <v>21</v>
      </c>
      <c r="L3018" s="1" t="s">
        <v>29</v>
      </c>
      <c r="M3018" s="1" t="s">
        <v>29</v>
      </c>
      <c r="N3018" s="1" t="s">
        <v>22</v>
      </c>
      <c r="O3018" s="1" t="str">
        <f t="shared" ca="1" si="23"/>
        <v>Please solve the LeetCode problem '2532. Time to Cross a Bridge'.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19" spans="1:15" x14ac:dyDescent="0.25">
      <c r="A3019" s="1">
        <v>3628</v>
      </c>
      <c r="B3019" s="2" t="str">
        <f>HYPERLINK("https://leetcode.com/problems/maximum-number-of-subsequences-after-one-inserting/", "Maximum Number of Subsequences After One Inserting")</f>
        <v>Maximum Number of Subsequences After One Inserting</v>
      </c>
      <c r="C3019" s="1">
        <v>123</v>
      </c>
      <c r="D3019" s="1">
        <v>4</v>
      </c>
      <c r="E3019" s="3">
        <f t="shared" si="22"/>
        <v>0.96850393700787396</v>
      </c>
      <c r="F3019" s="1" t="s">
        <v>1155</v>
      </c>
      <c r="G3019" s="1" t="s">
        <v>24</v>
      </c>
      <c r="H3019" s="1">
        <v>26912</v>
      </c>
      <c r="I3019" s="1">
        <v>89927</v>
      </c>
      <c r="J3019" s="7">
        <v>0.29899999999999999</v>
      </c>
      <c r="K3019" s="1" t="s">
        <v>21</v>
      </c>
      <c r="L3019" s="1" t="s">
        <v>29</v>
      </c>
      <c r="M3019" s="1" t="s">
        <v>29</v>
      </c>
      <c r="N3019" s="1" t="s">
        <v>22</v>
      </c>
      <c r="O3019" s="1" t="str">
        <f t="shared" ca="1" si="23"/>
        <v>Please solve the LeetCode problem '3628. Maximum Number of Subsequences After One Inserting'.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20" spans="1:15" x14ac:dyDescent="0.25">
      <c r="A3020" s="1">
        <v>2624</v>
      </c>
      <c r="B3020" s="2" t="str">
        <f>HYPERLINK("https://leetcode.com/problems/snail-traversal/", "Snail Traversal")</f>
        <v>Snail Traversal</v>
      </c>
      <c r="C3020" s="1">
        <v>122</v>
      </c>
      <c r="D3020" s="1">
        <v>47</v>
      </c>
      <c r="E3020" s="3">
        <f t="shared" si="22"/>
        <v>0.72189349112426038</v>
      </c>
      <c r="G3020" s="1" t="s">
        <v>24</v>
      </c>
      <c r="H3020" s="1">
        <v>17997</v>
      </c>
      <c r="I3020" s="1">
        <v>26569</v>
      </c>
      <c r="J3020" s="7">
        <v>0.67700000000000005</v>
      </c>
      <c r="K3020" s="1" t="s">
        <v>21</v>
      </c>
      <c r="L3020" s="1" t="s">
        <v>21</v>
      </c>
      <c r="M3020" s="1" t="s">
        <v>29</v>
      </c>
      <c r="N3020" s="1" t="s">
        <v>555</v>
      </c>
      <c r="O3020" s="1" t="str">
        <f t="shared" ca="1" si="23"/>
        <v>Please solve the LeetCode problem '2624. Snail Traversal'.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21" spans="1:15" x14ac:dyDescent="0.25">
      <c r="A3021" s="1">
        <v>2961</v>
      </c>
      <c r="B3021" s="2" t="str">
        <f>HYPERLINK("https://leetcode.com/problems/double-modular-exponentiation/", "Double Modular Exponentiation")</f>
        <v>Double Modular Exponentiation</v>
      </c>
      <c r="C3021" s="1">
        <v>122</v>
      </c>
      <c r="D3021" s="1">
        <v>23</v>
      </c>
      <c r="E3021" s="3">
        <f t="shared" si="22"/>
        <v>0.8413793103448276</v>
      </c>
      <c r="F3021" s="1" t="s">
        <v>629</v>
      </c>
      <c r="G3021" s="1" t="s">
        <v>24</v>
      </c>
      <c r="H3021" s="1">
        <v>25061</v>
      </c>
      <c r="I3021" s="1">
        <v>52418</v>
      </c>
      <c r="J3021" s="7">
        <v>0.47799999999999998</v>
      </c>
      <c r="K3021" s="1" t="s">
        <v>21</v>
      </c>
      <c r="L3021" s="1" t="s">
        <v>29</v>
      </c>
      <c r="M3021" s="1" t="s">
        <v>29</v>
      </c>
      <c r="N3021" s="1" t="s">
        <v>22</v>
      </c>
      <c r="O3021" s="1" t="str">
        <f t="shared" ca="1" si="23"/>
        <v>Please solve the LeetCode problem '2961. Double Modular Exponentiation'.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22" spans="1:15" x14ac:dyDescent="0.25">
      <c r="A3022" s="1">
        <v>2977</v>
      </c>
      <c r="B3022" s="2" t="str">
        <f>HYPERLINK("https://leetcode.com/problems/minimum-cost-to-convert-string-ii/", "Minimum Cost to Convert String II")</f>
        <v>Minimum Cost to Convert String II</v>
      </c>
      <c r="C3022" s="1">
        <v>122</v>
      </c>
      <c r="D3022" s="1">
        <v>83</v>
      </c>
      <c r="E3022" s="3">
        <f t="shared" si="22"/>
        <v>0.59512195121951217</v>
      </c>
      <c r="F3022" s="1" t="s">
        <v>1000</v>
      </c>
      <c r="G3022" s="1" t="s">
        <v>28</v>
      </c>
      <c r="H3022" s="1">
        <v>6746</v>
      </c>
      <c r="I3022" s="1">
        <v>25402</v>
      </c>
      <c r="J3022" s="7">
        <v>0.26600000000000001</v>
      </c>
      <c r="K3022" s="1" t="s">
        <v>21</v>
      </c>
      <c r="L3022" s="1" t="s">
        <v>29</v>
      </c>
      <c r="M3022" s="1" t="s">
        <v>29</v>
      </c>
      <c r="N3022" s="1" t="s">
        <v>22</v>
      </c>
      <c r="O3022" s="1" t="str">
        <f t="shared" ca="1" si="23"/>
        <v>Please solve the LeetCode problem '2977. Minimum Cost to Convert String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23" spans="1:15" x14ac:dyDescent="0.25">
      <c r="A3023" s="1">
        <v>3115</v>
      </c>
      <c r="B3023" s="2" t="str">
        <f>HYPERLINK("https://leetcode.com/problems/maximum-prime-difference/", "Maximum Prime Difference")</f>
        <v>Maximum Prime Difference</v>
      </c>
      <c r="C3023" s="1">
        <v>122</v>
      </c>
      <c r="D3023" s="1">
        <v>16</v>
      </c>
      <c r="E3023" s="3">
        <f t="shared" si="22"/>
        <v>0.88405797101449279</v>
      </c>
      <c r="F3023" s="1" t="s">
        <v>640</v>
      </c>
      <c r="G3023" s="1" t="s">
        <v>24</v>
      </c>
      <c r="H3023" s="1">
        <v>48843</v>
      </c>
      <c r="I3023" s="1">
        <v>83682</v>
      </c>
      <c r="J3023" s="7">
        <v>0.58399999999999996</v>
      </c>
      <c r="K3023" s="1" t="s">
        <v>21</v>
      </c>
      <c r="L3023" s="1" t="s">
        <v>29</v>
      </c>
      <c r="M3023" s="1" t="s">
        <v>29</v>
      </c>
      <c r="N3023" s="1" t="s">
        <v>22</v>
      </c>
      <c r="O3023" s="1" t="str">
        <f t="shared" ca="1" si="23"/>
        <v>Please solve the LeetCode problem '3115. Maximum Prime Difference'.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24" spans="1:15" x14ac:dyDescent="0.25">
      <c r="A3024" s="1">
        <v>3137</v>
      </c>
      <c r="B3024" s="2" t="str">
        <f>HYPERLINK("https://leetcode.com/problems/minimum-number-of-operations-to-make-word-k-periodic/", "Minimum Number of Operations to Make Word K-Periodic")</f>
        <v>Minimum Number of Operations to Make Word K-Periodic</v>
      </c>
      <c r="C3024" s="1">
        <v>122</v>
      </c>
      <c r="D3024" s="1">
        <v>13</v>
      </c>
      <c r="E3024" s="3">
        <f t="shared" si="22"/>
        <v>0.90370370370370368</v>
      </c>
      <c r="F3024" s="1" t="s">
        <v>237</v>
      </c>
      <c r="G3024" s="1" t="s">
        <v>24</v>
      </c>
      <c r="H3024" s="1">
        <v>27799</v>
      </c>
      <c r="I3024" s="1">
        <v>45916</v>
      </c>
      <c r="J3024" s="7">
        <v>0.60499999999999998</v>
      </c>
      <c r="K3024" s="1" t="s">
        <v>21</v>
      </c>
      <c r="L3024" s="1" t="s">
        <v>29</v>
      </c>
      <c r="M3024" s="1" t="s">
        <v>29</v>
      </c>
      <c r="N3024" s="1" t="s">
        <v>22</v>
      </c>
      <c r="O3024" s="1" t="str">
        <f t="shared" ca="1" si="23"/>
        <v>Please solve the LeetCode problem '3137. Minimum Number of Operations to Make Word K-Periodic'.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25" spans="1:15" x14ac:dyDescent="0.25">
      <c r="A3025" s="1">
        <v>3425</v>
      </c>
      <c r="B3025" s="2" t="str">
        <f>HYPERLINK("https://leetcode.com/problems/longest-special-path/", "Longest Special Path")</f>
        <v>Longest Special Path</v>
      </c>
      <c r="C3025" s="1">
        <v>122</v>
      </c>
      <c r="D3025" s="1">
        <v>16</v>
      </c>
      <c r="E3025" s="3">
        <f t="shared" si="22"/>
        <v>0.88405797101449279</v>
      </c>
      <c r="F3025" s="1" t="s">
        <v>1159</v>
      </c>
      <c r="G3025" s="1" t="s">
        <v>28</v>
      </c>
      <c r="H3025" s="1">
        <v>5740</v>
      </c>
      <c r="I3025" s="1">
        <v>26028</v>
      </c>
      <c r="J3025" s="7">
        <v>0.221</v>
      </c>
      <c r="K3025" s="1" t="s">
        <v>21</v>
      </c>
      <c r="L3025" s="1" t="s">
        <v>29</v>
      </c>
      <c r="M3025" s="1" t="s">
        <v>29</v>
      </c>
      <c r="N3025" s="1" t="s">
        <v>22</v>
      </c>
      <c r="O3025" s="1" t="str">
        <f t="shared" ca="1" si="23"/>
        <v>Please solve the LeetCode problem '3425. Longest Special Path'.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26" spans="1:15" x14ac:dyDescent="0.25">
      <c r="A3026" s="1">
        <v>3483</v>
      </c>
      <c r="B3026" s="2" t="str">
        <f>HYPERLINK("https://leetcode.com/problems/unique-3-digit-even-numbers/", "Unique 3-Digit Even Numbers")</f>
        <v>Unique 3-Digit Even Numbers</v>
      </c>
      <c r="C3026" s="1">
        <v>122</v>
      </c>
      <c r="D3026" s="1">
        <v>34</v>
      </c>
      <c r="E3026" s="3">
        <f t="shared" si="22"/>
        <v>0.78205128205128205</v>
      </c>
      <c r="F3026" s="1" t="s">
        <v>1157</v>
      </c>
      <c r="G3026" s="1" t="s">
        <v>20</v>
      </c>
      <c r="H3026" s="1">
        <v>42328</v>
      </c>
      <c r="I3026" s="1">
        <v>61513</v>
      </c>
      <c r="J3026" s="7">
        <v>0.68799999999999994</v>
      </c>
      <c r="K3026" s="1" t="s">
        <v>21</v>
      </c>
      <c r="L3026" s="1" t="s">
        <v>29</v>
      </c>
      <c r="M3026" s="1" t="s">
        <v>29</v>
      </c>
      <c r="N3026" s="1" t="s">
        <v>22</v>
      </c>
      <c r="O3026" s="1" t="str">
        <f t="shared" ca="1" si="23"/>
        <v>Please solve the LeetCode problem '3483. Unique 3-Digit Even Numbers'.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27" spans="1:15" x14ac:dyDescent="0.25">
      <c r="A3027" s="1">
        <v>3629</v>
      </c>
      <c r="B3027" s="2" t="str">
        <f>HYPERLINK("https://leetcode.com/problems/minimum-jumps-to-reach-end-via-prime-teleportation/", "Minimum Jumps to Reach End via Prime Teleportation")</f>
        <v>Minimum Jumps to Reach End via Prime Teleportation</v>
      </c>
      <c r="C3027" s="1">
        <v>122</v>
      </c>
      <c r="D3027" s="1">
        <v>17</v>
      </c>
      <c r="E3027" s="3">
        <f t="shared" si="22"/>
        <v>0.87769784172661869</v>
      </c>
      <c r="F3027" s="1" t="s">
        <v>1156</v>
      </c>
      <c r="G3027" s="1" t="s">
        <v>24</v>
      </c>
      <c r="H3027" s="1">
        <v>22537</v>
      </c>
      <c r="I3027" s="1">
        <v>76059</v>
      </c>
      <c r="J3027" s="7">
        <v>0.29599999999999999</v>
      </c>
      <c r="K3027" s="1" t="s">
        <v>21</v>
      </c>
      <c r="L3027" s="1" t="s">
        <v>29</v>
      </c>
      <c r="M3027" s="1" t="s">
        <v>29</v>
      </c>
      <c r="N3027" s="1" t="s">
        <v>22</v>
      </c>
      <c r="O3027" s="1" t="str">
        <f t="shared" ca="1" si="23"/>
        <v>Please solve the LeetCode problem '3629. Minimum Jumps to Reach End via Prime Teleportation'.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28" spans="1:15" x14ac:dyDescent="0.25">
      <c r="A3028" s="1">
        <v>1085</v>
      </c>
      <c r="B3028" s="2" t="str">
        <f>HYPERLINK("https://leetcode.com/problems/sum-of-digits-in-the-minimum-number/", "Sum of Digits in the Minimum Number")</f>
        <v>Sum of Digits in the Minimum Number</v>
      </c>
      <c r="C3028" s="1">
        <v>121</v>
      </c>
      <c r="D3028" s="1">
        <v>151</v>
      </c>
      <c r="E3028" s="3">
        <f t="shared" si="22"/>
        <v>0.44485294117647056</v>
      </c>
      <c r="F3028" s="1" t="s">
        <v>115</v>
      </c>
      <c r="G3028" s="1" t="s">
        <v>20</v>
      </c>
      <c r="H3028" s="1">
        <v>25902</v>
      </c>
      <c r="I3028" s="1">
        <v>33784</v>
      </c>
      <c r="J3028" s="7">
        <v>0.76700000000000002</v>
      </c>
      <c r="K3028" s="1" t="s">
        <v>29</v>
      </c>
      <c r="L3028" s="1" t="s">
        <v>29</v>
      </c>
      <c r="M3028" s="1" t="s">
        <v>29</v>
      </c>
      <c r="N3028" s="1" t="s">
        <v>22</v>
      </c>
      <c r="O3028" s="1" t="str">
        <f t="shared" ca="1" si="23"/>
        <v>Please solve the LeetCode problem '1085. Sum of Digits in the Minimum Number'.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29" spans="1:15" x14ac:dyDescent="0.25">
      <c r="A3029" s="1">
        <v>1724</v>
      </c>
      <c r="B3029" s="2" t="str">
        <f>HYPERLINK("https://leetcode.com/problems/checking-existence-of-edge-length-limited-paths-ii/", "Checking Existence of Edge Length Limited Paths II")</f>
        <v>Checking Existence of Edge Length Limited Paths II</v>
      </c>
      <c r="C3029" s="1">
        <v>121</v>
      </c>
      <c r="D3029" s="1">
        <v>10</v>
      </c>
      <c r="E3029" s="3">
        <f t="shared" si="22"/>
        <v>0.92366412213740456</v>
      </c>
      <c r="F3029" s="1" t="s">
        <v>1161</v>
      </c>
      <c r="G3029" s="1" t="s">
        <v>28</v>
      </c>
      <c r="H3029" s="1">
        <v>4029</v>
      </c>
      <c r="I3029" s="1">
        <v>7773</v>
      </c>
      <c r="J3029" s="7">
        <v>0.51800000000000002</v>
      </c>
      <c r="K3029" s="1" t="s">
        <v>29</v>
      </c>
      <c r="L3029" s="1" t="s">
        <v>29</v>
      </c>
      <c r="M3029" s="1" t="s">
        <v>29</v>
      </c>
      <c r="N3029" s="1" t="s">
        <v>22</v>
      </c>
      <c r="O3029" s="1" t="str">
        <f t="shared" ca="1" si="23"/>
        <v>Please solve the LeetCode problem '1724. Checking Existence of Edge Length Limited Paths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30" spans="1:15" x14ac:dyDescent="0.25">
      <c r="A3030" s="1">
        <v>3034</v>
      </c>
      <c r="B3030" s="2" t="str">
        <f>HYPERLINK("https://leetcode.com/problems/number-of-subarrays-that-match-a-pattern-i/", "Number of Subarrays That Match a Pattern I")</f>
        <v>Number of Subarrays That Match a Pattern I</v>
      </c>
      <c r="C3030" s="1">
        <v>121</v>
      </c>
      <c r="D3030" s="1">
        <v>18</v>
      </c>
      <c r="E3030" s="3">
        <f t="shared" si="22"/>
        <v>0.87050359712230219</v>
      </c>
      <c r="F3030" s="1" t="s">
        <v>1124</v>
      </c>
      <c r="G3030" s="1" t="s">
        <v>24</v>
      </c>
      <c r="H3030" s="1">
        <v>34636</v>
      </c>
      <c r="I3030" s="1">
        <v>50802</v>
      </c>
      <c r="J3030" s="7">
        <v>0.68200000000000005</v>
      </c>
      <c r="K3030" s="1" t="s">
        <v>21</v>
      </c>
      <c r="L3030" s="1" t="s">
        <v>29</v>
      </c>
      <c r="M3030" s="1" t="s">
        <v>29</v>
      </c>
      <c r="N3030" s="1" t="s">
        <v>22</v>
      </c>
      <c r="O3030" s="1" t="str">
        <f t="shared" ca="1" si="23"/>
        <v>Please solve the LeetCode problem '3034. Number of Subarrays That Match a Pattern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31" spans="1:15" x14ac:dyDescent="0.25">
      <c r="A3031" s="1">
        <v>3235</v>
      </c>
      <c r="B3031" s="2" t="str">
        <f>HYPERLINK("https://leetcode.com/problems/check-if-the-rectangle-corner-is-reachable/", "Check if the Rectangle Corner Is Reachable")</f>
        <v>Check if the Rectangle Corner Is Reachable</v>
      </c>
      <c r="C3031" s="1">
        <v>121</v>
      </c>
      <c r="D3031" s="1">
        <v>39</v>
      </c>
      <c r="E3031" s="3">
        <f t="shared" si="22"/>
        <v>0.75624999999999998</v>
      </c>
      <c r="F3031" s="1" t="s">
        <v>1163</v>
      </c>
      <c r="G3031" s="1" t="s">
        <v>28</v>
      </c>
      <c r="H3031" s="1">
        <v>7797</v>
      </c>
      <c r="I3031" s="1">
        <v>30728</v>
      </c>
      <c r="J3031" s="7">
        <v>0.254</v>
      </c>
      <c r="K3031" s="1" t="s">
        <v>21</v>
      </c>
      <c r="L3031" s="1" t="s">
        <v>29</v>
      </c>
      <c r="M3031" s="1" t="s">
        <v>29</v>
      </c>
      <c r="N3031" s="1" t="s">
        <v>22</v>
      </c>
      <c r="O3031" s="1" t="str">
        <f t="shared" ca="1" si="23"/>
        <v>Please solve the LeetCode problem '3235. Check if the Rectangle Corner Is Reachable'.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32" spans="1:15" x14ac:dyDescent="0.25">
      <c r="A3032" s="1">
        <v>3297</v>
      </c>
      <c r="B3032" s="2" t="str">
        <f>HYPERLINK("https://leetcode.com/problems/count-substrings-that-can-be-rearranged-to-contain-a-string-i/", "Count Substrings That Can Be Rearranged to Contain a String I")</f>
        <v>Count Substrings That Can Be Rearranged to Contain a String I</v>
      </c>
      <c r="C3032" s="1">
        <v>121</v>
      </c>
      <c r="D3032" s="1">
        <v>26</v>
      </c>
      <c r="E3032" s="3">
        <f t="shared" si="22"/>
        <v>0.8231292517006803</v>
      </c>
      <c r="F3032" s="1" t="s">
        <v>23</v>
      </c>
      <c r="G3032" s="1" t="s">
        <v>24</v>
      </c>
      <c r="H3032" s="1">
        <v>19013</v>
      </c>
      <c r="I3032" s="1">
        <v>44756</v>
      </c>
      <c r="J3032" s="7">
        <v>0.42499999999999999</v>
      </c>
      <c r="K3032" s="1" t="s">
        <v>21</v>
      </c>
      <c r="L3032" s="1" t="s">
        <v>29</v>
      </c>
      <c r="M3032" s="1" t="s">
        <v>29</v>
      </c>
      <c r="N3032" s="1" t="s">
        <v>22</v>
      </c>
      <c r="O3032" s="1" t="str">
        <f t="shared" ca="1" si="23"/>
        <v>Please solve the LeetCode problem '3297. Count Substrings That Can Be Rearranged to Contain a String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33" spans="1:15" x14ac:dyDescent="0.25">
      <c r="A3033" s="1">
        <v>3412</v>
      </c>
      <c r="B3033" s="2" t="str">
        <f>HYPERLINK("https://leetcode.com/problems/find-mirror-score-of-a-string/", "Find Mirror Score of a String")</f>
        <v>Find Mirror Score of a String</v>
      </c>
      <c r="C3033" s="1">
        <v>121</v>
      </c>
      <c r="D3033" s="1">
        <v>8</v>
      </c>
      <c r="E3033" s="3">
        <f t="shared" si="22"/>
        <v>0.93798449612403101</v>
      </c>
      <c r="F3033" s="1" t="s">
        <v>1158</v>
      </c>
      <c r="G3033" s="1" t="s">
        <v>24</v>
      </c>
      <c r="H3033" s="1">
        <v>24199</v>
      </c>
      <c r="I3033" s="1">
        <v>68926</v>
      </c>
      <c r="J3033" s="7">
        <v>0.35099999999999998</v>
      </c>
      <c r="K3033" s="1" t="s">
        <v>21</v>
      </c>
      <c r="L3033" s="1" t="s">
        <v>29</v>
      </c>
      <c r="M3033" s="1" t="s">
        <v>29</v>
      </c>
      <c r="N3033" s="1" t="s">
        <v>22</v>
      </c>
      <c r="O3033" s="1" t="str">
        <f t="shared" ca="1" si="23"/>
        <v>Please solve the LeetCode problem '3412. Find Mirror Score of a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34" spans="1:15" x14ac:dyDescent="0.25">
      <c r="A3034" s="1">
        <v>3507</v>
      </c>
      <c r="B3034" s="2" t="str">
        <f>HYPERLINK("https://leetcode.com/problems/minimum-pair-removal-to-sort-array-i/", "Minimum Pair Removal to Sort Array I")</f>
        <v>Minimum Pair Removal to Sort Array I</v>
      </c>
      <c r="C3034" s="1">
        <v>121</v>
      </c>
      <c r="D3034" s="1">
        <v>32</v>
      </c>
      <c r="E3034" s="3">
        <f t="shared" si="22"/>
        <v>0.79084967320261434</v>
      </c>
      <c r="F3034" s="1" t="s">
        <v>932</v>
      </c>
      <c r="G3034" s="1" t="s">
        <v>20</v>
      </c>
      <c r="H3034" s="1">
        <v>41438</v>
      </c>
      <c r="I3034" s="1">
        <v>74672</v>
      </c>
      <c r="J3034" s="7">
        <v>0.55500000000000005</v>
      </c>
      <c r="K3034" s="1" t="s">
        <v>21</v>
      </c>
      <c r="L3034" s="1" t="s">
        <v>29</v>
      </c>
      <c r="M3034" s="1" t="s">
        <v>29</v>
      </c>
      <c r="N3034" s="1" t="s">
        <v>22</v>
      </c>
      <c r="O3034" s="1" t="str">
        <f t="shared" ca="1" si="23"/>
        <v>Please solve the LeetCode problem '3507. Minimum Pair Removal to Sort Array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35" spans="1:15" x14ac:dyDescent="0.25">
      <c r="A3035" s="1">
        <v>3608</v>
      </c>
      <c r="B3035" s="2" t="str">
        <f>HYPERLINK("https://leetcode.com/problems/minimum-time-for-k-connected-components/", "Minimum Time for K Connected Components")</f>
        <v>Minimum Time for K Connected Components</v>
      </c>
      <c r="C3035" s="1">
        <v>121</v>
      </c>
      <c r="D3035" s="1">
        <v>6</v>
      </c>
      <c r="E3035" s="3">
        <f t="shared" si="22"/>
        <v>0.952755905511811</v>
      </c>
      <c r="F3035" s="1" t="s">
        <v>1160</v>
      </c>
      <c r="G3035" s="1" t="s">
        <v>24</v>
      </c>
      <c r="H3035" s="1">
        <v>16666</v>
      </c>
      <c r="I3035" s="1">
        <v>36966</v>
      </c>
      <c r="J3035" s="7">
        <v>0.45100000000000001</v>
      </c>
      <c r="K3035" s="1" t="s">
        <v>21</v>
      </c>
      <c r="L3035" s="1" t="s">
        <v>29</v>
      </c>
      <c r="M3035" s="1" t="s">
        <v>29</v>
      </c>
      <c r="N3035" s="1" t="s">
        <v>22</v>
      </c>
      <c r="O3035" s="1" t="str">
        <f t="shared" ca="1" si="23"/>
        <v>Please solve the LeetCode problem '3608. Minimum Time for K Connected Components'.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36" spans="1:15" x14ac:dyDescent="0.25">
      <c r="A3036" s="1">
        <v>2879</v>
      </c>
      <c r="B3036" s="2" t="str">
        <f>HYPERLINK("https://leetcode.com/problems/display-the-first-three-rows/", "Display the First Three Rows")</f>
        <v>Display the First Three Rows</v>
      </c>
      <c r="C3036" s="1">
        <v>120</v>
      </c>
      <c r="D3036" s="1">
        <v>24</v>
      </c>
      <c r="E3036" s="3">
        <f t="shared" si="22"/>
        <v>0.83333333333333337</v>
      </c>
      <c r="G3036" s="1" t="s">
        <v>20</v>
      </c>
      <c r="H3036" s="1">
        <v>200176</v>
      </c>
      <c r="I3036" s="1">
        <v>215070</v>
      </c>
      <c r="J3036" s="7">
        <v>0.93100000000000005</v>
      </c>
      <c r="K3036" s="1" t="s">
        <v>21</v>
      </c>
      <c r="L3036" s="1" t="s">
        <v>21</v>
      </c>
      <c r="M3036" s="1" t="s">
        <v>29</v>
      </c>
      <c r="N3036" s="1" t="s">
        <v>1047</v>
      </c>
      <c r="O3036" s="1" t="str">
        <f t="shared" ca="1" si="23"/>
        <v>Please solve the LeetCode problem '2879. Display the First Three Rows'.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37" spans="1:15" x14ac:dyDescent="0.25">
      <c r="A3037" s="1">
        <v>3179</v>
      </c>
      <c r="B3037" s="2" t="str">
        <f>HYPERLINK("https://leetcode.com/problems/find-the-n-th-value-after-k-seconds/", "Find the N-th Value After K Seconds")</f>
        <v>Find the N-th Value After K Seconds</v>
      </c>
      <c r="C3037" s="1">
        <v>120</v>
      </c>
      <c r="D3037" s="1">
        <v>21</v>
      </c>
      <c r="E3037" s="3">
        <f t="shared" si="22"/>
        <v>0.85106382978723405</v>
      </c>
      <c r="F3037" s="1" t="s">
        <v>1162</v>
      </c>
      <c r="G3037" s="1" t="s">
        <v>24</v>
      </c>
      <c r="H3037" s="1">
        <v>44316</v>
      </c>
      <c r="I3037" s="1">
        <v>82426</v>
      </c>
      <c r="J3037" s="7">
        <v>0.53800000000000003</v>
      </c>
      <c r="K3037" s="1" t="s">
        <v>21</v>
      </c>
      <c r="L3037" s="1" t="s">
        <v>29</v>
      </c>
      <c r="M3037" s="1" t="s">
        <v>29</v>
      </c>
      <c r="N3037" s="1" t="s">
        <v>22</v>
      </c>
      <c r="O3037" s="1" t="str">
        <f t="shared" ca="1" si="23"/>
        <v>Please solve the LeetCode problem '3179. Find the N-th Value After K Seconds'.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38" spans="1:15" x14ac:dyDescent="0.25">
      <c r="A3038" s="1">
        <v>2004</v>
      </c>
      <c r="B3038" s="2" t="str">
        <f>HYPERLINK("https://leetcode.com/problems/the-number-of-seniors-and-juniors-to-join-the-company/", "The Number of Seniors and Juniors to Join the Company")</f>
        <v>The Number of Seniors and Juniors to Join the Company</v>
      </c>
      <c r="C3038" s="1">
        <v>119</v>
      </c>
      <c r="D3038" s="1">
        <v>15</v>
      </c>
      <c r="E3038" s="3">
        <f t="shared" si="22"/>
        <v>0.88805970149253732</v>
      </c>
      <c r="F3038" s="1" t="s">
        <v>297</v>
      </c>
      <c r="G3038" s="1" t="s">
        <v>28</v>
      </c>
      <c r="H3038" s="1">
        <v>10618</v>
      </c>
      <c r="I3038" s="1">
        <v>23163</v>
      </c>
      <c r="J3038" s="7">
        <v>0.45800000000000002</v>
      </c>
      <c r="K3038" s="1" t="s">
        <v>29</v>
      </c>
      <c r="L3038" s="1" t="s">
        <v>21</v>
      </c>
      <c r="M3038" s="1" t="s">
        <v>29</v>
      </c>
      <c r="N3038" s="1" t="s">
        <v>297</v>
      </c>
      <c r="O3038" s="1" t="str">
        <f t="shared" ca="1" si="23"/>
        <v>Please solve the LeetCode problem '2004. The Number of Seniors and Juniors to Join the Company'.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39" spans="1:15" x14ac:dyDescent="0.25">
      <c r="A3039" s="1">
        <v>1113</v>
      </c>
      <c r="B3039" s="2" t="str">
        <f>HYPERLINK("https://leetcode.com/problems/reported-posts/", "Reported Posts")</f>
        <v>Reported Posts</v>
      </c>
      <c r="C3039" s="1">
        <v>118</v>
      </c>
      <c r="D3039" s="1">
        <v>420</v>
      </c>
      <c r="E3039" s="3">
        <f t="shared" si="22"/>
        <v>0.21933085501858737</v>
      </c>
      <c r="F3039" s="1" t="s">
        <v>297</v>
      </c>
      <c r="G3039" s="1" t="s">
        <v>20</v>
      </c>
      <c r="H3039" s="1">
        <v>53423</v>
      </c>
      <c r="I3039" s="1">
        <v>82351</v>
      </c>
      <c r="J3039" s="7">
        <v>0.64900000000000002</v>
      </c>
      <c r="K3039" s="1" t="s">
        <v>29</v>
      </c>
      <c r="L3039" s="1" t="s">
        <v>21</v>
      </c>
      <c r="M3039" s="1" t="s">
        <v>29</v>
      </c>
      <c r="N3039" s="1" t="s">
        <v>297</v>
      </c>
      <c r="O3039" s="1" t="str">
        <f t="shared" ca="1" si="23"/>
        <v>Please solve the LeetCode problem '1113. Reported Posts'.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40" spans="1:15" x14ac:dyDescent="0.25">
      <c r="A3040" s="1">
        <v>1635</v>
      </c>
      <c r="B3040" s="2" t="str">
        <f>HYPERLINK("https://leetcode.com/problems/hopper-company-queries-i/", "Hopper Company Queries I")</f>
        <v>Hopper Company Queries I</v>
      </c>
      <c r="C3040" s="1">
        <v>118</v>
      </c>
      <c r="D3040" s="1">
        <v>36</v>
      </c>
      <c r="E3040" s="3">
        <f t="shared" si="22"/>
        <v>0.76623376623376627</v>
      </c>
      <c r="F3040" s="1" t="s">
        <v>297</v>
      </c>
      <c r="G3040" s="1" t="s">
        <v>28</v>
      </c>
      <c r="H3040" s="1">
        <v>10921</v>
      </c>
      <c r="I3040" s="1">
        <v>22552</v>
      </c>
      <c r="J3040" s="7">
        <v>0.48399999999999999</v>
      </c>
      <c r="K3040" s="1" t="s">
        <v>29</v>
      </c>
      <c r="L3040" s="1" t="s">
        <v>21</v>
      </c>
      <c r="M3040" s="1" t="s">
        <v>29</v>
      </c>
      <c r="N3040" s="1" t="s">
        <v>297</v>
      </c>
      <c r="O3040" s="1" t="str">
        <f t="shared" ca="1" si="23"/>
        <v>Please solve the LeetCode problem '1635. Hopper Company Queries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41" spans="1:15" x14ac:dyDescent="0.25">
      <c r="A3041" s="1">
        <v>3010</v>
      </c>
      <c r="B3041" s="2" t="str">
        <f>HYPERLINK("https://leetcode.com/problems/divide-an-array-into-subarrays-with-minimum-cost-i/", "Divide an Array Into Subarrays With Minimum Cost I")</f>
        <v>Divide an Array Into Subarrays With Minimum Cost I</v>
      </c>
      <c r="C3041" s="1">
        <v>118</v>
      </c>
      <c r="D3041" s="1">
        <v>12</v>
      </c>
      <c r="E3041" s="3">
        <f t="shared" si="22"/>
        <v>0.90769230769230769</v>
      </c>
      <c r="F3041" s="1" t="s">
        <v>913</v>
      </c>
      <c r="G3041" s="1" t="s">
        <v>20</v>
      </c>
      <c r="H3041" s="1">
        <v>42045</v>
      </c>
      <c r="I3041" s="1">
        <v>63030</v>
      </c>
      <c r="J3041" s="7">
        <v>0.66700000000000004</v>
      </c>
      <c r="K3041" s="1" t="s">
        <v>21</v>
      </c>
      <c r="L3041" s="1" t="s">
        <v>29</v>
      </c>
      <c r="M3041" s="1" t="s">
        <v>29</v>
      </c>
      <c r="N3041" s="1" t="s">
        <v>22</v>
      </c>
      <c r="O3041" s="1" t="str">
        <f t="shared" ca="1" si="23"/>
        <v>Please solve the LeetCode problem '3010. Divide an Array Into Subarrays With Minimum Cost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42" spans="1:15" x14ac:dyDescent="0.25">
      <c r="A3042" s="1">
        <v>3069</v>
      </c>
      <c r="B3042" s="2" t="str">
        <f>HYPERLINK("https://leetcode.com/problems/distribute-elements-into-two-arrays-i/", "Distribute Elements Into Two Arrays I")</f>
        <v>Distribute Elements Into Two Arrays I</v>
      </c>
      <c r="C3042" s="1">
        <v>118</v>
      </c>
      <c r="D3042" s="1">
        <v>29</v>
      </c>
      <c r="E3042" s="3">
        <f t="shared" si="22"/>
        <v>0.80272108843537415</v>
      </c>
      <c r="F3042" s="1" t="s">
        <v>306</v>
      </c>
      <c r="G3042" s="1" t="s">
        <v>20</v>
      </c>
      <c r="H3042" s="1">
        <v>57150</v>
      </c>
      <c r="I3042" s="1">
        <v>77575</v>
      </c>
      <c r="J3042" s="7">
        <v>0.73699999999999999</v>
      </c>
      <c r="K3042" s="1" t="s">
        <v>21</v>
      </c>
      <c r="L3042" s="1" t="s">
        <v>29</v>
      </c>
      <c r="M3042" s="1" t="s">
        <v>29</v>
      </c>
      <c r="N3042" s="1" t="s">
        <v>22</v>
      </c>
      <c r="O3042" s="1" t="str">
        <f t="shared" ca="1" si="23"/>
        <v>Please solve the LeetCode problem '3069. Distribute Elements Into Two Arrays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43" spans="1:15" x14ac:dyDescent="0.25">
      <c r="A3043" s="1">
        <v>3429</v>
      </c>
      <c r="B3043" s="2" t="str">
        <f>HYPERLINK("https://leetcode.com/problems/paint-house-iv/", "Paint House IV")</f>
        <v>Paint House IV</v>
      </c>
      <c r="C3043" s="1">
        <v>118</v>
      </c>
      <c r="D3043" s="1">
        <v>10</v>
      </c>
      <c r="E3043" s="3">
        <f t="shared" si="22"/>
        <v>0.921875</v>
      </c>
      <c r="F3043" s="1" t="s">
        <v>30</v>
      </c>
      <c r="G3043" s="1" t="s">
        <v>24</v>
      </c>
      <c r="H3043" s="1">
        <v>10478</v>
      </c>
      <c r="I3043" s="1">
        <v>23358</v>
      </c>
      <c r="J3043" s="7">
        <v>0.44900000000000001</v>
      </c>
      <c r="K3043" s="1" t="s">
        <v>21</v>
      </c>
      <c r="L3043" s="1" t="s">
        <v>29</v>
      </c>
      <c r="M3043" s="1" t="s">
        <v>29</v>
      </c>
      <c r="N3043" s="1" t="s">
        <v>22</v>
      </c>
      <c r="O3043" s="1" t="str">
        <f t="shared" ca="1" si="23"/>
        <v>Please solve the LeetCode problem '3429. Paint House IV'.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44" spans="1:15" x14ac:dyDescent="0.25">
      <c r="A3044" s="1">
        <v>2473</v>
      </c>
      <c r="B3044" s="2" t="str">
        <f>HYPERLINK("https://leetcode.com/problems/minimum-cost-to-buy-apples/", "Minimum Cost to Buy Apples")</f>
        <v>Minimum Cost to Buy Apples</v>
      </c>
      <c r="C3044" s="1">
        <v>117</v>
      </c>
      <c r="D3044" s="1">
        <v>27</v>
      </c>
      <c r="E3044" s="3">
        <f t="shared" si="22"/>
        <v>0.8125</v>
      </c>
      <c r="F3044" s="1" t="s">
        <v>318</v>
      </c>
      <c r="G3044" s="1" t="s">
        <v>24</v>
      </c>
      <c r="H3044" s="1">
        <v>7237</v>
      </c>
      <c r="I3044" s="1">
        <v>10758</v>
      </c>
      <c r="J3044" s="7">
        <v>0.67300000000000004</v>
      </c>
      <c r="K3044" s="1" t="s">
        <v>29</v>
      </c>
      <c r="L3044" s="1" t="s">
        <v>21</v>
      </c>
      <c r="M3044" s="1" t="s">
        <v>29</v>
      </c>
      <c r="N3044" s="1" t="s">
        <v>22</v>
      </c>
      <c r="O3044" s="1" t="str">
        <f t="shared" ca="1" si="23"/>
        <v>Please solve the LeetCode problem '2473. Minimum Cost to Buy Apples'.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45" spans="1:15" x14ac:dyDescent="0.25">
      <c r="A3045" s="1">
        <v>2931</v>
      </c>
      <c r="B3045" s="2" t="str">
        <f>HYPERLINK("https://leetcode.com/problems/maximum-spending-after-buying-items/", "Maximum Spending After Buying Items")</f>
        <v>Maximum Spending After Buying Items</v>
      </c>
      <c r="C3045" s="1">
        <v>117</v>
      </c>
      <c r="D3045" s="1">
        <v>36</v>
      </c>
      <c r="E3045" s="3">
        <f t="shared" si="22"/>
        <v>0.76470588235294112</v>
      </c>
      <c r="F3045" s="1" t="s">
        <v>1166</v>
      </c>
      <c r="G3045" s="1" t="s">
        <v>28</v>
      </c>
      <c r="H3045" s="1">
        <v>15227</v>
      </c>
      <c r="I3045" s="1">
        <v>24911</v>
      </c>
      <c r="J3045" s="7">
        <v>0.61099999999999999</v>
      </c>
      <c r="K3045" s="1" t="s">
        <v>21</v>
      </c>
      <c r="L3045" s="1" t="s">
        <v>29</v>
      </c>
      <c r="M3045" s="1" t="s">
        <v>29</v>
      </c>
      <c r="N3045" s="1" t="s">
        <v>22</v>
      </c>
      <c r="O3045" s="1" t="str">
        <f t="shared" ca="1" si="23"/>
        <v>Please solve the LeetCode problem '2931. Maximum Spending After Buying Items'.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46" spans="1:15" x14ac:dyDescent="0.25">
      <c r="A3046" s="1">
        <v>3114</v>
      </c>
      <c r="B3046" s="2" t="str">
        <f>HYPERLINK("https://leetcode.com/problems/latest-time-you-can-obtain-after-replacing-characters/", "Latest Time You Can Obtain After Replacing Characters")</f>
        <v>Latest Time You Can Obtain After Replacing Characters</v>
      </c>
      <c r="C3046" s="1">
        <v>117</v>
      </c>
      <c r="D3046" s="1">
        <v>50</v>
      </c>
      <c r="E3046" s="3">
        <f t="shared" si="22"/>
        <v>0.70059880239520955</v>
      </c>
      <c r="F3046" s="1" t="s">
        <v>831</v>
      </c>
      <c r="G3046" s="1" t="s">
        <v>20</v>
      </c>
      <c r="H3046" s="1">
        <v>40443</v>
      </c>
      <c r="I3046" s="1">
        <v>115545</v>
      </c>
      <c r="J3046" s="7">
        <v>0.35</v>
      </c>
      <c r="K3046" s="1" t="s">
        <v>21</v>
      </c>
      <c r="L3046" s="1" t="s">
        <v>29</v>
      </c>
      <c r="M3046" s="1" t="s">
        <v>29</v>
      </c>
      <c r="N3046" s="1" t="s">
        <v>22</v>
      </c>
      <c r="O3046" s="1" t="str">
        <f t="shared" ca="1" si="23"/>
        <v>Please solve the LeetCode problem '3114. Latest Time You Can Obtain After Replacing Characters'.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47" spans="1:15" x14ac:dyDescent="0.25">
      <c r="A3047" s="1">
        <v>3472</v>
      </c>
      <c r="B3047" s="2" t="str">
        <f>HYPERLINK("https://leetcode.com/problems/longest-palindromic-subsequence-after-at-most-k-operations/", "Longest Palindromic Subsequence After at Most K Operations")</f>
        <v>Longest Palindromic Subsequence After at Most K Operations</v>
      </c>
      <c r="C3047" s="1">
        <v>117</v>
      </c>
      <c r="D3047" s="1">
        <v>18</v>
      </c>
      <c r="E3047" s="3">
        <f t="shared" si="22"/>
        <v>0.8666666666666667</v>
      </c>
      <c r="F3047" s="1" t="s">
        <v>82</v>
      </c>
      <c r="G3047" s="1" t="s">
        <v>24</v>
      </c>
      <c r="H3047" s="1">
        <v>14886</v>
      </c>
      <c r="I3047" s="1">
        <v>39944</v>
      </c>
      <c r="J3047" s="7">
        <v>0.373</v>
      </c>
      <c r="K3047" s="1" t="s">
        <v>21</v>
      </c>
      <c r="L3047" s="1" t="s">
        <v>29</v>
      </c>
      <c r="M3047" s="1" t="s">
        <v>29</v>
      </c>
      <c r="N3047" s="1" t="s">
        <v>22</v>
      </c>
      <c r="O3047" s="1" t="str">
        <f t="shared" ca="1" si="23"/>
        <v>Please solve the LeetCode problem '3472. Longest Palindromic Subsequence After at Most K Operations'.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48" spans="1:15" x14ac:dyDescent="0.25">
      <c r="A3048" s="1">
        <v>3639</v>
      </c>
      <c r="B3048" s="2" t="str">
        <f>HYPERLINK("https://leetcode.com/problems/minimum-time-to-activate-string/", "Minimum Time to Activate String")</f>
        <v>Minimum Time to Activate String</v>
      </c>
      <c r="C3048" s="1">
        <v>117</v>
      </c>
      <c r="D3048" s="1">
        <v>6</v>
      </c>
      <c r="E3048" s="3">
        <f t="shared" si="22"/>
        <v>0.95121951219512191</v>
      </c>
      <c r="F3048" s="1" t="s">
        <v>35</v>
      </c>
      <c r="G3048" s="1" t="s">
        <v>24</v>
      </c>
      <c r="H3048" s="1">
        <v>31048</v>
      </c>
      <c r="I3048" s="1">
        <v>65228</v>
      </c>
      <c r="J3048" s="7">
        <v>0.47599999999999998</v>
      </c>
      <c r="K3048" s="1" t="s">
        <v>21</v>
      </c>
      <c r="L3048" s="1" t="s">
        <v>29</v>
      </c>
      <c r="M3048" s="1" t="s">
        <v>29</v>
      </c>
      <c r="N3048" s="1" t="s">
        <v>22</v>
      </c>
      <c r="O3048" s="1" t="str">
        <f t="shared" ca="1" si="23"/>
        <v>Please solve the LeetCode problem '3639. Minimum Time to Activate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49" spans="1:15" x14ac:dyDescent="0.25">
      <c r="A3049" s="1">
        <v>2107</v>
      </c>
      <c r="B3049" s="2" t="str">
        <f>HYPERLINK("https://leetcode.com/problems/number-of-unique-flavors-after-sharing-k-candies/", "Number of Unique Flavors After Sharing K Candies")</f>
        <v>Number of Unique Flavors After Sharing K Candies</v>
      </c>
      <c r="C3049" s="1">
        <v>116</v>
      </c>
      <c r="D3049" s="1">
        <v>7</v>
      </c>
      <c r="E3049" s="3">
        <f t="shared" si="22"/>
        <v>0.94308943089430897</v>
      </c>
      <c r="F3049" s="1" t="s">
        <v>185</v>
      </c>
      <c r="G3049" s="1" t="s">
        <v>24</v>
      </c>
      <c r="H3049" s="1">
        <v>9445</v>
      </c>
      <c r="I3049" s="1">
        <v>15615</v>
      </c>
      <c r="J3049" s="7">
        <v>0.60499999999999998</v>
      </c>
      <c r="K3049" s="1" t="s">
        <v>29</v>
      </c>
      <c r="L3049" s="1" t="s">
        <v>21</v>
      </c>
      <c r="M3049" s="1" t="s">
        <v>29</v>
      </c>
      <c r="N3049" s="1" t="s">
        <v>22</v>
      </c>
      <c r="O3049" s="1" t="str">
        <f t="shared" ca="1" si="23"/>
        <v>Please solve the LeetCode problem '2107. Number of Unique Flavors After Sharing K Candies'.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50" spans="1:15" x14ac:dyDescent="0.25">
      <c r="A3050" s="1">
        <v>2137</v>
      </c>
      <c r="B3050" s="2" t="str">
        <f>HYPERLINK("https://leetcode.com/problems/pour-water-between-buckets-to-make-water-levels-equal/", "Pour Water Between Buckets to Make Water Levels Equal")</f>
        <v>Pour Water Between Buckets to Make Water Levels Equal</v>
      </c>
      <c r="C3050" s="1">
        <v>116</v>
      </c>
      <c r="D3050" s="1">
        <v>10</v>
      </c>
      <c r="E3050" s="3">
        <f t="shared" si="22"/>
        <v>0.92063492063492058</v>
      </c>
      <c r="F3050" s="1" t="s">
        <v>35</v>
      </c>
      <c r="G3050" s="1" t="s">
        <v>24</v>
      </c>
      <c r="H3050" s="1">
        <v>3675</v>
      </c>
      <c r="I3050" s="1">
        <v>5413</v>
      </c>
      <c r="J3050" s="7">
        <v>0.67900000000000005</v>
      </c>
      <c r="K3050" s="1" t="s">
        <v>29</v>
      </c>
      <c r="L3050" s="1" t="s">
        <v>29</v>
      </c>
      <c r="M3050" s="1" t="s">
        <v>29</v>
      </c>
      <c r="N3050" s="1" t="s">
        <v>22</v>
      </c>
      <c r="O3050" s="1" t="str">
        <f t="shared" ca="1" si="23"/>
        <v>Please solve the LeetCode problem '2137. Pour Water Between Buckets to Make Water Levels Equal'.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51" spans="1:15" x14ac:dyDescent="0.25">
      <c r="A3051" s="1">
        <v>2142</v>
      </c>
      <c r="B3051" s="2" t="str">
        <f>HYPERLINK("https://leetcode.com/problems/the-number-of-passengers-in-each-bus-i/", "The Number of Passengers in Each Bus I")</f>
        <v>The Number of Passengers in Each Bus I</v>
      </c>
      <c r="C3051" s="1">
        <v>116</v>
      </c>
      <c r="D3051" s="1">
        <v>12</v>
      </c>
      <c r="E3051" s="3">
        <f t="shared" si="22"/>
        <v>0.90625</v>
      </c>
      <c r="F3051" s="1" t="s">
        <v>297</v>
      </c>
      <c r="G3051" s="1" t="s">
        <v>24</v>
      </c>
      <c r="H3051" s="1">
        <v>11748</v>
      </c>
      <c r="I3051" s="1">
        <v>23968</v>
      </c>
      <c r="J3051" s="7">
        <v>0.49</v>
      </c>
      <c r="K3051" s="1" t="s">
        <v>29</v>
      </c>
      <c r="L3051" s="1" t="s">
        <v>29</v>
      </c>
      <c r="M3051" s="1" t="s">
        <v>29</v>
      </c>
      <c r="N3051" s="1" t="s">
        <v>297</v>
      </c>
      <c r="O3051" s="1" t="str">
        <f t="shared" ca="1" si="23"/>
        <v>Please solve the LeetCode problem '2142. The Number of Passengers in Each Bus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52" spans="1:15" x14ac:dyDescent="0.25">
      <c r="A3052" s="1">
        <v>3488</v>
      </c>
      <c r="B3052" s="2" t="str">
        <f>HYPERLINK("https://leetcode.com/problems/closest-equal-element-queries/", "Closest Equal Element Queries")</f>
        <v>Closest Equal Element Queries</v>
      </c>
      <c r="C3052" s="1">
        <v>116</v>
      </c>
      <c r="D3052" s="1">
        <v>9</v>
      </c>
      <c r="E3052" s="3">
        <f t="shared" si="22"/>
        <v>0.92800000000000005</v>
      </c>
      <c r="F3052" s="1" t="s">
        <v>1164</v>
      </c>
      <c r="G3052" s="1" t="s">
        <v>24</v>
      </c>
      <c r="H3052" s="1">
        <v>21061</v>
      </c>
      <c r="I3052" s="1">
        <v>64803</v>
      </c>
      <c r="J3052" s="7">
        <v>0.32500000000000001</v>
      </c>
      <c r="K3052" s="1" t="s">
        <v>21</v>
      </c>
      <c r="L3052" s="1" t="s">
        <v>29</v>
      </c>
      <c r="M3052" s="1" t="s">
        <v>29</v>
      </c>
      <c r="N3052" s="1" t="s">
        <v>22</v>
      </c>
      <c r="O3052" s="1" t="str">
        <f t="shared" ca="1" si="23"/>
        <v>Please solve the LeetCode problem '3488. Closest Equal Element Queries'.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53" spans="1:15" x14ac:dyDescent="0.25">
      <c r="A3053" s="1">
        <v>3669</v>
      </c>
      <c r="B3053" s="2" t="str">
        <f>HYPERLINK("https://leetcode.com/problems/balanced-k-factor-decomposition/", "Balanced K-Factor Decomposition")</f>
        <v>Balanced K-Factor Decomposition</v>
      </c>
      <c r="C3053" s="1">
        <v>115</v>
      </c>
      <c r="D3053" s="1">
        <v>11</v>
      </c>
      <c r="E3053" s="3">
        <f t="shared" si="22"/>
        <v>0.91269841269841268</v>
      </c>
      <c r="F3053" s="1" t="s">
        <v>1167</v>
      </c>
      <c r="G3053" s="1" t="s">
        <v>24</v>
      </c>
      <c r="H3053" s="1">
        <v>23772</v>
      </c>
      <c r="I3053" s="1">
        <v>62963</v>
      </c>
      <c r="J3053" s="7">
        <v>0.378</v>
      </c>
      <c r="K3053" s="1" t="s">
        <v>21</v>
      </c>
      <c r="L3053" s="1" t="s">
        <v>29</v>
      </c>
      <c r="M3053" s="1" t="s">
        <v>29</v>
      </c>
      <c r="N3053" s="1" t="s">
        <v>22</v>
      </c>
      <c r="O3053" s="1" t="str">
        <f t="shared" ca="1" si="23"/>
        <v>Please solve the LeetCode problem '3669. Balanced K-Factor Decomposition'.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54" spans="1:15" x14ac:dyDescent="0.25">
      <c r="A3054" s="1">
        <v>1618</v>
      </c>
      <c r="B3054" s="2" t="str">
        <f>HYPERLINK("https://leetcode.com/problems/maximum-font-to-fit-a-sentence-in-a-screen/", "Maximum Font to Fit a Sentence in a Screen")</f>
        <v>Maximum Font to Fit a Sentence in a Screen</v>
      </c>
      <c r="C3054" s="1">
        <v>114</v>
      </c>
      <c r="D3054" s="1">
        <v>22</v>
      </c>
      <c r="E3054" s="3">
        <f t="shared" si="22"/>
        <v>0.83823529411764708</v>
      </c>
      <c r="F3054" s="1" t="s">
        <v>1168</v>
      </c>
      <c r="G3054" s="1" t="s">
        <v>24</v>
      </c>
      <c r="H3054" s="1">
        <v>7415</v>
      </c>
      <c r="I3054" s="1">
        <v>12008</v>
      </c>
      <c r="J3054" s="7">
        <v>0.61799999999999999</v>
      </c>
      <c r="K3054" s="1" t="s">
        <v>29</v>
      </c>
      <c r="L3054" s="1" t="s">
        <v>29</v>
      </c>
      <c r="M3054" s="1" t="s">
        <v>29</v>
      </c>
      <c r="N3054" s="1" t="s">
        <v>22</v>
      </c>
      <c r="O3054" s="1" t="str">
        <f t="shared" ca="1" si="23"/>
        <v>Please solve the LeetCode problem '1618. Maximum Font to Fit a Sentence in a Screen'.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55" spans="1:15" x14ac:dyDescent="0.25">
      <c r="A3055" s="1">
        <v>2534</v>
      </c>
      <c r="B3055" s="2" t="str">
        <f>HYPERLINK("https://leetcode.com/problems/time-taken-to-cross-the-door/", "Time Taken to Cross the Door")</f>
        <v>Time Taken to Cross the Door</v>
      </c>
      <c r="C3055" s="1">
        <v>114</v>
      </c>
      <c r="D3055" s="1">
        <v>24</v>
      </c>
      <c r="E3055" s="3">
        <f t="shared" si="22"/>
        <v>0.82608695652173914</v>
      </c>
      <c r="F3055" s="1" t="s">
        <v>522</v>
      </c>
      <c r="G3055" s="1" t="s">
        <v>28</v>
      </c>
      <c r="H3055" s="1">
        <v>13678</v>
      </c>
      <c r="I3055" s="1">
        <v>27377</v>
      </c>
      <c r="J3055" s="7">
        <v>0.5</v>
      </c>
      <c r="K3055" s="1" t="s">
        <v>29</v>
      </c>
      <c r="L3055" s="1" t="s">
        <v>29</v>
      </c>
      <c r="M3055" s="1" t="s">
        <v>29</v>
      </c>
      <c r="N3055" s="1" t="s">
        <v>22</v>
      </c>
      <c r="O3055" s="1" t="str">
        <f t="shared" ca="1" si="23"/>
        <v>Please solve the LeetCode problem '2534. Time Taken to Cross the Door'.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56" spans="1:15" x14ac:dyDescent="0.25">
      <c r="A3056" s="1">
        <v>3275</v>
      </c>
      <c r="B3056" s="2" t="str">
        <f>HYPERLINK("https://leetcode.com/problems/k-th-nearest-obstacle-queries/", "K-th Nearest Obstacle Queries")</f>
        <v>K-th Nearest Obstacle Queries</v>
      </c>
      <c r="C3056" s="1">
        <v>114</v>
      </c>
      <c r="D3056" s="1">
        <v>17</v>
      </c>
      <c r="E3056" s="3">
        <f t="shared" si="22"/>
        <v>0.87022900763358779</v>
      </c>
      <c r="F3056" s="1" t="s">
        <v>202</v>
      </c>
      <c r="G3056" s="1" t="s">
        <v>24</v>
      </c>
      <c r="H3056" s="1">
        <v>35492</v>
      </c>
      <c r="I3056" s="1">
        <v>72794</v>
      </c>
      <c r="J3056" s="7">
        <v>0.48799999999999999</v>
      </c>
      <c r="K3056" s="1" t="s">
        <v>21</v>
      </c>
      <c r="L3056" s="1" t="s">
        <v>29</v>
      </c>
      <c r="M3056" s="1" t="s">
        <v>29</v>
      </c>
      <c r="N3056" s="1" t="s">
        <v>22</v>
      </c>
      <c r="O3056" s="1" t="str">
        <f t="shared" ca="1" si="23"/>
        <v>Please solve the LeetCode problem '3275. K-th Nearest Obstacle Queries'.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57" spans="1:15" x14ac:dyDescent="0.25">
      <c r="A3057" s="1">
        <v>3613</v>
      </c>
      <c r="B3057" s="2" t="str">
        <f>HYPERLINK("https://leetcode.com/problems/minimize-maximum-component-cost/", "Minimize Maximum Component Cost")</f>
        <v>Minimize Maximum Component Cost</v>
      </c>
      <c r="C3057" s="1">
        <v>114</v>
      </c>
      <c r="D3057" s="1">
        <v>9</v>
      </c>
      <c r="E3057" s="3">
        <f t="shared" si="22"/>
        <v>0.92682926829268297</v>
      </c>
      <c r="F3057" s="1" t="s">
        <v>1160</v>
      </c>
      <c r="G3057" s="1" t="s">
        <v>24</v>
      </c>
      <c r="H3057" s="1">
        <v>22932</v>
      </c>
      <c r="I3057" s="1">
        <v>53016</v>
      </c>
      <c r="J3057" s="7">
        <v>0.433</v>
      </c>
      <c r="K3057" s="1" t="s">
        <v>21</v>
      </c>
      <c r="L3057" s="1" t="s">
        <v>29</v>
      </c>
      <c r="M3057" s="1" t="s">
        <v>29</v>
      </c>
      <c r="N3057" s="1" t="s">
        <v>22</v>
      </c>
      <c r="O3057" s="1" t="str">
        <f t="shared" ca="1" si="23"/>
        <v>Please solve the LeetCode problem '3613. Minimize Maximum Component Cost'.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58" spans="1:15" x14ac:dyDescent="0.25">
      <c r="A3058" s="1">
        <v>3664</v>
      </c>
      <c r="B3058" s="2" t="str">
        <f>HYPERLINK("https://leetcode.com/problems/two-letter-card-game/", "Two-Letter Card Game")</f>
        <v>Two-Letter Card Game</v>
      </c>
      <c r="C3058" s="1">
        <v>114</v>
      </c>
      <c r="D3058" s="1">
        <v>57</v>
      </c>
      <c r="E3058" s="3">
        <f t="shared" si="22"/>
        <v>0.66666666666666663</v>
      </c>
      <c r="F3058" s="1" t="s">
        <v>1165</v>
      </c>
      <c r="G3058" s="1" t="s">
        <v>24</v>
      </c>
      <c r="H3058" s="1">
        <v>9809</v>
      </c>
      <c r="I3058" s="1">
        <v>81276</v>
      </c>
      <c r="J3058" s="7">
        <v>0.121</v>
      </c>
      <c r="K3058" s="1" t="s">
        <v>21</v>
      </c>
      <c r="L3058" s="1" t="s">
        <v>29</v>
      </c>
      <c r="M3058" s="1" t="s">
        <v>29</v>
      </c>
      <c r="N3058" s="1" t="s">
        <v>22</v>
      </c>
      <c r="O3058" s="1" t="str">
        <f t="shared" ca="1" si="23"/>
        <v>Please solve the LeetCode problem '3664. Two-Letter Card Game'.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59" spans="1:15" x14ac:dyDescent="0.25">
      <c r="A3059" s="1">
        <v>2890</v>
      </c>
      <c r="B3059" s="2" t="str">
        <f>HYPERLINK("https://leetcode.com/problems/reshape-data-melt/", "Reshape Data: Melt")</f>
        <v>Reshape Data: Melt</v>
      </c>
      <c r="C3059" s="1">
        <v>113</v>
      </c>
      <c r="D3059" s="1">
        <v>3</v>
      </c>
      <c r="E3059" s="3">
        <f t="shared" si="22"/>
        <v>0.97413793103448276</v>
      </c>
      <c r="G3059" s="1" t="s">
        <v>20</v>
      </c>
      <c r="H3059" s="1">
        <v>92907</v>
      </c>
      <c r="I3059" s="1">
        <v>107977</v>
      </c>
      <c r="J3059" s="7">
        <v>0.86</v>
      </c>
      <c r="K3059" s="1" t="s">
        <v>21</v>
      </c>
      <c r="L3059" s="1" t="s">
        <v>21</v>
      </c>
      <c r="M3059" s="1" t="s">
        <v>29</v>
      </c>
      <c r="N3059" s="1" t="s">
        <v>1047</v>
      </c>
      <c r="O3059" s="1" t="str">
        <f t="shared" ca="1" si="23"/>
        <v>Please solve the LeetCode problem '2890. Reshape Data: Melt'.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60" spans="1:15" x14ac:dyDescent="0.25">
      <c r="A3060" s="1">
        <v>3242</v>
      </c>
      <c r="B3060" s="2" t="str">
        <f>HYPERLINK("https://leetcode.com/problems/design-neighbor-sum-service/", "Design Neighbor Sum Service")</f>
        <v>Design Neighbor Sum Service</v>
      </c>
      <c r="C3060" s="1">
        <v>113</v>
      </c>
      <c r="D3060" s="1">
        <v>18</v>
      </c>
      <c r="E3060" s="3">
        <f t="shared" si="22"/>
        <v>0.86259541984732824</v>
      </c>
      <c r="F3060" s="1" t="s">
        <v>475</v>
      </c>
      <c r="G3060" s="1" t="s">
        <v>20</v>
      </c>
      <c r="H3060" s="1">
        <v>45030</v>
      </c>
      <c r="I3060" s="1">
        <v>58999</v>
      </c>
      <c r="J3060" s="7">
        <v>0.76300000000000001</v>
      </c>
      <c r="K3060" s="1" t="s">
        <v>21</v>
      </c>
      <c r="L3060" s="1" t="s">
        <v>29</v>
      </c>
      <c r="M3060" s="1" t="s">
        <v>29</v>
      </c>
      <c r="N3060" s="1" t="s">
        <v>22</v>
      </c>
      <c r="O3060" s="1" t="str">
        <f t="shared" ca="1" si="23"/>
        <v>Please solve the LeetCode problem '3242. Design Neighbor Sum Service'.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61" spans="1:15" x14ac:dyDescent="0.25">
      <c r="A3061" s="1">
        <v>800</v>
      </c>
      <c r="B3061" s="2" t="str">
        <f>HYPERLINK("https://leetcode.com/problems/similar-rgb-color/", "Similar RGB Color")</f>
        <v>Similar RGB Color</v>
      </c>
      <c r="C3061" s="1">
        <v>112</v>
      </c>
      <c r="D3061" s="1">
        <v>691</v>
      </c>
      <c r="E3061" s="3">
        <f t="shared" si="22"/>
        <v>0.13947696139476962</v>
      </c>
      <c r="F3061" s="1" t="s">
        <v>1002</v>
      </c>
      <c r="G3061" s="1" t="s">
        <v>20</v>
      </c>
      <c r="H3061" s="1">
        <v>18411</v>
      </c>
      <c r="I3061" s="1">
        <v>27110</v>
      </c>
      <c r="J3061" s="7">
        <v>0.67900000000000005</v>
      </c>
      <c r="K3061" s="1" t="s">
        <v>29</v>
      </c>
      <c r="L3061" s="1" t="s">
        <v>21</v>
      </c>
      <c r="M3061" s="1" t="s">
        <v>29</v>
      </c>
      <c r="N3061" s="1" t="s">
        <v>22</v>
      </c>
      <c r="O3061" s="1" t="str">
        <f t="shared" ca="1" si="23"/>
        <v>Please solve the LeetCode problem '800. Similar RGB Color'.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62" spans="1:15" x14ac:dyDescent="0.25">
      <c r="A3062" s="1">
        <v>1841</v>
      </c>
      <c r="B3062" s="2" t="str">
        <f>HYPERLINK("https://leetcode.com/problems/league-statistics/", "League Statistics")</f>
        <v>League Statistics</v>
      </c>
      <c r="C3062" s="1">
        <v>112</v>
      </c>
      <c r="D3062" s="1">
        <v>98</v>
      </c>
      <c r="E3062" s="3">
        <f t="shared" si="22"/>
        <v>0.53333333333333333</v>
      </c>
      <c r="F3062" s="1" t="s">
        <v>297</v>
      </c>
      <c r="G3062" s="1" t="s">
        <v>24</v>
      </c>
      <c r="H3062" s="1">
        <v>16118</v>
      </c>
      <c r="I3062" s="1">
        <v>30141</v>
      </c>
      <c r="J3062" s="7">
        <v>0.53500000000000003</v>
      </c>
      <c r="K3062" s="1" t="s">
        <v>29</v>
      </c>
      <c r="L3062" s="1" t="s">
        <v>21</v>
      </c>
      <c r="M3062" s="1" t="s">
        <v>29</v>
      </c>
      <c r="N3062" s="1" t="s">
        <v>297</v>
      </c>
      <c r="O3062" s="1" t="str">
        <f t="shared" ca="1" si="23"/>
        <v>Please solve the LeetCode problem '1841. League Statistics'.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63" spans="1:15" x14ac:dyDescent="0.25">
      <c r="A3063" s="1">
        <v>2519</v>
      </c>
      <c r="B3063" s="2" t="str">
        <f>HYPERLINK("https://leetcode.com/problems/count-the-number-of-k-big-indices/", "Count the Number of K-Big Indices")</f>
        <v>Count the Number of K-Big Indices</v>
      </c>
      <c r="C3063" s="1">
        <v>112</v>
      </c>
      <c r="D3063" s="1">
        <v>23</v>
      </c>
      <c r="E3063" s="3">
        <f t="shared" si="22"/>
        <v>0.82962962962962961</v>
      </c>
      <c r="F3063" s="1" t="s">
        <v>147</v>
      </c>
      <c r="G3063" s="1" t="s">
        <v>28</v>
      </c>
      <c r="H3063" s="1">
        <v>9608</v>
      </c>
      <c r="I3063" s="1">
        <v>17944</v>
      </c>
      <c r="J3063" s="7">
        <v>0.53500000000000003</v>
      </c>
      <c r="K3063" s="1" t="s">
        <v>29</v>
      </c>
      <c r="L3063" s="1" t="s">
        <v>29</v>
      </c>
      <c r="M3063" s="1" t="s">
        <v>29</v>
      </c>
      <c r="N3063" s="1" t="s">
        <v>22</v>
      </c>
      <c r="O3063" s="1" t="str">
        <f t="shared" ca="1" si="23"/>
        <v>Please solve the LeetCode problem '2519. Count the Number of K-Big Indices'.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64" spans="1:15" x14ac:dyDescent="0.25">
      <c r="A3064" s="1">
        <v>1599</v>
      </c>
      <c r="B3064" s="2" t="str">
        <f>HYPERLINK("https://leetcode.com/problems/maximum-profit-of-operating-a-centennial-wheel/", "Maximum Profit of Operating a Centennial Wheel")</f>
        <v>Maximum Profit of Operating a Centennial Wheel</v>
      </c>
      <c r="C3064" s="1">
        <v>111</v>
      </c>
      <c r="D3064" s="1">
        <v>254</v>
      </c>
      <c r="E3064" s="3">
        <f t="shared" ref="E3064:E3318" si="24">IF(INDEX(C:C, ROW())+INDEX(D:D, ROW())=0, 0, INDEX(C:C, ROW())/(INDEX(C:C, ROW())+INDEX(D:D, ROW())))</f>
        <v>0.30410958904109592</v>
      </c>
      <c r="F3064" s="1" t="s">
        <v>306</v>
      </c>
      <c r="G3064" s="1" t="s">
        <v>24</v>
      </c>
      <c r="H3064" s="1">
        <v>14943</v>
      </c>
      <c r="I3064" s="1">
        <v>33600</v>
      </c>
      <c r="J3064" s="7">
        <v>0.44500000000000001</v>
      </c>
      <c r="K3064" s="1" t="s">
        <v>21</v>
      </c>
      <c r="L3064" s="1" t="s">
        <v>29</v>
      </c>
      <c r="M3064" s="1" t="s">
        <v>29</v>
      </c>
      <c r="N3064" s="1" t="s">
        <v>22</v>
      </c>
      <c r="O3064" s="1" t="str">
        <f t="shared" ref="O3064:O3318" ca="1" si="25"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>Please solve the LeetCode problem '1599. Maximum Profit of Operating a Centennial Wheel'.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65" spans="1:15" x14ac:dyDescent="0.25">
      <c r="A3065" s="1">
        <v>1902</v>
      </c>
      <c r="B3065" s="2" t="str">
        <f>HYPERLINK("https://leetcode.com/problems/depth-of-bst-given-insertion-order/", "Depth of BST Given Insertion Order")</f>
        <v>Depth of BST Given Insertion Order</v>
      </c>
      <c r="C3065" s="1">
        <v>111</v>
      </c>
      <c r="D3065" s="1">
        <v>12</v>
      </c>
      <c r="E3065" s="3">
        <f t="shared" si="24"/>
        <v>0.90243902439024393</v>
      </c>
      <c r="F3065" s="1" t="s">
        <v>1170</v>
      </c>
      <c r="G3065" s="1" t="s">
        <v>24</v>
      </c>
      <c r="H3065" s="1">
        <v>2928</v>
      </c>
      <c r="I3065" s="1">
        <v>6900</v>
      </c>
      <c r="J3065" s="7">
        <v>0.42399999999999999</v>
      </c>
      <c r="K3065" s="1" t="s">
        <v>29</v>
      </c>
      <c r="L3065" s="1" t="s">
        <v>29</v>
      </c>
      <c r="M3065" s="1" t="s">
        <v>29</v>
      </c>
      <c r="N3065" s="1" t="s">
        <v>22</v>
      </c>
      <c r="O3065" s="1" t="str">
        <f t="shared" ca="1" si="25"/>
        <v>Please solve the LeetCode problem '1902. Depth of BST Given Insertion Order'.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66" spans="1:15" x14ac:dyDescent="0.25">
      <c r="A3066" s="1">
        <v>2067</v>
      </c>
      <c r="B3066" s="2" t="str">
        <f>HYPERLINK("https://leetcode.com/problems/number-of-equal-count-substrings/", "Number of Equal Count Substrings")</f>
        <v>Number of Equal Count Substrings</v>
      </c>
      <c r="C3066" s="1">
        <v>111</v>
      </c>
      <c r="D3066" s="1">
        <v>11</v>
      </c>
      <c r="E3066" s="3">
        <f t="shared" si="24"/>
        <v>0.9098360655737705</v>
      </c>
      <c r="F3066" s="1" t="s">
        <v>548</v>
      </c>
      <c r="G3066" s="1" t="s">
        <v>24</v>
      </c>
      <c r="H3066" s="1">
        <v>3896</v>
      </c>
      <c r="I3066" s="1">
        <v>8637</v>
      </c>
      <c r="J3066" s="7">
        <v>0.45100000000000001</v>
      </c>
      <c r="K3066" s="1" t="s">
        <v>29</v>
      </c>
      <c r="L3066" s="1" t="s">
        <v>29</v>
      </c>
      <c r="M3066" s="1" t="s">
        <v>29</v>
      </c>
      <c r="N3066" s="1" t="s">
        <v>22</v>
      </c>
      <c r="O3066" s="1" t="str">
        <f t="shared" ca="1" si="25"/>
        <v>Please solve the LeetCode problem '2067. Number of Equal Count Substrings'.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67" spans="1:15" x14ac:dyDescent="0.25">
      <c r="A3067" s="1">
        <v>2330</v>
      </c>
      <c r="B3067" s="2" t="str">
        <f>HYPERLINK("https://leetcode.com/problems/valid-palindrome-iv/", "Valid Palindrome IV")</f>
        <v>Valid Palindrome IV</v>
      </c>
      <c r="C3067" s="1">
        <v>111</v>
      </c>
      <c r="D3067" s="1">
        <v>35</v>
      </c>
      <c r="E3067" s="3">
        <f t="shared" si="24"/>
        <v>0.76027397260273977</v>
      </c>
      <c r="F3067" s="1" t="s">
        <v>117</v>
      </c>
      <c r="G3067" s="1" t="s">
        <v>24</v>
      </c>
      <c r="H3067" s="1">
        <v>20358</v>
      </c>
      <c r="I3067" s="1">
        <v>26909</v>
      </c>
      <c r="J3067" s="7">
        <v>0.75700000000000001</v>
      </c>
      <c r="K3067" s="1" t="s">
        <v>29</v>
      </c>
      <c r="L3067" s="1" t="s">
        <v>29</v>
      </c>
      <c r="M3067" s="1" t="s">
        <v>29</v>
      </c>
      <c r="N3067" s="1" t="s">
        <v>22</v>
      </c>
      <c r="O3067" s="1" t="str">
        <f t="shared" ca="1" si="25"/>
        <v>Please solve the LeetCode problem '2330. Valid Palindrome IV'.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68" spans="1:15" x14ac:dyDescent="0.25">
      <c r="A3068" s="1">
        <v>3407</v>
      </c>
      <c r="B3068" s="2" t="str">
        <f>HYPERLINK("https://leetcode.com/problems/substring-matching-pattern/", "Substring Matching Pattern")</f>
        <v>Substring Matching Pattern</v>
      </c>
      <c r="C3068" s="1">
        <v>111</v>
      </c>
      <c r="D3068" s="1">
        <v>50</v>
      </c>
      <c r="E3068" s="3">
        <f t="shared" si="24"/>
        <v>0.68944099378881984</v>
      </c>
      <c r="F3068" s="1" t="s">
        <v>207</v>
      </c>
      <c r="G3068" s="1" t="s">
        <v>20</v>
      </c>
      <c r="H3068" s="1">
        <v>36503</v>
      </c>
      <c r="I3068" s="1">
        <v>129957</v>
      </c>
      <c r="J3068" s="7">
        <v>0.28100000000000003</v>
      </c>
      <c r="K3068" s="1" t="s">
        <v>21</v>
      </c>
      <c r="L3068" s="1" t="s">
        <v>29</v>
      </c>
      <c r="M3068" s="1" t="s">
        <v>29</v>
      </c>
      <c r="N3068" s="1" t="s">
        <v>22</v>
      </c>
      <c r="O3068" s="1" t="str">
        <f t="shared" ca="1" si="25"/>
        <v>Please solve the LeetCode problem '3407. Substring Matching Pattern'.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69" spans="1:15" x14ac:dyDescent="0.25">
      <c r="A3069" s="1">
        <v>3584</v>
      </c>
      <c r="B3069" s="2" t="str">
        <f>HYPERLINK("https://leetcode.com/problems/maximum-product-of-first-and-last-elements-of-a-subsequence/", "Maximum Product of First and Last Elements of a Subsequence")</f>
        <v>Maximum Product of First and Last Elements of a Subsequence</v>
      </c>
      <c r="C3069" s="1">
        <v>111</v>
      </c>
      <c r="D3069" s="1">
        <v>1</v>
      </c>
      <c r="E3069" s="3">
        <f t="shared" si="24"/>
        <v>0.9910714285714286</v>
      </c>
      <c r="F3069" s="1" t="s">
        <v>51</v>
      </c>
      <c r="G3069" s="1" t="s">
        <v>24</v>
      </c>
      <c r="H3069" s="1">
        <v>19268</v>
      </c>
      <c r="I3069" s="1">
        <v>62007</v>
      </c>
      <c r="J3069" s="7">
        <v>0.311</v>
      </c>
      <c r="K3069" s="1" t="s">
        <v>21</v>
      </c>
      <c r="L3069" s="1" t="s">
        <v>29</v>
      </c>
      <c r="M3069" s="1" t="s">
        <v>29</v>
      </c>
      <c r="N3069" s="1" t="s">
        <v>22</v>
      </c>
      <c r="O3069" s="1" t="str">
        <f t="shared" ca="1" si="25"/>
        <v>Please solve the LeetCode problem '3584. Maximum Product of First and Last Elements of a Subsequence'.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70" spans="1:15" x14ac:dyDescent="0.25">
      <c r="A3070" s="1">
        <v>3659</v>
      </c>
      <c r="B3070" s="2" t="str">
        <f>HYPERLINK("https://leetcode.com/problems/partition-array-into-k-distinct-groups/", "Partition Array Into K-Distinct Groups")</f>
        <v>Partition Array Into K-Distinct Groups</v>
      </c>
      <c r="C3070" s="1">
        <v>111</v>
      </c>
      <c r="D3070" s="1">
        <v>71</v>
      </c>
      <c r="E3070" s="3">
        <f t="shared" si="24"/>
        <v>0.60989010989010994</v>
      </c>
      <c r="F3070" s="1" t="s">
        <v>294</v>
      </c>
      <c r="G3070" s="1" t="s">
        <v>24</v>
      </c>
      <c r="H3070" s="1">
        <v>49786</v>
      </c>
      <c r="I3070" s="1">
        <v>108637</v>
      </c>
      <c r="J3070" s="7">
        <v>0.45800000000000002</v>
      </c>
      <c r="K3070" s="1" t="s">
        <v>21</v>
      </c>
      <c r="L3070" s="1" t="s">
        <v>29</v>
      </c>
      <c r="M3070" s="1" t="s">
        <v>29</v>
      </c>
      <c r="N3070" s="1" t="s">
        <v>22</v>
      </c>
      <c r="O3070" s="1" t="str">
        <f t="shared" ca="1" si="25"/>
        <v>Please solve the LeetCode problem '3659. Partition Array Into K-Distinct Groups'.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71" spans="1:15" x14ac:dyDescent="0.25">
      <c r="A3071" s="1">
        <v>751</v>
      </c>
      <c r="B3071" s="2" t="str">
        <f>HYPERLINK("https://leetcode.com/problems/ip-to-cidr/", "IP to CIDR")</f>
        <v>IP to CIDR</v>
      </c>
      <c r="C3071" s="1">
        <v>110</v>
      </c>
      <c r="D3071" s="1">
        <v>357</v>
      </c>
      <c r="E3071" s="3">
        <f t="shared" si="24"/>
        <v>0.23554603854389722</v>
      </c>
      <c r="F3071" s="1" t="s">
        <v>1059</v>
      </c>
      <c r="G3071" s="1" t="s">
        <v>24</v>
      </c>
      <c r="H3071" s="1">
        <v>36830</v>
      </c>
      <c r="I3071" s="1">
        <v>68731</v>
      </c>
      <c r="J3071" s="7">
        <v>0.53600000000000003</v>
      </c>
      <c r="K3071" s="1" t="s">
        <v>29</v>
      </c>
      <c r="L3071" s="1" t="s">
        <v>29</v>
      </c>
      <c r="M3071" s="1" t="s">
        <v>29</v>
      </c>
      <c r="N3071" s="1" t="s">
        <v>22</v>
      </c>
      <c r="O3071" s="1" t="str">
        <f t="shared" ca="1" si="25"/>
        <v>Please solve the LeetCode problem '751. IP to CIDR'.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72" spans="1:15" x14ac:dyDescent="0.25">
      <c r="A3072" s="1">
        <v>1708</v>
      </c>
      <c r="B3072" s="2" t="str">
        <f>HYPERLINK("https://leetcode.com/problems/largest-subarray-length-k/", "Largest Subarray Length K")</f>
        <v>Largest Subarray Length K</v>
      </c>
      <c r="C3072" s="1">
        <v>110</v>
      </c>
      <c r="D3072" s="1">
        <v>116</v>
      </c>
      <c r="E3072" s="3">
        <f t="shared" si="24"/>
        <v>0.48672566371681414</v>
      </c>
      <c r="F3072" s="1" t="s">
        <v>96</v>
      </c>
      <c r="G3072" s="1" t="s">
        <v>20</v>
      </c>
      <c r="H3072" s="1">
        <v>10431</v>
      </c>
      <c r="I3072" s="1">
        <v>15905</v>
      </c>
      <c r="J3072" s="7">
        <v>0.65600000000000003</v>
      </c>
      <c r="K3072" s="1" t="s">
        <v>29</v>
      </c>
      <c r="L3072" s="1" t="s">
        <v>29</v>
      </c>
      <c r="M3072" s="1" t="s">
        <v>29</v>
      </c>
      <c r="N3072" s="1" t="s">
        <v>22</v>
      </c>
      <c r="O3072" s="1" t="str">
        <f t="shared" ca="1" si="25"/>
        <v>Please solve the LeetCode problem '1708. Largest Subarray Length K'.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73" spans="1:15" x14ac:dyDescent="0.25">
      <c r="A3073" s="1">
        <v>2313</v>
      </c>
      <c r="B3073" s="2" t="str">
        <f>HYPERLINK("https://leetcode.com/problems/minimum-flips-in-binary-tree-to-get-result/", "Minimum Flips in Binary Tree to Get Result")</f>
        <v>Minimum Flips in Binary Tree to Get Result</v>
      </c>
      <c r="C3073" s="1">
        <v>110</v>
      </c>
      <c r="D3073" s="1">
        <v>2</v>
      </c>
      <c r="E3073" s="3">
        <f t="shared" si="24"/>
        <v>0.9821428571428571</v>
      </c>
      <c r="F3073" s="1" t="s">
        <v>68</v>
      </c>
      <c r="G3073" s="1" t="s">
        <v>28</v>
      </c>
      <c r="H3073" s="1">
        <v>4948</v>
      </c>
      <c r="I3073" s="1">
        <v>8727</v>
      </c>
      <c r="J3073" s="7">
        <v>0.56699999999999995</v>
      </c>
      <c r="K3073" s="1" t="s">
        <v>29</v>
      </c>
      <c r="L3073" s="1" t="s">
        <v>29</v>
      </c>
      <c r="M3073" s="1" t="s">
        <v>29</v>
      </c>
      <c r="N3073" s="1" t="s">
        <v>22</v>
      </c>
      <c r="O3073" s="1" t="str">
        <f t="shared" ca="1" si="25"/>
        <v>Please solve the LeetCode problem '2313. Minimum Flips in Binary Tree to Get Result'.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74" spans="1:15" x14ac:dyDescent="0.25">
      <c r="A3074" s="1">
        <v>3083</v>
      </c>
      <c r="B3074" s="2" t="str">
        <f>HYPERLINK("https://leetcode.com/problems/existence-of-a-substring-in-a-string-and-its-reverse/", "Existence of a Substring in a String and Its Reverse")</f>
        <v>Existence of a Substring in a String and Its Reverse</v>
      </c>
      <c r="C3074" s="1">
        <v>110</v>
      </c>
      <c r="D3074" s="1">
        <v>1</v>
      </c>
      <c r="E3074" s="3">
        <f t="shared" si="24"/>
        <v>0.99099099099099097</v>
      </c>
      <c r="F3074" s="1" t="s">
        <v>131</v>
      </c>
      <c r="G3074" s="1" t="s">
        <v>20</v>
      </c>
      <c r="H3074" s="1">
        <v>55081</v>
      </c>
      <c r="I3074" s="1">
        <v>83061</v>
      </c>
      <c r="J3074" s="7">
        <v>0.66300000000000003</v>
      </c>
      <c r="K3074" s="1" t="s">
        <v>21</v>
      </c>
      <c r="L3074" s="1" t="s">
        <v>29</v>
      </c>
      <c r="M3074" s="1" t="s">
        <v>29</v>
      </c>
      <c r="N3074" s="1" t="s">
        <v>22</v>
      </c>
      <c r="O3074" s="1" t="str">
        <f t="shared" ca="1" si="25"/>
        <v>Please solve the LeetCode problem '3083. Existence of a Substring in a String and Its Reverse'.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75" spans="1:15" x14ac:dyDescent="0.25">
      <c r="A3075" s="1">
        <v>3142</v>
      </c>
      <c r="B3075" s="2" t="str">
        <f>HYPERLINK("https://leetcode.com/problems/check-if-grid-satisfies-conditions/", "Check if Grid Satisfies Conditions")</f>
        <v>Check if Grid Satisfies Conditions</v>
      </c>
      <c r="C3075" s="1">
        <v>110</v>
      </c>
      <c r="D3075" s="1">
        <v>6</v>
      </c>
      <c r="E3075" s="3">
        <f t="shared" si="24"/>
        <v>0.94827586206896552</v>
      </c>
      <c r="F3075" s="1" t="s">
        <v>266</v>
      </c>
      <c r="G3075" s="1" t="s">
        <v>20</v>
      </c>
      <c r="H3075" s="1">
        <v>43739</v>
      </c>
      <c r="I3075" s="1">
        <v>97783</v>
      </c>
      <c r="J3075" s="7">
        <v>0.44700000000000001</v>
      </c>
      <c r="K3075" s="1" t="s">
        <v>21</v>
      </c>
      <c r="L3075" s="1" t="s">
        <v>29</v>
      </c>
      <c r="M3075" s="1" t="s">
        <v>29</v>
      </c>
      <c r="N3075" s="1" t="s">
        <v>22</v>
      </c>
      <c r="O3075" s="1" t="str">
        <f t="shared" ca="1" si="25"/>
        <v>Please solve the LeetCode problem '3142. Check if Grid Satisfies Conditions'.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76" spans="1:15" x14ac:dyDescent="0.25">
      <c r="A3076" s="1">
        <v>3747</v>
      </c>
      <c r="B3076" s="2" t="str">
        <f>HYPERLINK("https://leetcode.com/problems/count-distinct-integers-after-removing-zeros/", "Count Distinct Integers After Removing Zeros")</f>
        <v>Count Distinct Integers After Removing Zeros</v>
      </c>
      <c r="C3076" s="1">
        <v>110</v>
      </c>
      <c r="D3076" s="1">
        <v>10</v>
      </c>
      <c r="E3076" s="3">
        <f t="shared" si="24"/>
        <v>0.91666666666666663</v>
      </c>
      <c r="F3076" s="1" t="s">
        <v>250</v>
      </c>
      <c r="G3076" s="1" t="s">
        <v>24</v>
      </c>
      <c r="H3076" s="1">
        <v>14361</v>
      </c>
      <c r="I3076" s="1">
        <v>64985</v>
      </c>
      <c r="J3076" s="7">
        <v>0.221</v>
      </c>
      <c r="K3076" s="1" t="s">
        <v>21</v>
      </c>
      <c r="L3076" s="1" t="s">
        <v>29</v>
      </c>
      <c r="M3076" s="1" t="s">
        <v>29</v>
      </c>
      <c r="N3076" s="1" t="s">
        <v>22</v>
      </c>
      <c r="O3076" s="1" t="str">
        <f t="shared" ca="1" si="25"/>
        <v>Please solve the LeetCode problem '3747. Count Distinct Integers After Removing Zeros'.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77" spans="1:15" x14ac:dyDescent="0.25">
      <c r="A3077" s="1">
        <v>2510</v>
      </c>
      <c r="B3077" s="2" t="str">
        <f>HYPERLINK("https://leetcode.com/problems/check-if-there-is-a-path-with-equal-number-of-0s-and-1s/", "Check if There is a Path With Equal Number of 0's And 1's")</f>
        <v>Check if There is a Path With Equal Number of 0's And 1's</v>
      </c>
      <c r="C3077" s="1">
        <v>109</v>
      </c>
      <c r="D3077" s="1">
        <v>5</v>
      </c>
      <c r="E3077" s="3">
        <f t="shared" si="24"/>
        <v>0.95614035087719296</v>
      </c>
      <c r="F3077" s="1" t="s">
        <v>94</v>
      </c>
      <c r="G3077" s="1" t="s">
        <v>24</v>
      </c>
      <c r="H3077" s="1">
        <v>7610</v>
      </c>
      <c r="I3077" s="1">
        <v>14706</v>
      </c>
      <c r="J3077" s="7">
        <v>0.51700000000000002</v>
      </c>
      <c r="K3077" s="1" t="s">
        <v>29</v>
      </c>
      <c r="L3077" s="1" t="s">
        <v>29</v>
      </c>
      <c r="M3077" s="1" t="s">
        <v>29</v>
      </c>
      <c r="N3077" s="1" t="s">
        <v>22</v>
      </c>
      <c r="O3077" s="1" t="str">
        <f t="shared" ca="1" si="25"/>
        <v>Please solve the LeetCode problem '2510. Check if There is a Path With Equal Number of 0's And 1's'.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78" spans="1:15" x14ac:dyDescent="0.25">
      <c r="A3078" s="1">
        <v>3210</v>
      </c>
      <c r="B3078" s="2" t="str">
        <f>HYPERLINK("https://leetcode.com/problems/find-the-encrypted-string/", "Find the Encrypted String")</f>
        <v>Find the Encrypted String</v>
      </c>
      <c r="C3078" s="1">
        <v>109</v>
      </c>
      <c r="D3078" s="1">
        <v>10</v>
      </c>
      <c r="E3078" s="3">
        <f t="shared" si="24"/>
        <v>0.91596638655462181</v>
      </c>
      <c r="F3078" s="1" t="s">
        <v>146</v>
      </c>
      <c r="G3078" s="1" t="s">
        <v>20</v>
      </c>
      <c r="H3078" s="1">
        <v>66487</v>
      </c>
      <c r="I3078" s="1">
        <v>97578</v>
      </c>
      <c r="J3078" s="7">
        <v>0.68100000000000005</v>
      </c>
      <c r="K3078" s="1" t="s">
        <v>21</v>
      </c>
      <c r="L3078" s="1" t="s">
        <v>29</v>
      </c>
      <c r="M3078" s="1" t="s">
        <v>29</v>
      </c>
      <c r="N3078" s="1" t="s">
        <v>22</v>
      </c>
      <c r="O3078" s="1" t="str">
        <f t="shared" ca="1" si="25"/>
        <v>Please solve the LeetCode problem '3210. Find the Encrypted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79" spans="1:15" x14ac:dyDescent="0.25">
      <c r="A3079" s="1">
        <v>3537</v>
      </c>
      <c r="B3079" s="2" t="str">
        <f>HYPERLINK("https://leetcode.com/problems/fill-a-special-grid/", "Fill a Special Grid")</f>
        <v>Fill a Special Grid</v>
      </c>
      <c r="C3079" s="1">
        <v>109</v>
      </c>
      <c r="D3079" s="1">
        <v>9</v>
      </c>
      <c r="E3079" s="3">
        <f t="shared" si="24"/>
        <v>0.92372881355932202</v>
      </c>
      <c r="F3079" s="1" t="s">
        <v>1171</v>
      </c>
      <c r="G3079" s="1" t="s">
        <v>24</v>
      </c>
      <c r="H3079" s="1">
        <v>20483</v>
      </c>
      <c r="I3079" s="1">
        <v>29017</v>
      </c>
      <c r="J3079" s="7">
        <v>0.70599999999999996</v>
      </c>
      <c r="K3079" s="1" t="s">
        <v>21</v>
      </c>
      <c r="L3079" s="1" t="s">
        <v>29</v>
      </c>
      <c r="M3079" s="1" t="s">
        <v>29</v>
      </c>
      <c r="N3079" s="1" t="s">
        <v>22</v>
      </c>
      <c r="O3079" s="1" t="str">
        <f t="shared" ca="1" si="25"/>
        <v>Please solve the LeetCode problem '3537. Fill a Special Grid'.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80" spans="1:15" x14ac:dyDescent="0.25">
      <c r="A3080" s="1">
        <v>3111</v>
      </c>
      <c r="B3080" s="2" t="str">
        <f>HYPERLINK("https://leetcode.com/problems/minimum-rectangles-to-cover-points/", "Minimum Rectangles to Cover Points")</f>
        <v>Minimum Rectangles to Cover Points</v>
      </c>
      <c r="C3080" s="1">
        <v>108</v>
      </c>
      <c r="D3080" s="1">
        <v>8</v>
      </c>
      <c r="E3080" s="3">
        <f t="shared" si="24"/>
        <v>0.93103448275862066</v>
      </c>
      <c r="F3080" s="1" t="s">
        <v>169</v>
      </c>
      <c r="G3080" s="1" t="s">
        <v>24</v>
      </c>
      <c r="H3080" s="1">
        <v>32176</v>
      </c>
      <c r="I3080" s="1">
        <v>50706</v>
      </c>
      <c r="J3080" s="7">
        <v>0.63500000000000001</v>
      </c>
      <c r="K3080" s="1" t="s">
        <v>21</v>
      </c>
      <c r="L3080" s="1" t="s">
        <v>29</v>
      </c>
      <c r="M3080" s="1" t="s">
        <v>29</v>
      </c>
      <c r="N3080" s="1" t="s">
        <v>22</v>
      </c>
      <c r="O3080" s="1" t="str">
        <f t="shared" ca="1" si="25"/>
        <v>Please solve the LeetCode problem '3111. Minimum Rectangles to Cover Points'.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81" spans="1:15" x14ac:dyDescent="0.25">
      <c r="A3081" s="1">
        <v>3256</v>
      </c>
      <c r="B3081" s="2" t="str">
        <f>HYPERLINK("https://leetcode.com/problems/maximum-value-sum-by-placing-three-rooks-i/", "Maximum Value Sum by Placing Three Rooks I")</f>
        <v>Maximum Value Sum by Placing Three Rooks I</v>
      </c>
      <c r="C3081" s="1">
        <v>108</v>
      </c>
      <c r="D3081" s="1">
        <v>11</v>
      </c>
      <c r="E3081" s="3">
        <f t="shared" si="24"/>
        <v>0.90756302521008403</v>
      </c>
      <c r="F3081" s="1" t="s">
        <v>1173</v>
      </c>
      <c r="G3081" s="1" t="s">
        <v>28</v>
      </c>
      <c r="H3081" s="1">
        <v>9557</v>
      </c>
      <c r="I3081" s="1">
        <v>58672</v>
      </c>
      <c r="J3081" s="7">
        <v>0.16300000000000001</v>
      </c>
      <c r="K3081" s="1" t="s">
        <v>21</v>
      </c>
      <c r="L3081" s="1" t="s">
        <v>29</v>
      </c>
      <c r="M3081" s="1" t="s">
        <v>29</v>
      </c>
      <c r="N3081" s="1" t="s">
        <v>22</v>
      </c>
      <c r="O3081" s="1" t="str">
        <f t="shared" ca="1" si="25"/>
        <v>Please solve the LeetCode problem '3256. Maximum Value Sum by Placing Three Rooks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82" spans="1:15" x14ac:dyDescent="0.25">
      <c r="A3082" s="1">
        <v>3271</v>
      </c>
      <c r="B3082" s="2" t="str">
        <f>HYPERLINK("https://leetcode.com/problems/hash-divided-string/", "Hash Divided String")</f>
        <v>Hash Divided String</v>
      </c>
      <c r="C3082" s="1">
        <v>108</v>
      </c>
      <c r="D3082" s="1">
        <v>15</v>
      </c>
      <c r="E3082" s="3">
        <f t="shared" si="24"/>
        <v>0.87804878048780488</v>
      </c>
      <c r="F3082" s="1" t="s">
        <v>414</v>
      </c>
      <c r="G3082" s="1" t="s">
        <v>24</v>
      </c>
      <c r="H3082" s="1">
        <v>49238</v>
      </c>
      <c r="I3082" s="1">
        <v>59255</v>
      </c>
      <c r="J3082" s="7">
        <v>0.83099999999999996</v>
      </c>
      <c r="K3082" s="1" t="s">
        <v>21</v>
      </c>
      <c r="L3082" s="1" t="s">
        <v>29</v>
      </c>
      <c r="M3082" s="1" t="s">
        <v>29</v>
      </c>
      <c r="N3082" s="1" t="s">
        <v>22</v>
      </c>
      <c r="O3082" s="1" t="str">
        <f t="shared" ca="1" si="25"/>
        <v>Please solve the LeetCode problem '3271. Hash Divided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83" spans="1:15" x14ac:dyDescent="0.25">
      <c r="A3083" s="1">
        <v>3277</v>
      </c>
      <c r="B3083" s="2" t="str">
        <f>HYPERLINK("https://leetcode.com/problems/maximum-xor-score-subarray-queries/", "Maximum XOR Score Subarray Queries")</f>
        <v>Maximum XOR Score Subarray Queries</v>
      </c>
      <c r="C3083" s="1">
        <v>108</v>
      </c>
      <c r="D3083" s="1">
        <v>16</v>
      </c>
      <c r="E3083" s="3">
        <f t="shared" si="24"/>
        <v>0.87096774193548387</v>
      </c>
      <c r="F3083" s="1" t="s">
        <v>30</v>
      </c>
      <c r="G3083" s="1" t="s">
        <v>28</v>
      </c>
      <c r="H3083" s="1">
        <v>5373</v>
      </c>
      <c r="I3083" s="1">
        <v>12354</v>
      </c>
      <c r="J3083" s="7">
        <v>0.435</v>
      </c>
      <c r="K3083" s="1" t="s">
        <v>21</v>
      </c>
      <c r="L3083" s="1" t="s">
        <v>29</v>
      </c>
      <c r="M3083" s="1" t="s">
        <v>29</v>
      </c>
      <c r="N3083" s="1" t="s">
        <v>22</v>
      </c>
      <c r="O3083" s="1" t="str">
        <f t="shared" ca="1" si="25"/>
        <v>Please solve the LeetCode problem '3277. Maximum XOR Score Subarray Queries'.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84" spans="1:15" x14ac:dyDescent="0.25">
      <c r="A3084" s="1">
        <v>521</v>
      </c>
      <c r="B3084" s="2" t="str">
        <f>HYPERLINK("https://leetcode.com/problems/longest-uncommon-subsequence-i/", "Longest Uncommon Subsequence I")</f>
        <v>Longest Uncommon Subsequence I</v>
      </c>
      <c r="C3084" s="1">
        <v>107</v>
      </c>
      <c r="D3084" s="1">
        <v>339</v>
      </c>
      <c r="E3084" s="3">
        <f t="shared" si="24"/>
        <v>0.23991031390134529</v>
      </c>
      <c r="F3084" s="1" t="s">
        <v>146</v>
      </c>
      <c r="G3084" s="1" t="s">
        <v>20</v>
      </c>
      <c r="H3084" s="1">
        <v>146389</v>
      </c>
      <c r="I3084" s="1">
        <v>236396</v>
      </c>
      <c r="J3084" s="7">
        <v>0.61899999999999999</v>
      </c>
      <c r="K3084" s="1" t="s">
        <v>21</v>
      </c>
      <c r="L3084" s="1" t="s">
        <v>21</v>
      </c>
      <c r="M3084" s="1" t="s">
        <v>29</v>
      </c>
      <c r="N3084" s="1" t="s">
        <v>22</v>
      </c>
      <c r="O3084" s="1" t="str">
        <f t="shared" ca="1" si="25"/>
        <v>Please solve the LeetCode problem '521. Longest Uncommon Subsequence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85" spans="1:15" x14ac:dyDescent="0.25">
      <c r="A3085" s="1">
        <v>1142</v>
      </c>
      <c r="B3085" s="2" t="str">
        <f>HYPERLINK("https://leetcode.com/problems/user-activity-for-the-past-30-days-ii/", "User Activity for the Past 30 Days II")</f>
        <v>User Activity for the Past 30 Days II</v>
      </c>
      <c r="C3085" s="1">
        <v>107</v>
      </c>
      <c r="D3085" s="1">
        <v>380</v>
      </c>
      <c r="E3085" s="3">
        <f t="shared" si="24"/>
        <v>0.21971252566735114</v>
      </c>
      <c r="F3085" s="1" t="s">
        <v>297</v>
      </c>
      <c r="G3085" s="1" t="s">
        <v>20</v>
      </c>
      <c r="H3085" s="1">
        <v>48680</v>
      </c>
      <c r="I3085" s="1">
        <v>136633</v>
      </c>
      <c r="J3085" s="7">
        <v>0.35599999999999998</v>
      </c>
      <c r="K3085" s="1" t="s">
        <v>29</v>
      </c>
      <c r="L3085" s="1" t="s">
        <v>29</v>
      </c>
      <c r="M3085" s="1" t="s">
        <v>29</v>
      </c>
      <c r="N3085" s="1" t="s">
        <v>297</v>
      </c>
      <c r="O3085" s="1" t="str">
        <f t="shared" ca="1" si="25"/>
        <v>Please solve the LeetCode problem '1142. User Activity for the Past 30 Days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86" spans="1:15" x14ac:dyDescent="0.25">
      <c r="A3086" s="1">
        <v>2881</v>
      </c>
      <c r="B3086" s="2" t="str">
        <f>HYPERLINK("https://leetcode.com/problems/create-a-new-column/", "Create a New Column")</f>
        <v>Create a New Column</v>
      </c>
      <c r="C3086" s="1">
        <v>107</v>
      </c>
      <c r="D3086" s="1">
        <v>6</v>
      </c>
      <c r="E3086" s="3">
        <f t="shared" si="24"/>
        <v>0.94690265486725667</v>
      </c>
      <c r="G3086" s="1" t="s">
        <v>20</v>
      </c>
      <c r="H3086" s="1">
        <v>148749</v>
      </c>
      <c r="I3086" s="1">
        <v>164883</v>
      </c>
      <c r="J3086" s="7">
        <v>0.90200000000000002</v>
      </c>
      <c r="K3086" s="1" t="s">
        <v>21</v>
      </c>
      <c r="L3086" s="1" t="s">
        <v>21</v>
      </c>
      <c r="M3086" s="1" t="s">
        <v>29</v>
      </c>
      <c r="N3086" s="1" t="s">
        <v>1047</v>
      </c>
      <c r="O3086" s="1" t="str">
        <f t="shared" ca="1" si="25"/>
        <v>Please solve the LeetCode problem '2881. Create a New Column'.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87" spans="1:15" x14ac:dyDescent="0.25">
      <c r="A3087" s="1">
        <v>2891</v>
      </c>
      <c r="B3087" s="2" t="str">
        <f>HYPERLINK("https://leetcode.com/problems/method-chaining/", "Method Chaining")</f>
        <v>Method Chaining</v>
      </c>
      <c r="C3087" s="1">
        <v>107</v>
      </c>
      <c r="D3087" s="1">
        <v>6</v>
      </c>
      <c r="E3087" s="3">
        <f t="shared" si="24"/>
        <v>0.94690265486725667</v>
      </c>
      <c r="G3087" s="1" t="s">
        <v>20</v>
      </c>
      <c r="H3087" s="1">
        <v>95919</v>
      </c>
      <c r="I3087" s="1">
        <v>125810</v>
      </c>
      <c r="J3087" s="7">
        <v>0.76200000000000001</v>
      </c>
      <c r="K3087" s="1" t="s">
        <v>21</v>
      </c>
      <c r="L3087" s="1" t="s">
        <v>21</v>
      </c>
      <c r="M3087" s="1" t="s">
        <v>29</v>
      </c>
      <c r="N3087" s="1" t="s">
        <v>1047</v>
      </c>
      <c r="O3087" s="1" t="str">
        <f t="shared" ca="1" si="25"/>
        <v>Please solve the LeetCode problem '2891. Method Chaining'.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88" spans="1:15" x14ac:dyDescent="0.25">
      <c r="A3088" s="1">
        <v>3462</v>
      </c>
      <c r="B3088" s="2" t="str">
        <f>HYPERLINK("https://leetcode.com/problems/maximum-sum-with-at-most-k-elements/", "Maximum Sum With at Most K Elements")</f>
        <v>Maximum Sum With at Most K Elements</v>
      </c>
      <c r="C3088" s="1">
        <v>107</v>
      </c>
      <c r="D3088" s="1">
        <v>4</v>
      </c>
      <c r="E3088" s="3">
        <f t="shared" si="24"/>
        <v>0.963963963963964</v>
      </c>
      <c r="F3088" s="1" t="s">
        <v>1166</v>
      </c>
      <c r="G3088" s="1" t="s">
        <v>24</v>
      </c>
      <c r="H3088" s="1">
        <v>38475</v>
      </c>
      <c r="I3088" s="1">
        <v>63701</v>
      </c>
      <c r="J3088" s="7">
        <v>0.60399999999999998</v>
      </c>
      <c r="K3088" s="1" t="s">
        <v>21</v>
      </c>
      <c r="L3088" s="1" t="s">
        <v>29</v>
      </c>
      <c r="M3088" s="1" t="s">
        <v>29</v>
      </c>
      <c r="N3088" s="1" t="s">
        <v>22</v>
      </c>
      <c r="O3088" s="1" t="str">
        <f t="shared" ca="1" si="25"/>
        <v>Please solve the LeetCode problem '3462. Maximum Sum With at Most K Elements'.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89" spans="1:15" x14ac:dyDescent="0.25">
      <c r="A3089" s="1">
        <v>3468</v>
      </c>
      <c r="B3089" s="2" t="str">
        <f>HYPERLINK("https://leetcode.com/problems/find-the-number-of-copy-arrays/", "Find the Number of Copy Arrays")</f>
        <v>Find the Number of Copy Arrays</v>
      </c>
      <c r="C3089" s="1">
        <v>107</v>
      </c>
      <c r="D3089" s="1">
        <v>20</v>
      </c>
      <c r="E3089" s="3">
        <f t="shared" si="24"/>
        <v>0.84251968503937003</v>
      </c>
      <c r="F3089" s="1" t="s">
        <v>115</v>
      </c>
      <c r="G3089" s="1" t="s">
        <v>24</v>
      </c>
      <c r="H3089" s="1">
        <v>20889</v>
      </c>
      <c r="I3089" s="1">
        <v>44751</v>
      </c>
      <c r="J3089" s="7">
        <v>0.46700000000000003</v>
      </c>
      <c r="K3089" s="1" t="s">
        <v>21</v>
      </c>
      <c r="L3089" s="1" t="s">
        <v>29</v>
      </c>
      <c r="M3089" s="1" t="s">
        <v>29</v>
      </c>
      <c r="N3089" s="1" t="s">
        <v>22</v>
      </c>
      <c r="O3089" s="1" t="str">
        <f t="shared" ca="1" si="25"/>
        <v>Please solve the LeetCode problem '3468. Find the Number of Copy Arrays'.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90" spans="1:15" x14ac:dyDescent="0.25">
      <c r="A3090" s="1">
        <v>3599</v>
      </c>
      <c r="B3090" s="2" t="str">
        <f>HYPERLINK("https://leetcode.com/problems/partition-array-to-minimize-xor/", "Partition Array to Minimize XOR")</f>
        <v>Partition Array to Minimize XOR</v>
      </c>
      <c r="C3090" s="1">
        <v>107</v>
      </c>
      <c r="D3090" s="1">
        <v>7</v>
      </c>
      <c r="E3090" s="3">
        <f t="shared" si="24"/>
        <v>0.93859649122807021</v>
      </c>
      <c r="F3090" s="1" t="s">
        <v>1176</v>
      </c>
      <c r="G3090" s="1" t="s">
        <v>24</v>
      </c>
      <c r="H3090" s="1">
        <v>13815</v>
      </c>
      <c r="I3090" s="1">
        <v>33801</v>
      </c>
      <c r="J3090" s="7">
        <v>0.40899999999999997</v>
      </c>
      <c r="K3090" s="1" t="s">
        <v>21</v>
      </c>
      <c r="L3090" s="1" t="s">
        <v>29</v>
      </c>
      <c r="M3090" s="1" t="s">
        <v>29</v>
      </c>
      <c r="N3090" s="1" t="s">
        <v>22</v>
      </c>
      <c r="O3090" s="1" t="str">
        <f t="shared" ca="1" si="25"/>
        <v>Please solve the LeetCode problem '3599. Partition Array to Minimize XOR'.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91" spans="1:15" x14ac:dyDescent="0.25">
      <c r="A3091" s="1">
        <v>3720</v>
      </c>
      <c r="B3091" s="2" t="str">
        <f>HYPERLINK("https://leetcode.com/problems/lexicographically-smallest-permutation-greater-than-target/", "Lexicographically Smallest Permutation Greater Than Target")</f>
        <v>Lexicographically Smallest Permutation Greater Than Target</v>
      </c>
      <c r="C3091" s="1">
        <v>107</v>
      </c>
      <c r="D3091" s="1">
        <v>7</v>
      </c>
      <c r="E3091" s="3">
        <f t="shared" si="24"/>
        <v>0.93859649122807021</v>
      </c>
      <c r="F3091" s="1" t="s">
        <v>1169</v>
      </c>
      <c r="G3091" s="1" t="s">
        <v>24</v>
      </c>
      <c r="H3091" s="1">
        <v>12156</v>
      </c>
      <c r="I3091" s="1">
        <v>46275</v>
      </c>
      <c r="J3091" s="7">
        <v>0.26300000000000001</v>
      </c>
      <c r="K3091" s="1" t="s">
        <v>21</v>
      </c>
      <c r="L3091" s="1" t="s">
        <v>29</v>
      </c>
      <c r="M3091" s="1" t="s">
        <v>29</v>
      </c>
      <c r="N3091" s="1" t="s">
        <v>22</v>
      </c>
      <c r="O3091" s="1" t="str">
        <f t="shared" ca="1" si="25"/>
        <v>Please solve the LeetCode problem '3720. Lexicographically Smallest Permutation Greater Than Target'.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92" spans="1:15" x14ac:dyDescent="0.25">
      <c r="A3092" s="1">
        <v>972</v>
      </c>
      <c r="B3092" s="2" t="str">
        <f>HYPERLINK("https://leetcode.com/problems/equal-rational-numbers/", "Equal Rational Numbers")</f>
        <v>Equal Rational Numbers</v>
      </c>
      <c r="C3092" s="1">
        <v>106</v>
      </c>
      <c r="D3092" s="1">
        <v>218</v>
      </c>
      <c r="E3092" s="3">
        <f t="shared" si="24"/>
        <v>0.3271604938271605</v>
      </c>
      <c r="F3092" s="1" t="s">
        <v>228</v>
      </c>
      <c r="G3092" s="1" t="s">
        <v>28</v>
      </c>
      <c r="H3092" s="1">
        <v>9610</v>
      </c>
      <c r="I3092" s="1">
        <v>20957</v>
      </c>
      <c r="J3092" s="7">
        <v>0.45900000000000002</v>
      </c>
      <c r="K3092" s="1" t="s">
        <v>21</v>
      </c>
      <c r="L3092" s="1" t="s">
        <v>21</v>
      </c>
      <c r="M3092" s="1" t="s">
        <v>29</v>
      </c>
      <c r="N3092" s="1" t="s">
        <v>22</v>
      </c>
      <c r="O3092" s="1" t="str">
        <f t="shared" ca="1" si="25"/>
        <v>Please solve the LeetCode problem '972. Equal Rational Numbers'.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93" spans="1:15" x14ac:dyDescent="0.25">
      <c r="A3093" s="1">
        <v>3260</v>
      </c>
      <c r="B3093" s="2" t="str">
        <f>HYPERLINK("https://leetcode.com/problems/find-the-largest-palindrome-divisible-by-k/", "Find the Largest Palindrome Divisible by K")</f>
        <v>Find the Largest Palindrome Divisible by K</v>
      </c>
      <c r="C3093" s="1">
        <v>106</v>
      </c>
      <c r="D3093" s="1">
        <v>69</v>
      </c>
      <c r="E3093" s="3">
        <f t="shared" si="24"/>
        <v>0.60571428571428576</v>
      </c>
      <c r="F3093" s="1" t="s">
        <v>1174</v>
      </c>
      <c r="G3093" s="1" t="s">
        <v>28</v>
      </c>
      <c r="H3093" s="1">
        <v>9047</v>
      </c>
      <c r="I3093" s="1">
        <v>53857</v>
      </c>
      <c r="J3093" s="7">
        <v>0.16800000000000001</v>
      </c>
      <c r="K3093" s="1" t="s">
        <v>21</v>
      </c>
      <c r="L3093" s="1" t="s">
        <v>29</v>
      </c>
      <c r="M3093" s="1" t="s">
        <v>29</v>
      </c>
      <c r="N3093" s="1" t="s">
        <v>22</v>
      </c>
      <c r="O3093" s="1" t="str">
        <f t="shared" ca="1" si="25"/>
        <v>Please solve the LeetCode problem '3260. Find the Largest Palindrome Divisible by K'.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94" spans="1:15" x14ac:dyDescent="0.25">
      <c r="A3094" s="1">
        <v>3309</v>
      </c>
      <c r="B3094" s="2" t="str">
        <f>HYPERLINK("https://leetcode.com/problems/maximum-possible-number-by-binary-concatenation/", "Maximum Possible Number by Binary Concatenation")</f>
        <v>Maximum Possible Number by Binary Concatenation</v>
      </c>
      <c r="C3094" s="1">
        <v>106</v>
      </c>
      <c r="D3094" s="1">
        <v>7</v>
      </c>
      <c r="E3094" s="3">
        <f t="shared" si="24"/>
        <v>0.93805309734513276</v>
      </c>
      <c r="F3094" s="1" t="s">
        <v>1175</v>
      </c>
      <c r="G3094" s="1" t="s">
        <v>24</v>
      </c>
      <c r="H3094" s="1">
        <v>35754</v>
      </c>
      <c r="I3094" s="1">
        <v>54832</v>
      </c>
      <c r="J3094" s="7">
        <v>0.65200000000000002</v>
      </c>
      <c r="K3094" s="1" t="s">
        <v>21</v>
      </c>
      <c r="L3094" s="1" t="s">
        <v>29</v>
      </c>
      <c r="M3094" s="1" t="s">
        <v>29</v>
      </c>
      <c r="N3094" s="1" t="s">
        <v>22</v>
      </c>
      <c r="O3094" s="1" t="str">
        <f t="shared" ca="1" si="25"/>
        <v>Please solve the LeetCode problem '3309. Maximum Possible Number by Binary Concatenation'.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95" spans="1:15" x14ac:dyDescent="0.25">
      <c r="A3095" s="1">
        <v>3532</v>
      </c>
      <c r="B3095" s="2" t="str">
        <f>HYPERLINK("https://leetcode.com/problems/path-existence-queries-in-a-graph-i/", "Path Existence Queries in a Graph I")</f>
        <v>Path Existence Queries in a Graph I</v>
      </c>
      <c r="C3095" s="1">
        <v>106</v>
      </c>
      <c r="D3095" s="1">
        <v>4</v>
      </c>
      <c r="E3095" s="3">
        <f t="shared" si="24"/>
        <v>0.96363636363636362</v>
      </c>
      <c r="F3095" s="1" t="s">
        <v>1172</v>
      </c>
      <c r="G3095" s="1" t="s">
        <v>24</v>
      </c>
      <c r="H3095" s="1">
        <v>21373</v>
      </c>
      <c r="I3095" s="1">
        <v>38676</v>
      </c>
      <c r="J3095" s="7">
        <v>0.55300000000000005</v>
      </c>
      <c r="K3095" s="1" t="s">
        <v>21</v>
      </c>
      <c r="L3095" s="1" t="s">
        <v>29</v>
      </c>
      <c r="M3095" s="1" t="s">
        <v>29</v>
      </c>
      <c r="N3095" s="1" t="s">
        <v>22</v>
      </c>
      <c r="O3095" s="1" t="str">
        <f t="shared" ca="1" si="25"/>
        <v>Please solve the LeetCode problem '3532. Path Existence Queries in a Graph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96" spans="1:15" x14ac:dyDescent="0.25">
      <c r="A3096" s="1">
        <v>2173</v>
      </c>
      <c r="B3096" s="2" t="str">
        <f>HYPERLINK("https://leetcode.com/problems/longest-winning-streak/", "Longest Winning Streak")</f>
        <v>Longest Winning Streak</v>
      </c>
      <c r="C3096" s="1">
        <v>105</v>
      </c>
      <c r="D3096" s="1">
        <v>4</v>
      </c>
      <c r="E3096" s="3">
        <f t="shared" si="24"/>
        <v>0.96330275229357798</v>
      </c>
      <c r="F3096" s="1" t="s">
        <v>297</v>
      </c>
      <c r="G3096" s="1" t="s">
        <v>28</v>
      </c>
      <c r="H3096" s="1">
        <v>7401</v>
      </c>
      <c r="I3096" s="1">
        <v>13620</v>
      </c>
      <c r="J3096" s="7">
        <v>0.54300000000000004</v>
      </c>
      <c r="K3096" s="1" t="s">
        <v>29</v>
      </c>
      <c r="L3096" s="1" t="s">
        <v>21</v>
      </c>
      <c r="M3096" s="1" t="s">
        <v>29</v>
      </c>
      <c r="N3096" s="1" t="s">
        <v>297</v>
      </c>
      <c r="O3096" s="1" t="str">
        <f t="shared" ca="1" si="25"/>
        <v>Please solve the LeetCode problem '2173. Longest Winning Streak'.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97" spans="1:15" x14ac:dyDescent="0.25">
      <c r="A3097" s="1">
        <v>3388</v>
      </c>
      <c r="B3097" s="2" t="str">
        <f>HYPERLINK("https://leetcode.com/problems/count-beautiful-splits-in-an-array/", "Count Beautiful Splits in an Array")</f>
        <v>Count Beautiful Splits in an Array</v>
      </c>
      <c r="C3097" s="1">
        <v>105</v>
      </c>
      <c r="D3097" s="1">
        <v>25</v>
      </c>
      <c r="E3097" s="3">
        <f t="shared" si="24"/>
        <v>0.80769230769230771</v>
      </c>
      <c r="F3097" s="1" t="s">
        <v>30</v>
      </c>
      <c r="G3097" s="1" t="s">
        <v>24</v>
      </c>
      <c r="H3097" s="1">
        <v>7770</v>
      </c>
      <c r="I3097" s="1">
        <v>42131</v>
      </c>
      <c r="J3097" s="7">
        <v>0.184</v>
      </c>
      <c r="K3097" s="1" t="s">
        <v>21</v>
      </c>
      <c r="L3097" s="1" t="s">
        <v>29</v>
      </c>
      <c r="M3097" s="1" t="s">
        <v>29</v>
      </c>
      <c r="N3097" s="1" t="s">
        <v>22</v>
      </c>
      <c r="O3097" s="1" t="str">
        <f t="shared" ca="1" si="25"/>
        <v>Please solve the LeetCode problem '3388. Count Beautiful Splits in an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98" spans="1:15" x14ac:dyDescent="0.25">
      <c r="A3098" s="1">
        <v>3457</v>
      </c>
      <c r="B3098" s="2" t="str">
        <f>HYPERLINK("https://leetcode.com/problems/eat-pizzas/", "Eat Pizzas!")</f>
        <v>Eat Pizzas!</v>
      </c>
      <c r="C3098" s="1">
        <v>105</v>
      </c>
      <c r="D3098" s="1">
        <v>16</v>
      </c>
      <c r="E3098" s="3">
        <f t="shared" si="24"/>
        <v>0.86776859504132231</v>
      </c>
      <c r="F3098" s="1" t="s">
        <v>169</v>
      </c>
      <c r="G3098" s="1" t="s">
        <v>24</v>
      </c>
      <c r="H3098" s="1">
        <v>24252</v>
      </c>
      <c r="I3098" s="1">
        <v>73588</v>
      </c>
      <c r="J3098" s="7">
        <v>0.33</v>
      </c>
      <c r="K3098" s="1" t="s">
        <v>21</v>
      </c>
      <c r="L3098" s="1" t="s">
        <v>29</v>
      </c>
      <c r="M3098" s="1" t="s">
        <v>29</v>
      </c>
      <c r="N3098" s="1" t="s">
        <v>22</v>
      </c>
      <c r="O3098" s="1" t="str">
        <f t="shared" ca="1" si="25"/>
        <v>Please solve the LeetCode problem '3457. Eat Pizzas!'.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099" spans="1:15" x14ac:dyDescent="0.25">
      <c r="A3099" s="1">
        <v>1908</v>
      </c>
      <c r="B3099" s="2" t="str">
        <f>HYPERLINK("https://leetcode.com/problems/game-of-nim/", "Game of Nim")</f>
        <v>Game of Nim</v>
      </c>
      <c r="C3099" s="1">
        <v>104</v>
      </c>
      <c r="D3099" s="1">
        <v>40</v>
      </c>
      <c r="E3099" s="3">
        <f t="shared" si="24"/>
        <v>0.72222222222222221</v>
      </c>
      <c r="F3099" s="1" t="s">
        <v>1177</v>
      </c>
      <c r="G3099" s="1" t="s">
        <v>24</v>
      </c>
      <c r="H3099" s="1">
        <v>5114</v>
      </c>
      <c r="I3099" s="1">
        <v>8180</v>
      </c>
      <c r="J3099" s="7">
        <v>0.625</v>
      </c>
      <c r="K3099" s="1" t="s">
        <v>29</v>
      </c>
      <c r="L3099" s="1" t="s">
        <v>21</v>
      </c>
      <c r="M3099" s="1" t="s">
        <v>29</v>
      </c>
      <c r="N3099" s="1" t="s">
        <v>22</v>
      </c>
      <c r="O3099" s="1" t="str">
        <f t="shared" ca="1" si="25"/>
        <v>Please solve the LeetCode problem '1908. Game of Nim'.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00" spans="1:15" x14ac:dyDescent="0.25">
      <c r="A3100" s="1">
        <v>1983</v>
      </c>
      <c r="B3100" s="2" t="str">
        <f>HYPERLINK("https://leetcode.com/problems/widest-pair-of-indices-with-equal-range-sum/", "Widest Pair of Indices With Equal Range Sum")</f>
        <v>Widest Pair of Indices With Equal Range Sum</v>
      </c>
      <c r="C3100" s="1">
        <v>104</v>
      </c>
      <c r="D3100" s="1">
        <v>3</v>
      </c>
      <c r="E3100" s="3">
        <f t="shared" si="24"/>
        <v>0.9719626168224299</v>
      </c>
      <c r="F3100" s="1" t="s">
        <v>39</v>
      </c>
      <c r="G3100" s="1" t="s">
        <v>24</v>
      </c>
      <c r="H3100" s="1">
        <v>3492</v>
      </c>
      <c r="I3100" s="1">
        <v>6483</v>
      </c>
      <c r="J3100" s="7">
        <v>0.53900000000000003</v>
      </c>
      <c r="K3100" s="1" t="s">
        <v>29</v>
      </c>
      <c r="L3100" s="1" t="s">
        <v>29</v>
      </c>
      <c r="M3100" s="1" t="s">
        <v>29</v>
      </c>
      <c r="N3100" s="1" t="s">
        <v>22</v>
      </c>
      <c r="O3100" s="1" t="str">
        <f t="shared" ca="1" si="25"/>
        <v>Please solve the LeetCode problem '1983. Widest Pair of Indices With Equal Range Sum'.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01" spans="1:15" x14ac:dyDescent="0.25">
      <c r="A3101" s="1">
        <v>2168</v>
      </c>
      <c r="B3101" s="2" t="str">
        <f>HYPERLINK("https://leetcode.com/problems/unique-substrings-with-equal-digit-frequency/", "Unique Substrings With Equal Digit Frequency")</f>
        <v>Unique Substrings With Equal Digit Frequency</v>
      </c>
      <c r="C3101" s="1">
        <v>104</v>
      </c>
      <c r="D3101" s="1">
        <v>13</v>
      </c>
      <c r="E3101" s="3">
        <f t="shared" si="24"/>
        <v>0.88888888888888884</v>
      </c>
      <c r="F3101" s="1" t="s">
        <v>1178</v>
      </c>
      <c r="G3101" s="1" t="s">
        <v>24</v>
      </c>
      <c r="H3101" s="1">
        <v>9647</v>
      </c>
      <c r="I3101" s="1">
        <v>14983</v>
      </c>
      <c r="J3101" s="7">
        <v>0.64400000000000002</v>
      </c>
      <c r="K3101" s="1" t="s">
        <v>29</v>
      </c>
      <c r="L3101" s="1" t="s">
        <v>21</v>
      </c>
      <c r="M3101" s="1" t="s">
        <v>29</v>
      </c>
      <c r="N3101" s="1" t="s">
        <v>22</v>
      </c>
      <c r="O3101" s="1" t="str">
        <f t="shared" ca="1" si="25"/>
        <v>Please solve the LeetCode problem '2168. Unique Substrings With Equal Digit Frequency'.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02" spans="1:15" x14ac:dyDescent="0.25">
      <c r="A3102" s="1">
        <v>3776</v>
      </c>
      <c r="B3102" s="2" t="str">
        <f>HYPERLINK("https://leetcode.com/problems/minimum-moves-to-balance-circular-array/", "Minimum Moves to Balance Circular Array")</f>
        <v>Minimum Moves to Balance Circular Array</v>
      </c>
      <c r="C3102" s="1">
        <v>104</v>
      </c>
      <c r="D3102" s="1">
        <v>7</v>
      </c>
      <c r="E3102" s="3">
        <f t="shared" si="24"/>
        <v>0.93693693693693691</v>
      </c>
      <c r="F3102" s="1" t="s">
        <v>169</v>
      </c>
      <c r="G3102" s="1" t="s">
        <v>24</v>
      </c>
      <c r="H3102" s="1">
        <v>19558</v>
      </c>
      <c r="I3102" s="1">
        <v>49087</v>
      </c>
      <c r="J3102" s="7">
        <v>0.39800000000000002</v>
      </c>
      <c r="K3102" s="1" t="s">
        <v>21</v>
      </c>
      <c r="L3102" s="1" t="s">
        <v>29</v>
      </c>
      <c r="M3102" s="1" t="s">
        <v>29</v>
      </c>
      <c r="N3102" s="1" t="s">
        <v>22</v>
      </c>
      <c r="O3102" s="1" t="str">
        <f t="shared" ca="1" si="25"/>
        <v>Please solve the LeetCode problem '3776. Minimum Moves to Balance Circular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03" spans="1:15" x14ac:dyDescent="0.25">
      <c r="A3103" s="1">
        <v>1843</v>
      </c>
      <c r="B3103" s="2" t="str">
        <f>HYPERLINK("https://leetcode.com/problems/suspicious-bank-accounts/", "Suspicious Bank Accounts")</f>
        <v>Suspicious Bank Accounts</v>
      </c>
      <c r="C3103" s="1">
        <v>103</v>
      </c>
      <c r="D3103" s="1">
        <v>59</v>
      </c>
      <c r="E3103" s="3">
        <f t="shared" si="24"/>
        <v>0.63580246913580252</v>
      </c>
      <c r="F3103" s="1" t="s">
        <v>297</v>
      </c>
      <c r="G3103" s="1" t="s">
        <v>24</v>
      </c>
      <c r="H3103" s="1">
        <v>14703</v>
      </c>
      <c r="I3103" s="1">
        <v>33228</v>
      </c>
      <c r="J3103" s="7">
        <v>0.442</v>
      </c>
      <c r="K3103" s="1" t="s">
        <v>29</v>
      </c>
      <c r="L3103" s="1" t="s">
        <v>21</v>
      </c>
      <c r="M3103" s="1" t="s">
        <v>29</v>
      </c>
      <c r="N3103" s="1" t="s">
        <v>297</v>
      </c>
      <c r="O3103" s="1" t="str">
        <f t="shared" ca="1" si="25"/>
        <v>Please solve the LeetCode problem '1843. Suspicious Bank Accounts'.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04" spans="1:15" x14ac:dyDescent="0.25">
      <c r="A3104" s="1">
        <v>2036</v>
      </c>
      <c r="B3104" s="2" t="str">
        <f>HYPERLINK("https://leetcode.com/problems/maximum-alternating-subarray-sum/", "Maximum Alternating Subarray Sum")</f>
        <v>Maximum Alternating Subarray Sum</v>
      </c>
      <c r="C3104" s="1">
        <v>103</v>
      </c>
      <c r="D3104" s="1">
        <v>6</v>
      </c>
      <c r="E3104" s="3">
        <f t="shared" si="24"/>
        <v>0.94495412844036697</v>
      </c>
      <c r="F3104" s="1" t="s">
        <v>30</v>
      </c>
      <c r="G3104" s="1" t="s">
        <v>24</v>
      </c>
      <c r="H3104" s="1">
        <v>4311</v>
      </c>
      <c r="I3104" s="1">
        <v>10801</v>
      </c>
      <c r="J3104" s="7">
        <v>0.39900000000000002</v>
      </c>
      <c r="K3104" s="1" t="s">
        <v>29</v>
      </c>
      <c r="L3104" s="1" t="s">
        <v>29</v>
      </c>
      <c r="M3104" s="1" t="s">
        <v>29</v>
      </c>
      <c r="N3104" s="1" t="s">
        <v>22</v>
      </c>
      <c r="O3104" s="1" t="str">
        <f t="shared" ca="1" si="25"/>
        <v>Please solve the LeetCode problem '2036. Maximum Alternating Subarray Sum'.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05" spans="1:15" x14ac:dyDescent="0.25">
      <c r="A3105" s="1">
        <v>3331</v>
      </c>
      <c r="B3105" s="2" t="str">
        <f>HYPERLINK("https://leetcode.com/problems/find-subtree-sizes-after-changes/", "Find Subtree Sizes After Changes")</f>
        <v>Find Subtree Sizes After Changes</v>
      </c>
      <c r="C3105" s="1">
        <v>103</v>
      </c>
      <c r="D3105" s="1">
        <v>37</v>
      </c>
      <c r="E3105" s="3">
        <f t="shared" si="24"/>
        <v>0.73571428571428577</v>
      </c>
      <c r="F3105" s="1" t="s">
        <v>1179</v>
      </c>
      <c r="G3105" s="1" t="s">
        <v>24</v>
      </c>
      <c r="H3105" s="1">
        <v>16295</v>
      </c>
      <c r="I3105" s="1">
        <v>30255</v>
      </c>
      <c r="J3105" s="7">
        <v>0.53900000000000003</v>
      </c>
      <c r="K3105" s="1" t="s">
        <v>21</v>
      </c>
      <c r="L3105" s="1" t="s">
        <v>29</v>
      </c>
      <c r="M3105" s="1" t="s">
        <v>29</v>
      </c>
      <c r="N3105" s="1" t="s">
        <v>22</v>
      </c>
      <c r="O3105" s="1" t="str">
        <f t="shared" ca="1" si="25"/>
        <v>Please solve the LeetCode problem '3331. Find Subtree Sizes After Changes'.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06" spans="1:15" x14ac:dyDescent="0.25">
      <c r="A3106" s="1">
        <v>3376</v>
      </c>
      <c r="B3106" s="2" t="str">
        <f>HYPERLINK("https://leetcode.com/problems/minimum-time-to-break-locks-i/", "Minimum Time to Break Locks I")</f>
        <v>Minimum Time to Break Locks I</v>
      </c>
      <c r="C3106" s="1">
        <v>103</v>
      </c>
      <c r="D3106" s="1">
        <v>24</v>
      </c>
      <c r="E3106" s="3">
        <f t="shared" si="24"/>
        <v>0.8110236220472441</v>
      </c>
      <c r="F3106" s="1" t="s">
        <v>1395</v>
      </c>
      <c r="G3106" s="1" t="s">
        <v>24</v>
      </c>
      <c r="H3106" s="1">
        <v>13632</v>
      </c>
      <c r="I3106" s="1">
        <v>42787</v>
      </c>
      <c r="J3106" s="7">
        <v>0.31900000000000001</v>
      </c>
      <c r="K3106" s="1" t="s">
        <v>21</v>
      </c>
      <c r="L3106" s="1" t="s">
        <v>29</v>
      </c>
      <c r="M3106" s="1" t="s">
        <v>29</v>
      </c>
      <c r="N3106" s="1" t="s">
        <v>22</v>
      </c>
      <c r="O3106" s="1" t="str">
        <f t="shared" ca="1" si="25"/>
        <v>Please solve the LeetCode problem '3376. Minimum Time to Break Locks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07" spans="1:15" x14ac:dyDescent="0.25">
      <c r="A3107" s="1">
        <v>469</v>
      </c>
      <c r="B3107" s="2" t="str">
        <f>HYPERLINK("https://leetcode.com/problems/convex-polygon/", "Convex Polygon")</f>
        <v>Convex Polygon</v>
      </c>
      <c r="C3107" s="1">
        <v>102</v>
      </c>
      <c r="D3107" s="1">
        <v>242</v>
      </c>
      <c r="E3107" s="3">
        <f t="shared" si="24"/>
        <v>0.29651162790697677</v>
      </c>
      <c r="F3107" s="1" t="s">
        <v>397</v>
      </c>
      <c r="G3107" s="1" t="s">
        <v>24</v>
      </c>
      <c r="H3107" s="1">
        <v>11552</v>
      </c>
      <c r="I3107" s="1">
        <v>28783</v>
      </c>
      <c r="J3107" s="7">
        <v>0.40100000000000002</v>
      </c>
      <c r="K3107" s="1" t="s">
        <v>29</v>
      </c>
      <c r="L3107" s="1" t="s">
        <v>29</v>
      </c>
      <c r="M3107" s="1" t="s">
        <v>29</v>
      </c>
      <c r="N3107" s="1" t="s">
        <v>22</v>
      </c>
      <c r="O3107" s="1" t="str">
        <f t="shared" ca="1" si="25"/>
        <v>Please solve the LeetCode problem '469. Convex Polygon'.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08" spans="1:15" x14ac:dyDescent="0.25">
      <c r="A3108" s="1">
        <v>3251</v>
      </c>
      <c r="B3108" s="2" t="str">
        <f>HYPERLINK("https://leetcode.com/problems/find-the-count-of-monotonic-pairs-ii/", "Find the Count of Monotonic Pairs II")</f>
        <v>Find the Count of Monotonic Pairs II</v>
      </c>
      <c r="C3108" s="1">
        <v>102</v>
      </c>
      <c r="D3108" s="1">
        <v>6</v>
      </c>
      <c r="E3108" s="3">
        <f t="shared" si="24"/>
        <v>0.94444444444444442</v>
      </c>
      <c r="F3108" s="1" t="s">
        <v>1133</v>
      </c>
      <c r="G3108" s="1" t="s">
        <v>28</v>
      </c>
      <c r="H3108" s="1">
        <v>7939</v>
      </c>
      <c r="I3108" s="1">
        <v>32527</v>
      </c>
      <c r="J3108" s="7">
        <v>0.24399999999999999</v>
      </c>
      <c r="K3108" s="1" t="s">
        <v>21</v>
      </c>
      <c r="L3108" s="1" t="s">
        <v>29</v>
      </c>
      <c r="M3108" s="1" t="s">
        <v>29</v>
      </c>
      <c r="N3108" s="1" t="s">
        <v>22</v>
      </c>
      <c r="O3108" s="1" t="str">
        <f t="shared" ca="1" si="25"/>
        <v>Please solve the LeetCode problem '3251. Find the Count of Monotonic Pairs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09" spans="1:15" x14ac:dyDescent="0.25">
      <c r="A3109" s="1">
        <v>3320</v>
      </c>
      <c r="B3109" s="2" t="str">
        <f>HYPERLINK("https://leetcode.com/problems/count-the-number-of-winning-sequences/", "Count The Number of Winning Sequences")</f>
        <v>Count The Number of Winning Sequences</v>
      </c>
      <c r="C3109" s="1">
        <v>102</v>
      </c>
      <c r="D3109" s="1">
        <v>5</v>
      </c>
      <c r="E3109" s="3">
        <f t="shared" si="24"/>
        <v>0.95327102803738317</v>
      </c>
      <c r="F3109" s="1" t="s">
        <v>82</v>
      </c>
      <c r="G3109" s="1" t="s">
        <v>28</v>
      </c>
      <c r="H3109" s="1">
        <v>10456</v>
      </c>
      <c r="I3109" s="1">
        <v>32755</v>
      </c>
      <c r="J3109" s="7">
        <v>0.31900000000000001</v>
      </c>
      <c r="K3109" s="1" t="s">
        <v>21</v>
      </c>
      <c r="L3109" s="1" t="s">
        <v>29</v>
      </c>
      <c r="M3109" s="1" t="s">
        <v>29</v>
      </c>
      <c r="N3109" s="1" t="s">
        <v>22</v>
      </c>
      <c r="O3109" s="1" t="str">
        <f t="shared" ca="1" si="25"/>
        <v>Please solve the LeetCode problem '3320. Count The Number of Winning Sequences'.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10" spans="1:15" x14ac:dyDescent="0.25">
      <c r="A3110" s="1">
        <v>3427</v>
      </c>
      <c r="B3110" s="2" t="str">
        <f>HYPERLINK("https://leetcode.com/problems/sum-of-variable-length-subarrays/", "Sum of Variable Length Subarrays")</f>
        <v>Sum of Variable Length Subarrays</v>
      </c>
      <c r="C3110" s="1">
        <v>102</v>
      </c>
      <c r="D3110" s="1">
        <v>31</v>
      </c>
      <c r="E3110" s="3">
        <f t="shared" si="24"/>
        <v>0.76691729323308266</v>
      </c>
      <c r="F3110" s="1" t="s">
        <v>37</v>
      </c>
      <c r="G3110" s="1" t="s">
        <v>20</v>
      </c>
      <c r="H3110" s="1">
        <v>53279</v>
      </c>
      <c r="I3110" s="1">
        <v>62349</v>
      </c>
      <c r="J3110" s="7">
        <v>0.85499999999999998</v>
      </c>
      <c r="K3110" s="1" t="s">
        <v>21</v>
      </c>
      <c r="L3110" s="1" t="s">
        <v>29</v>
      </c>
      <c r="M3110" s="1" t="s">
        <v>29</v>
      </c>
      <c r="N3110" s="1" t="s">
        <v>22</v>
      </c>
      <c r="O3110" s="1" t="str">
        <f t="shared" ca="1" si="25"/>
        <v>Please solve the LeetCode problem '3427. Sum of Variable Length Subarrays'.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11" spans="1:15" x14ac:dyDescent="0.25">
      <c r="A3111" s="1">
        <v>2082</v>
      </c>
      <c r="B3111" s="2" t="str">
        <f>HYPERLINK("https://leetcode.com/problems/the-number-of-rich-customers/", "The Number of Rich Customers")</f>
        <v>The Number of Rich Customers</v>
      </c>
      <c r="C3111" s="1">
        <v>101</v>
      </c>
      <c r="D3111" s="1">
        <v>25</v>
      </c>
      <c r="E3111" s="3">
        <f t="shared" si="24"/>
        <v>0.80158730158730163</v>
      </c>
      <c r="F3111" s="1" t="s">
        <v>297</v>
      </c>
      <c r="G3111" s="1" t="s">
        <v>20</v>
      </c>
      <c r="H3111" s="1">
        <v>29951</v>
      </c>
      <c r="I3111" s="1">
        <v>38736</v>
      </c>
      <c r="J3111" s="7">
        <v>0.77300000000000002</v>
      </c>
      <c r="K3111" s="1" t="s">
        <v>29</v>
      </c>
      <c r="L3111" s="1" t="s">
        <v>21</v>
      </c>
      <c r="M3111" s="1" t="s">
        <v>29</v>
      </c>
      <c r="N3111" s="1" t="s">
        <v>297</v>
      </c>
      <c r="O3111" s="1" t="str">
        <f t="shared" ca="1" si="25"/>
        <v>Please solve the LeetCode problem '2082. The Number of Rich Customers'.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12" spans="1:15" x14ac:dyDescent="0.25">
      <c r="A3112" s="1">
        <v>2883</v>
      </c>
      <c r="B3112" s="2" t="str">
        <f>HYPERLINK("https://leetcode.com/problems/drop-missing-data/", "Drop Missing Data")</f>
        <v>Drop Missing Data</v>
      </c>
      <c r="C3112" s="1">
        <v>101</v>
      </c>
      <c r="D3112" s="1">
        <v>7</v>
      </c>
      <c r="E3112" s="3">
        <f t="shared" si="24"/>
        <v>0.93518518518518523</v>
      </c>
      <c r="G3112" s="1" t="s">
        <v>20</v>
      </c>
      <c r="H3112" s="1">
        <v>124745</v>
      </c>
      <c r="I3112" s="1">
        <v>193483</v>
      </c>
      <c r="J3112" s="7">
        <v>0.64500000000000002</v>
      </c>
      <c r="K3112" s="1" t="s">
        <v>21</v>
      </c>
      <c r="L3112" s="1" t="s">
        <v>21</v>
      </c>
      <c r="M3112" s="1" t="s">
        <v>29</v>
      </c>
      <c r="N3112" s="1" t="s">
        <v>1047</v>
      </c>
      <c r="O3112" s="1" t="str">
        <f t="shared" ca="1" si="25"/>
        <v>Please solve the LeetCode problem '2883. Drop Missing Data'.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13" spans="1:15" x14ac:dyDescent="0.25">
      <c r="A3113" s="1">
        <v>3044</v>
      </c>
      <c r="B3113" s="2" t="str">
        <f>HYPERLINK("https://leetcode.com/problems/most-frequent-prime/", "Most Frequent Prime")</f>
        <v>Most Frequent Prime</v>
      </c>
      <c r="C3113" s="1">
        <v>101</v>
      </c>
      <c r="D3113" s="1">
        <v>70</v>
      </c>
      <c r="E3113" s="3">
        <f t="shared" si="24"/>
        <v>0.59064327485380119</v>
      </c>
      <c r="F3113" s="1" t="s">
        <v>1184</v>
      </c>
      <c r="G3113" s="1" t="s">
        <v>24</v>
      </c>
      <c r="H3113" s="1">
        <v>18425</v>
      </c>
      <c r="I3113" s="1">
        <v>40365</v>
      </c>
      <c r="J3113" s="7">
        <v>0.45600000000000002</v>
      </c>
      <c r="K3113" s="1" t="s">
        <v>21</v>
      </c>
      <c r="L3113" s="1" t="s">
        <v>29</v>
      </c>
      <c r="M3113" s="1" t="s">
        <v>29</v>
      </c>
      <c r="N3113" s="1" t="s">
        <v>22</v>
      </c>
      <c r="O3113" s="1" t="str">
        <f t="shared" ca="1" si="25"/>
        <v>Please solve the LeetCode problem '3044. Most Frequent Prime'.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14" spans="1:15" x14ac:dyDescent="0.25">
      <c r="A3114" s="1">
        <v>3285</v>
      </c>
      <c r="B3114" s="2" t="str">
        <f>HYPERLINK("https://leetcode.com/problems/find-indices-of-stable-mountains/", "Find Indices of Stable Mountains")</f>
        <v>Find Indices of Stable Mountains</v>
      </c>
      <c r="C3114" s="1">
        <v>101</v>
      </c>
      <c r="D3114" s="1">
        <v>39</v>
      </c>
      <c r="E3114" s="3">
        <f t="shared" si="24"/>
        <v>0.72142857142857142</v>
      </c>
      <c r="F3114" s="1" t="s">
        <v>113</v>
      </c>
      <c r="G3114" s="1" t="s">
        <v>20</v>
      </c>
      <c r="H3114" s="1">
        <v>64959</v>
      </c>
      <c r="I3114" s="1">
        <v>74990</v>
      </c>
      <c r="J3114" s="7">
        <v>0.86599999999999999</v>
      </c>
      <c r="K3114" s="1" t="s">
        <v>21</v>
      </c>
      <c r="L3114" s="1" t="s">
        <v>29</v>
      </c>
      <c r="M3114" s="1" t="s">
        <v>29</v>
      </c>
      <c r="N3114" s="1" t="s">
        <v>22</v>
      </c>
      <c r="O3114" s="1" t="str">
        <f t="shared" ca="1" si="25"/>
        <v>Please solve the LeetCode problem '3285. Find Indices of Stable Mountains'.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15" spans="1:15" x14ac:dyDescent="0.25">
      <c r="A3115" s="1">
        <v>3471</v>
      </c>
      <c r="B3115" s="2" t="str">
        <f>HYPERLINK("https://leetcode.com/problems/find-the-largest-almost-missing-integer/", "Find the Largest Almost Missing Integer")</f>
        <v>Find the Largest Almost Missing Integer</v>
      </c>
      <c r="C3115" s="1">
        <v>101</v>
      </c>
      <c r="D3115" s="1">
        <v>42</v>
      </c>
      <c r="E3115" s="3">
        <f t="shared" si="24"/>
        <v>0.70629370629370625</v>
      </c>
      <c r="F3115" s="1" t="s">
        <v>19</v>
      </c>
      <c r="G3115" s="1" t="s">
        <v>20</v>
      </c>
      <c r="H3115" s="1">
        <v>34961</v>
      </c>
      <c r="I3115" s="1">
        <v>94515</v>
      </c>
      <c r="J3115" s="7">
        <v>0.37</v>
      </c>
      <c r="K3115" s="1" t="s">
        <v>21</v>
      </c>
      <c r="L3115" s="1" t="s">
        <v>29</v>
      </c>
      <c r="M3115" s="1" t="s">
        <v>29</v>
      </c>
      <c r="N3115" s="1" t="s">
        <v>22</v>
      </c>
      <c r="O3115" s="1" t="str">
        <f t="shared" ca="1" si="25"/>
        <v>Please solve the LeetCode problem '3471. Find the Largest Almost Missing Integer'.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16" spans="1:15" x14ac:dyDescent="0.25">
      <c r="A3116" s="1">
        <v>3226</v>
      </c>
      <c r="B3116" s="2" t="str">
        <f>HYPERLINK("https://leetcode.com/problems/number-of-bit-changes-to-make-two-integers-equal/", "Number of Bit Changes to Make Two Integers Equal")</f>
        <v>Number of Bit Changes to Make Two Integers Equal</v>
      </c>
      <c r="C3116" s="1">
        <v>100</v>
      </c>
      <c r="D3116" s="1">
        <v>7</v>
      </c>
      <c r="E3116" s="3">
        <f t="shared" si="24"/>
        <v>0.93457943925233644</v>
      </c>
      <c r="F3116" s="1" t="s">
        <v>298</v>
      </c>
      <c r="G3116" s="1" t="s">
        <v>20</v>
      </c>
      <c r="H3116" s="1">
        <v>50161</v>
      </c>
      <c r="I3116" s="1">
        <v>79285</v>
      </c>
      <c r="J3116" s="7">
        <v>0.63300000000000001</v>
      </c>
      <c r="K3116" s="1" t="s">
        <v>21</v>
      </c>
      <c r="L3116" s="1" t="s">
        <v>29</v>
      </c>
      <c r="M3116" s="1" t="s">
        <v>29</v>
      </c>
      <c r="N3116" s="1" t="s">
        <v>22</v>
      </c>
      <c r="O3116" s="1" t="str">
        <f t="shared" ca="1" si="25"/>
        <v>Please solve the LeetCode problem '3226. Number of Bit Changes to Make Two Integers Equal'.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17" spans="1:15" x14ac:dyDescent="0.25">
      <c r="A3117" s="1">
        <v>3270</v>
      </c>
      <c r="B3117" s="2" t="str">
        <f>HYPERLINK("https://leetcode.com/problems/find-the-key-of-the-numbers/", "Find the Key of the Numbers")</f>
        <v>Find the Key of the Numbers</v>
      </c>
      <c r="C3117" s="1">
        <v>100</v>
      </c>
      <c r="D3117" s="1">
        <v>16</v>
      </c>
      <c r="E3117" s="3">
        <f t="shared" si="24"/>
        <v>0.86206896551724133</v>
      </c>
      <c r="F3117" s="1" t="s">
        <v>84</v>
      </c>
      <c r="G3117" s="1" t="s">
        <v>20</v>
      </c>
      <c r="H3117" s="1">
        <v>51319</v>
      </c>
      <c r="I3117" s="1">
        <v>67170</v>
      </c>
      <c r="J3117" s="7">
        <v>0.76400000000000001</v>
      </c>
      <c r="K3117" s="1" t="s">
        <v>21</v>
      </c>
      <c r="L3117" s="1" t="s">
        <v>29</v>
      </c>
      <c r="M3117" s="1" t="s">
        <v>29</v>
      </c>
      <c r="N3117" s="1" t="s">
        <v>22</v>
      </c>
      <c r="O3117" s="1" t="str">
        <f t="shared" ca="1" si="25"/>
        <v>Please solve the LeetCode problem '3270. Find the Key of the Numbers'.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18" spans="1:15" x14ac:dyDescent="0.25">
      <c r="A3118" s="1">
        <v>3755</v>
      </c>
      <c r="B3118" s="2" t="str">
        <f>HYPERLINK("https://leetcode.com/problems/find-maximum-balanced-xor-subarray-length/", "Find Maximum Balanced XOR Subarray Length")</f>
        <v>Find Maximum Balanced XOR Subarray Length</v>
      </c>
      <c r="C3118" s="1">
        <v>100</v>
      </c>
      <c r="D3118" s="1">
        <v>5</v>
      </c>
      <c r="E3118" s="3">
        <f t="shared" si="24"/>
        <v>0.95238095238095233</v>
      </c>
      <c r="F3118" s="1" t="s">
        <v>870</v>
      </c>
      <c r="G3118" s="1" t="s">
        <v>24</v>
      </c>
      <c r="H3118" s="1">
        <v>17770</v>
      </c>
      <c r="I3118" s="1">
        <v>35216</v>
      </c>
      <c r="J3118" s="7">
        <v>0.505</v>
      </c>
      <c r="K3118" s="1" t="s">
        <v>21</v>
      </c>
      <c r="L3118" s="1" t="s">
        <v>29</v>
      </c>
      <c r="M3118" s="1" t="s">
        <v>29</v>
      </c>
      <c r="N3118" s="1" t="s">
        <v>22</v>
      </c>
      <c r="O3118" s="1" t="str">
        <f t="shared" ca="1" si="25"/>
        <v>Please solve the LeetCode problem '3755. Find Maximum Balanced XOR Subarray Length'.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19" spans="1:15" x14ac:dyDescent="0.25">
      <c r="A3119" s="1">
        <v>1459</v>
      </c>
      <c r="B3119" s="2" t="str">
        <f>HYPERLINK("https://leetcode.com/problems/rectangles-area/", "Rectangles Area")</f>
        <v>Rectangles Area</v>
      </c>
      <c r="C3119" s="1">
        <v>99</v>
      </c>
      <c r="D3119" s="1">
        <v>162</v>
      </c>
      <c r="E3119" s="3">
        <f t="shared" si="24"/>
        <v>0.37931034482758619</v>
      </c>
      <c r="F3119" s="1" t="s">
        <v>297</v>
      </c>
      <c r="G3119" s="1" t="s">
        <v>24</v>
      </c>
      <c r="H3119" s="1">
        <v>19866</v>
      </c>
      <c r="I3119" s="1">
        <v>28928</v>
      </c>
      <c r="J3119" s="7">
        <v>0.68700000000000006</v>
      </c>
      <c r="K3119" s="1" t="s">
        <v>29</v>
      </c>
      <c r="L3119" s="1" t="s">
        <v>29</v>
      </c>
      <c r="M3119" s="1" t="s">
        <v>29</v>
      </c>
      <c r="N3119" s="1" t="s">
        <v>297</v>
      </c>
      <c r="O3119" s="1" t="str">
        <f t="shared" ca="1" si="25"/>
        <v>Please solve the LeetCode problem '1459. Rectangles Area'.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20" spans="1:15" x14ac:dyDescent="0.25">
      <c r="A3120" s="1">
        <v>1809</v>
      </c>
      <c r="B3120" s="2" t="str">
        <f>HYPERLINK("https://leetcode.com/problems/ad-free-sessions/", "Ad-Free Sessions")</f>
        <v>Ad-Free Sessions</v>
      </c>
      <c r="C3120" s="1">
        <v>99</v>
      </c>
      <c r="D3120" s="1">
        <v>61</v>
      </c>
      <c r="E3120" s="3">
        <f t="shared" si="24"/>
        <v>0.61875000000000002</v>
      </c>
      <c r="F3120" s="1" t="s">
        <v>297</v>
      </c>
      <c r="G3120" s="1" t="s">
        <v>20</v>
      </c>
      <c r="H3120" s="1">
        <v>19195</v>
      </c>
      <c r="I3120" s="1">
        <v>32604</v>
      </c>
      <c r="J3120" s="7">
        <v>0.58899999999999997</v>
      </c>
      <c r="K3120" s="1" t="s">
        <v>29</v>
      </c>
      <c r="L3120" s="1" t="s">
        <v>29</v>
      </c>
      <c r="M3120" s="1" t="s">
        <v>29</v>
      </c>
      <c r="N3120" s="1" t="s">
        <v>297</v>
      </c>
      <c r="O3120" s="1" t="str">
        <f t="shared" ca="1" si="25"/>
        <v>Please solve the LeetCode problem '1809. Ad-Free Sessions'.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21" spans="1:15" x14ac:dyDescent="0.25">
      <c r="A3121" s="1">
        <v>1951</v>
      </c>
      <c r="B3121" s="2" t="str">
        <f>HYPERLINK("https://leetcode.com/problems/all-the-pairs-with-the-maximum-number-of-common-followers/", "All the Pairs With the Maximum Number of Common Followers")</f>
        <v>All the Pairs With the Maximum Number of Common Followers</v>
      </c>
      <c r="C3121" s="1">
        <v>99</v>
      </c>
      <c r="D3121" s="1">
        <v>7</v>
      </c>
      <c r="E3121" s="3">
        <f t="shared" si="24"/>
        <v>0.93396226415094341</v>
      </c>
      <c r="F3121" s="1" t="s">
        <v>297</v>
      </c>
      <c r="G3121" s="1" t="s">
        <v>24</v>
      </c>
      <c r="H3121" s="1">
        <v>14074</v>
      </c>
      <c r="I3121" s="1">
        <v>20271</v>
      </c>
      <c r="J3121" s="7">
        <v>0.69399999999999995</v>
      </c>
      <c r="K3121" s="1" t="s">
        <v>29</v>
      </c>
      <c r="L3121" s="1" t="s">
        <v>29</v>
      </c>
      <c r="M3121" s="1" t="s">
        <v>29</v>
      </c>
      <c r="N3121" s="1" t="s">
        <v>297</v>
      </c>
      <c r="O3121" s="1" t="str">
        <f t="shared" ca="1" si="25"/>
        <v>Please solve the LeetCode problem '1951. All the Pairs With the Maximum Number of Common Followers'.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22" spans="1:15" x14ac:dyDescent="0.25">
      <c r="A3122" s="1">
        <v>3288</v>
      </c>
      <c r="B3122" s="2" t="str">
        <f>HYPERLINK("https://leetcode.com/problems/length-of-the-longest-increasing-path/", "Length of the Longest Increasing Path")</f>
        <v>Length of the Longest Increasing Path</v>
      </c>
      <c r="C3122" s="1">
        <v>99</v>
      </c>
      <c r="D3122" s="1">
        <v>2</v>
      </c>
      <c r="E3122" s="3">
        <f t="shared" si="24"/>
        <v>0.98019801980198018</v>
      </c>
      <c r="F3122" s="1" t="s">
        <v>367</v>
      </c>
      <c r="G3122" s="1" t="s">
        <v>28</v>
      </c>
      <c r="H3122" s="1">
        <v>5707</v>
      </c>
      <c r="I3122" s="1">
        <v>30360</v>
      </c>
      <c r="J3122" s="7">
        <v>0.188</v>
      </c>
      <c r="K3122" s="1" t="s">
        <v>21</v>
      </c>
      <c r="L3122" s="1" t="s">
        <v>29</v>
      </c>
      <c r="M3122" s="1" t="s">
        <v>29</v>
      </c>
      <c r="N3122" s="1" t="s">
        <v>22</v>
      </c>
      <c r="O3122" s="1" t="str">
        <f t="shared" ca="1" si="25"/>
        <v>Please solve the LeetCode problem '3288. Length of the Longest Increasing Path'.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23" spans="1:15" x14ac:dyDescent="0.25">
      <c r="A3123" s="1">
        <v>3312</v>
      </c>
      <c r="B3123" s="2" t="str">
        <f>HYPERLINK("https://leetcode.com/problems/sorted-gcd-pair-queries/", "Sorted GCD Pair Queries")</f>
        <v>Sorted GCD Pair Queries</v>
      </c>
      <c r="C3123" s="1">
        <v>99</v>
      </c>
      <c r="D3123" s="1">
        <v>5</v>
      </c>
      <c r="E3123" s="3">
        <f t="shared" si="24"/>
        <v>0.95192307692307687</v>
      </c>
      <c r="F3123" s="1" t="s">
        <v>1186</v>
      </c>
      <c r="G3123" s="1" t="s">
        <v>28</v>
      </c>
      <c r="H3123" s="1">
        <v>5695</v>
      </c>
      <c r="I3123" s="1">
        <v>25776</v>
      </c>
      <c r="J3123" s="7">
        <v>0.221</v>
      </c>
      <c r="K3123" s="1" t="s">
        <v>21</v>
      </c>
      <c r="L3123" s="1" t="s">
        <v>29</v>
      </c>
      <c r="M3123" s="1" t="s">
        <v>29</v>
      </c>
      <c r="N3123" s="1" t="s">
        <v>22</v>
      </c>
      <c r="O3123" s="1" t="str">
        <f t="shared" ca="1" si="25"/>
        <v>Please solve the LeetCode problem '3312. Sorted GCD Pair Queries'.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24" spans="1:15" x14ac:dyDescent="0.25">
      <c r="A3124" s="1">
        <v>3367</v>
      </c>
      <c r="B3124" s="2" t="str">
        <f>HYPERLINK("https://leetcode.com/problems/maximize-sum-of-weights-after-edge-removals/", "Maximize Sum of Weights after Edge Removals")</f>
        <v>Maximize Sum of Weights after Edge Removals</v>
      </c>
      <c r="C3124" s="1">
        <v>99</v>
      </c>
      <c r="D3124" s="1">
        <v>4</v>
      </c>
      <c r="E3124" s="3">
        <f t="shared" si="24"/>
        <v>0.96116504854368934</v>
      </c>
      <c r="F3124" s="1" t="s">
        <v>1007</v>
      </c>
      <c r="G3124" s="1" t="s">
        <v>28</v>
      </c>
      <c r="H3124" s="1">
        <v>4252</v>
      </c>
      <c r="I3124" s="1">
        <v>14146</v>
      </c>
      <c r="J3124" s="7">
        <v>0.30099999999999999</v>
      </c>
      <c r="K3124" s="1" t="s">
        <v>21</v>
      </c>
      <c r="L3124" s="1" t="s">
        <v>29</v>
      </c>
      <c r="M3124" s="1" t="s">
        <v>29</v>
      </c>
      <c r="N3124" s="1" t="s">
        <v>22</v>
      </c>
      <c r="O3124" s="1" t="str">
        <f t="shared" ca="1" si="25"/>
        <v>Please solve the LeetCode problem '3367. Maximize Sum of Weights after Edge Removals'.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25" spans="1:15" x14ac:dyDescent="0.25">
      <c r="A3125" s="1">
        <v>3463</v>
      </c>
      <c r="B3125" s="2" t="str">
        <f>HYPERLINK("https://leetcode.com/problems/check-if-digits-are-equal-in-string-after-operations-ii/", "Check If Digits Are Equal in String After Operations II")</f>
        <v>Check If Digits Are Equal in String After Operations II</v>
      </c>
      <c r="C3125" s="1">
        <v>99</v>
      </c>
      <c r="D3125" s="1">
        <v>53</v>
      </c>
      <c r="E3125" s="3">
        <f t="shared" si="24"/>
        <v>0.65131578947368418</v>
      </c>
      <c r="F3125" s="1" t="s">
        <v>1183</v>
      </c>
      <c r="G3125" s="1" t="s">
        <v>28</v>
      </c>
      <c r="H3125" s="1">
        <v>13250</v>
      </c>
      <c r="I3125" s="1">
        <v>94010</v>
      </c>
      <c r="J3125" s="7">
        <v>0.14099999999999999</v>
      </c>
      <c r="K3125" s="1" t="s">
        <v>21</v>
      </c>
      <c r="L3125" s="1" t="s">
        <v>29</v>
      </c>
      <c r="M3125" s="1" t="s">
        <v>29</v>
      </c>
      <c r="N3125" s="1" t="s">
        <v>22</v>
      </c>
      <c r="O3125" s="1" t="str">
        <f t="shared" ca="1" si="25"/>
        <v>Please solve the LeetCode problem '3463. Check If Digits Are Equal in String After Operations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26" spans="1:15" x14ac:dyDescent="0.25">
      <c r="A3126" s="1">
        <v>3785</v>
      </c>
      <c r="B3126" s="2" t="str">
        <f>HYPERLINK("https://leetcode.com/problems/minimum-swaps-to-avoid-forbidden-values/", "Minimum Swaps to Avoid Forbidden Values")</f>
        <v>Minimum Swaps to Avoid Forbidden Values</v>
      </c>
      <c r="C3126" s="1">
        <v>99</v>
      </c>
      <c r="D3126" s="1">
        <v>7</v>
      </c>
      <c r="E3126" s="3">
        <f t="shared" si="24"/>
        <v>0.93396226415094341</v>
      </c>
      <c r="F3126" s="1" t="s">
        <v>389</v>
      </c>
      <c r="G3126" s="1" t="s">
        <v>28</v>
      </c>
      <c r="H3126" s="1">
        <v>10407</v>
      </c>
      <c r="I3126" s="1">
        <v>35113</v>
      </c>
      <c r="J3126" s="7">
        <v>0.29599999999999999</v>
      </c>
      <c r="K3126" s="1" t="s">
        <v>21</v>
      </c>
      <c r="L3126" s="1" t="s">
        <v>29</v>
      </c>
      <c r="M3126" s="1" t="s">
        <v>29</v>
      </c>
      <c r="N3126" s="1" t="s">
        <v>22</v>
      </c>
      <c r="O3126" s="1" t="str">
        <f t="shared" ca="1" si="25"/>
        <v>Please solve the LeetCode problem '3785. Minimum Swaps to Avoid Forbidden Values'.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27" spans="1:15" x14ac:dyDescent="0.25">
      <c r="A3127" s="1">
        <v>2098</v>
      </c>
      <c r="B3127" s="2" t="str">
        <f>HYPERLINK("https://leetcode.com/problems/subsequence-of-size-k-with-the-largest-even-sum/", "Subsequence of Size K With the Largest Even Sum")</f>
        <v>Subsequence of Size K With the Largest Even Sum</v>
      </c>
      <c r="C3127" s="1">
        <v>98</v>
      </c>
      <c r="D3127" s="1">
        <v>8</v>
      </c>
      <c r="E3127" s="3">
        <f t="shared" si="24"/>
        <v>0.92452830188679247</v>
      </c>
      <c r="F3127" s="1" t="s">
        <v>169</v>
      </c>
      <c r="G3127" s="1" t="s">
        <v>24</v>
      </c>
      <c r="H3127" s="1">
        <v>4691</v>
      </c>
      <c r="I3127" s="1">
        <v>13097</v>
      </c>
      <c r="J3127" s="7">
        <v>0.35799999999999998</v>
      </c>
      <c r="K3127" s="1" t="s">
        <v>29</v>
      </c>
      <c r="L3127" s="1" t="s">
        <v>29</v>
      </c>
      <c r="M3127" s="1" t="s">
        <v>29</v>
      </c>
      <c r="N3127" s="1" t="s">
        <v>22</v>
      </c>
      <c r="O3127" s="1" t="str">
        <f t="shared" ca="1" si="25"/>
        <v>Please solve the LeetCode problem '2098. Subsequence of Size K With the Largest Even Sum'.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28" spans="1:15" x14ac:dyDescent="0.25">
      <c r="A3128" s="1">
        <v>2599</v>
      </c>
      <c r="B3128" s="2" t="str">
        <f>HYPERLINK("https://leetcode.com/problems/make-the-prefix-sum-non-negative/", "Make the Prefix Sum Non-negative")</f>
        <v>Make the Prefix Sum Non-negative</v>
      </c>
      <c r="C3128" s="1">
        <v>98</v>
      </c>
      <c r="D3128" s="1">
        <v>3</v>
      </c>
      <c r="E3128" s="3">
        <f t="shared" si="24"/>
        <v>0.97029702970297027</v>
      </c>
      <c r="F3128" s="1" t="s">
        <v>221</v>
      </c>
      <c r="G3128" s="1" t="s">
        <v>24</v>
      </c>
      <c r="H3128" s="1">
        <v>8324</v>
      </c>
      <c r="I3128" s="1">
        <v>16039</v>
      </c>
      <c r="J3128" s="7">
        <v>0.51900000000000002</v>
      </c>
      <c r="K3128" s="1" t="s">
        <v>29</v>
      </c>
      <c r="L3128" s="1" t="s">
        <v>21</v>
      </c>
      <c r="M3128" s="1" t="s">
        <v>29</v>
      </c>
      <c r="N3128" s="1" t="s">
        <v>22</v>
      </c>
      <c r="O3128" s="1" t="str">
        <f t="shared" ca="1" si="25"/>
        <v>Please solve the LeetCode problem '2599. Make the Prefix Sum Non-negative'.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29" spans="1:15" x14ac:dyDescent="0.25">
      <c r="A3129" s="1">
        <v>2743</v>
      </c>
      <c r="B3129" s="2" t="str">
        <f>HYPERLINK("https://leetcode.com/problems/count-substrings-without-repeating-character/", "Count Substrings Without Repeating Character")</f>
        <v>Count Substrings Without Repeating Character</v>
      </c>
      <c r="C3129" s="1">
        <v>98</v>
      </c>
      <c r="D3129" s="1">
        <v>2</v>
      </c>
      <c r="E3129" s="3">
        <f t="shared" si="24"/>
        <v>0.98</v>
      </c>
      <c r="F3129" s="1" t="s">
        <v>23</v>
      </c>
      <c r="G3129" s="1" t="s">
        <v>24</v>
      </c>
      <c r="H3129" s="1">
        <v>9075</v>
      </c>
      <c r="I3129" s="1">
        <v>11926</v>
      </c>
      <c r="J3129" s="7">
        <v>0.76100000000000001</v>
      </c>
      <c r="K3129" s="1" t="s">
        <v>29</v>
      </c>
      <c r="L3129" s="1" t="s">
        <v>21</v>
      </c>
      <c r="M3129" s="1" t="s">
        <v>29</v>
      </c>
      <c r="N3129" s="1" t="s">
        <v>22</v>
      </c>
      <c r="O3129" s="1" t="str">
        <f t="shared" ca="1" si="25"/>
        <v>Please solve the LeetCode problem '2743. Count Substrings Without Repeating Character'.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30" spans="1:15" x14ac:dyDescent="0.25">
      <c r="A3130" s="1">
        <v>3238</v>
      </c>
      <c r="B3130" s="2" t="str">
        <f>HYPERLINK("https://leetcode.com/problems/find-the-number-of-winning-players/", "Find the Number of Winning Players")</f>
        <v>Find the Number of Winning Players</v>
      </c>
      <c r="C3130" s="1">
        <v>98</v>
      </c>
      <c r="D3130" s="1">
        <v>26</v>
      </c>
      <c r="E3130" s="3">
        <f t="shared" si="24"/>
        <v>0.79032258064516125</v>
      </c>
      <c r="F3130" s="1" t="s">
        <v>294</v>
      </c>
      <c r="G3130" s="1" t="s">
        <v>20</v>
      </c>
      <c r="H3130" s="1">
        <v>46534</v>
      </c>
      <c r="I3130" s="1">
        <v>77206</v>
      </c>
      <c r="J3130" s="7">
        <v>0.60299999999999998</v>
      </c>
      <c r="K3130" s="1" t="s">
        <v>21</v>
      </c>
      <c r="L3130" s="1" t="s">
        <v>29</v>
      </c>
      <c r="M3130" s="1" t="s">
        <v>29</v>
      </c>
      <c r="N3130" s="1" t="s">
        <v>22</v>
      </c>
      <c r="O3130" s="1" t="str">
        <f t="shared" ca="1" si="25"/>
        <v>Please solve the LeetCode problem '3238. Find the Number of Winning Players'.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31" spans="1:15" x14ac:dyDescent="0.25">
      <c r="A3131" s="1">
        <v>3411</v>
      </c>
      <c r="B3131" s="2" t="str">
        <f>HYPERLINK("https://leetcode.com/problems/maximum-subarray-with-equal-products/", "Maximum Subarray With Equal Products")</f>
        <v>Maximum Subarray With Equal Products</v>
      </c>
      <c r="C3131" s="1">
        <v>98</v>
      </c>
      <c r="D3131" s="1">
        <v>42</v>
      </c>
      <c r="E3131" s="3">
        <f t="shared" si="24"/>
        <v>0.7</v>
      </c>
      <c r="F3131" s="1" t="s">
        <v>1185</v>
      </c>
      <c r="G3131" s="1" t="s">
        <v>20</v>
      </c>
      <c r="H3131" s="1">
        <v>27685</v>
      </c>
      <c r="I3131" s="1">
        <v>59827</v>
      </c>
      <c r="J3131" s="7">
        <v>0.46300000000000002</v>
      </c>
      <c r="K3131" s="1" t="s">
        <v>21</v>
      </c>
      <c r="L3131" s="1" t="s">
        <v>29</v>
      </c>
      <c r="M3131" s="1" t="s">
        <v>29</v>
      </c>
      <c r="N3131" s="1" t="s">
        <v>22</v>
      </c>
      <c r="O3131" s="1" t="str">
        <f t="shared" ca="1" si="25"/>
        <v>Please solve the LeetCode problem '3411. Maximum Subarray With Equal Products'.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32" spans="1:15" x14ac:dyDescent="0.25">
      <c r="A3132" s="1">
        <v>3742</v>
      </c>
      <c r="B3132" s="2" t="str">
        <f>HYPERLINK("https://leetcode.com/problems/maximum-path-score-in-a-grid/", "Maximum Path Score in a Grid")</f>
        <v>Maximum Path Score in a Grid</v>
      </c>
      <c r="C3132" s="1">
        <v>98</v>
      </c>
      <c r="D3132" s="1">
        <v>4</v>
      </c>
      <c r="E3132" s="3">
        <f t="shared" si="24"/>
        <v>0.96078431372549022</v>
      </c>
      <c r="F3132" s="1" t="s">
        <v>94</v>
      </c>
      <c r="G3132" s="1" t="s">
        <v>24</v>
      </c>
      <c r="H3132" s="1">
        <v>17426</v>
      </c>
      <c r="I3132" s="1">
        <v>47946</v>
      </c>
      <c r="J3132" s="7">
        <v>0.36299999999999999</v>
      </c>
      <c r="K3132" s="1" t="s">
        <v>21</v>
      </c>
      <c r="L3132" s="1" t="s">
        <v>29</v>
      </c>
      <c r="M3132" s="1" t="s">
        <v>29</v>
      </c>
      <c r="N3132" s="1" t="s">
        <v>22</v>
      </c>
      <c r="O3132" s="1" t="str">
        <f t="shared" ca="1" si="25"/>
        <v>Please solve the LeetCode problem '3742. Maximum Path Score in a Grid'.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33" spans="1:15" x14ac:dyDescent="0.25">
      <c r="A3133" s="1">
        <v>3771</v>
      </c>
      <c r="B3133" s="2" t="str">
        <f>HYPERLINK("https://leetcode.com/problems/total-score-of-dungeon-runs/", "Total Score of Dungeon Runs")</f>
        <v>Total Score of Dungeon Runs</v>
      </c>
      <c r="C3133" s="1">
        <v>98</v>
      </c>
      <c r="D3133" s="1">
        <v>13</v>
      </c>
      <c r="E3133" s="3">
        <f t="shared" si="24"/>
        <v>0.88288288288288286</v>
      </c>
      <c r="F3133" s="1" t="s">
        <v>710</v>
      </c>
      <c r="G3133" s="1" t="s">
        <v>24</v>
      </c>
      <c r="H3133" s="1">
        <v>9479</v>
      </c>
      <c r="I3133" s="1">
        <v>31635</v>
      </c>
      <c r="J3133" s="7">
        <v>0.3</v>
      </c>
      <c r="K3133" s="1" t="s">
        <v>21</v>
      </c>
      <c r="L3133" s="1" t="s">
        <v>29</v>
      </c>
      <c r="M3133" s="1" t="s">
        <v>29</v>
      </c>
      <c r="N3133" s="1" t="s">
        <v>22</v>
      </c>
      <c r="O3133" s="1" t="str">
        <f t="shared" ca="1" si="25"/>
        <v>Please solve the LeetCode problem '3771. Total Score of Dungeon Runs'.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34" spans="1:15" x14ac:dyDescent="0.25">
      <c r="A3134" s="1">
        <v>3216</v>
      </c>
      <c r="B3134" s="2" t="str">
        <f>HYPERLINK("https://leetcode.com/problems/lexicographically-smallest-string-after-a-swap/", "Lexicographically Smallest String After a Swap")</f>
        <v>Lexicographically Smallest String After a Swap</v>
      </c>
      <c r="C3134" s="1">
        <v>97</v>
      </c>
      <c r="D3134" s="1">
        <v>30</v>
      </c>
      <c r="E3134" s="3">
        <f t="shared" si="24"/>
        <v>0.76377952755905509</v>
      </c>
      <c r="F3134" s="1" t="s">
        <v>424</v>
      </c>
      <c r="G3134" s="1" t="s">
        <v>20</v>
      </c>
      <c r="H3134" s="1">
        <v>54340</v>
      </c>
      <c r="I3134" s="1">
        <v>99849</v>
      </c>
      <c r="J3134" s="7">
        <v>0.54400000000000004</v>
      </c>
      <c r="K3134" s="1" t="s">
        <v>21</v>
      </c>
      <c r="L3134" s="1" t="s">
        <v>29</v>
      </c>
      <c r="M3134" s="1" t="s">
        <v>29</v>
      </c>
      <c r="N3134" s="1" t="s">
        <v>22</v>
      </c>
      <c r="O3134" s="1" t="str">
        <f t="shared" ca="1" si="25"/>
        <v>Please solve the LeetCode problem '3216. Lexicographically Smallest String After a Swap'.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35" spans="1:15" x14ac:dyDescent="0.25">
      <c r="A3135" s="1">
        <v>3379</v>
      </c>
      <c r="B3135" s="2" t="str">
        <f>HYPERLINK("https://leetcode.com/problems/transformed-array/", "Transformed Array")</f>
        <v>Transformed Array</v>
      </c>
      <c r="C3135" s="1">
        <v>97</v>
      </c>
      <c r="D3135" s="1">
        <v>11</v>
      </c>
      <c r="E3135" s="3">
        <f t="shared" si="24"/>
        <v>0.89814814814814814</v>
      </c>
      <c r="F3135" s="1" t="s">
        <v>306</v>
      </c>
      <c r="G3135" s="1" t="s">
        <v>20</v>
      </c>
      <c r="H3135" s="1">
        <v>36128</v>
      </c>
      <c r="I3135" s="1">
        <v>62801</v>
      </c>
      <c r="J3135" s="7">
        <v>0.57499999999999996</v>
      </c>
      <c r="K3135" s="1" t="s">
        <v>21</v>
      </c>
      <c r="L3135" s="1" t="s">
        <v>29</v>
      </c>
      <c r="M3135" s="1" t="s">
        <v>29</v>
      </c>
      <c r="N3135" s="1" t="s">
        <v>22</v>
      </c>
      <c r="O3135" s="1" t="str">
        <f t="shared" ca="1" si="25"/>
        <v>Please solve the LeetCode problem '3379. Transformed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36" spans="1:15" x14ac:dyDescent="0.25">
      <c r="A3136" s="1">
        <v>2084</v>
      </c>
      <c r="B3136" s="2" t="str">
        <f>HYPERLINK("https://leetcode.com/problems/drop-type-1-orders-for-customers-with-type-0-orders/", "Drop Type 1 Orders for Customers With Type 0 Orders")</f>
        <v>Drop Type 1 Orders for Customers With Type 0 Orders</v>
      </c>
      <c r="C3136" s="1">
        <v>96</v>
      </c>
      <c r="D3136" s="1">
        <v>20</v>
      </c>
      <c r="E3136" s="3">
        <f t="shared" si="24"/>
        <v>0.82758620689655171</v>
      </c>
      <c r="F3136" s="1" t="s">
        <v>297</v>
      </c>
      <c r="G3136" s="1" t="s">
        <v>24</v>
      </c>
      <c r="H3136" s="1">
        <v>14229</v>
      </c>
      <c r="I3136" s="1">
        <v>16426</v>
      </c>
      <c r="J3136" s="7">
        <v>0.86599999999999999</v>
      </c>
      <c r="K3136" s="1" t="s">
        <v>29</v>
      </c>
      <c r="L3136" s="1" t="s">
        <v>29</v>
      </c>
      <c r="M3136" s="1" t="s">
        <v>29</v>
      </c>
      <c r="N3136" s="1" t="s">
        <v>297</v>
      </c>
      <c r="O3136" s="1" t="str">
        <f t="shared" ca="1" si="25"/>
        <v>Please solve the LeetCode problem '2084. Drop Type 1 Orders for Customers With Type 0 Orders'.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37" spans="1:15" x14ac:dyDescent="0.25">
      <c r="A3137" s="1">
        <v>2638</v>
      </c>
      <c r="B3137" s="2" t="str">
        <f>HYPERLINK("https://leetcode.com/problems/count-the-number-of-k-free-subsets/", "Count the Number of K-Free Subsets")</f>
        <v>Count the Number of K-Free Subsets</v>
      </c>
      <c r="C3137" s="1">
        <v>96</v>
      </c>
      <c r="D3137" s="1">
        <v>19</v>
      </c>
      <c r="E3137" s="3">
        <f t="shared" si="24"/>
        <v>0.83478260869565213</v>
      </c>
      <c r="F3137" s="1" t="s">
        <v>1141</v>
      </c>
      <c r="G3137" s="1" t="s">
        <v>24</v>
      </c>
      <c r="H3137" s="1">
        <v>5216</v>
      </c>
      <c r="I3137" s="1">
        <v>11068</v>
      </c>
      <c r="J3137" s="7">
        <v>0.47099999999999997</v>
      </c>
      <c r="K3137" s="1" t="s">
        <v>29</v>
      </c>
      <c r="L3137" s="1" t="s">
        <v>29</v>
      </c>
      <c r="M3137" s="1" t="s">
        <v>29</v>
      </c>
      <c r="N3137" s="1" t="s">
        <v>22</v>
      </c>
      <c r="O3137" s="1" t="str">
        <f t="shared" ca="1" si="25"/>
        <v>Please solve the LeetCode problem '2638. Count the Number of K-Free Subsets'.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38" spans="1:15" x14ac:dyDescent="0.25">
      <c r="A3138" s="1">
        <v>2983</v>
      </c>
      <c r="B3138" s="2" t="str">
        <f>HYPERLINK("https://leetcode.com/problems/palindrome-rearrangement-queries/", "Palindrome Rearrangement Queries")</f>
        <v>Palindrome Rearrangement Queries</v>
      </c>
      <c r="C3138" s="1">
        <v>96</v>
      </c>
      <c r="D3138" s="1">
        <v>27</v>
      </c>
      <c r="E3138" s="3">
        <f t="shared" si="24"/>
        <v>0.78048780487804881</v>
      </c>
      <c r="F3138" s="1" t="s">
        <v>883</v>
      </c>
      <c r="G3138" s="1" t="s">
        <v>28</v>
      </c>
      <c r="H3138" s="1">
        <v>4232</v>
      </c>
      <c r="I3138" s="1">
        <v>17100</v>
      </c>
      <c r="J3138" s="7">
        <v>0.247</v>
      </c>
      <c r="K3138" s="1" t="s">
        <v>21</v>
      </c>
      <c r="L3138" s="1" t="s">
        <v>29</v>
      </c>
      <c r="M3138" s="1" t="s">
        <v>29</v>
      </c>
      <c r="N3138" s="1" t="s">
        <v>22</v>
      </c>
      <c r="O3138" s="1" t="str">
        <f t="shared" ca="1" si="25"/>
        <v>Please solve the LeetCode problem '2983. Palindrome Rearrangement Queries'.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39" spans="1:15" x14ac:dyDescent="0.25">
      <c r="A3139" s="1">
        <v>3295</v>
      </c>
      <c r="B3139" s="2" t="str">
        <f>HYPERLINK("https://leetcode.com/problems/report-spam-message/", "Report Spam Message")</f>
        <v>Report Spam Message</v>
      </c>
      <c r="C3139" s="1">
        <v>96</v>
      </c>
      <c r="D3139" s="1">
        <v>25</v>
      </c>
      <c r="E3139" s="3">
        <f t="shared" si="24"/>
        <v>0.79338842975206614</v>
      </c>
      <c r="F3139" s="1" t="s">
        <v>258</v>
      </c>
      <c r="G3139" s="1" t="s">
        <v>24</v>
      </c>
      <c r="H3139" s="1">
        <v>56302</v>
      </c>
      <c r="I3139" s="1">
        <v>116396</v>
      </c>
      <c r="J3139" s="7">
        <v>0.48399999999999999</v>
      </c>
      <c r="K3139" s="1" t="s">
        <v>21</v>
      </c>
      <c r="L3139" s="1" t="s">
        <v>29</v>
      </c>
      <c r="M3139" s="1" t="s">
        <v>29</v>
      </c>
      <c r="N3139" s="1" t="s">
        <v>22</v>
      </c>
      <c r="O3139" s="1" t="str">
        <f t="shared" ca="1" si="25"/>
        <v>Please solve the LeetCode problem '3295. Report Spam Message'.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40" spans="1:15" x14ac:dyDescent="0.25">
      <c r="A3140" s="1">
        <v>3300</v>
      </c>
      <c r="B3140" s="2" t="str">
        <f>HYPERLINK("https://leetcode.com/problems/minimum-element-after-replacement-with-digit-sum/", "Minimum Element After Replacement With Digit Sum")</f>
        <v>Minimum Element After Replacement With Digit Sum</v>
      </c>
      <c r="C3140" s="1">
        <v>96</v>
      </c>
      <c r="D3140" s="1">
        <v>4</v>
      </c>
      <c r="E3140" s="3">
        <f t="shared" si="24"/>
        <v>0.96</v>
      </c>
      <c r="F3140" s="1" t="s">
        <v>115</v>
      </c>
      <c r="G3140" s="1" t="s">
        <v>20</v>
      </c>
      <c r="H3140" s="1">
        <v>67923</v>
      </c>
      <c r="I3140" s="1">
        <v>80330</v>
      </c>
      <c r="J3140" s="7">
        <v>0.84599999999999997</v>
      </c>
      <c r="K3140" s="1" t="s">
        <v>21</v>
      </c>
      <c r="L3140" s="1" t="s">
        <v>29</v>
      </c>
      <c r="M3140" s="1" t="s">
        <v>29</v>
      </c>
      <c r="N3140" s="1" t="s">
        <v>22</v>
      </c>
      <c r="O3140" s="1" t="str">
        <f t="shared" ca="1" si="25"/>
        <v>Please solve the LeetCode problem '3300. Minimum Element After Replacement With Digit Sum'.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41" spans="1:15" x14ac:dyDescent="0.25">
      <c r="A3141" s="1">
        <v>3398</v>
      </c>
      <c r="B3141" s="2" t="str">
        <f>HYPERLINK("https://leetcode.com/problems/smallest-substring-with-identical-characters-i/", "Smallest Substring With Identical Characters I")</f>
        <v>Smallest Substring With Identical Characters I</v>
      </c>
      <c r="C3141" s="1">
        <v>96</v>
      </c>
      <c r="D3141" s="1">
        <v>5</v>
      </c>
      <c r="E3141" s="3">
        <f t="shared" si="24"/>
        <v>0.95049504950495045</v>
      </c>
      <c r="F3141" s="1" t="s">
        <v>1188</v>
      </c>
      <c r="G3141" s="1" t="s">
        <v>28</v>
      </c>
      <c r="H3141" s="1">
        <v>7255</v>
      </c>
      <c r="I3141" s="1">
        <v>35961</v>
      </c>
      <c r="J3141" s="7">
        <v>0.20200000000000001</v>
      </c>
      <c r="K3141" s="1" t="s">
        <v>21</v>
      </c>
      <c r="L3141" s="1" t="s">
        <v>29</v>
      </c>
      <c r="M3141" s="1" t="s">
        <v>29</v>
      </c>
      <c r="N3141" s="1" t="s">
        <v>22</v>
      </c>
      <c r="O3141" s="1" t="str">
        <f t="shared" ca="1" si="25"/>
        <v>Please solve the LeetCode problem '3398. Smallest Substring With Identical Characters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42" spans="1:15" x14ac:dyDescent="0.25">
      <c r="A3142" s="1">
        <v>3644</v>
      </c>
      <c r="B3142" s="2" t="str">
        <f>HYPERLINK("https://leetcode.com/problems/maximum-k-to-sort-a-permutation/", "Maximum K to Sort a Permutation")</f>
        <v>Maximum K to Sort a Permutation</v>
      </c>
      <c r="C3142" s="1">
        <v>96</v>
      </c>
      <c r="D3142" s="1">
        <v>35</v>
      </c>
      <c r="E3142" s="3">
        <f t="shared" si="24"/>
        <v>0.73282442748091603</v>
      </c>
      <c r="F3142" s="1" t="s">
        <v>65</v>
      </c>
      <c r="G3142" s="1" t="s">
        <v>24</v>
      </c>
      <c r="H3142" s="1">
        <v>29490</v>
      </c>
      <c r="I3142" s="1">
        <v>82853</v>
      </c>
      <c r="J3142" s="7">
        <v>0.35599999999999998</v>
      </c>
      <c r="K3142" s="1" t="s">
        <v>21</v>
      </c>
      <c r="L3142" s="1" t="s">
        <v>29</v>
      </c>
      <c r="M3142" s="1" t="s">
        <v>29</v>
      </c>
      <c r="N3142" s="1" t="s">
        <v>22</v>
      </c>
      <c r="O3142" s="1" t="str">
        <f t="shared" ca="1" si="25"/>
        <v>Please solve the LeetCode problem '3644. Maximum K to Sort a Permutation'.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43" spans="1:15" x14ac:dyDescent="0.25">
      <c r="A3143" s="1">
        <v>3670</v>
      </c>
      <c r="B3143" s="2" t="str">
        <f>HYPERLINK("https://leetcode.com/problems/maximum-product-of-two-integers-with-no-common-bits/", "Maximum Product of Two Integers With No Common Bits")</f>
        <v>Maximum Product of Two Integers With No Common Bits</v>
      </c>
      <c r="C3143" s="1">
        <v>96</v>
      </c>
      <c r="D3143" s="1">
        <v>17</v>
      </c>
      <c r="E3143" s="3">
        <f t="shared" si="24"/>
        <v>0.84955752212389379</v>
      </c>
      <c r="F3143" s="1" t="s">
        <v>508</v>
      </c>
      <c r="G3143" s="1" t="s">
        <v>24</v>
      </c>
      <c r="H3143" s="1">
        <v>8694</v>
      </c>
      <c r="I3143" s="1">
        <v>69381</v>
      </c>
      <c r="J3143" s="7">
        <v>0.125</v>
      </c>
      <c r="K3143" s="1" t="s">
        <v>21</v>
      </c>
      <c r="L3143" s="1" t="s">
        <v>29</v>
      </c>
      <c r="M3143" s="1" t="s">
        <v>29</v>
      </c>
      <c r="N3143" s="1" t="s">
        <v>22</v>
      </c>
      <c r="O3143" s="1" t="str">
        <f t="shared" ca="1" si="25"/>
        <v>Please solve the LeetCode problem '3670. Maximum Product of Two Integers With No Common Bits'.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44" spans="1:15" x14ac:dyDescent="0.25">
      <c r="A3144" s="1">
        <v>3698</v>
      </c>
      <c r="B3144" s="2" t="str">
        <f>HYPERLINK("https://leetcode.com/problems/split-array-with-minimum-difference/", "Split Array With Minimum Difference")</f>
        <v>Split Array With Minimum Difference</v>
      </c>
      <c r="C3144" s="1">
        <v>96</v>
      </c>
      <c r="D3144" s="1">
        <v>15</v>
      </c>
      <c r="E3144" s="3">
        <f t="shared" si="24"/>
        <v>0.86486486486486491</v>
      </c>
      <c r="F3144" s="1" t="s">
        <v>37</v>
      </c>
      <c r="G3144" s="1" t="s">
        <v>24</v>
      </c>
      <c r="H3144" s="1">
        <v>36439</v>
      </c>
      <c r="I3144" s="1">
        <v>113886</v>
      </c>
      <c r="J3144" s="7">
        <v>0.32</v>
      </c>
      <c r="K3144" s="1" t="s">
        <v>21</v>
      </c>
      <c r="L3144" s="1" t="s">
        <v>29</v>
      </c>
      <c r="M3144" s="1" t="s">
        <v>29</v>
      </c>
      <c r="N3144" s="1" t="s">
        <v>22</v>
      </c>
      <c r="O3144" s="1" t="str">
        <f t="shared" ca="1" si="25"/>
        <v>Please solve the LeetCode problem '3698. Split Array With Minimum Difference'.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45" spans="1:15" x14ac:dyDescent="0.25">
      <c r="A3145" s="1">
        <v>1067</v>
      </c>
      <c r="B3145" s="2" t="str">
        <f>HYPERLINK("https://leetcode.com/problems/digit-count-in-range/", "Digit Count in Range")</f>
        <v>Digit Count in Range</v>
      </c>
      <c r="C3145" s="1">
        <v>95</v>
      </c>
      <c r="D3145" s="1">
        <v>25</v>
      </c>
      <c r="E3145" s="3">
        <f t="shared" si="24"/>
        <v>0.79166666666666663</v>
      </c>
      <c r="F3145" s="1" t="s">
        <v>250</v>
      </c>
      <c r="G3145" s="1" t="s">
        <v>28</v>
      </c>
      <c r="H3145" s="1">
        <v>4646</v>
      </c>
      <c r="I3145" s="1">
        <v>10022</v>
      </c>
      <c r="J3145" s="7">
        <v>0.46400000000000002</v>
      </c>
      <c r="K3145" s="1" t="s">
        <v>29</v>
      </c>
      <c r="L3145" s="1" t="s">
        <v>29</v>
      </c>
      <c r="M3145" s="1" t="s">
        <v>29</v>
      </c>
      <c r="N3145" s="1" t="s">
        <v>22</v>
      </c>
      <c r="O3145" s="1" t="str">
        <f t="shared" ca="1" si="25"/>
        <v>Please solve the LeetCode problem '1067. Digit Count in Range'.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46" spans="1:15" x14ac:dyDescent="0.25">
      <c r="A3146" s="1">
        <v>1336</v>
      </c>
      <c r="B3146" s="2" t="str">
        <f>HYPERLINK("https://leetcode.com/problems/number-of-transactions-per-visit/", "Number of Transactions per Visit")</f>
        <v>Number of Transactions per Visit</v>
      </c>
      <c r="C3146" s="1">
        <v>95</v>
      </c>
      <c r="D3146" s="1">
        <v>327</v>
      </c>
      <c r="E3146" s="3">
        <f t="shared" si="24"/>
        <v>0.22511848341232227</v>
      </c>
      <c r="F3146" s="1" t="s">
        <v>297</v>
      </c>
      <c r="G3146" s="1" t="s">
        <v>28</v>
      </c>
      <c r="H3146" s="1">
        <v>15497</v>
      </c>
      <c r="I3146" s="1">
        <v>32448</v>
      </c>
      <c r="J3146" s="7">
        <v>0.47799999999999998</v>
      </c>
      <c r="K3146" s="1" t="s">
        <v>29</v>
      </c>
      <c r="L3146" s="1" t="s">
        <v>29</v>
      </c>
      <c r="M3146" s="1" t="s">
        <v>29</v>
      </c>
      <c r="N3146" s="1" t="s">
        <v>297</v>
      </c>
      <c r="O3146" s="1" t="str">
        <f t="shared" ca="1" si="25"/>
        <v>Please solve the LeetCode problem '1336. Number of Transactions per Visit'.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47" spans="1:15" x14ac:dyDescent="0.25">
      <c r="A3147" s="1">
        <v>1364</v>
      </c>
      <c r="B3147" s="2" t="str">
        <f>HYPERLINK("https://leetcode.com/problems/number-of-trusted-contacts-of-a-customer/", "Number of Trusted Contacts of a Customer")</f>
        <v>Number of Trusted Contacts of a Customer</v>
      </c>
      <c r="C3147" s="1">
        <v>95</v>
      </c>
      <c r="D3147" s="1">
        <v>402</v>
      </c>
      <c r="E3147" s="3">
        <f t="shared" si="24"/>
        <v>0.19114688128772636</v>
      </c>
      <c r="F3147" s="1" t="s">
        <v>297</v>
      </c>
      <c r="G3147" s="1" t="s">
        <v>24</v>
      </c>
      <c r="H3147" s="1">
        <v>24572</v>
      </c>
      <c r="I3147" s="1">
        <v>32869</v>
      </c>
      <c r="J3147" s="7">
        <v>0.748</v>
      </c>
      <c r="K3147" s="1" t="s">
        <v>29</v>
      </c>
      <c r="L3147" s="1" t="s">
        <v>21</v>
      </c>
      <c r="M3147" s="1" t="s">
        <v>29</v>
      </c>
      <c r="N3147" s="1" t="s">
        <v>297</v>
      </c>
      <c r="O3147" s="1" t="str">
        <f t="shared" ca="1" si="25"/>
        <v>Please solve the LeetCode problem '1364. Number of Trusted Contacts of a Customer'.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48" spans="1:15" x14ac:dyDescent="0.25">
      <c r="A3148" s="1">
        <v>1810</v>
      </c>
      <c r="B3148" s="2" t="str">
        <f>HYPERLINK("https://leetcode.com/problems/minimum-path-cost-in-a-hidden-grid/", "Minimum Path Cost in a Hidden Grid")</f>
        <v>Minimum Path Cost in a Hidden Grid</v>
      </c>
      <c r="C3148" s="1">
        <v>95</v>
      </c>
      <c r="D3148" s="1">
        <v>32</v>
      </c>
      <c r="E3148" s="3">
        <f t="shared" si="24"/>
        <v>0.74803149606299213</v>
      </c>
      <c r="F3148" s="1" t="s">
        <v>1189</v>
      </c>
      <c r="G3148" s="1" t="s">
        <v>24</v>
      </c>
      <c r="H3148" s="1">
        <v>5425</v>
      </c>
      <c r="I3148" s="1">
        <v>9264</v>
      </c>
      <c r="J3148" s="7">
        <v>0.58599999999999997</v>
      </c>
      <c r="K3148" s="1" t="s">
        <v>29</v>
      </c>
      <c r="L3148" s="1" t="s">
        <v>29</v>
      </c>
      <c r="M3148" s="1" t="s">
        <v>29</v>
      </c>
      <c r="N3148" s="1" t="s">
        <v>22</v>
      </c>
      <c r="O3148" s="1" t="str">
        <f t="shared" ca="1" si="25"/>
        <v>Please solve the LeetCode problem '1810. Minimum Path Cost in a Hidden Grid'.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49" spans="1:15" x14ac:dyDescent="0.25">
      <c r="A3149" s="1">
        <v>1831</v>
      </c>
      <c r="B3149" s="2" t="str">
        <f>HYPERLINK("https://leetcode.com/problems/maximum-transaction-each-day/", "Maximum Transaction Each Day")</f>
        <v>Maximum Transaction Each Day</v>
      </c>
      <c r="C3149" s="1">
        <v>95</v>
      </c>
      <c r="D3149" s="1">
        <v>3</v>
      </c>
      <c r="E3149" s="3">
        <f t="shared" si="24"/>
        <v>0.96938775510204078</v>
      </c>
      <c r="F3149" s="1" t="s">
        <v>297</v>
      </c>
      <c r="G3149" s="1" t="s">
        <v>24</v>
      </c>
      <c r="H3149" s="1">
        <v>27347</v>
      </c>
      <c r="I3149" s="1">
        <v>33190</v>
      </c>
      <c r="J3149" s="7">
        <v>0.82399999999999995</v>
      </c>
      <c r="K3149" s="1" t="s">
        <v>29</v>
      </c>
      <c r="L3149" s="1" t="s">
        <v>29</v>
      </c>
      <c r="M3149" s="1" t="s">
        <v>29</v>
      </c>
      <c r="N3149" s="1" t="s">
        <v>297</v>
      </c>
      <c r="O3149" s="1" t="str">
        <f t="shared" ca="1" si="25"/>
        <v>Please solve the LeetCode problem '1831. Maximum Transaction Each Day'.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50" spans="1:15" x14ac:dyDescent="0.25">
      <c r="A3150" s="1">
        <v>2884</v>
      </c>
      <c r="B3150" s="2" t="str">
        <f>HYPERLINK("https://leetcode.com/problems/modify-columns/", "Modify Columns")</f>
        <v>Modify Columns</v>
      </c>
      <c r="C3150" s="1">
        <v>95</v>
      </c>
      <c r="D3150" s="1">
        <v>7</v>
      </c>
      <c r="E3150" s="3">
        <f t="shared" si="24"/>
        <v>0.93137254901960786</v>
      </c>
      <c r="G3150" s="1" t="s">
        <v>20</v>
      </c>
      <c r="H3150" s="1">
        <v>137651</v>
      </c>
      <c r="I3150" s="1">
        <v>148979</v>
      </c>
      <c r="J3150" s="7">
        <v>0.92400000000000004</v>
      </c>
      <c r="K3150" s="1" t="s">
        <v>21</v>
      </c>
      <c r="L3150" s="1" t="s">
        <v>21</v>
      </c>
      <c r="M3150" s="1" t="s">
        <v>29</v>
      </c>
      <c r="N3150" s="1" t="s">
        <v>1047</v>
      </c>
      <c r="O3150" s="1" t="str">
        <f t="shared" ca="1" si="25"/>
        <v>Please solve the LeetCode problem '2884. Modify Columns'.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51" spans="1:15" x14ac:dyDescent="0.25">
      <c r="A3151" s="1">
        <v>3604</v>
      </c>
      <c r="B3151" s="2" t="str">
        <f>HYPERLINK("https://leetcode.com/problems/minimum-time-to-reach-destination-in-directed-graph/", "Minimum Time to Reach Destination in Directed Graph")</f>
        <v>Minimum Time to Reach Destination in Directed Graph</v>
      </c>
      <c r="C3151" s="1">
        <v>95</v>
      </c>
      <c r="D3151" s="1">
        <v>4</v>
      </c>
      <c r="E3151" s="3">
        <f t="shared" si="24"/>
        <v>0.95959595959595956</v>
      </c>
      <c r="F3151" s="1" t="s">
        <v>737</v>
      </c>
      <c r="G3151" s="1" t="s">
        <v>24</v>
      </c>
      <c r="H3151" s="1">
        <v>16299</v>
      </c>
      <c r="I3151" s="1">
        <v>35933</v>
      </c>
      <c r="J3151" s="7">
        <v>0.45400000000000001</v>
      </c>
      <c r="K3151" s="1" t="s">
        <v>21</v>
      </c>
      <c r="L3151" s="1" t="s">
        <v>29</v>
      </c>
      <c r="M3151" s="1" t="s">
        <v>29</v>
      </c>
      <c r="N3151" s="1" t="s">
        <v>22</v>
      </c>
      <c r="O3151" s="1" t="str">
        <f t="shared" ca="1" si="25"/>
        <v>Please solve the LeetCode problem '3604. Minimum Time to Reach Destination in Directed Graph'.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52" spans="1:15" x14ac:dyDescent="0.25">
      <c r="A3152" s="1">
        <v>2174</v>
      </c>
      <c r="B3152" s="2" t="str">
        <f>HYPERLINK("https://leetcode.com/problems/remove-all-ones-with-row-and-column-flips-ii/", "Remove All Ones With Row and Column Flips II")</f>
        <v>Remove All Ones With Row and Column Flips II</v>
      </c>
      <c r="C3152" s="1">
        <v>94</v>
      </c>
      <c r="D3152" s="1">
        <v>24</v>
      </c>
      <c r="E3152" s="3">
        <f t="shared" si="24"/>
        <v>0.79661016949152541</v>
      </c>
      <c r="F3152" s="1" t="s">
        <v>431</v>
      </c>
      <c r="G3152" s="1" t="s">
        <v>24</v>
      </c>
      <c r="H3152" s="1">
        <v>5574</v>
      </c>
      <c r="I3152" s="1">
        <v>8301</v>
      </c>
      <c r="J3152" s="7">
        <v>0.67100000000000004</v>
      </c>
      <c r="K3152" s="1" t="s">
        <v>29</v>
      </c>
      <c r="L3152" s="1" t="s">
        <v>29</v>
      </c>
      <c r="M3152" s="1" t="s">
        <v>29</v>
      </c>
      <c r="N3152" s="1" t="s">
        <v>22</v>
      </c>
      <c r="O3152" s="1" t="str">
        <f t="shared" ca="1" si="25"/>
        <v>Please solve the LeetCode problem '2174. Remove All Ones With Row and Column Flips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53" spans="1:15" x14ac:dyDescent="0.25">
      <c r="A3153" s="1">
        <v>2388</v>
      </c>
      <c r="B3153" s="2" t="str">
        <f>HYPERLINK("https://leetcode.com/problems/change-null-values-in-a-table-to-the-previous-value/", "Change Null Values in a Table to the Previous Value")</f>
        <v>Change Null Values in a Table to the Previous Value</v>
      </c>
      <c r="C3153" s="1">
        <v>94</v>
      </c>
      <c r="D3153" s="1">
        <v>31</v>
      </c>
      <c r="E3153" s="3">
        <f t="shared" si="24"/>
        <v>0.752</v>
      </c>
      <c r="F3153" s="1" t="s">
        <v>297</v>
      </c>
      <c r="G3153" s="1" t="s">
        <v>24</v>
      </c>
      <c r="H3153" s="1">
        <v>6504</v>
      </c>
      <c r="I3153" s="1">
        <v>12638</v>
      </c>
      <c r="J3153" s="7">
        <v>0.51500000000000001</v>
      </c>
      <c r="K3153" s="1" t="s">
        <v>29</v>
      </c>
      <c r="L3153" s="1" t="s">
        <v>29</v>
      </c>
      <c r="M3153" s="1" t="s">
        <v>29</v>
      </c>
      <c r="N3153" s="1" t="s">
        <v>297</v>
      </c>
      <c r="O3153" s="1" t="str">
        <f t="shared" ca="1" si="25"/>
        <v>Please solve the LeetCode problem '2388. Change Null Values in a Table to the Previous Value'.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54" spans="1:15" x14ac:dyDescent="0.25">
      <c r="A3154" s="1">
        <v>3038</v>
      </c>
      <c r="B3154" s="2" t="str">
        <f>HYPERLINK("https://leetcode.com/problems/maximum-number-of-operations-with-the-same-score-i/", "Maximum Number of Operations With the Same Score I")</f>
        <v>Maximum Number of Operations With the Same Score I</v>
      </c>
      <c r="C3154" s="1">
        <v>94</v>
      </c>
      <c r="D3154" s="1">
        <v>27</v>
      </c>
      <c r="E3154" s="3">
        <f t="shared" si="24"/>
        <v>0.77685950413223137</v>
      </c>
      <c r="F3154" s="1" t="s">
        <v>306</v>
      </c>
      <c r="G3154" s="1" t="s">
        <v>20</v>
      </c>
      <c r="H3154" s="1">
        <v>40695</v>
      </c>
      <c r="I3154" s="1">
        <v>77392</v>
      </c>
      <c r="J3154" s="7">
        <v>0.52600000000000002</v>
      </c>
      <c r="K3154" s="1" t="s">
        <v>21</v>
      </c>
      <c r="L3154" s="1" t="s">
        <v>29</v>
      </c>
      <c r="M3154" s="1" t="s">
        <v>29</v>
      </c>
      <c r="N3154" s="1" t="s">
        <v>22</v>
      </c>
      <c r="O3154" s="1" t="str">
        <f t="shared" ca="1" si="25"/>
        <v>Please solve the LeetCode problem '3038. Maximum Number of Operations With the Same Score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55" spans="1:15" x14ac:dyDescent="0.25">
      <c r="A3155" s="1">
        <v>3467</v>
      </c>
      <c r="B3155" s="2" t="str">
        <f>HYPERLINK("https://leetcode.com/problems/transform-array-by-parity/", "Transform Array by Parity")</f>
        <v>Transform Array by Parity</v>
      </c>
      <c r="C3155" s="1">
        <v>94</v>
      </c>
      <c r="D3155" s="1">
        <v>6</v>
      </c>
      <c r="E3155" s="3">
        <f t="shared" si="24"/>
        <v>0.94</v>
      </c>
      <c r="F3155" s="1" t="s">
        <v>796</v>
      </c>
      <c r="G3155" s="1" t="s">
        <v>20</v>
      </c>
      <c r="H3155" s="1">
        <v>83959</v>
      </c>
      <c r="I3155" s="1">
        <v>93656</v>
      </c>
      <c r="J3155" s="7">
        <v>0.89600000000000002</v>
      </c>
      <c r="K3155" s="1" t="s">
        <v>21</v>
      </c>
      <c r="L3155" s="1" t="s">
        <v>29</v>
      </c>
      <c r="M3155" s="1" t="s">
        <v>29</v>
      </c>
      <c r="N3155" s="1" t="s">
        <v>22</v>
      </c>
      <c r="O3155" s="1" t="str">
        <f t="shared" ca="1" si="25"/>
        <v>Please solve the LeetCode problem '3467. Transform Array by Parity'.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56" spans="1:15" x14ac:dyDescent="0.25">
      <c r="A3156" s="1">
        <v>3668</v>
      </c>
      <c r="B3156" s="2" t="str">
        <f>HYPERLINK("https://leetcode.com/problems/restore-finishing-order/", "Restore Finishing Order")</f>
        <v>Restore Finishing Order</v>
      </c>
      <c r="C3156" s="1">
        <v>94</v>
      </c>
      <c r="D3156" s="1">
        <v>3</v>
      </c>
      <c r="E3156" s="3">
        <f t="shared" si="24"/>
        <v>0.96907216494845361</v>
      </c>
      <c r="F3156" s="1" t="s">
        <v>19</v>
      </c>
      <c r="G3156" s="1" t="s">
        <v>20</v>
      </c>
      <c r="H3156" s="1">
        <v>80418</v>
      </c>
      <c r="I3156" s="1">
        <v>88478</v>
      </c>
      <c r="J3156" s="7">
        <v>0.90900000000000003</v>
      </c>
      <c r="K3156" s="1" t="s">
        <v>21</v>
      </c>
      <c r="L3156" s="1" t="s">
        <v>29</v>
      </c>
      <c r="M3156" s="1" t="s">
        <v>29</v>
      </c>
      <c r="N3156" s="1" t="s">
        <v>22</v>
      </c>
      <c r="O3156" s="1" t="str">
        <f t="shared" ca="1" si="25"/>
        <v>Please solve the LeetCode problem '3668. Restore Finishing Order'.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57" spans="1:15" x14ac:dyDescent="0.25">
      <c r="A3157" s="1">
        <v>1543</v>
      </c>
      <c r="B3157" s="2" t="str">
        <f>HYPERLINK("https://leetcode.com/problems/fix-product-name-format/", "Fix Product Name Format")</f>
        <v>Fix Product Name Format</v>
      </c>
      <c r="C3157" s="1">
        <v>93</v>
      </c>
      <c r="D3157" s="1">
        <v>45</v>
      </c>
      <c r="E3157" s="3">
        <f t="shared" si="24"/>
        <v>0.67391304347826086</v>
      </c>
      <c r="F3157" s="1" t="s">
        <v>297</v>
      </c>
      <c r="G3157" s="1" t="s">
        <v>20</v>
      </c>
      <c r="H3157" s="1">
        <v>23598</v>
      </c>
      <c r="I3157" s="1">
        <v>40134</v>
      </c>
      <c r="J3157" s="7">
        <v>0.58799999999999997</v>
      </c>
      <c r="K3157" s="1" t="s">
        <v>29</v>
      </c>
      <c r="L3157" s="1" t="s">
        <v>29</v>
      </c>
      <c r="M3157" s="1" t="s">
        <v>29</v>
      </c>
      <c r="N3157" s="1" t="s">
        <v>297</v>
      </c>
      <c r="O3157" s="1" t="str">
        <f t="shared" ca="1" si="25"/>
        <v>Please solve the LeetCode problem '1543. Fix Product Name Format'.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58" spans="1:15" x14ac:dyDescent="0.25">
      <c r="A3158" s="1">
        <v>2263</v>
      </c>
      <c r="B3158" s="2" t="str">
        <f>HYPERLINK("https://leetcode.com/problems/make-array-non-decreasing-or-non-increasing/", "Make Array Non-decreasing or Non-increasing")</f>
        <v>Make Array Non-decreasing or Non-increasing</v>
      </c>
      <c r="C3158" s="1">
        <v>93</v>
      </c>
      <c r="D3158" s="1">
        <v>13</v>
      </c>
      <c r="E3158" s="3">
        <f t="shared" si="24"/>
        <v>0.87735849056603776</v>
      </c>
      <c r="F3158" s="1" t="s">
        <v>1396</v>
      </c>
      <c r="G3158" s="1" t="s">
        <v>28</v>
      </c>
      <c r="H3158" s="1">
        <v>4711</v>
      </c>
      <c r="I3158" s="1">
        <v>7195</v>
      </c>
      <c r="J3158" s="7">
        <v>0.65500000000000003</v>
      </c>
      <c r="K3158" s="1" t="s">
        <v>29</v>
      </c>
      <c r="L3158" s="1" t="s">
        <v>29</v>
      </c>
      <c r="M3158" s="1" t="s">
        <v>29</v>
      </c>
      <c r="N3158" s="1" t="s">
        <v>22</v>
      </c>
      <c r="O3158" s="1" t="str">
        <f t="shared" ca="1" si="25"/>
        <v>Please solve the LeetCode problem '2263. Make Array Non-decreasing or Non-increasing'.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59" spans="1:15" x14ac:dyDescent="0.25">
      <c r="A3159" s="1">
        <v>3022</v>
      </c>
      <c r="B3159" s="2" t="str">
        <f>HYPERLINK("https://leetcode.com/problems/minimize-or-of-remaining-elements-using-operations/", "Minimize OR of Remaining Elements Using Operations")</f>
        <v>Minimize OR of Remaining Elements Using Operations</v>
      </c>
      <c r="C3159" s="1">
        <v>93</v>
      </c>
      <c r="D3159" s="1">
        <v>16</v>
      </c>
      <c r="E3159" s="3">
        <f t="shared" si="24"/>
        <v>0.85321100917431192</v>
      </c>
      <c r="F3159" s="1" t="s">
        <v>824</v>
      </c>
      <c r="G3159" s="1" t="s">
        <v>28</v>
      </c>
      <c r="H3159" s="1">
        <v>4194</v>
      </c>
      <c r="I3159" s="1">
        <v>14053</v>
      </c>
      <c r="J3159" s="7">
        <v>0.29799999999999999</v>
      </c>
      <c r="K3159" s="1" t="s">
        <v>21</v>
      </c>
      <c r="L3159" s="1" t="s">
        <v>29</v>
      </c>
      <c r="M3159" s="1" t="s">
        <v>29</v>
      </c>
      <c r="N3159" s="1" t="s">
        <v>22</v>
      </c>
      <c r="O3159" s="1" t="str">
        <f t="shared" ca="1" si="25"/>
        <v>Please solve the LeetCode problem '3022. Minimize OR of Remaining Elements Using Operations'.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60" spans="1:15" x14ac:dyDescent="0.25">
      <c r="A3160" s="1">
        <v>3576</v>
      </c>
      <c r="B3160" s="2" t="str">
        <f>HYPERLINK("https://leetcode.com/problems/transform-array-to-all-equal-elements/", "Transform Array to All Equal Elements")</f>
        <v>Transform Array to All Equal Elements</v>
      </c>
      <c r="C3160" s="1">
        <v>93</v>
      </c>
      <c r="D3160" s="1">
        <v>7</v>
      </c>
      <c r="E3160" s="3">
        <f t="shared" si="24"/>
        <v>0.93</v>
      </c>
      <c r="F3160" s="1" t="s">
        <v>96</v>
      </c>
      <c r="G3160" s="1" t="s">
        <v>24</v>
      </c>
      <c r="H3160" s="1">
        <v>29908</v>
      </c>
      <c r="I3160" s="1">
        <v>90869</v>
      </c>
      <c r="J3160" s="7">
        <v>0.32900000000000001</v>
      </c>
      <c r="K3160" s="1" t="s">
        <v>21</v>
      </c>
      <c r="L3160" s="1" t="s">
        <v>29</v>
      </c>
      <c r="M3160" s="1" t="s">
        <v>29</v>
      </c>
      <c r="N3160" s="1" t="s">
        <v>22</v>
      </c>
      <c r="O3160" s="1" t="str">
        <f t="shared" ca="1" si="25"/>
        <v>Please solve the LeetCode problem '3576. Transform Array to All Equal Elements'.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61" spans="1:15" x14ac:dyDescent="0.25">
      <c r="A3161" s="1">
        <v>3690</v>
      </c>
      <c r="B3161" s="2" t="str">
        <f>HYPERLINK("https://leetcode.com/problems/split-and-merge-array-transformation/", "Split and Merge Array Transformation")</f>
        <v>Split and Merge Array Transformation</v>
      </c>
      <c r="C3161" s="1">
        <v>93</v>
      </c>
      <c r="D3161" s="1">
        <v>11</v>
      </c>
      <c r="E3161" s="3">
        <f t="shared" si="24"/>
        <v>0.89423076923076927</v>
      </c>
      <c r="F3161" s="1" t="s">
        <v>276</v>
      </c>
      <c r="G3161" s="1" t="s">
        <v>24</v>
      </c>
      <c r="H3161" s="1">
        <v>21166</v>
      </c>
      <c r="I3161" s="1">
        <v>37355</v>
      </c>
      <c r="J3161" s="7">
        <v>0.56699999999999995</v>
      </c>
      <c r="K3161" s="1" t="s">
        <v>21</v>
      </c>
      <c r="L3161" s="1" t="s">
        <v>29</v>
      </c>
      <c r="M3161" s="1" t="s">
        <v>29</v>
      </c>
      <c r="N3161" s="1" t="s">
        <v>22</v>
      </c>
      <c r="O3161" s="1" t="str">
        <f t="shared" ca="1" si="25"/>
        <v>Please solve the LeetCode problem '3690. Split and Merge Array Transformation'.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62" spans="1:15" x14ac:dyDescent="0.25">
      <c r="A3162" s="1">
        <v>1181</v>
      </c>
      <c r="B3162" s="2" t="str">
        <f>HYPERLINK("https://leetcode.com/problems/before-and-after-puzzle/", "Before and After Puzzle")</f>
        <v>Before and After Puzzle</v>
      </c>
      <c r="C3162" s="1">
        <v>92</v>
      </c>
      <c r="D3162" s="1">
        <v>158</v>
      </c>
      <c r="E3162" s="3">
        <f t="shared" si="24"/>
        <v>0.36799999999999999</v>
      </c>
      <c r="F3162" s="1" t="s">
        <v>49</v>
      </c>
      <c r="G3162" s="1" t="s">
        <v>24</v>
      </c>
      <c r="H3162" s="1">
        <v>13001</v>
      </c>
      <c r="I3162" s="1">
        <v>25143</v>
      </c>
      <c r="J3162" s="7">
        <v>0.51700000000000002</v>
      </c>
      <c r="K3162" s="1" t="s">
        <v>29</v>
      </c>
      <c r="L3162" s="1" t="s">
        <v>21</v>
      </c>
      <c r="M3162" s="1" t="s">
        <v>29</v>
      </c>
      <c r="N3162" s="1" t="s">
        <v>22</v>
      </c>
      <c r="O3162" s="1" t="str">
        <f t="shared" ca="1" si="25"/>
        <v>Please solve the LeetCode problem '1181. Before and After Puzzle'.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63" spans="1:15" x14ac:dyDescent="0.25">
      <c r="A3163" s="1">
        <v>1495</v>
      </c>
      <c r="B3163" s="2" t="str">
        <f>HYPERLINK("https://leetcode.com/problems/friendly-movies-streamed-last-month/", "Friendly Movies Streamed Last Month")</f>
        <v>Friendly Movies Streamed Last Month</v>
      </c>
      <c r="C3163" s="1">
        <v>92</v>
      </c>
      <c r="D3163" s="1">
        <v>43</v>
      </c>
      <c r="E3163" s="3">
        <f t="shared" si="24"/>
        <v>0.68148148148148147</v>
      </c>
      <c r="F3163" s="1" t="s">
        <v>297</v>
      </c>
      <c r="G3163" s="1" t="s">
        <v>20</v>
      </c>
      <c r="H3163" s="1">
        <v>39710</v>
      </c>
      <c r="I3163" s="1">
        <v>81208</v>
      </c>
      <c r="J3163" s="7">
        <v>0.48899999999999999</v>
      </c>
      <c r="K3163" s="1" t="s">
        <v>29</v>
      </c>
      <c r="L3163" s="1" t="s">
        <v>21</v>
      </c>
      <c r="M3163" s="1" t="s">
        <v>29</v>
      </c>
      <c r="N3163" s="1" t="s">
        <v>297</v>
      </c>
      <c r="O3163" s="1" t="str">
        <f t="shared" ca="1" si="25"/>
        <v>Please solve the LeetCode problem '1495. Friendly Movies Streamed Last Month'.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64" spans="1:15" x14ac:dyDescent="0.25">
      <c r="A3164" s="1">
        <v>1772</v>
      </c>
      <c r="B3164" s="2" t="str">
        <f>HYPERLINK("https://leetcode.com/problems/sort-features-by-popularity/", "Sort Features by Popularity")</f>
        <v>Sort Features by Popularity</v>
      </c>
      <c r="C3164" s="1">
        <v>92</v>
      </c>
      <c r="D3164" s="1">
        <v>43</v>
      </c>
      <c r="E3164" s="3">
        <f t="shared" si="24"/>
        <v>0.68148148148148147</v>
      </c>
      <c r="F3164" s="1" t="s">
        <v>49</v>
      </c>
      <c r="G3164" s="1" t="s">
        <v>24</v>
      </c>
      <c r="H3164" s="1">
        <v>7311</v>
      </c>
      <c r="I3164" s="1">
        <v>11038</v>
      </c>
      <c r="J3164" s="7">
        <v>0.66200000000000003</v>
      </c>
      <c r="K3164" s="1" t="s">
        <v>29</v>
      </c>
      <c r="L3164" s="1" t="s">
        <v>29</v>
      </c>
      <c r="M3164" s="1" t="s">
        <v>29</v>
      </c>
      <c r="N3164" s="1" t="s">
        <v>22</v>
      </c>
      <c r="O3164" s="1" t="str">
        <f t="shared" ca="1" si="25"/>
        <v>Please solve the LeetCode problem '1772. Sort Features by Popularity'.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65" spans="1:15" x14ac:dyDescent="0.25">
      <c r="A3165" s="1">
        <v>3473</v>
      </c>
      <c r="B3165" s="2" t="str">
        <f>HYPERLINK("https://leetcode.com/problems/sum-of-k-subarrays-with-length-at-least-m/", "Sum of K Subarrays With Length at Least M")</f>
        <v>Sum of K Subarrays With Length at Least M</v>
      </c>
      <c r="C3165" s="1">
        <v>92</v>
      </c>
      <c r="D3165" s="1">
        <v>15</v>
      </c>
      <c r="E3165" s="3">
        <f t="shared" si="24"/>
        <v>0.85981308411214952</v>
      </c>
      <c r="F3165" s="1" t="s">
        <v>407</v>
      </c>
      <c r="G3165" s="1" t="s">
        <v>24</v>
      </c>
      <c r="H3165" s="1">
        <v>7724</v>
      </c>
      <c r="I3165" s="1">
        <v>30008</v>
      </c>
      <c r="J3165" s="7">
        <v>0.25700000000000001</v>
      </c>
      <c r="K3165" s="1" t="s">
        <v>21</v>
      </c>
      <c r="L3165" s="1" t="s">
        <v>29</v>
      </c>
      <c r="M3165" s="1" t="s">
        <v>29</v>
      </c>
      <c r="N3165" s="1" t="s">
        <v>22</v>
      </c>
      <c r="O3165" s="1" t="str">
        <f t="shared" ca="1" si="25"/>
        <v>Please solve the LeetCode problem '3473. Sum of K Subarrays With Length at Least 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66" spans="1:15" x14ac:dyDescent="0.25">
      <c r="A3166" s="1">
        <v>3493</v>
      </c>
      <c r="B3166" s="2" t="str">
        <f>HYPERLINK("https://leetcode.com/problems/properties-graph/", "Properties Graph")</f>
        <v>Properties Graph</v>
      </c>
      <c r="C3166" s="1">
        <v>92</v>
      </c>
      <c r="D3166" s="1">
        <v>14</v>
      </c>
      <c r="E3166" s="3">
        <f t="shared" si="24"/>
        <v>0.86792452830188682</v>
      </c>
      <c r="F3166" s="1" t="s">
        <v>680</v>
      </c>
      <c r="G3166" s="1" t="s">
        <v>24</v>
      </c>
      <c r="H3166" s="1">
        <v>24374</v>
      </c>
      <c r="I3166" s="1">
        <v>50522</v>
      </c>
      <c r="J3166" s="7">
        <v>0.48199999999999998</v>
      </c>
      <c r="K3166" s="1" t="s">
        <v>21</v>
      </c>
      <c r="L3166" s="1" t="s">
        <v>29</v>
      </c>
      <c r="M3166" s="1" t="s">
        <v>29</v>
      </c>
      <c r="N3166" s="1" t="s">
        <v>22</v>
      </c>
      <c r="O3166" s="1" t="str">
        <f t="shared" ca="1" si="25"/>
        <v>Please solve the LeetCode problem '3493. Properties Graph'.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67" spans="1:15" x14ac:dyDescent="0.25">
      <c r="A3167" s="1">
        <v>3634</v>
      </c>
      <c r="B3167" s="2" t="str">
        <f>HYPERLINK("https://leetcode.com/problems/minimum-removals-to-balance-array/", "Minimum Removals to Balance Array")</f>
        <v>Minimum Removals to Balance Array</v>
      </c>
      <c r="C3167" s="1">
        <v>92</v>
      </c>
      <c r="D3167" s="1">
        <v>2</v>
      </c>
      <c r="E3167" s="3">
        <f t="shared" si="24"/>
        <v>0.97872340425531912</v>
      </c>
      <c r="F3167" s="1" t="s">
        <v>604</v>
      </c>
      <c r="G3167" s="1" t="s">
        <v>24</v>
      </c>
      <c r="H3167" s="1">
        <v>29589</v>
      </c>
      <c r="I3167" s="1">
        <v>77325</v>
      </c>
      <c r="J3167" s="7">
        <v>0.38300000000000001</v>
      </c>
      <c r="K3167" s="1" t="s">
        <v>21</v>
      </c>
      <c r="L3167" s="1" t="s">
        <v>29</v>
      </c>
      <c r="M3167" s="1" t="s">
        <v>29</v>
      </c>
      <c r="N3167" s="1" t="s">
        <v>22</v>
      </c>
      <c r="O3167" s="1" t="str">
        <f t="shared" ca="1" si="25"/>
        <v>Please solve the LeetCode problem '3634. Minimum Removals to Balance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68" spans="1:15" x14ac:dyDescent="0.25">
      <c r="A3168" s="1">
        <v>533</v>
      </c>
      <c r="B3168" s="2" t="str">
        <f>HYPERLINK("https://leetcode.com/problems/lonely-pixel-ii/", "Lonely Pixel II")</f>
        <v>Lonely Pixel II</v>
      </c>
      <c r="C3168" s="1">
        <v>91</v>
      </c>
      <c r="D3168" s="1">
        <v>787</v>
      </c>
      <c r="E3168" s="3">
        <f t="shared" si="24"/>
        <v>0.10364464692482915</v>
      </c>
      <c r="F3168" s="1" t="s">
        <v>78</v>
      </c>
      <c r="G3168" s="1" t="s">
        <v>24</v>
      </c>
      <c r="H3168" s="1">
        <v>14238</v>
      </c>
      <c r="I3168" s="1">
        <v>29185</v>
      </c>
      <c r="J3168" s="7">
        <v>0.48799999999999999</v>
      </c>
      <c r="K3168" s="1" t="s">
        <v>29</v>
      </c>
      <c r="L3168" s="1" t="s">
        <v>29</v>
      </c>
      <c r="M3168" s="1" t="s">
        <v>29</v>
      </c>
      <c r="N3168" s="1" t="s">
        <v>22</v>
      </c>
      <c r="O3168" s="1" t="str">
        <f t="shared" ca="1" si="25"/>
        <v>Please solve the LeetCode problem '533. Lonely Pixel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69" spans="1:15" x14ac:dyDescent="0.25">
      <c r="A3169" s="1">
        <v>1620</v>
      </c>
      <c r="B3169" s="2" t="str">
        <f>HYPERLINK("https://leetcode.com/problems/coordinate-with-maximum-network-quality/", "Coordinate With Maximum Network Quality")</f>
        <v>Coordinate With Maximum Network Quality</v>
      </c>
      <c r="C3169" s="1">
        <v>91</v>
      </c>
      <c r="D3169" s="1">
        <v>274</v>
      </c>
      <c r="E3169" s="3">
        <f t="shared" si="24"/>
        <v>0.24931506849315069</v>
      </c>
      <c r="F3169" s="1" t="s">
        <v>654</v>
      </c>
      <c r="G3169" s="1" t="s">
        <v>24</v>
      </c>
      <c r="H3169" s="1">
        <v>11191</v>
      </c>
      <c r="I3169" s="1">
        <v>28579</v>
      </c>
      <c r="J3169" s="7">
        <v>0.39200000000000002</v>
      </c>
      <c r="K3169" s="1" t="s">
        <v>21</v>
      </c>
      <c r="L3169" s="1" t="s">
        <v>29</v>
      </c>
      <c r="M3169" s="1" t="s">
        <v>29</v>
      </c>
      <c r="N3169" s="1" t="s">
        <v>22</v>
      </c>
      <c r="O3169" s="1" t="str">
        <f t="shared" ca="1" si="25"/>
        <v>Please solve the LeetCode problem '1620. Coordinate With Maximum Network Quality'.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70" spans="1:15" x14ac:dyDescent="0.25">
      <c r="A3170" s="1">
        <v>1892</v>
      </c>
      <c r="B3170" s="2" t="str">
        <f>HYPERLINK("https://leetcode.com/problems/page-recommendations-ii/", "Page Recommendations II")</f>
        <v>Page Recommendations II</v>
      </c>
      <c r="C3170" s="1">
        <v>91</v>
      </c>
      <c r="D3170" s="1">
        <v>23</v>
      </c>
      <c r="E3170" s="3">
        <f t="shared" si="24"/>
        <v>0.79824561403508776</v>
      </c>
      <c r="F3170" s="1" t="s">
        <v>297</v>
      </c>
      <c r="G3170" s="1" t="s">
        <v>28</v>
      </c>
      <c r="H3170" s="1">
        <v>10181</v>
      </c>
      <c r="I3170" s="1">
        <v>22363</v>
      </c>
      <c r="J3170" s="7">
        <v>0.45500000000000002</v>
      </c>
      <c r="K3170" s="1" t="s">
        <v>29</v>
      </c>
      <c r="L3170" s="1" t="s">
        <v>29</v>
      </c>
      <c r="M3170" s="1" t="s">
        <v>29</v>
      </c>
      <c r="N3170" s="1" t="s">
        <v>297</v>
      </c>
      <c r="O3170" s="1" t="str">
        <f t="shared" ca="1" si="25"/>
        <v>Please solve the LeetCode problem '1892. Page Recommendations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71" spans="1:15" x14ac:dyDescent="0.25">
      <c r="A3171" s="1">
        <v>2117</v>
      </c>
      <c r="B3171" s="2" t="str">
        <f>HYPERLINK("https://leetcode.com/problems/abbreviating-the-product-of-a-range/", "Abbreviating the Product of a Range")</f>
        <v>Abbreviating the Product of a Range</v>
      </c>
      <c r="C3171" s="1">
        <v>91</v>
      </c>
      <c r="D3171" s="1">
        <v>162</v>
      </c>
      <c r="E3171" s="3">
        <f t="shared" si="24"/>
        <v>0.35968379446640314</v>
      </c>
      <c r="F3171" s="1" t="s">
        <v>84</v>
      </c>
      <c r="G3171" s="1" t="s">
        <v>28</v>
      </c>
      <c r="H3171" s="1">
        <v>4519</v>
      </c>
      <c r="I3171" s="1">
        <v>18247</v>
      </c>
      <c r="J3171" s="7">
        <v>0.248</v>
      </c>
      <c r="K3171" s="1" t="s">
        <v>21</v>
      </c>
      <c r="L3171" s="1" t="s">
        <v>29</v>
      </c>
      <c r="M3171" s="1" t="s">
        <v>29</v>
      </c>
      <c r="N3171" s="1" t="s">
        <v>22</v>
      </c>
      <c r="O3171" s="1" t="str">
        <f t="shared" ca="1" si="25"/>
        <v>Please solve the LeetCode problem '2117. Abbreviating the Product of a Range'.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72" spans="1:15" x14ac:dyDescent="0.25">
      <c r="A3172" s="1">
        <v>3332</v>
      </c>
      <c r="B3172" s="2" t="str">
        <f>HYPERLINK("https://leetcode.com/problems/maximum-points-tourist-can-earn/", "Maximum Points Tourist Can Earn")</f>
        <v>Maximum Points Tourist Can Earn</v>
      </c>
      <c r="C3172" s="1">
        <v>91</v>
      </c>
      <c r="D3172" s="1">
        <v>15</v>
      </c>
      <c r="E3172" s="3">
        <f t="shared" si="24"/>
        <v>0.85849056603773588</v>
      </c>
      <c r="F3172" s="1" t="s">
        <v>94</v>
      </c>
      <c r="G3172" s="1" t="s">
        <v>24</v>
      </c>
      <c r="H3172" s="1">
        <v>14792</v>
      </c>
      <c r="I3172" s="1">
        <v>31292</v>
      </c>
      <c r="J3172" s="7">
        <v>0.47299999999999998</v>
      </c>
      <c r="K3172" s="1" t="s">
        <v>21</v>
      </c>
      <c r="L3172" s="1" t="s">
        <v>29</v>
      </c>
      <c r="M3172" s="1" t="s">
        <v>29</v>
      </c>
      <c r="N3172" s="1" t="s">
        <v>22</v>
      </c>
      <c r="O3172" s="1" t="str">
        <f t="shared" ca="1" si="25"/>
        <v>Please solve the LeetCode problem '3332. Maximum Points Tourist Can Earn'.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73" spans="1:15" x14ac:dyDescent="0.25">
      <c r="A3173" s="1">
        <v>3614</v>
      </c>
      <c r="B3173" s="2" t="str">
        <f>HYPERLINK("https://leetcode.com/problems/process-string-with-special-operations-ii/", "Process String with Special Operations II")</f>
        <v>Process String with Special Operations II</v>
      </c>
      <c r="C3173" s="1">
        <v>91</v>
      </c>
      <c r="D3173" s="1">
        <v>8</v>
      </c>
      <c r="E3173" s="3">
        <f t="shared" si="24"/>
        <v>0.91919191919191923</v>
      </c>
      <c r="F3173" s="1" t="s">
        <v>414</v>
      </c>
      <c r="G3173" s="1" t="s">
        <v>28</v>
      </c>
      <c r="H3173" s="1">
        <v>10783</v>
      </c>
      <c r="I3173" s="1">
        <v>64348</v>
      </c>
      <c r="J3173" s="7">
        <v>0.16800000000000001</v>
      </c>
      <c r="K3173" s="1" t="s">
        <v>21</v>
      </c>
      <c r="L3173" s="1" t="s">
        <v>29</v>
      </c>
      <c r="M3173" s="1" t="s">
        <v>29</v>
      </c>
      <c r="N3173" s="1" t="s">
        <v>22</v>
      </c>
      <c r="O3173" s="1" t="str">
        <f t="shared" ca="1" si="25"/>
        <v>Please solve the LeetCode problem '3614. Process String with Special Operations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74" spans="1:15" x14ac:dyDescent="0.25">
      <c r="A3174" s="1">
        <v>3702</v>
      </c>
      <c r="B3174" s="2" t="str">
        <f>HYPERLINK("https://leetcode.com/problems/longest-subsequence-with-non-zero-bitwise-xor/", "Longest Subsequence With Non-Zero Bitwise XOR")</f>
        <v>Longest Subsequence With Non-Zero Bitwise XOR</v>
      </c>
      <c r="C3174" s="1">
        <v>91</v>
      </c>
      <c r="D3174" s="1">
        <v>8</v>
      </c>
      <c r="E3174" s="3">
        <f t="shared" si="24"/>
        <v>0.91919191919191923</v>
      </c>
      <c r="F3174" s="1" t="s">
        <v>65</v>
      </c>
      <c r="G3174" s="1" t="s">
        <v>24</v>
      </c>
      <c r="H3174" s="1">
        <v>31227</v>
      </c>
      <c r="I3174" s="1">
        <v>84544</v>
      </c>
      <c r="J3174" s="7">
        <v>0.36899999999999999</v>
      </c>
      <c r="K3174" s="1" t="s">
        <v>21</v>
      </c>
      <c r="L3174" s="1" t="s">
        <v>29</v>
      </c>
      <c r="M3174" s="1" t="s">
        <v>29</v>
      </c>
      <c r="N3174" s="1" t="s">
        <v>22</v>
      </c>
      <c r="O3174" s="1" t="str">
        <f t="shared" ca="1" si="25"/>
        <v>Please solve the LeetCode problem '3702. Longest Subsequence With Non-Zero Bitwise XOR'.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75" spans="1:15" x14ac:dyDescent="0.25">
      <c r="A3175" s="1">
        <v>2229</v>
      </c>
      <c r="B3175" s="2" t="str">
        <f>HYPERLINK("https://leetcode.com/problems/check-if-an-array-is-consecutive/", "Check if an Array Is Consecutive")</f>
        <v>Check if an Array Is Consecutive</v>
      </c>
      <c r="C3175" s="1">
        <v>90</v>
      </c>
      <c r="D3175" s="1">
        <v>11</v>
      </c>
      <c r="E3175" s="3">
        <f t="shared" si="24"/>
        <v>0.8910891089108911</v>
      </c>
      <c r="F3175" s="1" t="s">
        <v>92</v>
      </c>
      <c r="G3175" s="1" t="s">
        <v>20</v>
      </c>
      <c r="H3175" s="1">
        <v>7740</v>
      </c>
      <c r="I3175" s="1">
        <v>12484</v>
      </c>
      <c r="J3175" s="7">
        <v>0.62</v>
      </c>
      <c r="K3175" s="1" t="s">
        <v>29</v>
      </c>
      <c r="L3175" s="1" t="s">
        <v>29</v>
      </c>
      <c r="M3175" s="1" t="s">
        <v>29</v>
      </c>
      <c r="N3175" s="1" t="s">
        <v>22</v>
      </c>
      <c r="O3175" s="1" t="str">
        <f t="shared" ca="1" si="25"/>
        <v>Please solve the LeetCode problem '2229. Check if an Array Is Consecutive'.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76" spans="1:15" x14ac:dyDescent="0.25">
      <c r="A3176" s="1">
        <v>3017</v>
      </c>
      <c r="B3176" s="2" t="str">
        <f>HYPERLINK("https://leetcode.com/problems/count-the-number-of-houses-at-a-certain-distance-ii/", "Count the Number of Houses at a Certain Distance II")</f>
        <v>Count the Number of Houses at a Certain Distance II</v>
      </c>
      <c r="C3176" s="1">
        <v>90</v>
      </c>
      <c r="D3176" s="1">
        <v>26</v>
      </c>
      <c r="E3176" s="3">
        <f t="shared" si="24"/>
        <v>0.77586206896551724</v>
      </c>
      <c r="F3176" s="1" t="s">
        <v>1192</v>
      </c>
      <c r="G3176" s="1" t="s">
        <v>28</v>
      </c>
      <c r="H3176" s="1">
        <v>4232</v>
      </c>
      <c r="I3176" s="1">
        <v>18023</v>
      </c>
      <c r="J3176" s="7">
        <v>0.23499999999999999</v>
      </c>
      <c r="K3176" s="1" t="s">
        <v>21</v>
      </c>
      <c r="L3176" s="1" t="s">
        <v>29</v>
      </c>
      <c r="M3176" s="1" t="s">
        <v>29</v>
      </c>
      <c r="N3176" s="1" t="s">
        <v>22</v>
      </c>
      <c r="O3176" s="1" t="str">
        <f t="shared" ca="1" si="25"/>
        <v>Please solve the LeetCode problem '3017. Count the Number of Houses at a Certain Distance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77" spans="1:15" x14ac:dyDescent="0.25">
      <c r="A3177" s="1">
        <v>3127</v>
      </c>
      <c r="B3177" s="2" t="str">
        <f>HYPERLINK("https://leetcode.com/problems/make-a-square-with-the-same-color/", "Make a Square with the Same Color")</f>
        <v>Make a Square with the Same Color</v>
      </c>
      <c r="C3177" s="1">
        <v>90</v>
      </c>
      <c r="D3177" s="1">
        <v>10</v>
      </c>
      <c r="E3177" s="3">
        <f t="shared" si="24"/>
        <v>0.9</v>
      </c>
      <c r="F3177" s="1" t="s">
        <v>982</v>
      </c>
      <c r="G3177" s="1" t="s">
        <v>20</v>
      </c>
      <c r="H3177" s="1">
        <v>33087</v>
      </c>
      <c r="I3177" s="1">
        <v>62777</v>
      </c>
      <c r="J3177" s="7">
        <v>0.52700000000000002</v>
      </c>
      <c r="K3177" s="1" t="s">
        <v>21</v>
      </c>
      <c r="L3177" s="1" t="s">
        <v>29</v>
      </c>
      <c r="M3177" s="1" t="s">
        <v>29</v>
      </c>
      <c r="N3177" s="1" t="s">
        <v>22</v>
      </c>
      <c r="O3177" s="1" t="str">
        <f t="shared" ca="1" si="25"/>
        <v>Please solve the LeetCode problem '3127. Make a Square with the Same Color'.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78" spans="1:15" x14ac:dyDescent="0.25">
      <c r="A3178" s="1">
        <v>1715</v>
      </c>
      <c r="B3178" s="2" t="str">
        <f>HYPERLINK("https://leetcode.com/problems/count-apples-and-oranges/", "Count Apples and Oranges")</f>
        <v>Count Apples and Oranges</v>
      </c>
      <c r="C3178" s="1">
        <v>89</v>
      </c>
      <c r="D3178" s="1">
        <v>22</v>
      </c>
      <c r="E3178" s="3">
        <f t="shared" si="24"/>
        <v>0.80180180180180183</v>
      </c>
      <c r="F3178" s="1" t="s">
        <v>297</v>
      </c>
      <c r="G3178" s="1" t="s">
        <v>24</v>
      </c>
      <c r="H3178" s="1">
        <v>18881</v>
      </c>
      <c r="I3178" s="1">
        <v>24939</v>
      </c>
      <c r="J3178" s="7">
        <v>0.75700000000000001</v>
      </c>
      <c r="K3178" s="1" t="s">
        <v>29</v>
      </c>
      <c r="L3178" s="1" t="s">
        <v>29</v>
      </c>
      <c r="M3178" s="1" t="s">
        <v>29</v>
      </c>
      <c r="N3178" s="1" t="s">
        <v>297</v>
      </c>
      <c r="O3178" s="1" t="str">
        <f t="shared" ca="1" si="25"/>
        <v>Please solve the LeetCode problem '1715. Count Apples and Oranges'.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79" spans="1:15" x14ac:dyDescent="0.25">
      <c r="A3179" s="1">
        <v>2237</v>
      </c>
      <c r="B3179" s="2" t="str">
        <f>HYPERLINK("https://leetcode.com/problems/count-positions-on-street-with-required-brightness/", "Count Positions on Street With Required Brightness")</f>
        <v>Count Positions on Street With Required Brightness</v>
      </c>
      <c r="C3179" s="1">
        <v>89</v>
      </c>
      <c r="D3179" s="1">
        <v>6</v>
      </c>
      <c r="E3179" s="3">
        <f t="shared" si="24"/>
        <v>0.93684210526315792</v>
      </c>
      <c r="F3179" s="1" t="s">
        <v>37</v>
      </c>
      <c r="G3179" s="1" t="s">
        <v>24</v>
      </c>
      <c r="H3179" s="1">
        <v>4928</v>
      </c>
      <c r="I3179" s="1">
        <v>7851</v>
      </c>
      <c r="J3179" s="7">
        <v>0.628</v>
      </c>
      <c r="K3179" s="1" t="s">
        <v>29</v>
      </c>
      <c r="L3179" s="1" t="s">
        <v>29</v>
      </c>
      <c r="M3179" s="1" t="s">
        <v>29</v>
      </c>
      <c r="N3179" s="1" t="s">
        <v>22</v>
      </c>
      <c r="O3179" s="1" t="str">
        <f t="shared" ca="1" si="25"/>
        <v>Please solve the LeetCode problem '2237. Count Positions on Street With Required Brightness'.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80" spans="1:15" x14ac:dyDescent="0.25">
      <c r="A3180" s="1">
        <v>2308</v>
      </c>
      <c r="B3180" s="2" t="str">
        <f>HYPERLINK("https://leetcode.com/problems/arrange-table-by-gender/", "Arrange Table by Gender")</f>
        <v>Arrange Table by Gender</v>
      </c>
      <c r="C3180" s="1">
        <v>89</v>
      </c>
      <c r="D3180" s="1">
        <v>15</v>
      </c>
      <c r="E3180" s="3">
        <f t="shared" si="24"/>
        <v>0.85576923076923073</v>
      </c>
      <c r="F3180" s="1" t="s">
        <v>297</v>
      </c>
      <c r="G3180" s="1" t="s">
        <v>24</v>
      </c>
      <c r="H3180" s="1">
        <v>8281</v>
      </c>
      <c r="I3180" s="1">
        <v>11703</v>
      </c>
      <c r="J3180" s="7">
        <v>0.70799999999999996</v>
      </c>
      <c r="K3180" s="1" t="s">
        <v>29</v>
      </c>
      <c r="L3180" s="1" t="s">
        <v>29</v>
      </c>
      <c r="M3180" s="1" t="s">
        <v>29</v>
      </c>
      <c r="N3180" s="1" t="s">
        <v>297</v>
      </c>
      <c r="O3180" s="1" t="str">
        <f t="shared" ca="1" si="25"/>
        <v>Please solve the LeetCode problem '2308. Arrange Table by Gender'.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81" spans="1:15" x14ac:dyDescent="0.25">
      <c r="A3181" s="1">
        <v>2887</v>
      </c>
      <c r="B3181" s="2" t="str">
        <f>HYPERLINK("https://leetcode.com/problems/fill-missing-data/", "Fill Missing Data")</f>
        <v>Fill Missing Data</v>
      </c>
      <c r="C3181" s="1">
        <v>89</v>
      </c>
      <c r="D3181" s="1">
        <v>3</v>
      </c>
      <c r="E3181" s="3">
        <f t="shared" si="24"/>
        <v>0.96739130434782605</v>
      </c>
      <c r="G3181" s="1" t="s">
        <v>20</v>
      </c>
      <c r="H3181" s="1">
        <v>110936</v>
      </c>
      <c r="I3181" s="1">
        <v>153251</v>
      </c>
      <c r="J3181" s="7">
        <v>0.72399999999999998</v>
      </c>
      <c r="K3181" s="1" t="s">
        <v>21</v>
      </c>
      <c r="L3181" s="1" t="s">
        <v>21</v>
      </c>
      <c r="M3181" s="1" t="s">
        <v>29</v>
      </c>
      <c r="N3181" s="1" t="s">
        <v>1047</v>
      </c>
      <c r="O3181" s="1" t="str">
        <f t="shared" ca="1" si="25"/>
        <v>Please solve the LeetCode problem '2887. Fill Missing Data'.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82" spans="1:15" x14ac:dyDescent="0.25">
      <c r="A3182" s="1">
        <v>3030</v>
      </c>
      <c r="B3182" s="2" t="str">
        <f>HYPERLINK("https://leetcode.com/problems/find-the-grid-of-region-average/", "Find the Grid of Region Average")</f>
        <v>Find the Grid of Region Average</v>
      </c>
      <c r="C3182" s="1">
        <v>89</v>
      </c>
      <c r="D3182" s="1">
        <v>134</v>
      </c>
      <c r="E3182" s="3">
        <f t="shared" si="24"/>
        <v>0.3991031390134529</v>
      </c>
      <c r="F3182" s="1" t="s">
        <v>266</v>
      </c>
      <c r="G3182" s="1" t="s">
        <v>24</v>
      </c>
      <c r="H3182" s="1">
        <v>11803</v>
      </c>
      <c r="I3182" s="1">
        <v>27403</v>
      </c>
      <c r="J3182" s="7">
        <v>0.43099999999999999</v>
      </c>
      <c r="K3182" s="1" t="s">
        <v>21</v>
      </c>
      <c r="L3182" s="1" t="s">
        <v>29</v>
      </c>
      <c r="M3182" s="1" t="s">
        <v>29</v>
      </c>
      <c r="N3182" s="1" t="s">
        <v>22</v>
      </c>
      <c r="O3182" s="1" t="str">
        <f t="shared" ca="1" si="25"/>
        <v>Please solve the LeetCode problem '3030. Find the Grid of Region Average'.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83" spans="1:15" x14ac:dyDescent="0.25">
      <c r="A3183" s="1">
        <v>3649</v>
      </c>
      <c r="B3183" s="2" t="str">
        <f>HYPERLINK("https://leetcode.com/problems/number-of-perfect-pairs/", "Number of Perfect Pairs")</f>
        <v>Number of Perfect Pairs</v>
      </c>
      <c r="C3183" s="1">
        <v>89</v>
      </c>
      <c r="D3183" s="1">
        <v>8</v>
      </c>
      <c r="E3183" s="3">
        <f t="shared" si="24"/>
        <v>0.91752577319587625</v>
      </c>
      <c r="F3183" s="1" t="s">
        <v>803</v>
      </c>
      <c r="G3183" s="1" t="s">
        <v>24</v>
      </c>
      <c r="H3183" s="1">
        <v>20445</v>
      </c>
      <c r="I3183" s="1">
        <v>62232</v>
      </c>
      <c r="J3183" s="7">
        <v>0.32900000000000001</v>
      </c>
      <c r="K3183" s="1" t="s">
        <v>21</v>
      </c>
      <c r="L3183" s="1" t="s">
        <v>29</v>
      </c>
      <c r="M3183" s="1" t="s">
        <v>29</v>
      </c>
      <c r="N3183" s="1" t="s">
        <v>22</v>
      </c>
      <c r="O3183" s="1" t="str">
        <f t="shared" ca="1" si="25"/>
        <v>Please solve the LeetCode problem '3649. Number of Perfect Pairs'.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84" spans="1:15" x14ac:dyDescent="0.25">
      <c r="A3184" s="1">
        <v>2387</v>
      </c>
      <c r="B3184" s="2" t="str">
        <f>HYPERLINK("https://leetcode.com/problems/median-of-a-row-wise-sorted-matrix/", "Median of a Row Wise Sorted Matrix")</f>
        <v>Median of a Row Wise Sorted Matrix</v>
      </c>
      <c r="C3184" s="1">
        <v>88</v>
      </c>
      <c r="D3184" s="1">
        <v>9</v>
      </c>
      <c r="E3184" s="3">
        <f t="shared" si="24"/>
        <v>0.90721649484536082</v>
      </c>
      <c r="F3184" s="1" t="s">
        <v>73</v>
      </c>
      <c r="G3184" s="1" t="s">
        <v>24</v>
      </c>
      <c r="H3184" s="1">
        <v>5695</v>
      </c>
      <c r="I3184" s="1">
        <v>8060</v>
      </c>
      <c r="J3184" s="7">
        <v>0.70699999999999996</v>
      </c>
      <c r="K3184" s="1" t="s">
        <v>29</v>
      </c>
      <c r="L3184" s="1" t="s">
        <v>29</v>
      </c>
      <c r="M3184" s="1" t="s">
        <v>29</v>
      </c>
      <c r="N3184" s="1" t="s">
        <v>22</v>
      </c>
      <c r="O3184" s="1" t="str">
        <f t="shared" ca="1" si="25"/>
        <v>Please solve the LeetCode problem '2387. Median of a Row Wise Sorted Matrix'.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85" spans="1:15" x14ac:dyDescent="0.25">
      <c r="A3185" s="1">
        <v>2888</v>
      </c>
      <c r="B3185" s="2" t="str">
        <f>HYPERLINK("https://leetcode.com/problems/reshape-data-concatenate/", "Reshape Data: Concatenate")</f>
        <v>Reshape Data: Concatenate</v>
      </c>
      <c r="C3185" s="1">
        <v>88</v>
      </c>
      <c r="D3185" s="1">
        <v>7</v>
      </c>
      <c r="E3185" s="3">
        <f t="shared" si="24"/>
        <v>0.9263157894736842</v>
      </c>
      <c r="G3185" s="1" t="s">
        <v>20</v>
      </c>
      <c r="H3185" s="1">
        <v>116908</v>
      </c>
      <c r="I3185" s="1">
        <v>129104</v>
      </c>
      <c r="J3185" s="7">
        <v>0.90600000000000003</v>
      </c>
      <c r="K3185" s="1" t="s">
        <v>21</v>
      </c>
      <c r="L3185" s="1" t="s">
        <v>21</v>
      </c>
      <c r="M3185" s="1" t="s">
        <v>29</v>
      </c>
      <c r="N3185" s="1" t="s">
        <v>1047</v>
      </c>
      <c r="O3185" s="1" t="str">
        <f t="shared" ca="1" si="25"/>
        <v>Please solve the LeetCode problem '2888. Reshape Data: Concatenate'.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86" spans="1:15" x14ac:dyDescent="0.25">
      <c r="A3186" s="1">
        <v>3287</v>
      </c>
      <c r="B3186" s="2" t="str">
        <f>HYPERLINK("https://leetcode.com/problems/find-the-maximum-sequence-value-of-array/", "Find the Maximum Sequence Value of Array")</f>
        <v>Find the Maximum Sequence Value of Array</v>
      </c>
      <c r="C3186" s="1">
        <v>88</v>
      </c>
      <c r="D3186" s="1">
        <v>9</v>
      </c>
      <c r="E3186" s="3">
        <f t="shared" si="24"/>
        <v>0.90721649484536082</v>
      </c>
      <c r="F3186" s="1" t="s">
        <v>508</v>
      </c>
      <c r="G3186" s="1" t="s">
        <v>28</v>
      </c>
      <c r="H3186" s="1">
        <v>5616</v>
      </c>
      <c r="I3186" s="1">
        <v>27013</v>
      </c>
      <c r="J3186" s="7">
        <v>0.20799999999999999</v>
      </c>
      <c r="K3186" s="1" t="s">
        <v>21</v>
      </c>
      <c r="L3186" s="1" t="s">
        <v>29</v>
      </c>
      <c r="M3186" s="1" t="s">
        <v>29</v>
      </c>
      <c r="N3186" s="1" t="s">
        <v>22</v>
      </c>
      <c r="O3186" s="1" t="str">
        <f t="shared" ca="1" si="25"/>
        <v>Please solve the LeetCode problem '3287. Find the Maximum Sequence Value of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87" spans="1:15" x14ac:dyDescent="0.25">
      <c r="A3187" s="1">
        <v>3298</v>
      </c>
      <c r="B3187" s="2" t="str">
        <f>HYPERLINK("https://leetcode.com/problems/count-substrings-that-can-be-rearranged-to-contain-a-string-ii/", "Count Substrings That Can Be Rearranged to Contain a String II")</f>
        <v>Count Substrings That Can Be Rearranged to Contain a String II</v>
      </c>
      <c r="C3187" s="1">
        <v>88</v>
      </c>
      <c r="D3187" s="1">
        <v>5</v>
      </c>
      <c r="E3187" s="3">
        <f t="shared" si="24"/>
        <v>0.94623655913978499</v>
      </c>
      <c r="F3187" s="1" t="s">
        <v>23</v>
      </c>
      <c r="G3187" s="1" t="s">
        <v>28</v>
      </c>
      <c r="H3187" s="1">
        <v>16685</v>
      </c>
      <c r="I3187" s="1">
        <v>29884</v>
      </c>
      <c r="J3187" s="7">
        <v>0.55800000000000005</v>
      </c>
      <c r="K3187" s="1" t="s">
        <v>21</v>
      </c>
      <c r="L3187" s="1" t="s">
        <v>29</v>
      </c>
      <c r="M3187" s="1" t="s">
        <v>29</v>
      </c>
      <c r="N3187" s="1" t="s">
        <v>22</v>
      </c>
      <c r="O3187" s="1" t="str">
        <f t="shared" ca="1" si="25"/>
        <v>Please solve the LeetCode problem '3298. Count Substrings That Can Be Rearranged to Contain a String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88" spans="1:15" x14ac:dyDescent="0.25">
      <c r="A3188" s="1">
        <v>3393</v>
      </c>
      <c r="B3188" s="2" t="str">
        <f>HYPERLINK("https://leetcode.com/problems/count-paths-with-the-given-xor-value/", "Count Paths With the Given XOR Value")</f>
        <v>Count Paths With the Given XOR Value</v>
      </c>
      <c r="C3188" s="1">
        <v>88</v>
      </c>
      <c r="D3188" s="1">
        <v>6</v>
      </c>
      <c r="E3188" s="3">
        <f t="shared" si="24"/>
        <v>0.93617021276595747</v>
      </c>
      <c r="F3188" s="1" t="s">
        <v>1191</v>
      </c>
      <c r="G3188" s="1" t="s">
        <v>24</v>
      </c>
      <c r="H3188" s="1">
        <v>20712</v>
      </c>
      <c r="I3188" s="1">
        <v>51256</v>
      </c>
      <c r="J3188" s="7">
        <v>0.40400000000000003</v>
      </c>
      <c r="K3188" s="1" t="s">
        <v>21</v>
      </c>
      <c r="L3188" s="1" t="s">
        <v>29</v>
      </c>
      <c r="M3188" s="1" t="s">
        <v>29</v>
      </c>
      <c r="N3188" s="1" t="s">
        <v>22</v>
      </c>
      <c r="O3188" s="1" t="str">
        <f t="shared" ca="1" si="25"/>
        <v>Please solve the LeetCode problem '3393. Count Paths With the Given XOR Value'.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89" spans="1:15" x14ac:dyDescent="0.25">
      <c r="A3189" s="1">
        <v>2254</v>
      </c>
      <c r="B3189" s="2" t="str">
        <f>HYPERLINK("https://leetcode.com/problems/design-video-sharing-platform/", "Design Video Sharing Platform")</f>
        <v>Design Video Sharing Platform</v>
      </c>
      <c r="C3189" s="1">
        <v>87</v>
      </c>
      <c r="D3189" s="1">
        <v>14</v>
      </c>
      <c r="E3189" s="3">
        <f t="shared" si="24"/>
        <v>0.86138613861386137</v>
      </c>
      <c r="F3189" s="1" t="s">
        <v>262</v>
      </c>
      <c r="G3189" s="1" t="s">
        <v>28</v>
      </c>
      <c r="H3189" s="1">
        <v>5361</v>
      </c>
      <c r="I3189" s="1">
        <v>8394</v>
      </c>
      <c r="J3189" s="7">
        <v>0.63900000000000001</v>
      </c>
      <c r="K3189" s="1" t="s">
        <v>29</v>
      </c>
      <c r="L3189" s="1" t="s">
        <v>29</v>
      </c>
      <c r="M3189" s="1" t="s">
        <v>29</v>
      </c>
      <c r="N3189" s="1" t="s">
        <v>22</v>
      </c>
      <c r="O3189" s="1" t="str">
        <f t="shared" ca="1" si="25"/>
        <v>Please solve the LeetCode problem '2254. Design Video Sharing Platform'.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90" spans="1:15" x14ac:dyDescent="0.25">
      <c r="A3190" s="1">
        <v>2886</v>
      </c>
      <c r="B3190" s="2" t="str">
        <f>HYPERLINK("https://leetcode.com/problems/change-data-type/", "Change Data Type")</f>
        <v>Change Data Type</v>
      </c>
      <c r="C3190" s="1">
        <v>87</v>
      </c>
      <c r="D3190" s="1">
        <v>9</v>
      </c>
      <c r="E3190" s="3">
        <f t="shared" si="24"/>
        <v>0.90625</v>
      </c>
      <c r="G3190" s="1" t="s">
        <v>20</v>
      </c>
      <c r="H3190" s="1">
        <v>116223</v>
      </c>
      <c r="I3190" s="1">
        <v>132988</v>
      </c>
      <c r="J3190" s="7">
        <v>0.874</v>
      </c>
      <c r="K3190" s="1" t="s">
        <v>21</v>
      </c>
      <c r="L3190" s="1" t="s">
        <v>21</v>
      </c>
      <c r="M3190" s="1" t="s">
        <v>29</v>
      </c>
      <c r="N3190" s="1" t="s">
        <v>1047</v>
      </c>
      <c r="O3190" s="1" t="str">
        <f t="shared" ca="1" si="25"/>
        <v>Please solve the LeetCode problem '2886. Change Data Type'.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91" spans="1:15" x14ac:dyDescent="0.25">
      <c r="A3191" s="1">
        <v>3096</v>
      </c>
      <c r="B3191" s="2" t="str">
        <f>HYPERLINK("https://leetcode.com/problems/minimum-levels-to-gain-more-points/", "Minimum Levels to Gain More Points")</f>
        <v>Minimum Levels to Gain More Points</v>
      </c>
      <c r="C3191" s="1">
        <v>87</v>
      </c>
      <c r="D3191" s="1">
        <v>30</v>
      </c>
      <c r="E3191" s="3">
        <f t="shared" si="24"/>
        <v>0.74358974358974361</v>
      </c>
      <c r="F3191" s="1" t="s">
        <v>37</v>
      </c>
      <c r="G3191" s="1" t="s">
        <v>24</v>
      </c>
      <c r="H3191" s="1">
        <v>26775</v>
      </c>
      <c r="I3191" s="1">
        <v>67017</v>
      </c>
      <c r="J3191" s="7">
        <v>0.4</v>
      </c>
      <c r="K3191" s="1" t="s">
        <v>21</v>
      </c>
      <c r="L3191" s="1" t="s">
        <v>29</v>
      </c>
      <c r="M3191" s="1" t="s">
        <v>29</v>
      </c>
      <c r="N3191" s="1" t="s">
        <v>22</v>
      </c>
      <c r="O3191" s="1" t="str">
        <f t="shared" ca="1" si="25"/>
        <v>Please solve the LeetCode problem '3096. Minimum Levels to Gain More Points'.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92" spans="1:15" x14ac:dyDescent="0.25">
      <c r="A3192" s="1">
        <v>3315</v>
      </c>
      <c r="B3192" s="2" t="str">
        <f>HYPERLINK("https://leetcode.com/problems/construct-the-minimum-bitwise-array-ii/", "Construct the Minimum Bitwise Array II")</f>
        <v>Construct the Minimum Bitwise Array II</v>
      </c>
      <c r="C3192" s="1">
        <v>87</v>
      </c>
      <c r="D3192" s="1">
        <v>7</v>
      </c>
      <c r="E3192" s="3">
        <f t="shared" si="24"/>
        <v>0.92553191489361697</v>
      </c>
      <c r="F3192" s="1" t="s">
        <v>65</v>
      </c>
      <c r="G3192" s="1" t="s">
        <v>24</v>
      </c>
      <c r="H3192" s="1">
        <v>16506</v>
      </c>
      <c r="I3192" s="1">
        <v>46167</v>
      </c>
      <c r="J3192" s="7">
        <v>0.35799999999999998</v>
      </c>
      <c r="K3192" s="1" t="s">
        <v>21</v>
      </c>
      <c r="L3192" s="1" t="s">
        <v>29</v>
      </c>
      <c r="M3192" s="1" t="s">
        <v>29</v>
      </c>
      <c r="N3192" s="1" t="s">
        <v>22</v>
      </c>
      <c r="O3192" s="1" t="str">
        <f t="shared" ca="1" si="25"/>
        <v>Please solve the LeetCode problem '3315. Construct the Minimum Bitwise Array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93" spans="1:15" x14ac:dyDescent="0.25">
      <c r="A3193" s="1">
        <v>3336</v>
      </c>
      <c r="B3193" s="2" t="str">
        <f>HYPERLINK("https://leetcode.com/problems/find-the-number-of-subsequences-with-equal-gcd/", "Find the Number of Subsequences With Equal GCD")</f>
        <v>Find the Number of Subsequences With Equal GCD</v>
      </c>
      <c r="C3193" s="1">
        <v>87</v>
      </c>
      <c r="D3193" s="1">
        <v>9</v>
      </c>
      <c r="E3193" s="3">
        <f t="shared" si="24"/>
        <v>0.90625</v>
      </c>
      <c r="F3193" s="1" t="s">
        <v>1193</v>
      </c>
      <c r="G3193" s="1" t="s">
        <v>28</v>
      </c>
      <c r="H3193" s="1">
        <v>7501</v>
      </c>
      <c r="I3193" s="1">
        <v>24254</v>
      </c>
      <c r="J3193" s="7">
        <v>0.309</v>
      </c>
      <c r="K3193" s="1" t="s">
        <v>21</v>
      </c>
      <c r="L3193" s="1" t="s">
        <v>29</v>
      </c>
      <c r="M3193" s="1" t="s">
        <v>29</v>
      </c>
      <c r="N3193" s="1" t="s">
        <v>22</v>
      </c>
      <c r="O3193" s="1" t="str">
        <f t="shared" ca="1" si="25"/>
        <v>Please solve the LeetCode problem '3336. Find the Number of Subsequences With Equal GCD'.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94" spans="1:15" x14ac:dyDescent="0.25">
      <c r="A3194" s="1">
        <v>3444</v>
      </c>
      <c r="B3194" s="2" t="str">
        <f>HYPERLINK("https://leetcode.com/problems/minimum-increments-for-target-multiples-in-an-array/", "Minimum Increments for Target Multiples in an Array")</f>
        <v>Minimum Increments for Target Multiples in an Array</v>
      </c>
      <c r="C3194" s="1">
        <v>87</v>
      </c>
      <c r="D3194" s="1">
        <v>7</v>
      </c>
      <c r="E3194" s="3">
        <f t="shared" si="24"/>
        <v>0.92553191489361697</v>
      </c>
      <c r="F3194" s="1" t="s">
        <v>1397</v>
      </c>
      <c r="G3194" s="1" t="s">
        <v>28</v>
      </c>
      <c r="H3194" s="1">
        <v>6385</v>
      </c>
      <c r="I3194" s="1">
        <v>23662</v>
      </c>
      <c r="J3194" s="7">
        <v>0.27</v>
      </c>
      <c r="K3194" s="1" t="s">
        <v>21</v>
      </c>
      <c r="L3194" s="1" t="s">
        <v>29</v>
      </c>
      <c r="M3194" s="1" t="s">
        <v>29</v>
      </c>
      <c r="N3194" s="1" t="s">
        <v>22</v>
      </c>
      <c r="O3194" s="1" t="str">
        <f t="shared" ca="1" si="25"/>
        <v>Please solve the LeetCode problem '3444. Minimum Increments for Target Multiples in an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95" spans="1:15" x14ac:dyDescent="0.25">
      <c r="A3195" s="1">
        <v>3504</v>
      </c>
      <c r="B3195" s="2" t="str">
        <f>HYPERLINK("https://leetcode.com/problems/longest-palindrome-after-substring-concatenation-ii/", "Longest Palindrome After Substring Concatenation II")</f>
        <v>Longest Palindrome After Substring Concatenation II</v>
      </c>
      <c r="C3195" s="1">
        <v>87</v>
      </c>
      <c r="D3195" s="1">
        <v>5</v>
      </c>
      <c r="E3195" s="3">
        <f t="shared" si="24"/>
        <v>0.94565217391304346</v>
      </c>
      <c r="F3195" s="1" t="s">
        <v>33</v>
      </c>
      <c r="G3195" s="1" t="s">
        <v>28</v>
      </c>
      <c r="H3195" s="1">
        <v>6304</v>
      </c>
      <c r="I3195" s="1">
        <v>36272</v>
      </c>
      <c r="J3195" s="7">
        <v>0.17399999999999999</v>
      </c>
      <c r="K3195" s="1" t="s">
        <v>21</v>
      </c>
      <c r="L3195" s="1" t="s">
        <v>29</v>
      </c>
      <c r="M3195" s="1" t="s">
        <v>29</v>
      </c>
      <c r="N3195" s="1" t="s">
        <v>22</v>
      </c>
      <c r="O3195" s="1" t="str">
        <f t="shared" ca="1" si="25"/>
        <v>Please solve the LeetCode problem '3504. Longest Palindrome After Substring Concatenation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96" spans="1:15" x14ac:dyDescent="0.25">
      <c r="A3196" s="1">
        <v>3545</v>
      </c>
      <c r="B3196" s="2" t="str">
        <f>HYPERLINK("https://leetcode.com/problems/minimum-deletions-for-at-most-k-distinct-characters/", "Minimum Deletions for At Most K Distinct Characters")</f>
        <v>Minimum Deletions for At Most K Distinct Characters</v>
      </c>
      <c r="C3196" s="1">
        <v>87</v>
      </c>
      <c r="D3196" s="1">
        <v>6</v>
      </c>
      <c r="E3196" s="3">
        <f t="shared" si="24"/>
        <v>0.93548387096774188</v>
      </c>
      <c r="F3196" s="1" t="s">
        <v>772</v>
      </c>
      <c r="G3196" s="1" t="s">
        <v>20</v>
      </c>
      <c r="H3196" s="1">
        <v>40373</v>
      </c>
      <c r="I3196" s="1">
        <v>55386</v>
      </c>
      <c r="J3196" s="7">
        <v>0.72899999999999998</v>
      </c>
      <c r="K3196" s="1" t="s">
        <v>21</v>
      </c>
      <c r="L3196" s="1" t="s">
        <v>29</v>
      </c>
      <c r="M3196" s="1" t="s">
        <v>29</v>
      </c>
      <c r="N3196" s="1" t="s">
        <v>22</v>
      </c>
      <c r="O3196" s="1" t="str">
        <f t="shared" ca="1" si="25"/>
        <v>Please solve the LeetCode problem '3545. Minimum Deletions for At Most K Distinct Characters'.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97" spans="1:15" x14ac:dyDescent="0.25">
      <c r="A3197" s="1">
        <v>3561</v>
      </c>
      <c r="B3197" s="2" t="str">
        <f>HYPERLINK("https://leetcode.com/problems/resulting-string-after-adjacent-removals/", "Resulting String After Adjacent Removals")</f>
        <v>Resulting String After Adjacent Removals</v>
      </c>
      <c r="C3197" s="1">
        <v>87</v>
      </c>
      <c r="D3197" s="1">
        <v>3</v>
      </c>
      <c r="E3197" s="3">
        <f t="shared" si="24"/>
        <v>0.96666666666666667</v>
      </c>
      <c r="F3197" s="1" t="s">
        <v>365</v>
      </c>
      <c r="G3197" s="1" t="s">
        <v>24</v>
      </c>
      <c r="H3197" s="1">
        <v>31655</v>
      </c>
      <c r="I3197" s="1">
        <v>56129</v>
      </c>
      <c r="J3197" s="7">
        <v>0.56399999999999995</v>
      </c>
      <c r="K3197" s="1" t="s">
        <v>21</v>
      </c>
      <c r="L3197" s="1" t="s">
        <v>29</v>
      </c>
      <c r="M3197" s="1" t="s">
        <v>29</v>
      </c>
      <c r="N3197" s="1" t="s">
        <v>22</v>
      </c>
      <c r="O3197" s="1" t="str">
        <f t="shared" ca="1" si="25"/>
        <v>Please solve the LeetCode problem '3561. Resulting String After Adjacent Removals'.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98" spans="1:15" x14ac:dyDescent="0.25">
      <c r="A3198" s="1">
        <v>2955</v>
      </c>
      <c r="B3198" s="2" t="str">
        <f>HYPERLINK("https://leetcode.com/problems/number-of-same-end-substrings/", "Number of Same-End Substrings")</f>
        <v>Number of Same-End Substrings</v>
      </c>
      <c r="C3198" s="1">
        <v>86</v>
      </c>
      <c r="D3198" s="1">
        <v>18</v>
      </c>
      <c r="E3198" s="3">
        <f t="shared" si="24"/>
        <v>0.82692307692307687</v>
      </c>
      <c r="F3198" s="1" t="s">
        <v>1196</v>
      </c>
      <c r="G3198" s="1" t="s">
        <v>24</v>
      </c>
      <c r="H3198" s="1">
        <v>8895</v>
      </c>
      <c r="I3198" s="1">
        <v>14449</v>
      </c>
      <c r="J3198" s="7">
        <v>0.61599999999999999</v>
      </c>
      <c r="K3198" s="1" t="s">
        <v>29</v>
      </c>
      <c r="L3198" s="1" t="s">
        <v>21</v>
      </c>
      <c r="M3198" s="1" t="s">
        <v>29</v>
      </c>
      <c r="N3198" s="1" t="s">
        <v>22</v>
      </c>
      <c r="O3198" s="1" t="str">
        <f t="shared" ca="1" si="25"/>
        <v>Please solve the LeetCode problem '2955. Number of Same-End Substrings'.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199" spans="1:15" x14ac:dyDescent="0.25">
      <c r="A3199" s="1">
        <v>3334</v>
      </c>
      <c r="B3199" s="2" t="str">
        <f>HYPERLINK("https://leetcode.com/problems/find-the-maximum-factor-score-of-array/", "Find the Maximum Factor Score of Array")</f>
        <v>Find the Maximum Factor Score of Array</v>
      </c>
      <c r="C3199" s="1">
        <v>86</v>
      </c>
      <c r="D3199" s="1">
        <v>13</v>
      </c>
      <c r="E3199" s="3">
        <f t="shared" si="24"/>
        <v>0.86868686868686873</v>
      </c>
      <c r="F3199" s="1" t="s">
        <v>640</v>
      </c>
      <c r="G3199" s="1" t="s">
        <v>24</v>
      </c>
      <c r="H3199" s="1">
        <v>23647</v>
      </c>
      <c r="I3199" s="1">
        <v>57852</v>
      </c>
      <c r="J3199" s="7">
        <v>0.40899999999999997</v>
      </c>
      <c r="K3199" s="1" t="s">
        <v>21</v>
      </c>
      <c r="L3199" s="1" t="s">
        <v>29</v>
      </c>
      <c r="M3199" s="1" t="s">
        <v>29</v>
      </c>
      <c r="N3199" s="1" t="s">
        <v>22</v>
      </c>
      <c r="O3199" s="1" t="str">
        <f t="shared" ca="1" si="25"/>
        <v>Please solve the LeetCode problem '3334. Find the Maximum Factor Score of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00" spans="1:15" x14ac:dyDescent="0.25">
      <c r="A3200" s="1">
        <v>3421</v>
      </c>
      <c r="B3200" s="2" t="str">
        <f>HYPERLINK("https://leetcode.com/problems/find-students-who-improved/", "Find Students Who Improved")</f>
        <v>Find Students Who Improved</v>
      </c>
      <c r="C3200" s="1">
        <v>86</v>
      </c>
      <c r="D3200" s="1">
        <v>9</v>
      </c>
      <c r="E3200" s="3">
        <f t="shared" si="24"/>
        <v>0.90526315789473688</v>
      </c>
      <c r="F3200" s="1" t="s">
        <v>297</v>
      </c>
      <c r="G3200" s="1" t="s">
        <v>24</v>
      </c>
      <c r="H3200" s="1">
        <v>20802</v>
      </c>
      <c r="I3200" s="1">
        <v>43435</v>
      </c>
      <c r="J3200" s="7">
        <v>0.47899999999999998</v>
      </c>
      <c r="K3200" s="1" t="s">
        <v>21</v>
      </c>
      <c r="L3200" s="1" t="s">
        <v>29</v>
      </c>
      <c r="M3200" s="1" t="s">
        <v>29</v>
      </c>
      <c r="N3200" s="1" t="s">
        <v>297</v>
      </c>
      <c r="O3200" s="1" t="str">
        <f t="shared" ca="1" si="25"/>
        <v>Please solve the LeetCode problem '3421. Find Students Who Improved'.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01" spans="1:15" x14ac:dyDescent="0.25">
      <c r="A3201" s="1">
        <v>3424</v>
      </c>
      <c r="B3201" s="2" t="str">
        <f>HYPERLINK("https://leetcode.com/problems/minimum-cost-to-make-arrays-identical/", "Minimum Cost to Make Arrays Identical")</f>
        <v>Minimum Cost to Make Arrays Identical</v>
      </c>
      <c r="C3201" s="1">
        <v>86</v>
      </c>
      <c r="D3201" s="1">
        <v>13</v>
      </c>
      <c r="E3201" s="3">
        <f t="shared" si="24"/>
        <v>0.86868686868686873</v>
      </c>
      <c r="F3201" s="1" t="s">
        <v>169</v>
      </c>
      <c r="G3201" s="1" t="s">
        <v>24</v>
      </c>
      <c r="H3201" s="1">
        <v>24813</v>
      </c>
      <c r="I3201" s="1">
        <v>66042</v>
      </c>
      <c r="J3201" s="7">
        <v>0.376</v>
      </c>
      <c r="K3201" s="1" t="s">
        <v>21</v>
      </c>
      <c r="L3201" s="1" t="s">
        <v>29</v>
      </c>
      <c r="M3201" s="1" t="s">
        <v>29</v>
      </c>
      <c r="N3201" s="1" t="s">
        <v>22</v>
      </c>
      <c r="O3201" s="1" t="str">
        <f t="shared" ca="1" si="25"/>
        <v>Please solve the LeetCode problem '3424. Minimum Cost to Make Arrays Identical'.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02" spans="1:15" x14ac:dyDescent="0.25">
      <c r="A3202" s="1">
        <v>3587</v>
      </c>
      <c r="B3202" s="2" t="str">
        <f>HYPERLINK("https://leetcode.com/problems/minimum-adjacent-swaps-to-alternate-parity/", "Minimum Adjacent Swaps to Alternate Parity")</f>
        <v>Minimum Adjacent Swaps to Alternate Parity</v>
      </c>
      <c r="C3202" s="1">
        <v>86</v>
      </c>
      <c r="D3202" s="1">
        <v>14</v>
      </c>
      <c r="E3202" s="3">
        <f t="shared" si="24"/>
        <v>0.86</v>
      </c>
      <c r="F3202" s="1" t="s">
        <v>96</v>
      </c>
      <c r="G3202" s="1" t="s">
        <v>24</v>
      </c>
      <c r="H3202" s="1">
        <v>20327</v>
      </c>
      <c r="I3202" s="1">
        <v>48215</v>
      </c>
      <c r="J3202" s="7">
        <v>0.42199999999999999</v>
      </c>
      <c r="K3202" s="1" t="s">
        <v>21</v>
      </c>
      <c r="L3202" s="1" t="s">
        <v>29</v>
      </c>
      <c r="M3202" s="1" t="s">
        <v>29</v>
      </c>
      <c r="N3202" s="1" t="s">
        <v>22</v>
      </c>
      <c r="O3202" s="1" t="str">
        <f t="shared" ca="1" si="25"/>
        <v>Please solve the LeetCode problem '3587. Minimum Adjacent Swaps to Alternate Parity'.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03" spans="1:15" x14ac:dyDescent="0.25">
      <c r="A3203" s="1">
        <v>3658</v>
      </c>
      <c r="B3203" s="2" t="str">
        <f>HYPERLINK("https://leetcode.com/problems/gcd-of-odd-and-even-sums/", "GCD of Odd and Even Sums")</f>
        <v>GCD of Odd and Even Sums</v>
      </c>
      <c r="C3203" s="1">
        <v>86</v>
      </c>
      <c r="D3203" s="1">
        <v>10</v>
      </c>
      <c r="E3203" s="3">
        <f t="shared" si="24"/>
        <v>0.89583333333333337</v>
      </c>
      <c r="F3203" s="1" t="s">
        <v>513</v>
      </c>
      <c r="G3203" s="1" t="s">
        <v>20</v>
      </c>
      <c r="H3203" s="1">
        <v>77889</v>
      </c>
      <c r="I3203" s="1">
        <v>92887</v>
      </c>
      <c r="J3203" s="7">
        <v>0.83899999999999997</v>
      </c>
      <c r="K3203" s="1" t="s">
        <v>21</v>
      </c>
      <c r="L3203" s="1" t="s">
        <v>29</v>
      </c>
      <c r="M3203" s="1" t="s">
        <v>29</v>
      </c>
      <c r="N3203" s="1" t="s">
        <v>22</v>
      </c>
      <c r="O3203" s="1" t="str">
        <f t="shared" ca="1" si="25"/>
        <v>Please solve the LeetCode problem '3658. GCD of Odd and Even Sums'.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04" spans="1:15" x14ac:dyDescent="0.25">
      <c r="A3204" s="1">
        <v>3790</v>
      </c>
      <c r="B3204" s="2" t="str">
        <f>HYPERLINK("https://leetcode.com/problems/smallest-all-ones-multiple/", "Smallest All-Ones Multiple")</f>
        <v>Smallest All-Ones Multiple</v>
      </c>
      <c r="C3204" s="1">
        <v>86</v>
      </c>
      <c r="D3204" s="1">
        <v>5</v>
      </c>
      <c r="E3204" s="3">
        <f t="shared" si="24"/>
        <v>0.94505494505494503</v>
      </c>
      <c r="F3204" s="1" t="s">
        <v>557</v>
      </c>
      <c r="G3204" s="1" t="s">
        <v>24</v>
      </c>
      <c r="H3204" s="1">
        <v>24768</v>
      </c>
      <c r="I3204" s="1">
        <v>52796</v>
      </c>
      <c r="J3204" s="7">
        <v>0.46899999999999997</v>
      </c>
      <c r="K3204" s="1" t="s">
        <v>21</v>
      </c>
      <c r="L3204" s="1" t="s">
        <v>29</v>
      </c>
      <c r="M3204" s="1" t="s">
        <v>29</v>
      </c>
      <c r="N3204" s="1" t="s">
        <v>22</v>
      </c>
      <c r="O3204" s="1" t="str">
        <f t="shared" ca="1" si="25"/>
        <v>Please solve the LeetCode problem '3790. Smallest All-Ones Multiple'.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05" spans="1:15" x14ac:dyDescent="0.25">
      <c r="A3205" s="1">
        <v>1069</v>
      </c>
      <c r="B3205" s="2" t="str">
        <f>HYPERLINK("https://leetcode.com/problems/product-sales-analysis-ii/", "Product Sales Analysis II")</f>
        <v>Product Sales Analysis II</v>
      </c>
      <c r="C3205" s="1">
        <v>85</v>
      </c>
      <c r="D3205" s="1">
        <v>182</v>
      </c>
      <c r="E3205" s="3">
        <f t="shared" si="24"/>
        <v>0.31835205992509363</v>
      </c>
      <c r="F3205" s="1" t="s">
        <v>297</v>
      </c>
      <c r="G3205" s="1" t="s">
        <v>20</v>
      </c>
      <c r="H3205" s="1">
        <v>61500</v>
      </c>
      <c r="I3205" s="1">
        <v>74477</v>
      </c>
      <c r="J3205" s="7">
        <v>0.82599999999999996</v>
      </c>
      <c r="K3205" s="1" t="s">
        <v>29</v>
      </c>
      <c r="L3205" s="1" t="s">
        <v>21</v>
      </c>
      <c r="M3205" s="1" t="s">
        <v>29</v>
      </c>
      <c r="N3205" s="1" t="s">
        <v>297</v>
      </c>
      <c r="O3205" s="1" t="str">
        <f t="shared" ca="1" si="25"/>
        <v>Please solve the LeetCode problem '1069. Product Sales Analysis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06" spans="1:15" x14ac:dyDescent="0.25">
      <c r="A3206" s="1">
        <v>3523</v>
      </c>
      <c r="B3206" s="2" t="str">
        <f>HYPERLINK("https://leetcode.com/problems/make-array-non-decreasing/", "Make Array Non-decreasing")</f>
        <v>Make Array Non-decreasing</v>
      </c>
      <c r="C3206" s="1">
        <v>85</v>
      </c>
      <c r="D3206" s="1">
        <v>9</v>
      </c>
      <c r="E3206" s="3">
        <f t="shared" si="24"/>
        <v>0.9042553191489362</v>
      </c>
      <c r="F3206" s="1" t="s">
        <v>473</v>
      </c>
      <c r="G3206" s="1" t="s">
        <v>24</v>
      </c>
      <c r="H3206" s="1">
        <v>31438</v>
      </c>
      <c r="I3206" s="1">
        <v>55606</v>
      </c>
      <c r="J3206" s="7">
        <v>0.56499999999999995</v>
      </c>
      <c r="K3206" s="1" t="s">
        <v>21</v>
      </c>
      <c r="L3206" s="1" t="s">
        <v>29</v>
      </c>
      <c r="M3206" s="1" t="s">
        <v>29</v>
      </c>
      <c r="N3206" s="1" t="s">
        <v>22</v>
      </c>
      <c r="O3206" s="1" t="str">
        <f t="shared" ca="1" si="25"/>
        <v>Please solve the LeetCode problem '3523. Make Array Non-decreasing'.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07" spans="1:15" x14ac:dyDescent="0.25">
      <c r="A3207" s="1">
        <v>2153</v>
      </c>
      <c r="B3207" s="2" t="str">
        <f>HYPERLINK("https://leetcode.com/problems/the-number-of-passengers-in-each-bus-ii/", "The Number of Passengers in Each Bus II")</f>
        <v>The Number of Passengers in Each Bus II</v>
      </c>
      <c r="C3207" s="1">
        <v>84</v>
      </c>
      <c r="D3207" s="1">
        <v>29</v>
      </c>
      <c r="E3207" s="3">
        <f t="shared" si="24"/>
        <v>0.74336283185840712</v>
      </c>
      <c r="F3207" s="1" t="s">
        <v>297</v>
      </c>
      <c r="G3207" s="1" t="s">
        <v>28</v>
      </c>
      <c r="H3207" s="1">
        <v>3848</v>
      </c>
      <c r="I3207" s="1">
        <v>9590</v>
      </c>
      <c r="J3207" s="7">
        <v>0.40100000000000002</v>
      </c>
      <c r="K3207" s="1" t="s">
        <v>29</v>
      </c>
      <c r="L3207" s="1" t="s">
        <v>21</v>
      </c>
      <c r="M3207" s="1" t="s">
        <v>29</v>
      </c>
      <c r="N3207" s="1" t="s">
        <v>297</v>
      </c>
      <c r="O3207" s="1" t="str">
        <f t="shared" ca="1" si="25"/>
        <v>Please solve the LeetCode problem '2153. The Number of Passengers in Each Bus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08" spans="1:15" x14ac:dyDescent="0.25">
      <c r="A3208" s="1">
        <v>3524</v>
      </c>
      <c r="B3208" s="2" t="str">
        <f>HYPERLINK("https://leetcode.com/problems/find-x-value-of-array-i/", "Find X Value of Array I")</f>
        <v>Find X Value of Array I</v>
      </c>
      <c r="C3208" s="1">
        <v>84</v>
      </c>
      <c r="D3208" s="1">
        <v>29</v>
      </c>
      <c r="E3208" s="3">
        <f t="shared" si="24"/>
        <v>0.74336283185840712</v>
      </c>
      <c r="F3208" s="1" t="s">
        <v>457</v>
      </c>
      <c r="G3208" s="1" t="s">
        <v>24</v>
      </c>
      <c r="H3208" s="1">
        <v>11043</v>
      </c>
      <c r="I3208" s="1">
        <v>29858</v>
      </c>
      <c r="J3208" s="7">
        <v>0.37</v>
      </c>
      <c r="K3208" s="1" t="s">
        <v>21</v>
      </c>
      <c r="L3208" s="1" t="s">
        <v>29</v>
      </c>
      <c r="M3208" s="1" t="s">
        <v>29</v>
      </c>
      <c r="N3208" s="1" t="s">
        <v>22</v>
      </c>
      <c r="O3208" s="1" t="str">
        <f t="shared" ca="1" si="25"/>
        <v>Please solve the LeetCode problem '3524. Find X Value of Array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09" spans="1:15" x14ac:dyDescent="0.25">
      <c r="A3209" s="1">
        <v>2885</v>
      </c>
      <c r="B3209" s="2" t="str">
        <f>HYPERLINK("https://leetcode.com/problems/rename-columns/", "Rename Columns")</f>
        <v>Rename Columns</v>
      </c>
      <c r="C3209" s="1">
        <v>83</v>
      </c>
      <c r="D3209" s="1">
        <v>3</v>
      </c>
      <c r="E3209" s="3">
        <f t="shared" si="24"/>
        <v>0.96511627906976749</v>
      </c>
      <c r="G3209" s="1" t="s">
        <v>20</v>
      </c>
      <c r="H3209" s="1">
        <v>118368</v>
      </c>
      <c r="I3209" s="1">
        <v>138526</v>
      </c>
      <c r="J3209" s="7">
        <v>0.85399999999999998</v>
      </c>
      <c r="K3209" s="1" t="s">
        <v>21</v>
      </c>
      <c r="L3209" s="1" t="s">
        <v>21</v>
      </c>
      <c r="M3209" s="1" t="s">
        <v>29</v>
      </c>
      <c r="N3209" s="1" t="s">
        <v>1047</v>
      </c>
      <c r="O3209" s="1" t="str">
        <f t="shared" ca="1" si="25"/>
        <v>Please solve the LeetCode problem '2885. Rename Columns'.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10" spans="1:15" x14ac:dyDescent="0.25">
      <c r="A3210" s="1">
        <v>3049</v>
      </c>
      <c r="B3210" s="2" t="str">
        <f>HYPERLINK("https://leetcode.com/problems/earliest-second-to-mark-indices-ii/", "Earliest Second to Mark Indices II")</f>
        <v>Earliest Second to Mark Indices II</v>
      </c>
      <c r="C3210" s="1">
        <v>83</v>
      </c>
      <c r="D3210" s="1">
        <v>20</v>
      </c>
      <c r="E3210" s="3">
        <f t="shared" si="24"/>
        <v>0.80582524271844658</v>
      </c>
      <c r="F3210" s="1" t="s">
        <v>1201</v>
      </c>
      <c r="G3210" s="1" t="s">
        <v>28</v>
      </c>
      <c r="H3210" s="1">
        <v>3748</v>
      </c>
      <c r="I3210" s="1">
        <v>17131</v>
      </c>
      <c r="J3210" s="7">
        <v>0.219</v>
      </c>
      <c r="K3210" s="1" t="s">
        <v>21</v>
      </c>
      <c r="L3210" s="1" t="s">
        <v>29</v>
      </c>
      <c r="M3210" s="1" t="s">
        <v>29</v>
      </c>
      <c r="N3210" s="1" t="s">
        <v>22</v>
      </c>
      <c r="O3210" s="1" t="str">
        <f t="shared" ca="1" si="25"/>
        <v>Please solve the LeetCode problem '3049. Earliest Second to Mark Indices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11" spans="1:15" x14ac:dyDescent="0.25">
      <c r="A3211" s="1">
        <v>3365</v>
      </c>
      <c r="B3211" s="2" t="str">
        <f>HYPERLINK("https://leetcode.com/problems/rearrange-k-substrings-to-form-target-string/", "Rearrange K Substrings to Form Target String")</f>
        <v>Rearrange K Substrings to Form Target String</v>
      </c>
      <c r="C3211" s="1">
        <v>83</v>
      </c>
      <c r="D3211" s="1">
        <v>7</v>
      </c>
      <c r="E3211" s="3">
        <f t="shared" si="24"/>
        <v>0.92222222222222228</v>
      </c>
      <c r="F3211" s="1" t="s">
        <v>90</v>
      </c>
      <c r="G3211" s="1" t="s">
        <v>24</v>
      </c>
      <c r="H3211" s="1">
        <v>27356</v>
      </c>
      <c r="I3211" s="1">
        <v>48333</v>
      </c>
      <c r="J3211" s="7">
        <v>0.56599999999999995</v>
      </c>
      <c r="K3211" s="1" t="s">
        <v>21</v>
      </c>
      <c r="L3211" s="1" t="s">
        <v>29</v>
      </c>
      <c r="M3211" s="1" t="s">
        <v>29</v>
      </c>
      <c r="N3211" s="1" t="s">
        <v>22</v>
      </c>
      <c r="O3211" s="1" t="str">
        <f t="shared" ca="1" si="25"/>
        <v>Please solve the LeetCode problem '3365. Rearrange K Substrings to Form Target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12" spans="1:15" x14ac:dyDescent="0.25">
      <c r="A3212" s="1">
        <v>3543</v>
      </c>
      <c r="B3212" s="2" t="str">
        <f>HYPERLINK("https://leetcode.com/problems/maximum-weighted-k-edge-path/", "Maximum Weighted K-Edge Path")</f>
        <v>Maximum Weighted K-Edge Path</v>
      </c>
      <c r="C3212" s="1">
        <v>83</v>
      </c>
      <c r="D3212" s="1">
        <v>10</v>
      </c>
      <c r="E3212" s="3">
        <f t="shared" si="24"/>
        <v>0.89247311827956988</v>
      </c>
      <c r="F3212" s="1" t="s">
        <v>1199</v>
      </c>
      <c r="G3212" s="1" t="s">
        <v>24</v>
      </c>
      <c r="H3212" s="1">
        <v>9132</v>
      </c>
      <c r="I3212" s="1">
        <v>46220</v>
      </c>
      <c r="J3212" s="7">
        <v>0.19800000000000001</v>
      </c>
      <c r="K3212" s="1" t="s">
        <v>21</v>
      </c>
      <c r="L3212" s="1" t="s">
        <v>29</v>
      </c>
      <c r="M3212" s="1" t="s">
        <v>29</v>
      </c>
      <c r="N3212" s="1" t="s">
        <v>22</v>
      </c>
      <c r="O3212" s="1" t="str">
        <f t="shared" ca="1" si="25"/>
        <v>Please solve the LeetCode problem '3543. Maximum Weighted K-Edge Path'.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13" spans="1:15" x14ac:dyDescent="0.25">
      <c r="A3213" s="1">
        <v>3805</v>
      </c>
      <c r="B3213" s="2" t="str">
        <f>HYPERLINK("https://leetcode.com/problems/count-caesar-cipher-pairs/", "Count Caesar Cipher Pairs")</f>
        <v>Count Caesar Cipher Pairs</v>
      </c>
      <c r="C3213" s="1">
        <v>83</v>
      </c>
      <c r="D3213" s="1">
        <v>1</v>
      </c>
      <c r="E3213" s="3">
        <f t="shared" si="24"/>
        <v>0.98809523809523814</v>
      </c>
      <c r="F3213" s="1" t="s">
        <v>1181</v>
      </c>
      <c r="G3213" s="1" t="s">
        <v>24</v>
      </c>
      <c r="H3213" s="1">
        <v>22791</v>
      </c>
      <c r="I3213" s="1">
        <v>45217</v>
      </c>
      <c r="J3213" s="7">
        <v>0.504</v>
      </c>
      <c r="K3213" s="1" t="s">
        <v>21</v>
      </c>
      <c r="L3213" s="1" t="s">
        <v>29</v>
      </c>
      <c r="M3213" s="1" t="s">
        <v>29</v>
      </c>
      <c r="N3213" s="1" t="s">
        <v>22</v>
      </c>
      <c r="O3213" s="1" t="str">
        <f t="shared" ca="1" si="25"/>
        <v>Please solve the LeetCode problem '3805. Count Caesar Cipher Pairs'.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14" spans="1:15" x14ac:dyDescent="0.25">
      <c r="A3214" s="1">
        <v>1256</v>
      </c>
      <c r="B3214" s="2" t="str">
        <f>HYPERLINK("https://leetcode.com/problems/encode-number/", "Encode Number")</f>
        <v>Encode Number</v>
      </c>
      <c r="C3214" s="1">
        <v>82</v>
      </c>
      <c r="D3214" s="1">
        <v>257</v>
      </c>
      <c r="E3214" s="3">
        <f t="shared" si="24"/>
        <v>0.24188790560471976</v>
      </c>
      <c r="F3214" s="1" t="s">
        <v>605</v>
      </c>
      <c r="G3214" s="1" t="s">
        <v>24</v>
      </c>
      <c r="H3214" s="1">
        <v>8530</v>
      </c>
      <c r="I3214" s="1">
        <v>12141</v>
      </c>
      <c r="J3214" s="7">
        <v>0.70299999999999996</v>
      </c>
      <c r="K3214" s="1" t="s">
        <v>29</v>
      </c>
      <c r="L3214" s="1" t="s">
        <v>29</v>
      </c>
      <c r="M3214" s="1" t="s">
        <v>29</v>
      </c>
      <c r="N3214" s="1" t="s">
        <v>22</v>
      </c>
      <c r="O3214" s="1" t="str">
        <f t="shared" ca="1" si="25"/>
        <v>Please solve the LeetCode problem '1256. Encode Number'.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15" spans="1:15" x14ac:dyDescent="0.25">
      <c r="A3215" s="1">
        <v>1565</v>
      </c>
      <c r="B3215" s="2" t="str">
        <f>HYPERLINK("https://leetcode.com/problems/unique-orders-and-customers-per-month/", "Unique Orders and Customers Per Month")</f>
        <v>Unique Orders and Customers Per Month</v>
      </c>
      <c r="C3215" s="1">
        <v>82</v>
      </c>
      <c r="D3215" s="1">
        <v>47</v>
      </c>
      <c r="E3215" s="3">
        <f t="shared" si="24"/>
        <v>0.63565891472868219</v>
      </c>
      <c r="F3215" s="1" t="s">
        <v>297</v>
      </c>
      <c r="G3215" s="1" t="s">
        <v>20</v>
      </c>
      <c r="H3215" s="1">
        <v>25595</v>
      </c>
      <c r="I3215" s="1">
        <v>31198</v>
      </c>
      <c r="J3215" s="7">
        <v>0.82</v>
      </c>
      <c r="K3215" s="1" t="s">
        <v>29</v>
      </c>
      <c r="L3215" s="1" t="s">
        <v>29</v>
      </c>
      <c r="M3215" s="1" t="s">
        <v>29</v>
      </c>
      <c r="N3215" s="1" t="s">
        <v>297</v>
      </c>
      <c r="O3215" s="1" t="str">
        <f t="shared" ca="1" si="25"/>
        <v>Please solve the LeetCode problem '1565. Unique Orders and Customers Per Month'.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16" spans="1:15" x14ac:dyDescent="0.25">
      <c r="A3216" s="1">
        <v>1788</v>
      </c>
      <c r="B3216" s="2" t="str">
        <f>HYPERLINK("https://leetcode.com/problems/maximize-the-beauty-of-the-garden/", "Maximize the Beauty of the Garden")</f>
        <v>Maximize the Beauty of the Garden</v>
      </c>
      <c r="C3216" s="1">
        <v>82</v>
      </c>
      <c r="D3216" s="1">
        <v>6</v>
      </c>
      <c r="E3216" s="3">
        <f t="shared" si="24"/>
        <v>0.93181818181818177</v>
      </c>
      <c r="F3216" s="1" t="s">
        <v>683</v>
      </c>
      <c r="G3216" s="1" t="s">
        <v>28</v>
      </c>
      <c r="H3216" s="1">
        <v>2731</v>
      </c>
      <c r="I3216" s="1">
        <v>4236</v>
      </c>
      <c r="J3216" s="7">
        <v>0.64500000000000002</v>
      </c>
      <c r="K3216" s="1" t="s">
        <v>29</v>
      </c>
      <c r="L3216" s="1" t="s">
        <v>29</v>
      </c>
      <c r="M3216" s="1" t="s">
        <v>29</v>
      </c>
      <c r="N3216" s="1" t="s">
        <v>22</v>
      </c>
      <c r="O3216" s="1" t="str">
        <f t="shared" ca="1" si="25"/>
        <v>Please solve the LeetCode problem '1788. Maximize the Beauty of the Garden'.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17" spans="1:15" x14ac:dyDescent="0.25">
      <c r="A3217" s="1">
        <v>3292</v>
      </c>
      <c r="B3217" s="2" t="str">
        <f>HYPERLINK("https://leetcode.com/problems/minimum-number-of-valid-strings-to-form-target-ii/", "Minimum Number of Valid Strings to Form Target II")</f>
        <v>Minimum Number of Valid Strings to Form Target II</v>
      </c>
      <c r="C3217" s="1">
        <v>82</v>
      </c>
      <c r="D3217" s="1">
        <v>10</v>
      </c>
      <c r="E3217" s="3">
        <f t="shared" si="24"/>
        <v>0.89130434782608692</v>
      </c>
      <c r="F3217" s="1" t="s">
        <v>1198</v>
      </c>
      <c r="G3217" s="1" t="s">
        <v>28</v>
      </c>
      <c r="H3217" s="1">
        <v>5314</v>
      </c>
      <c r="I3217" s="1">
        <v>26439</v>
      </c>
      <c r="J3217" s="7">
        <v>0.20100000000000001</v>
      </c>
      <c r="K3217" s="1" t="s">
        <v>21</v>
      </c>
      <c r="L3217" s="1" t="s">
        <v>29</v>
      </c>
      <c r="M3217" s="1" t="s">
        <v>29</v>
      </c>
      <c r="N3217" s="1" t="s">
        <v>22</v>
      </c>
      <c r="O3217" s="1" t="str">
        <f t="shared" ca="1" si="25"/>
        <v>Please solve the LeetCode problem '3292. Minimum Number of Valid Strings to Form Target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18" spans="1:15" x14ac:dyDescent="0.25">
      <c r="A3218" s="1">
        <v>3378</v>
      </c>
      <c r="B3218" s="2" t="str">
        <f>HYPERLINK("https://leetcode.com/problems/count-connected-components-in-lcm-graph/", "Count Connected Components in LCM Graph")</f>
        <v>Count Connected Components in LCM Graph</v>
      </c>
      <c r="C3218" s="1">
        <v>82</v>
      </c>
      <c r="D3218" s="1">
        <v>2</v>
      </c>
      <c r="E3218" s="3">
        <f t="shared" si="24"/>
        <v>0.97619047619047616</v>
      </c>
      <c r="F3218" s="1" t="s">
        <v>545</v>
      </c>
      <c r="G3218" s="1" t="s">
        <v>28</v>
      </c>
      <c r="H3218" s="1">
        <v>5184</v>
      </c>
      <c r="I3218" s="1">
        <v>16817</v>
      </c>
      <c r="J3218" s="7">
        <v>0.308</v>
      </c>
      <c r="K3218" s="1" t="s">
        <v>21</v>
      </c>
      <c r="L3218" s="1" t="s">
        <v>29</v>
      </c>
      <c r="M3218" s="1" t="s">
        <v>29</v>
      </c>
      <c r="N3218" s="1" t="s">
        <v>22</v>
      </c>
      <c r="O3218" s="1" t="str">
        <f t="shared" ca="1" si="25"/>
        <v>Please solve the LeetCode problem '3378. Count Connected Components in LCM Graph'.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19" spans="1:15" x14ac:dyDescent="0.25">
      <c r="A3219" s="1">
        <v>3500</v>
      </c>
      <c r="B3219" s="2" t="str">
        <f>HYPERLINK("https://leetcode.com/problems/minimum-cost-to-divide-array-into-subarrays/", "Minimum Cost to Divide Array Into Subarrays")</f>
        <v>Minimum Cost to Divide Array Into Subarrays</v>
      </c>
      <c r="C3219" s="1">
        <v>82</v>
      </c>
      <c r="D3219" s="1">
        <v>10</v>
      </c>
      <c r="E3219" s="3">
        <f t="shared" si="24"/>
        <v>0.89130434782608692</v>
      </c>
      <c r="F3219" s="1" t="s">
        <v>407</v>
      </c>
      <c r="G3219" s="1" t="s">
        <v>28</v>
      </c>
      <c r="H3219" s="1">
        <v>4780</v>
      </c>
      <c r="I3219" s="1">
        <v>17512</v>
      </c>
      <c r="J3219" s="7">
        <v>0.27300000000000002</v>
      </c>
      <c r="K3219" s="1" t="s">
        <v>21</v>
      </c>
      <c r="L3219" s="1" t="s">
        <v>29</v>
      </c>
      <c r="M3219" s="1" t="s">
        <v>29</v>
      </c>
      <c r="N3219" s="1" t="s">
        <v>22</v>
      </c>
      <c r="O3219" s="1" t="str">
        <f t="shared" ca="1" si="25"/>
        <v>Please solve the LeetCode problem '3500. Minimum Cost to Divide Array Into Subarrays'.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20" spans="1:15" x14ac:dyDescent="0.25">
      <c r="A3220" s="1">
        <v>3589</v>
      </c>
      <c r="B3220" s="2" t="str">
        <f>HYPERLINK("https://leetcode.com/problems/count-prime-gap-balanced-subarrays/", "Count Prime-Gap Balanced Subarrays")</f>
        <v>Count Prime-Gap Balanced Subarrays</v>
      </c>
      <c r="C3220" s="1">
        <v>82</v>
      </c>
      <c r="D3220" s="1">
        <v>5</v>
      </c>
      <c r="E3220" s="3">
        <f t="shared" si="24"/>
        <v>0.94252873563218387</v>
      </c>
      <c r="F3220" s="1" t="s">
        <v>1200</v>
      </c>
      <c r="G3220" s="1" t="s">
        <v>24</v>
      </c>
      <c r="H3220" s="1">
        <v>6533</v>
      </c>
      <c r="I3220" s="1">
        <v>30037</v>
      </c>
      <c r="J3220" s="7">
        <v>0.217</v>
      </c>
      <c r="K3220" s="1" t="s">
        <v>21</v>
      </c>
      <c r="L3220" s="1" t="s">
        <v>29</v>
      </c>
      <c r="M3220" s="1" t="s">
        <v>29</v>
      </c>
      <c r="N3220" s="1" t="s">
        <v>22</v>
      </c>
      <c r="O3220" s="1" t="str">
        <f t="shared" ca="1" si="25"/>
        <v>Please solve the LeetCode problem '3589. Count Prime-Gap Balanced Subarrays'.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21" spans="1:15" x14ac:dyDescent="0.25">
      <c r="A3221" s="1">
        <v>2408</v>
      </c>
      <c r="B3221" s="2" t="str">
        <f>HYPERLINK("https://leetcode.com/problems/design-sql/", "Design SQL")</f>
        <v>Design SQL</v>
      </c>
      <c r="C3221" s="1">
        <v>81</v>
      </c>
      <c r="D3221" s="1">
        <v>105</v>
      </c>
      <c r="E3221" s="3">
        <f t="shared" si="24"/>
        <v>0.43548387096774194</v>
      </c>
      <c r="F3221" s="1" t="s">
        <v>843</v>
      </c>
      <c r="G3221" s="1" t="s">
        <v>24</v>
      </c>
      <c r="H3221" s="1">
        <v>18999</v>
      </c>
      <c r="I3221" s="1">
        <v>29065</v>
      </c>
      <c r="J3221" s="7">
        <v>0.65400000000000003</v>
      </c>
      <c r="K3221" s="1" t="s">
        <v>29</v>
      </c>
      <c r="L3221" s="1" t="s">
        <v>29</v>
      </c>
      <c r="M3221" s="1" t="s">
        <v>29</v>
      </c>
      <c r="N3221" s="1" t="s">
        <v>22</v>
      </c>
      <c r="O3221" s="1" t="str">
        <f t="shared" ca="1" si="25"/>
        <v>Please solve the LeetCode problem '2408. Design SQL'.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22" spans="1:15" x14ac:dyDescent="0.25">
      <c r="A3222" s="1">
        <v>2445</v>
      </c>
      <c r="B3222" s="2" t="str">
        <f>HYPERLINK("https://leetcode.com/problems/number-of-nodes-with-value-one/", "Number of Nodes With Value One")</f>
        <v>Number of Nodes With Value One</v>
      </c>
      <c r="C3222" s="1">
        <v>81</v>
      </c>
      <c r="D3222" s="1">
        <v>10</v>
      </c>
      <c r="E3222" s="3">
        <f t="shared" si="24"/>
        <v>0.89010989010989006</v>
      </c>
      <c r="F3222" s="1" t="s">
        <v>574</v>
      </c>
      <c r="G3222" s="1" t="s">
        <v>24</v>
      </c>
      <c r="H3222" s="1">
        <v>2803</v>
      </c>
      <c r="I3222" s="1">
        <v>4242</v>
      </c>
      <c r="J3222" s="7">
        <v>0.66100000000000003</v>
      </c>
      <c r="K3222" s="1" t="s">
        <v>29</v>
      </c>
      <c r="L3222" s="1" t="s">
        <v>29</v>
      </c>
      <c r="M3222" s="1" t="s">
        <v>29</v>
      </c>
      <c r="N3222" s="1" t="s">
        <v>22</v>
      </c>
      <c r="O3222" s="1" t="str">
        <f t="shared" ca="1" si="25"/>
        <v>Please solve the LeetCode problem '2445. Number of Nodes With Value One'.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23" spans="1:15" x14ac:dyDescent="0.25">
      <c r="A3223" s="1">
        <v>3225</v>
      </c>
      <c r="B3223" s="2" t="str">
        <f>HYPERLINK("https://leetcode.com/problems/maximum-score-from-grid-operations/", "Maximum Score From Grid Operations")</f>
        <v>Maximum Score From Grid Operations</v>
      </c>
      <c r="C3223" s="1">
        <v>81</v>
      </c>
      <c r="D3223" s="1">
        <v>11</v>
      </c>
      <c r="E3223" s="3">
        <f t="shared" si="24"/>
        <v>0.88043478260869568</v>
      </c>
      <c r="F3223" s="1" t="s">
        <v>1203</v>
      </c>
      <c r="G3223" s="1" t="s">
        <v>28</v>
      </c>
      <c r="H3223" s="1">
        <v>3183</v>
      </c>
      <c r="I3223" s="1">
        <v>11819</v>
      </c>
      <c r="J3223" s="7">
        <v>0.26900000000000002</v>
      </c>
      <c r="K3223" s="1" t="s">
        <v>21</v>
      </c>
      <c r="L3223" s="1" t="s">
        <v>29</v>
      </c>
      <c r="M3223" s="1" t="s">
        <v>29</v>
      </c>
      <c r="N3223" s="1" t="s">
        <v>22</v>
      </c>
      <c r="O3223" s="1" t="str">
        <f t="shared" ca="1" si="25"/>
        <v>Please solve the LeetCode problem '3225. Maximum Score From Grid Operations'.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24" spans="1:15" x14ac:dyDescent="0.25">
      <c r="A3224" s="1">
        <v>3239</v>
      </c>
      <c r="B3224" s="2" t="str">
        <f>HYPERLINK("https://leetcode.com/problems/minimum-number-of-flips-to-make-binary-grid-palindromic-i/", "Minimum Number of Flips to Make Binary Grid Palindromic I")</f>
        <v>Minimum Number of Flips to Make Binary Grid Palindromic I</v>
      </c>
      <c r="C3224" s="1">
        <v>81</v>
      </c>
      <c r="D3224" s="1">
        <v>10</v>
      </c>
      <c r="E3224" s="3">
        <f t="shared" si="24"/>
        <v>0.89010989010989006</v>
      </c>
      <c r="F3224" s="1" t="s">
        <v>559</v>
      </c>
      <c r="G3224" s="1" t="s">
        <v>24</v>
      </c>
      <c r="H3224" s="1">
        <v>38066</v>
      </c>
      <c r="I3224" s="1">
        <v>50928</v>
      </c>
      <c r="J3224" s="7">
        <v>0.747</v>
      </c>
      <c r="K3224" s="1" t="s">
        <v>21</v>
      </c>
      <c r="L3224" s="1" t="s">
        <v>29</v>
      </c>
      <c r="M3224" s="1" t="s">
        <v>29</v>
      </c>
      <c r="N3224" s="1" t="s">
        <v>22</v>
      </c>
      <c r="O3224" s="1" t="str">
        <f t="shared" ca="1" si="25"/>
        <v>Please solve the LeetCode problem '3239. Minimum Number of Flips to Make Binary Grid Palindromic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25" spans="1:15" x14ac:dyDescent="0.25">
      <c r="A3225" s="1">
        <v>3267</v>
      </c>
      <c r="B3225" s="2" t="str">
        <f>HYPERLINK("https://leetcode.com/problems/count-almost-equal-pairs-ii/", "Count Almost Equal Pairs II")</f>
        <v>Count Almost Equal Pairs II</v>
      </c>
      <c r="C3225" s="1">
        <v>81</v>
      </c>
      <c r="D3225" s="1">
        <v>22</v>
      </c>
      <c r="E3225" s="3">
        <f t="shared" si="24"/>
        <v>0.78640776699029125</v>
      </c>
      <c r="F3225" s="1" t="s">
        <v>1128</v>
      </c>
      <c r="G3225" s="1" t="s">
        <v>28</v>
      </c>
      <c r="H3225" s="1">
        <v>9011</v>
      </c>
      <c r="I3225" s="1">
        <v>33423</v>
      </c>
      <c r="J3225" s="7">
        <v>0.27</v>
      </c>
      <c r="K3225" s="1" t="s">
        <v>21</v>
      </c>
      <c r="L3225" s="1" t="s">
        <v>29</v>
      </c>
      <c r="M3225" s="1" t="s">
        <v>29</v>
      </c>
      <c r="N3225" s="1" t="s">
        <v>22</v>
      </c>
      <c r="O3225" s="1" t="str">
        <f t="shared" ca="1" si="25"/>
        <v>Please solve the LeetCode problem '3267. Count Almost Equal Pairs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26" spans="1:15" x14ac:dyDescent="0.25">
      <c r="A3226" s="1">
        <v>3420</v>
      </c>
      <c r="B3226" s="2" t="str">
        <f>HYPERLINK("https://leetcode.com/problems/count-non-decreasing-subarrays-after-k-operations/", "Count Non-Decreasing Subarrays After K Operations")</f>
        <v>Count Non-Decreasing Subarrays After K Operations</v>
      </c>
      <c r="C3226" s="1">
        <v>81</v>
      </c>
      <c r="D3226" s="1">
        <v>4</v>
      </c>
      <c r="E3226" s="3">
        <f t="shared" si="24"/>
        <v>0.95294117647058818</v>
      </c>
      <c r="F3226" s="1" t="s">
        <v>1202</v>
      </c>
      <c r="G3226" s="1" t="s">
        <v>28</v>
      </c>
      <c r="H3226" s="1">
        <v>3918</v>
      </c>
      <c r="I3226" s="1">
        <v>16859</v>
      </c>
      <c r="J3226" s="7">
        <v>0.23200000000000001</v>
      </c>
      <c r="K3226" s="1" t="s">
        <v>21</v>
      </c>
      <c r="L3226" s="1" t="s">
        <v>29</v>
      </c>
      <c r="M3226" s="1" t="s">
        <v>29</v>
      </c>
      <c r="N3226" s="1" t="s">
        <v>22</v>
      </c>
      <c r="O3226" s="1" t="str">
        <f t="shared" ca="1" si="25"/>
        <v>Please solve the LeetCode problem '3420. Count Non-Decreasing Subarrays After K Operations'.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27" spans="1:15" x14ac:dyDescent="0.25">
      <c r="A3227" s="1">
        <v>3598</v>
      </c>
      <c r="B3227" s="2" t="str">
        <f>HYPERLINK("https://leetcode.com/problems/longest-common-prefix-between-adjacent-strings-after-removals/", "Longest Common Prefix Between Adjacent Strings After Removals")</f>
        <v>Longest Common Prefix Between Adjacent Strings After Removals</v>
      </c>
      <c r="C3227" s="1">
        <v>81</v>
      </c>
      <c r="D3227" s="1">
        <v>5</v>
      </c>
      <c r="E3227" s="3">
        <f t="shared" si="24"/>
        <v>0.94186046511627908</v>
      </c>
      <c r="F3227" s="1" t="s">
        <v>369</v>
      </c>
      <c r="G3227" s="1" t="s">
        <v>24</v>
      </c>
      <c r="H3227" s="1">
        <v>18719</v>
      </c>
      <c r="I3227" s="1">
        <v>58189</v>
      </c>
      <c r="J3227" s="7">
        <v>0.32200000000000001</v>
      </c>
      <c r="K3227" s="1" t="s">
        <v>21</v>
      </c>
      <c r="L3227" s="1" t="s">
        <v>29</v>
      </c>
      <c r="M3227" s="1" t="s">
        <v>29</v>
      </c>
      <c r="N3227" s="1" t="s">
        <v>22</v>
      </c>
      <c r="O3227" s="1" t="str">
        <f t="shared" ca="1" si="25"/>
        <v>Please solve the LeetCode problem '3598. Longest Common Prefix Between Adjacent Strings After Removals'.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28" spans="1:15" x14ac:dyDescent="0.25">
      <c r="A3228" s="1">
        <v>3665</v>
      </c>
      <c r="B3228" s="2" t="str">
        <f>HYPERLINK("https://leetcode.com/problems/twisted-mirror-path-count/", "Twisted Mirror Path Count")</f>
        <v>Twisted Mirror Path Count</v>
      </c>
      <c r="C3228" s="1">
        <v>81</v>
      </c>
      <c r="D3228" s="1">
        <v>4</v>
      </c>
      <c r="E3228" s="3">
        <f t="shared" si="24"/>
        <v>0.95294117647058818</v>
      </c>
      <c r="F3228" s="1" t="s">
        <v>94</v>
      </c>
      <c r="G3228" s="1" t="s">
        <v>24</v>
      </c>
      <c r="H3228" s="1">
        <v>14153</v>
      </c>
      <c r="I3228" s="1">
        <v>29483</v>
      </c>
      <c r="J3228" s="7">
        <v>0.48</v>
      </c>
      <c r="K3228" s="1" t="s">
        <v>21</v>
      </c>
      <c r="L3228" s="1" t="s">
        <v>29</v>
      </c>
      <c r="M3228" s="1" t="s">
        <v>29</v>
      </c>
      <c r="N3228" s="1" t="s">
        <v>22</v>
      </c>
      <c r="O3228" s="1" t="str">
        <f t="shared" ca="1" si="25"/>
        <v>Please solve the LeetCode problem '3665. Twisted Mirror Path Count'.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29" spans="1:15" x14ac:dyDescent="0.25">
      <c r="A3229" s="1">
        <v>3724</v>
      </c>
      <c r="B3229" s="2" t="str">
        <f>HYPERLINK("https://leetcode.com/problems/minimum-operations-to-transform-array/", "Minimum Operations to Transform Array")</f>
        <v>Minimum Operations to Transform Array</v>
      </c>
      <c r="C3229" s="1">
        <v>81</v>
      </c>
      <c r="D3229" s="1">
        <v>6</v>
      </c>
      <c r="E3229" s="3">
        <f t="shared" si="24"/>
        <v>0.93103448275862066</v>
      </c>
      <c r="F3229" s="1" t="s">
        <v>96</v>
      </c>
      <c r="G3229" s="1" t="s">
        <v>24</v>
      </c>
      <c r="H3229" s="1">
        <v>13436</v>
      </c>
      <c r="I3229" s="1">
        <v>34448</v>
      </c>
      <c r="J3229" s="7">
        <v>0.39</v>
      </c>
      <c r="K3229" s="1" t="s">
        <v>21</v>
      </c>
      <c r="L3229" s="1" t="s">
        <v>29</v>
      </c>
      <c r="M3229" s="1" t="s">
        <v>29</v>
      </c>
      <c r="N3229" s="1" t="s">
        <v>22</v>
      </c>
      <c r="O3229" s="1" t="str">
        <f t="shared" ca="1" si="25"/>
        <v>Please solve the LeetCode problem '3724. Minimum Operations to Transform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30" spans="1:15" x14ac:dyDescent="0.25">
      <c r="A3230" s="1">
        <v>3738</v>
      </c>
      <c r="B3230" s="2" t="str">
        <f>HYPERLINK("https://leetcode.com/problems/longest-non-decreasing-subarray-after-replacing-at-most-one-element/", "Longest Non-Decreasing Subarray After Replacing at Most One Element")</f>
        <v>Longest Non-Decreasing Subarray After Replacing at Most One Element</v>
      </c>
      <c r="C3230" s="1">
        <v>81</v>
      </c>
      <c r="D3230" s="1">
        <v>7</v>
      </c>
      <c r="E3230" s="3">
        <f t="shared" si="24"/>
        <v>0.92045454545454541</v>
      </c>
      <c r="F3230" s="1" t="s">
        <v>30</v>
      </c>
      <c r="G3230" s="1" t="s">
        <v>24</v>
      </c>
      <c r="H3230" s="1">
        <v>12919</v>
      </c>
      <c r="I3230" s="1">
        <v>61918</v>
      </c>
      <c r="J3230" s="7">
        <v>0.20899999999999999</v>
      </c>
      <c r="K3230" s="1" t="s">
        <v>21</v>
      </c>
      <c r="L3230" s="1" t="s">
        <v>29</v>
      </c>
      <c r="M3230" s="1" t="s">
        <v>29</v>
      </c>
      <c r="N3230" s="1" t="s">
        <v>22</v>
      </c>
      <c r="O3230" s="1" t="str">
        <f t="shared" ca="1" si="25"/>
        <v>Please solve the LeetCode problem '3738. Longest Non-Decreasing Subarray After Replacing at Most One Element'.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31" spans="1:15" x14ac:dyDescent="0.25">
      <c r="A3231" s="1">
        <v>555</v>
      </c>
      <c r="B3231" s="2" t="str">
        <f>HYPERLINK("https://leetcode.com/problems/split-concatenated-strings/", "Split Concatenated Strings")</f>
        <v>Split Concatenated Strings</v>
      </c>
      <c r="C3231" s="1">
        <v>80</v>
      </c>
      <c r="D3231" s="1">
        <v>264</v>
      </c>
      <c r="E3231" s="3">
        <f t="shared" si="24"/>
        <v>0.23255813953488372</v>
      </c>
      <c r="F3231" s="1" t="s">
        <v>706</v>
      </c>
      <c r="G3231" s="1" t="s">
        <v>24</v>
      </c>
      <c r="H3231" s="1">
        <v>7423</v>
      </c>
      <c r="I3231" s="1">
        <v>17066</v>
      </c>
      <c r="J3231" s="7">
        <v>0.435</v>
      </c>
      <c r="K3231" s="1" t="s">
        <v>29</v>
      </c>
      <c r="L3231" s="1" t="s">
        <v>29</v>
      </c>
      <c r="M3231" s="1" t="s">
        <v>29</v>
      </c>
      <c r="N3231" s="1" t="s">
        <v>22</v>
      </c>
      <c r="O3231" s="1" t="str">
        <f t="shared" ca="1" si="25"/>
        <v>Please solve the LeetCode problem '555. Split Concatenated Strings'.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32" spans="1:15" x14ac:dyDescent="0.25">
      <c r="A3232" s="1">
        <v>1271</v>
      </c>
      <c r="B3232" s="2" t="str">
        <f>HYPERLINK("https://leetcode.com/problems/hexspeak/", "Hexspeak")</f>
        <v>Hexspeak</v>
      </c>
      <c r="C3232" s="1">
        <v>80</v>
      </c>
      <c r="D3232" s="1">
        <v>126</v>
      </c>
      <c r="E3232" s="3">
        <f t="shared" si="24"/>
        <v>0.38834951456310679</v>
      </c>
      <c r="F3232" s="1" t="s">
        <v>228</v>
      </c>
      <c r="G3232" s="1" t="s">
        <v>20</v>
      </c>
      <c r="H3232" s="1">
        <v>12888</v>
      </c>
      <c r="I3232" s="1">
        <v>22088</v>
      </c>
      <c r="J3232" s="7">
        <v>0.58299999999999996</v>
      </c>
      <c r="K3232" s="1" t="s">
        <v>29</v>
      </c>
      <c r="L3232" s="1" t="s">
        <v>29</v>
      </c>
      <c r="M3232" s="1" t="s">
        <v>29</v>
      </c>
      <c r="N3232" s="1" t="s">
        <v>22</v>
      </c>
      <c r="O3232" s="1" t="str">
        <f t="shared" ca="1" si="25"/>
        <v>Please solve the LeetCode problem '1271. Hexspeak'.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33" spans="1:15" x14ac:dyDescent="0.25">
      <c r="A3233" s="1">
        <v>1988</v>
      </c>
      <c r="B3233" s="2" t="str">
        <f>HYPERLINK("https://leetcode.com/problems/find-cutoff-score-for-each-school/", "Find Cutoff Score for Each School")</f>
        <v>Find Cutoff Score for Each School</v>
      </c>
      <c r="C3233" s="1">
        <v>80</v>
      </c>
      <c r="D3233" s="1">
        <v>161</v>
      </c>
      <c r="E3233" s="3">
        <f t="shared" si="24"/>
        <v>0.33195020746887965</v>
      </c>
      <c r="F3233" s="1" t="s">
        <v>297</v>
      </c>
      <c r="G3233" s="1" t="s">
        <v>24</v>
      </c>
      <c r="H3233" s="1">
        <v>13690</v>
      </c>
      <c r="I3233" s="1">
        <v>20462</v>
      </c>
      <c r="J3233" s="7">
        <v>0.66900000000000004</v>
      </c>
      <c r="K3233" s="1" t="s">
        <v>29</v>
      </c>
      <c r="L3233" s="1" t="s">
        <v>21</v>
      </c>
      <c r="M3233" s="1" t="s">
        <v>29</v>
      </c>
      <c r="N3233" s="1" t="s">
        <v>297</v>
      </c>
      <c r="O3233" s="1" t="str">
        <f t="shared" ca="1" si="25"/>
        <v>Please solve the LeetCode problem '1988. Find Cutoff Score for Each School'.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34" spans="1:15" x14ac:dyDescent="0.25">
      <c r="A3234" s="1">
        <v>2832</v>
      </c>
      <c r="B3234" s="2" t="str">
        <f>HYPERLINK("https://leetcode.com/problems/maximal-range-that-each-element-is-maximum-in-it/", "Maximal Range That Each Element Is Maximum in It")</f>
        <v>Maximal Range That Each Element Is Maximum in It</v>
      </c>
      <c r="C3234" s="1">
        <v>80</v>
      </c>
      <c r="D3234" s="1">
        <v>8</v>
      </c>
      <c r="E3234" s="3">
        <f t="shared" si="24"/>
        <v>0.90909090909090906</v>
      </c>
      <c r="F3234" s="1" t="s">
        <v>61</v>
      </c>
      <c r="G3234" s="1" t="s">
        <v>24</v>
      </c>
      <c r="H3234" s="1">
        <v>6297</v>
      </c>
      <c r="I3234" s="1">
        <v>8342</v>
      </c>
      <c r="J3234" s="7">
        <v>0.755</v>
      </c>
      <c r="K3234" s="1" t="s">
        <v>29</v>
      </c>
      <c r="L3234" s="1" t="s">
        <v>21</v>
      </c>
      <c r="M3234" s="1" t="s">
        <v>29</v>
      </c>
      <c r="N3234" s="1" t="s">
        <v>22</v>
      </c>
      <c r="O3234" s="1" t="str">
        <f t="shared" ca="1" si="25"/>
        <v>Please solve the LeetCode problem '2832. Maximal Range That Each Element Is Maximum in It'.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35" spans="1:15" x14ac:dyDescent="0.25">
      <c r="A3235" s="1">
        <v>3311</v>
      </c>
      <c r="B3235" s="2" t="str">
        <f>HYPERLINK("https://leetcode.com/problems/construct-2d-grid-matching-graph-layout/", "Construct 2D Grid Matching Graph Layout")</f>
        <v>Construct 2D Grid Matching Graph Layout</v>
      </c>
      <c r="C3235" s="1">
        <v>80</v>
      </c>
      <c r="D3235" s="1">
        <v>12</v>
      </c>
      <c r="E3235" s="3">
        <f t="shared" si="24"/>
        <v>0.86956521739130432</v>
      </c>
      <c r="F3235" s="1" t="s">
        <v>1206</v>
      </c>
      <c r="G3235" s="1" t="s">
        <v>28</v>
      </c>
      <c r="H3235" s="1">
        <v>4361</v>
      </c>
      <c r="I3235" s="1">
        <v>14851</v>
      </c>
      <c r="J3235" s="7">
        <v>0.29399999999999998</v>
      </c>
      <c r="K3235" s="1" t="s">
        <v>21</v>
      </c>
      <c r="L3235" s="1" t="s">
        <v>29</v>
      </c>
      <c r="M3235" s="1" t="s">
        <v>29</v>
      </c>
      <c r="N3235" s="1" t="s">
        <v>22</v>
      </c>
      <c r="O3235" s="1" t="str">
        <f t="shared" ca="1" si="25"/>
        <v>Please solve the LeetCode problem '3311. Construct 2D Grid Matching Graph Layout'.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36" spans="1:15" x14ac:dyDescent="0.25">
      <c r="A3236" s="1">
        <v>3503</v>
      </c>
      <c r="B3236" s="2" t="str">
        <f>HYPERLINK("https://leetcode.com/problems/longest-palindrome-after-substring-concatenation-i/", "Longest Palindrome After Substring Concatenation I")</f>
        <v>Longest Palindrome After Substring Concatenation I</v>
      </c>
      <c r="C3236" s="1">
        <v>80</v>
      </c>
      <c r="D3236" s="1">
        <v>4</v>
      </c>
      <c r="E3236" s="3">
        <f t="shared" si="24"/>
        <v>0.95238095238095233</v>
      </c>
      <c r="F3236" s="1" t="s">
        <v>1204</v>
      </c>
      <c r="G3236" s="1" t="s">
        <v>24</v>
      </c>
      <c r="H3236" s="1">
        <v>21747</v>
      </c>
      <c r="I3236" s="1">
        <v>49902</v>
      </c>
      <c r="J3236" s="7">
        <v>0.436</v>
      </c>
      <c r="K3236" s="1" t="s">
        <v>21</v>
      </c>
      <c r="L3236" s="1" t="s">
        <v>29</v>
      </c>
      <c r="M3236" s="1" t="s">
        <v>29</v>
      </c>
      <c r="N3236" s="1" t="s">
        <v>22</v>
      </c>
      <c r="O3236" s="1" t="str">
        <f t="shared" ca="1" si="25"/>
        <v>Please solve the LeetCode problem '3503. Longest Palindrome After Substring Concatenation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37" spans="1:15" x14ac:dyDescent="0.25">
      <c r="A3237" s="1">
        <v>3517</v>
      </c>
      <c r="B3237" s="2" t="str">
        <f>HYPERLINK("https://leetcode.com/problems/smallest-palindromic-rearrangement-i/", "Smallest Palindromic Rearrangement I")</f>
        <v>Smallest Palindromic Rearrangement I</v>
      </c>
      <c r="C3237" s="1">
        <v>79</v>
      </c>
      <c r="D3237" s="1">
        <v>3</v>
      </c>
      <c r="E3237" s="3">
        <f t="shared" si="24"/>
        <v>0.96341463414634143</v>
      </c>
      <c r="F3237" s="1" t="s">
        <v>1205</v>
      </c>
      <c r="G3237" s="1" t="s">
        <v>24</v>
      </c>
      <c r="H3237" s="1">
        <v>34024</v>
      </c>
      <c r="I3237" s="1">
        <v>53621</v>
      </c>
      <c r="J3237" s="7">
        <v>0.63500000000000001</v>
      </c>
      <c r="K3237" s="1" t="s">
        <v>21</v>
      </c>
      <c r="L3237" s="1" t="s">
        <v>29</v>
      </c>
      <c r="M3237" s="1" t="s">
        <v>29</v>
      </c>
      <c r="N3237" s="1" t="s">
        <v>22</v>
      </c>
      <c r="O3237" s="1" t="str">
        <f t="shared" ca="1" si="25"/>
        <v>Please solve the LeetCode problem '3517. Smallest Palindromic Rearrangement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38" spans="1:15" x14ac:dyDescent="0.25">
      <c r="A3238" s="1">
        <v>3699</v>
      </c>
      <c r="B3238" s="2" t="str">
        <f>HYPERLINK("https://leetcode.com/problems/number-of-zigzag-arrays-i/", "Number of ZigZag Arrays I")</f>
        <v>Number of ZigZag Arrays I</v>
      </c>
      <c r="C3238" s="1">
        <v>79</v>
      </c>
      <c r="D3238" s="1">
        <v>6</v>
      </c>
      <c r="E3238" s="3">
        <f t="shared" si="24"/>
        <v>0.92941176470588238</v>
      </c>
      <c r="F3238" s="1" t="s">
        <v>599</v>
      </c>
      <c r="G3238" s="1" t="s">
        <v>28</v>
      </c>
      <c r="H3238" s="1">
        <v>13190</v>
      </c>
      <c r="I3238" s="1">
        <v>43035</v>
      </c>
      <c r="J3238" s="7">
        <v>0.30599999999999999</v>
      </c>
      <c r="K3238" s="1" t="s">
        <v>21</v>
      </c>
      <c r="L3238" s="1" t="s">
        <v>29</v>
      </c>
      <c r="M3238" s="1" t="s">
        <v>29</v>
      </c>
      <c r="N3238" s="1" t="s">
        <v>22</v>
      </c>
      <c r="O3238" s="1" t="str">
        <f t="shared" ca="1" si="25"/>
        <v>Please solve the LeetCode problem '3699. Number of ZigZag Arrays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39" spans="1:15" x14ac:dyDescent="0.25">
      <c r="A3239" s="1">
        <v>3784</v>
      </c>
      <c r="B3239" s="2" t="str">
        <f>HYPERLINK("https://leetcode.com/problems/minimum-deletion-cost-to-make-all-characters-equal/", "Minimum Deletion Cost to Make All Characters Equal")</f>
        <v>Minimum Deletion Cost to Make All Characters Equal</v>
      </c>
      <c r="C3239" s="1">
        <v>79</v>
      </c>
      <c r="D3239" s="1">
        <v>9</v>
      </c>
      <c r="E3239" s="3">
        <f t="shared" si="24"/>
        <v>0.89772727272727271</v>
      </c>
      <c r="F3239" s="1" t="s">
        <v>1195</v>
      </c>
      <c r="G3239" s="1" t="s">
        <v>24</v>
      </c>
      <c r="H3239" s="1">
        <v>33941</v>
      </c>
      <c r="I3239" s="1">
        <v>61898</v>
      </c>
      <c r="J3239" s="7">
        <v>0.54800000000000004</v>
      </c>
      <c r="K3239" s="1" t="s">
        <v>21</v>
      </c>
      <c r="L3239" s="1" t="s">
        <v>29</v>
      </c>
      <c r="M3239" s="1" t="s">
        <v>29</v>
      </c>
      <c r="N3239" s="1" t="s">
        <v>22</v>
      </c>
      <c r="O3239" s="1" t="str">
        <f t="shared" ca="1" si="25"/>
        <v>Please solve the LeetCode problem '3784. Minimum Deletion Cost to Make All Characters Equal'.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40" spans="1:15" x14ac:dyDescent="0.25">
      <c r="A3240" s="1">
        <v>3800</v>
      </c>
      <c r="B3240" s="2" t="str">
        <f>HYPERLINK("https://leetcode.com/problems/minimum-cost-to-make-two-binary-strings-equal/", "Minimum Cost to Make Two Binary Strings Equal")</f>
        <v>Minimum Cost to Make Two Binary Strings Equal</v>
      </c>
      <c r="C3240" s="1">
        <v>79</v>
      </c>
      <c r="D3240" s="1">
        <v>4</v>
      </c>
      <c r="E3240" s="3">
        <f t="shared" si="24"/>
        <v>0.95180722891566261</v>
      </c>
      <c r="F3240" s="1" t="s">
        <v>424</v>
      </c>
      <c r="G3240" s="1" t="s">
        <v>24</v>
      </c>
      <c r="H3240" s="1">
        <v>7741</v>
      </c>
      <c r="I3240" s="1">
        <v>20600</v>
      </c>
      <c r="J3240" s="7">
        <v>0.376</v>
      </c>
      <c r="K3240" s="1" t="s">
        <v>21</v>
      </c>
      <c r="L3240" s="1" t="s">
        <v>29</v>
      </c>
      <c r="M3240" s="1" t="s">
        <v>29</v>
      </c>
      <c r="N3240" s="1" t="s">
        <v>22</v>
      </c>
      <c r="O3240" s="1" t="str">
        <f t="shared" ca="1" si="25"/>
        <v>Please solve the LeetCode problem '3800. Minimum Cost to Make Two Binary Strings Equal'.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41" spans="1:15" x14ac:dyDescent="0.25">
      <c r="A3241" s="1">
        <v>1279</v>
      </c>
      <c r="B3241" s="2" t="str">
        <f>HYPERLINK("https://leetcode.com/problems/traffic-light-controlled-intersection/", "Traffic Light Controlled Intersection")</f>
        <v>Traffic Light Controlled Intersection</v>
      </c>
      <c r="C3241" s="1">
        <v>78</v>
      </c>
      <c r="D3241" s="1">
        <v>368</v>
      </c>
      <c r="E3241" s="3">
        <f t="shared" si="24"/>
        <v>0.17488789237668162</v>
      </c>
      <c r="F3241" s="1" t="s">
        <v>561</v>
      </c>
      <c r="G3241" s="1" t="s">
        <v>20</v>
      </c>
      <c r="H3241" s="1">
        <v>20069</v>
      </c>
      <c r="I3241" s="1">
        <v>27582</v>
      </c>
      <c r="J3241" s="7">
        <v>0.72799999999999998</v>
      </c>
      <c r="K3241" s="1" t="s">
        <v>29</v>
      </c>
      <c r="L3241" s="1" t="s">
        <v>29</v>
      </c>
      <c r="M3241" s="1" t="s">
        <v>29</v>
      </c>
      <c r="N3241" s="1" t="s">
        <v>561</v>
      </c>
      <c r="O3241" s="1" t="str">
        <f t="shared" ca="1" si="25"/>
        <v>Please solve the LeetCode problem '1279. Traffic Light Controlled Intersection'.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42" spans="1:15" x14ac:dyDescent="0.25">
      <c r="A3242" s="1">
        <v>1867</v>
      </c>
      <c r="B3242" s="2" t="str">
        <f>HYPERLINK("https://leetcode.com/problems/orders-with-maximum-quantity-above-average/", "Orders With Maximum Quantity Above Average")</f>
        <v>Orders With Maximum Quantity Above Average</v>
      </c>
      <c r="C3242" s="1">
        <v>78</v>
      </c>
      <c r="D3242" s="1">
        <v>278</v>
      </c>
      <c r="E3242" s="3">
        <f t="shared" si="24"/>
        <v>0.21910112359550563</v>
      </c>
      <c r="F3242" s="1" t="s">
        <v>297</v>
      </c>
      <c r="G3242" s="1" t="s">
        <v>24</v>
      </c>
      <c r="H3242" s="1">
        <v>19271</v>
      </c>
      <c r="I3242" s="1">
        <v>27288</v>
      </c>
      <c r="J3242" s="7">
        <v>0.70599999999999996</v>
      </c>
      <c r="K3242" s="1" t="s">
        <v>29</v>
      </c>
      <c r="L3242" s="1" t="s">
        <v>29</v>
      </c>
      <c r="M3242" s="1" t="s">
        <v>29</v>
      </c>
      <c r="N3242" s="1" t="s">
        <v>297</v>
      </c>
      <c r="O3242" s="1" t="str">
        <f t="shared" ca="1" si="25"/>
        <v>Please solve the LeetCode problem '1867. Orders With Maximum Quantity Above Average'.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43" spans="1:15" x14ac:dyDescent="0.25">
      <c r="A3243" s="1">
        <v>1875</v>
      </c>
      <c r="B3243" s="2" t="str">
        <f>HYPERLINK("https://leetcode.com/problems/group-employees-of-the-same-salary/", "Group Employees of the Same Salary")</f>
        <v>Group Employees of the Same Salary</v>
      </c>
      <c r="C3243" s="1">
        <v>78</v>
      </c>
      <c r="D3243" s="1">
        <v>6</v>
      </c>
      <c r="E3243" s="3">
        <f t="shared" si="24"/>
        <v>0.9285714285714286</v>
      </c>
      <c r="F3243" s="1" t="s">
        <v>297</v>
      </c>
      <c r="G3243" s="1" t="s">
        <v>24</v>
      </c>
      <c r="H3243" s="1">
        <v>15017</v>
      </c>
      <c r="I3243" s="1">
        <v>22894</v>
      </c>
      <c r="J3243" s="7">
        <v>0.65600000000000003</v>
      </c>
      <c r="K3243" s="1" t="s">
        <v>29</v>
      </c>
      <c r="L3243" s="1" t="s">
        <v>29</v>
      </c>
      <c r="M3243" s="1" t="s">
        <v>29</v>
      </c>
      <c r="N3243" s="1" t="s">
        <v>297</v>
      </c>
      <c r="O3243" s="1" t="str">
        <f t="shared" ca="1" si="25"/>
        <v>Please solve the LeetCode problem '1875. Group Employees of the Same Salary'.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44" spans="1:15" x14ac:dyDescent="0.25">
      <c r="A3244" s="1">
        <v>1966</v>
      </c>
      <c r="B3244" s="2" t="str">
        <f>HYPERLINK("https://leetcode.com/problems/binary-searchable-numbers-in-an-unsorted-array/", "Binary Searchable Numbers in an Unsorted Array")</f>
        <v>Binary Searchable Numbers in an Unsorted Array</v>
      </c>
      <c r="C3244" s="1">
        <v>78</v>
      </c>
      <c r="D3244" s="1">
        <v>13</v>
      </c>
      <c r="E3244" s="3">
        <f t="shared" si="24"/>
        <v>0.8571428571428571</v>
      </c>
      <c r="F3244" s="1" t="s">
        <v>35</v>
      </c>
      <c r="G3244" s="1" t="s">
        <v>24</v>
      </c>
      <c r="H3244" s="1">
        <v>3565</v>
      </c>
      <c r="I3244" s="1">
        <v>5658</v>
      </c>
      <c r="J3244" s="7">
        <v>0.63</v>
      </c>
      <c r="K3244" s="1" t="s">
        <v>29</v>
      </c>
      <c r="L3244" s="1" t="s">
        <v>29</v>
      </c>
      <c r="M3244" s="1" t="s">
        <v>29</v>
      </c>
      <c r="N3244" s="1" t="s">
        <v>22</v>
      </c>
      <c r="O3244" s="1" t="str">
        <f t="shared" ca="1" si="25"/>
        <v>Please solve the LeetCode problem '1966. Binary Searchable Numbers in an Unsorted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45" spans="1:15" x14ac:dyDescent="0.25">
      <c r="A3245" s="1">
        <v>2159</v>
      </c>
      <c r="B3245" s="2" t="str">
        <f>HYPERLINK("https://leetcode.com/problems/order-two-columns-independently/", "Order Two Columns Independently")</f>
        <v>Order Two Columns Independently</v>
      </c>
      <c r="C3245" s="1">
        <v>78</v>
      </c>
      <c r="D3245" s="1">
        <v>18</v>
      </c>
      <c r="E3245" s="3">
        <f t="shared" si="24"/>
        <v>0.8125</v>
      </c>
      <c r="F3245" s="1" t="s">
        <v>297</v>
      </c>
      <c r="G3245" s="1" t="s">
        <v>24</v>
      </c>
      <c r="H3245" s="1">
        <v>10527</v>
      </c>
      <c r="I3245" s="1">
        <v>17142</v>
      </c>
      <c r="J3245" s="7">
        <v>0.61399999999999999</v>
      </c>
      <c r="K3245" s="1" t="s">
        <v>29</v>
      </c>
      <c r="L3245" s="1" t="s">
        <v>29</v>
      </c>
      <c r="M3245" s="1" t="s">
        <v>29</v>
      </c>
      <c r="N3245" s="1" t="s">
        <v>297</v>
      </c>
      <c r="O3245" s="1" t="str">
        <f t="shared" ca="1" si="25"/>
        <v>Please solve the LeetCode problem '2159. Order Two Columns Independently'.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46" spans="1:15" x14ac:dyDescent="0.25">
      <c r="A3246" s="1">
        <v>3327</v>
      </c>
      <c r="B3246" s="2" t="str">
        <f>HYPERLINK("https://leetcode.com/problems/check-if-dfs-strings-are-palindromes/", "Check if DFS Strings Are Palindromes")</f>
        <v>Check if DFS Strings Are Palindromes</v>
      </c>
      <c r="C3246" s="1">
        <v>78</v>
      </c>
      <c r="D3246" s="1">
        <v>13</v>
      </c>
      <c r="E3246" s="3">
        <f t="shared" si="24"/>
        <v>0.8571428571428571</v>
      </c>
      <c r="F3246" s="1" t="s">
        <v>1209</v>
      </c>
      <c r="G3246" s="1" t="s">
        <v>28</v>
      </c>
      <c r="H3246" s="1">
        <v>6436</v>
      </c>
      <c r="I3246" s="1">
        <v>32700</v>
      </c>
      <c r="J3246" s="7">
        <v>0.19700000000000001</v>
      </c>
      <c r="K3246" s="1" t="s">
        <v>21</v>
      </c>
      <c r="L3246" s="1" t="s">
        <v>29</v>
      </c>
      <c r="M3246" s="1" t="s">
        <v>29</v>
      </c>
      <c r="N3246" s="1" t="s">
        <v>22</v>
      </c>
      <c r="O3246" s="1" t="str">
        <f t="shared" ca="1" si="25"/>
        <v>Please solve the LeetCode problem '3327. Check if DFS Strings Are Palindromes'.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47" spans="1:15" x14ac:dyDescent="0.25">
      <c r="A3247" s="1">
        <v>3448</v>
      </c>
      <c r="B3247" s="2" t="str">
        <f>HYPERLINK("https://leetcode.com/problems/count-substrings-divisible-by-last-digit/", "Count Substrings Divisible By Last Digit")</f>
        <v>Count Substrings Divisible By Last Digit</v>
      </c>
      <c r="C3247" s="1">
        <v>78</v>
      </c>
      <c r="D3247" s="1">
        <v>7</v>
      </c>
      <c r="E3247" s="3">
        <f t="shared" si="24"/>
        <v>0.91764705882352937</v>
      </c>
      <c r="F3247" s="1" t="s">
        <v>82</v>
      </c>
      <c r="G3247" s="1" t="s">
        <v>28</v>
      </c>
      <c r="H3247" s="1">
        <v>5911</v>
      </c>
      <c r="I3247" s="1">
        <v>26146</v>
      </c>
      <c r="J3247" s="7">
        <v>0.22600000000000001</v>
      </c>
      <c r="K3247" s="1" t="s">
        <v>21</v>
      </c>
      <c r="L3247" s="1" t="s">
        <v>29</v>
      </c>
      <c r="M3247" s="1" t="s">
        <v>29</v>
      </c>
      <c r="N3247" s="1" t="s">
        <v>22</v>
      </c>
      <c r="O3247" s="1" t="str">
        <f t="shared" ca="1" si="25"/>
        <v>Please solve the LeetCode problem '3448. Count Substrings Divisible By Last Digit'.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48" spans="1:15" x14ac:dyDescent="0.25">
      <c r="A3248" s="1">
        <v>3498</v>
      </c>
      <c r="B3248" s="2" t="str">
        <f>HYPERLINK("https://leetcode.com/problems/reverse-degree-of-a-string/", "Reverse Degree of a String")</f>
        <v>Reverse Degree of a String</v>
      </c>
      <c r="C3248" s="1">
        <v>78</v>
      </c>
      <c r="D3248" s="1">
        <v>5</v>
      </c>
      <c r="E3248" s="3">
        <f t="shared" si="24"/>
        <v>0.93975903614457834</v>
      </c>
      <c r="F3248" s="1" t="s">
        <v>414</v>
      </c>
      <c r="G3248" s="1" t="s">
        <v>20</v>
      </c>
      <c r="H3248" s="1">
        <v>59603</v>
      </c>
      <c r="I3248" s="1">
        <v>67373</v>
      </c>
      <c r="J3248" s="7">
        <v>0.88500000000000001</v>
      </c>
      <c r="K3248" s="1" t="s">
        <v>21</v>
      </c>
      <c r="L3248" s="1" t="s">
        <v>29</v>
      </c>
      <c r="M3248" s="1" t="s">
        <v>29</v>
      </c>
      <c r="N3248" s="1" t="s">
        <v>22</v>
      </c>
      <c r="O3248" s="1" t="str">
        <f t="shared" ca="1" si="25"/>
        <v>Please solve the LeetCode problem '3498. Reverse Degree of a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49" spans="1:15" x14ac:dyDescent="0.25">
      <c r="A3249" s="1">
        <v>1692</v>
      </c>
      <c r="B3249" s="2" t="str">
        <f>HYPERLINK("https://leetcode.com/problems/count-ways-to-distribute-candies/", "Count Ways to Distribute Candies")</f>
        <v>Count Ways to Distribute Candies</v>
      </c>
      <c r="C3249" s="1">
        <v>77</v>
      </c>
      <c r="D3249" s="1">
        <v>9</v>
      </c>
      <c r="E3249" s="3">
        <f t="shared" si="24"/>
        <v>0.89534883720930236</v>
      </c>
      <c r="F3249" s="1" t="s">
        <v>251</v>
      </c>
      <c r="G3249" s="1" t="s">
        <v>28</v>
      </c>
      <c r="H3249" s="1">
        <v>3102</v>
      </c>
      <c r="I3249" s="1">
        <v>4865</v>
      </c>
      <c r="J3249" s="7">
        <v>0.63800000000000001</v>
      </c>
      <c r="K3249" s="1" t="s">
        <v>29</v>
      </c>
      <c r="L3249" s="1" t="s">
        <v>29</v>
      </c>
      <c r="M3249" s="1" t="s">
        <v>29</v>
      </c>
      <c r="N3249" s="1" t="s">
        <v>22</v>
      </c>
      <c r="O3249" s="1" t="str">
        <f t="shared" ca="1" si="25"/>
        <v>Please solve the LeetCode problem '1692. Count Ways to Distribute Candies'.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50" spans="1:15" x14ac:dyDescent="0.25">
      <c r="A3250" s="1">
        <v>3546</v>
      </c>
      <c r="B3250" s="2" t="str">
        <f>HYPERLINK("https://leetcode.com/problems/equal-sum-grid-partition-i/", "Equal Sum Grid Partition I")</f>
        <v>Equal Sum Grid Partition I</v>
      </c>
      <c r="C3250" s="1">
        <v>77</v>
      </c>
      <c r="D3250" s="1">
        <v>4</v>
      </c>
      <c r="E3250" s="3">
        <f t="shared" si="24"/>
        <v>0.95061728395061729</v>
      </c>
      <c r="F3250" s="1" t="s">
        <v>1213</v>
      </c>
      <c r="G3250" s="1" t="s">
        <v>24</v>
      </c>
      <c r="H3250" s="1">
        <v>25152</v>
      </c>
      <c r="I3250" s="1">
        <v>59574</v>
      </c>
      <c r="J3250" s="7">
        <v>0.42199999999999999</v>
      </c>
      <c r="K3250" s="1" t="s">
        <v>21</v>
      </c>
      <c r="L3250" s="1" t="s">
        <v>29</v>
      </c>
      <c r="M3250" s="1" t="s">
        <v>29</v>
      </c>
      <c r="N3250" s="1" t="s">
        <v>22</v>
      </c>
      <c r="O3250" s="1" t="str">
        <f t="shared" ca="1" si="25"/>
        <v>Please solve the LeetCode problem '3546. Equal Sum Grid Partition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51" spans="1:15" x14ac:dyDescent="0.25">
      <c r="A3251" s="1">
        <v>3691</v>
      </c>
      <c r="B3251" s="2" t="str">
        <f>HYPERLINK("https://leetcode.com/problems/maximum-total-subarray-value-ii/", "Maximum Total Subarray Value II")</f>
        <v>Maximum Total Subarray Value II</v>
      </c>
      <c r="C3251" s="1">
        <v>77</v>
      </c>
      <c r="D3251" s="1">
        <v>4</v>
      </c>
      <c r="E3251" s="3">
        <f t="shared" si="24"/>
        <v>0.95061728395061729</v>
      </c>
      <c r="F3251" s="1" t="s">
        <v>1208</v>
      </c>
      <c r="G3251" s="1" t="s">
        <v>28</v>
      </c>
      <c r="H3251" s="1">
        <v>9389</v>
      </c>
      <c r="I3251" s="1">
        <v>48134</v>
      </c>
      <c r="J3251" s="7">
        <v>0.19500000000000001</v>
      </c>
      <c r="K3251" s="1" t="s">
        <v>21</v>
      </c>
      <c r="L3251" s="1" t="s">
        <v>29</v>
      </c>
      <c r="M3251" s="1" t="s">
        <v>29</v>
      </c>
      <c r="N3251" s="1" t="s">
        <v>22</v>
      </c>
      <c r="O3251" s="1" t="str">
        <f t="shared" ca="1" si="25"/>
        <v>Please solve the LeetCode problem '3691. Maximum Total Subarray Value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52" spans="1:15" x14ac:dyDescent="0.25">
      <c r="A3252" s="1">
        <v>1623</v>
      </c>
      <c r="B3252" s="2" t="str">
        <f>HYPERLINK("https://leetcode.com/problems/all-valid-triplets-that-can-represent-a-country/", "All Valid Triplets That Can Represent a Country")</f>
        <v>All Valid Triplets That Can Represent a Country</v>
      </c>
      <c r="C3252" s="1">
        <v>76</v>
      </c>
      <c r="D3252" s="1">
        <v>144</v>
      </c>
      <c r="E3252" s="3">
        <f t="shared" si="24"/>
        <v>0.34545454545454546</v>
      </c>
      <c r="F3252" s="1" t="s">
        <v>297</v>
      </c>
      <c r="G3252" s="1" t="s">
        <v>20</v>
      </c>
      <c r="H3252" s="1">
        <v>22935</v>
      </c>
      <c r="I3252" s="1">
        <v>28360</v>
      </c>
      <c r="J3252" s="7">
        <v>0.80900000000000005</v>
      </c>
      <c r="K3252" s="1" t="s">
        <v>29</v>
      </c>
      <c r="L3252" s="1" t="s">
        <v>29</v>
      </c>
      <c r="M3252" s="1" t="s">
        <v>29</v>
      </c>
      <c r="N3252" s="1" t="s">
        <v>297</v>
      </c>
      <c r="O3252" s="1" t="str">
        <f t="shared" ca="1" si="25"/>
        <v>Please solve the LeetCode problem '1623. All Valid Triplets That Can Represent a Country'.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53" spans="1:15" x14ac:dyDescent="0.25">
      <c r="A3253" s="1">
        <v>1989</v>
      </c>
      <c r="B3253" s="2" t="str">
        <f>HYPERLINK("https://leetcode.com/problems/maximum-number-of-people-that-can-be-caught-in-tag/", "Maximum Number of People That Can Be Caught in Tag")</f>
        <v>Maximum Number of People That Can Be Caught in Tag</v>
      </c>
      <c r="C3253" s="1">
        <v>76</v>
      </c>
      <c r="D3253" s="1">
        <v>11</v>
      </c>
      <c r="E3253" s="3">
        <f t="shared" si="24"/>
        <v>0.87356321839080464</v>
      </c>
      <c r="F3253" s="1" t="s">
        <v>96</v>
      </c>
      <c r="G3253" s="1" t="s">
        <v>24</v>
      </c>
      <c r="H3253" s="1">
        <v>2729</v>
      </c>
      <c r="I3253" s="1">
        <v>5529</v>
      </c>
      <c r="J3253" s="7">
        <v>0.49399999999999999</v>
      </c>
      <c r="K3253" s="1" t="s">
        <v>29</v>
      </c>
      <c r="L3253" s="1" t="s">
        <v>29</v>
      </c>
      <c r="M3253" s="1" t="s">
        <v>29</v>
      </c>
      <c r="N3253" s="1" t="s">
        <v>22</v>
      </c>
      <c r="O3253" s="1" t="str">
        <f t="shared" ca="1" si="25"/>
        <v>Please solve the LeetCode problem '1989. Maximum Number of People That Can Be Caught in Tag'.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54" spans="1:15" x14ac:dyDescent="0.25">
      <c r="A3254" s="1">
        <v>3314</v>
      </c>
      <c r="B3254" s="2" t="str">
        <f>HYPERLINK("https://leetcode.com/problems/construct-the-minimum-bitwise-array-i/", "Construct the Minimum Bitwise Array I")</f>
        <v>Construct the Minimum Bitwise Array I</v>
      </c>
      <c r="C3254" s="1">
        <v>76</v>
      </c>
      <c r="D3254" s="1">
        <v>14</v>
      </c>
      <c r="E3254" s="3">
        <f t="shared" si="24"/>
        <v>0.84444444444444444</v>
      </c>
      <c r="F3254" s="1" t="s">
        <v>65</v>
      </c>
      <c r="G3254" s="1" t="s">
        <v>20</v>
      </c>
      <c r="H3254" s="1">
        <v>31011</v>
      </c>
      <c r="I3254" s="1">
        <v>41584</v>
      </c>
      <c r="J3254" s="7">
        <v>0.746</v>
      </c>
      <c r="K3254" s="1" t="s">
        <v>21</v>
      </c>
      <c r="L3254" s="1" t="s">
        <v>29</v>
      </c>
      <c r="M3254" s="1" t="s">
        <v>29</v>
      </c>
      <c r="N3254" s="1" t="s">
        <v>22</v>
      </c>
      <c r="O3254" s="1" t="str">
        <f t="shared" ca="1" si="25"/>
        <v>Please solve the LeetCode problem '3314. Construct the Minimum Bitwise Array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55" spans="1:15" x14ac:dyDescent="0.25">
      <c r="A3255" s="1">
        <v>3380</v>
      </c>
      <c r="B3255" s="2" t="str">
        <f>HYPERLINK("https://leetcode.com/problems/maximum-area-rectangle-with-point-constraints-i/", "Maximum Area Rectangle With Point Constraints I")</f>
        <v>Maximum Area Rectangle With Point Constraints I</v>
      </c>
      <c r="C3255" s="1">
        <v>76</v>
      </c>
      <c r="D3255" s="1">
        <v>20</v>
      </c>
      <c r="E3255" s="3">
        <f t="shared" si="24"/>
        <v>0.79166666666666663</v>
      </c>
      <c r="F3255" s="1" t="s">
        <v>1212</v>
      </c>
      <c r="G3255" s="1" t="s">
        <v>24</v>
      </c>
      <c r="H3255" s="1">
        <v>15150</v>
      </c>
      <c r="I3255" s="1">
        <v>29675</v>
      </c>
      <c r="J3255" s="7">
        <v>0.51100000000000001</v>
      </c>
      <c r="K3255" s="1" t="s">
        <v>21</v>
      </c>
      <c r="L3255" s="1" t="s">
        <v>29</v>
      </c>
      <c r="M3255" s="1" t="s">
        <v>29</v>
      </c>
      <c r="N3255" s="1" t="s">
        <v>22</v>
      </c>
      <c r="O3255" s="1" t="str">
        <f t="shared" ca="1" si="25"/>
        <v>Please solve the LeetCode problem '3380. Maximum Area Rectangle With Point Constraints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56" spans="1:15" x14ac:dyDescent="0.25">
      <c r="A3256" s="1">
        <v>3645</v>
      </c>
      <c r="B3256" s="2" t="str">
        <f>HYPERLINK("https://leetcode.com/problems/maximum-total-from-optimal-activation-order/", "Maximum Total from Optimal Activation Order")</f>
        <v>Maximum Total from Optimal Activation Order</v>
      </c>
      <c r="C3256" s="1">
        <v>76</v>
      </c>
      <c r="D3256" s="1">
        <v>50</v>
      </c>
      <c r="E3256" s="3">
        <f t="shared" si="24"/>
        <v>0.60317460317460314</v>
      </c>
      <c r="F3256" s="1" t="s">
        <v>1211</v>
      </c>
      <c r="G3256" s="1" t="s">
        <v>24</v>
      </c>
      <c r="H3256" s="1">
        <v>15055</v>
      </c>
      <c r="I3256" s="1">
        <v>47881</v>
      </c>
      <c r="J3256" s="7">
        <v>0.314</v>
      </c>
      <c r="K3256" s="1" t="s">
        <v>21</v>
      </c>
      <c r="L3256" s="1" t="s">
        <v>29</v>
      </c>
      <c r="M3256" s="1" t="s">
        <v>29</v>
      </c>
      <c r="N3256" s="1" t="s">
        <v>22</v>
      </c>
      <c r="O3256" s="1" t="str">
        <f t="shared" ca="1" si="25"/>
        <v>Please solve the LeetCode problem '3645. Maximum Total from Optimal Activation Order'.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57" spans="1:15" x14ac:dyDescent="0.25">
      <c r="A3257" s="1">
        <v>3686</v>
      </c>
      <c r="B3257" s="2" t="str">
        <f>HYPERLINK("https://leetcode.com/problems/number-of-stable-subsequences/", "Number of Stable Subsequences")</f>
        <v>Number of Stable Subsequences</v>
      </c>
      <c r="C3257" s="1">
        <v>76</v>
      </c>
      <c r="D3257" s="1">
        <v>3</v>
      </c>
      <c r="E3257" s="3">
        <f t="shared" si="24"/>
        <v>0.96202531645569622</v>
      </c>
      <c r="F3257" s="1" t="s">
        <v>30</v>
      </c>
      <c r="G3257" s="1" t="s">
        <v>28</v>
      </c>
      <c r="H3257" s="1">
        <v>20521</v>
      </c>
      <c r="I3257" s="1">
        <v>34936</v>
      </c>
      <c r="J3257" s="7">
        <v>0.58699999999999997</v>
      </c>
      <c r="K3257" s="1" t="s">
        <v>21</v>
      </c>
      <c r="L3257" s="1" t="s">
        <v>29</v>
      </c>
      <c r="M3257" s="1" t="s">
        <v>29</v>
      </c>
      <c r="N3257" s="1" t="s">
        <v>22</v>
      </c>
      <c r="O3257" s="1" t="str">
        <f t="shared" ca="1" si="25"/>
        <v>Please solve the LeetCode problem '3686. Number of Stable Subsequences'.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58" spans="1:15" x14ac:dyDescent="0.25">
      <c r="A3258" s="1">
        <v>2152</v>
      </c>
      <c r="B3258" s="2" t="str">
        <f>HYPERLINK("https://leetcode.com/problems/minimum-number-of-lines-to-cover-points/", "Minimum Number of Lines to Cover Points")</f>
        <v>Minimum Number of Lines to Cover Points</v>
      </c>
      <c r="C3258" s="1">
        <v>75</v>
      </c>
      <c r="D3258" s="1">
        <v>14</v>
      </c>
      <c r="E3258" s="3">
        <f t="shared" si="24"/>
        <v>0.84269662921348309</v>
      </c>
      <c r="F3258" s="1" t="s">
        <v>1398</v>
      </c>
      <c r="G3258" s="1" t="s">
        <v>24</v>
      </c>
      <c r="H3258" s="1">
        <v>2709</v>
      </c>
      <c r="I3258" s="1">
        <v>6234</v>
      </c>
      <c r="J3258" s="7">
        <v>0.435</v>
      </c>
      <c r="K3258" s="1" t="s">
        <v>29</v>
      </c>
      <c r="L3258" s="1" t="s">
        <v>29</v>
      </c>
      <c r="M3258" s="1" t="s">
        <v>29</v>
      </c>
      <c r="N3258" s="1" t="s">
        <v>22</v>
      </c>
      <c r="O3258" s="1" t="str">
        <f t="shared" ca="1" si="25"/>
        <v>Please solve the LeetCode problem '2152. Minimum Number of Lines to Cover Points'.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59" spans="1:15" x14ac:dyDescent="0.25">
      <c r="A3259" s="1">
        <v>3386</v>
      </c>
      <c r="B3259" s="2" t="str">
        <f>HYPERLINK("https://leetcode.com/problems/button-with-longest-push-time/", "Button with Longest Push Time")</f>
        <v>Button with Longest Push Time</v>
      </c>
      <c r="C3259" s="1">
        <v>75</v>
      </c>
      <c r="D3259" s="1">
        <v>73</v>
      </c>
      <c r="E3259" s="3">
        <f t="shared" si="24"/>
        <v>0.5067567567567568</v>
      </c>
      <c r="F3259" s="1" t="s">
        <v>113</v>
      </c>
      <c r="G3259" s="1" t="s">
        <v>20</v>
      </c>
      <c r="H3259" s="1">
        <v>35245</v>
      </c>
      <c r="I3259" s="1">
        <v>86075</v>
      </c>
      <c r="J3259" s="7">
        <v>0.40899999999999997</v>
      </c>
      <c r="K3259" s="1" t="s">
        <v>21</v>
      </c>
      <c r="L3259" s="1" t="s">
        <v>29</v>
      </c>
      <c r="M3259" s="1" t="s">
        <v>29</v>
      </c>
      <c r="N3259" s="1" t="s">
        <v>22</v>
      </c>
      <c r="O3259" s="1" t="str">
        <f t="shared" ca="1" si="25"/>
        <v>Please solve the LeetCode problem '3386. Button with Longest Push Time'.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60" spans="1:15" x14ac:dyDescent="0.25">
      <c r="A3260" s="1">
        <v>3389</v>
      </c>
      <c r="B3260" s="2" t="str">
        <f>HYPERLINK("https://leetcode.com/problems/minimum-operations-to-make-character-frequencies-equal/", "Minimum Operations to Make Character Frequencies Equal")</f>
        <v>Minimum Operations to Make Character Frequencies Equal</v>
      </c>
      <c r="C3260" s="1">
        <v>75</v>
      </c>
      <c r="D3260" s="1">
        <v>2</v>
      </c>
      <c r="E3260" s="3">
        <f t="shared" si="24"/>
        <v>0.97402597402597402</v>
      </c>
      <c r="F3260" s="1" t="s">
        <v>1218</v>
      </c>
      <c r="G3260" s="1" t="s">
        <v>28</v>
      </c>
      <c r="H3260" s="1">
        <v>4487</v>
      </c>
      <c r="I3260" s="1">
        <v>17047</v>
      </c>
      <c r="J3260" s="7">
        <v>0.26300000000000001</v>
      </c>
      <c r="K3260" s="1" t="s">
        <v>21</v>
      </c>
      <c r="L3260" s="1" t="s">
        <v>29</v>
      </c>
      <c r="M3260" s="1" t="s">
        <v>29</v>
      </c>
      <c r="N3260" s="1" t="s">
        <v>22</v>
      </c>
      <c r="O3260" s="1" t="str">
        <f t="shared" ca="1" si="25"/>
        <v>Please solve the LeetCode problem '3389. Minimum Operations to Make Character Frequencies Equal'.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61" spans="1:15" x14ac:dyDescent="0.25">
      <c r="A3261" s="1">
        <v>3430</v>
      </c>
      <c r="B3261" s="2" t="str">
        <f>HYPERLINK("https://leetcode.com/problems/maximum-and-minimum-sums-of-at-most-size-k-subarrays/", "Maximum and Minimum Sums of at Most Size K Subarrays")</f>
        <v>Maximum and Minimum Sums of at Most Size K Subarrays</v>
      </c>
      <c r="C3261" s="1">
        <v>75</v>
      </c>
      <c r="D3261" s="1">
        <v>8</v>
      </c>
      <c r="E3261" s="3">
        <f t="shared" si="24"/>
        <v>0.90361445783132532</v>
      </c>
      <c r="F3261" s="1" t="s">
        <v>1207</v>
      </c>
      <c r="G3261" s="1" t="s">
        <v>28</v>
      </c>
      <c r="H3261" s="1">
        <v>4002</v>
      </c>
      <c r="I3261" s="1">
        <v>16380</v>
      </c>
      <c r="J3261" s="7">
        <v>0.24399999999999999</v>
      </c>
      <c r="K3261" s="1" t="s">
        <v>21</v>
      </c>
      <c r="L3261" s="1" t="s">
        <v>29</v>
      </c>
      <c r="M3261" s="1" t="s">
        <v>29</v>
      </c>
      <c r="N3261" s="1" t="s">
        <v>22</v>
      </c>
      <c r="O3261" s="1" t="str">
        <f t="shared" ca="1" si="25"/>
        <v>Please solve the LeetCode problem '3430. Maximum and Minimum Sums of at Most Size K Subarrays'.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62" spans="1:15" x14ac:dyDescent="0.25">
      <c r="A3262" s="1">
        <v>3566</v>
      </c>
      <c r="B3262" s="2" t="str">
        <f>HYPERLINK("https://leetcode.com/problems/partition-array-into-two-equal-product-subsets/", "Partition Array into Two Equal Product Subsets")</f>
        <v>Partition Array into Two Equal Product Subsets</v>
      </c>
      <c r="C3262" s="1">
        <v>75</v>
      </c>
      <c r="D3262" s="1">
        <v>20</v>
      </c>
      <c r="E3262" s="3">
        <f t="shared" si="24"/>
        <v>0.78947368421052633</v>
      </c>
      <c r="F3262" s="1" t="s">
        <v>1210</v>
      </c>
      <c r="G3262" s="1" t="s">
        <v>24</v>
      </c>
      <c r="H3262" s="1">
        <v>33460</v>
      </c>
      <c r="I3262" s="1">
        <v>95456</v>
      </c>
      <c r="J3262" s="7">
        <v>0.35099999999999998</v>
      </c>
      <c r="K3262" s="1" t="s">
        <v>21</v>
      </c>
      <c r="L3262" s="1" t="s">
        <v>29</v>
      </c>
      <c r="M3262" s="1" t="s">
        <v>29</v>
      </c>
      <c r="N3262" s="1" t="s">
        <v>22</v>
      </c>
      <c r="O3262" s="1" t="str">
        <f t="shared" ca="1" si="25"/>
        <v>Please solve the LeetCode problem '3566. Partition Array into Two Equal Product Subsets'.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63" spans="1:15" x14ac:dyDescent="0.25">
      <c r="A3263" s="1">
        <v>3627</v>
      </c>
      <c r="B3263" s="2" t="str">
        <f>HYPERLINK("https://leetcode.com/problems/maximum-median-sum-of-subsequences-of-size-3/", "Maximum Median Sum of Subsequences of Size 3")</f>
        <v>Maximum Median Sum of Subsequences of Size 3</v>
      </c>
      <c r="C3263" s="1">
        <v>75</v>
      </c>
      <c r="D3263" s="1">
        <v>3</v>
      </c>
      <c r="E3263" s="3">
        <f t="shared" si="24"/>
        <v>0.96153846153846156</v>
      </c>
      <c r="F3263" s="1" t="s">
        <v>505</v>
      </c>
      <c r="G3263" s="1" t="s">
        <v>24</v>
      </c>
      <c r="H3263" s="1">
        <v>57810</v>
      </c>
      <c r="I3263" s="1">
        <v>89373</v>
      </c>
      <c r="J3263" s="7">
        <v>0.64700000000000002</v>
      </c>
      <c r="K3263" s="1" t="s">
        <v>21</v>
      </c>
      <c r="L3263" s="1" t="s">
        <v>29</v>
      </c>
      <c r="M3263" s="1" t="s">
        <v>29</v>
      </c>
      <c r="N3263" s="1" t="s">
        <v>22</v>
      </c>
      <c r="O3263" s="1" t="str">
        <f t="shared" ca="1" si="25"/>
        <v>Please solve the LeetCode problem '3627. Maximum Median Sum of Subsequences of Size 3'.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64" spans="1:15" x14ac:dyDescent="0.25">
      <c r="A3264" s="1">
        <v>2056</v>
      </c>
      <c r="B3264" s="2" t="str">
        <f>HYPERLINK("https://leetcode.com/problems/number-of-valid-move-combinations-on-chessboard/", "Number of Valid Move Combinations On Chessboard")</f>
        <v>Number of Valid Move Combinations On Chessboard</v>
      </c>
      <c r="C3264" s="1">
        <v>74</v>
      </c>
      <c r="D3264" s="1">
        <v>297</v>
      </c>
      <c r="E3264" s="3">
        <f t="shared" si="24"/>
        <v>0.19946091644204852</v>
      </c>
      <c r="F3264" s="1" t="s">
        <v>1217</v>
      </c>
      <c r="G3264" s="1" t="s">
        <v>28</v>
      </c>
      <c r="H3264" s="1">
        <v>5540</v>
      </c>
      <c r="I3264" s="1">
        <v>11385</v>
      </c>
      <c r="J3264" s="7">
        <v>0.48699999999999999</v>
      </c>
      <c r="K3264" s="1" t="s">
        <v>21</v>
      </c>
      <c r="L3264" s="1" t="s">
        <v>29</v>
      </c>
      <c r="M3264" s="1" t="s">
        <v>29</v>
      </c>
      <c r="N3264" s="1" t="s">
        <v>22</v>
      </c>
      <c r="O3264" s="1" t="str">
        <f t="shared" ca="1" si="25"/>
        <v>Please solve the LeetCode problem '2056. Number of Valid Move Combinations On Chessboard'.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65" spans="1:15" x14ac:dyDescent="0.25">
      <c r="A3265" s="1">
        <v>2066</v>
      </c>
      <c r="B3265" s="2" t="str">
        <f>HYPERLINK("https://leetcode.com/problems/account-balance/", "Account Balance")</f>
        <v>Account Balance</v>
      </c>
      <c r="C3265" s="1">
        <v>74</v>
      </c>
      <c r="D3265" s="1">
        <v>2</v>
      </c>
      <c r="E3265" s="3">
        <f t="shared" si="24"/>
        <v>0.97368421052631582</v>
      </c>
      <c r="F3265" s="1" t="s">
        <v>297</v>
      </c>
      <c r="G3265" s="1" t="s">
        <v>24</v>
      </c>
      <c r="H3265" s="1">
        <v>12510</v>
      </c>
      <c r="I3265" s="1">
        <v>15308</v>
      </c>
      <c r="J3265" s="7">
        <v>0.81699999999999995</v>
      </c>
      <c r="K3265" s="1" t="s">
        <v>29</v>
      </c>
      <c r="L3265" s="1" t="s">
        <v>29</v>
      </c>
      <c r="M3265" s="1" t="s">
        <v>29</v>
      </c>
      <c r="N3265" s="1" t="s">
        <v>297</v>
      </c>
      <c r="O3265" s="1" t="str">
        <f t="shared" ca="1" si="25"/>
        <v>Please solve the LeetCode problem '2066. Account Balance'.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66" spans="1:15" x14ac:dyDescent="0.25">
      <c r="A3266" s="1">
        <v>2838</v>
      </c>
      <c r="B3266" s="2" t="str">
        <f>HYPERLINK("https://leetcode.com/problems/maximum-coins-heroes-can-collect/", "Maximum Coins Heroes Can Collect")</f>
        <v>Maximum Coins Heroes Can Collect</v>
      </c>
      <c r="C3266" s="1">
        <v>74</v>
      </c>
      <c r="D3266" s="1">
        <v>7</v>
      </c>
      <c r="E3266" s="3">
        <f t="shared" si="24"/>
        <v>0.9135802469135802</v>
      </c>
      <c r="F3266" s="1" t="s">
        <v>560</v>
      </c>
      <c r="G3266" s="1" t="s">
        <v>24</v>
      </c>
      <c r="H3266" s="1">
        <v>7016</v>
      </c>
      <c r="I3266" s="1">
        <v>10210</v>
      </c>
      <c r="J3266" s="7">
        <v>0.68700000000000006</v>
      </c>
      <c r="K3266" s="1" t="s">
        <v>29</v>
      </c>
      <c r="L3266" s="1" t="s">
        <v>21</v>
      </c>
      <c r="M3266" s="1" t="s">
        <v>29</v>
      </c>
      <c r="N3266" s="1" t="s">
        <v>22</v>
      </c>
      <c r="O3266" s="1" t="str">
        <f t="shared" ca="1" si="25"/>
        <v>Please solve the LeetCode problem '2838. Maximum Coins Heroes Can Collect'.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67" spans="1:15" x14ac:dyDescent="0.25">
      <c r="A3267" s="1">
        <v>3317</v>
      </c>
      <c r="B3267" s="2" t="str">
        <f>HYPERLINK("https://leetcode.com/problems/find-the-number-of-possible-ways-for-an-event/", "Find the Number of Possible Ways for an Event")</f>
        <v>Find the Number of Possible Ways for an Event</v>
      </c>
      <c r="C3267" s="1">
        <v>74</v>
      </c>
      <c r="D3267" s="1">
        <v>15</v>
      </c>
      <c r="E3267" s="3">
        <f t="shared" si="24"/>
        <v>0.8314606741573034</v>
      </c>
      <c r="F3267" s="1" t="s">
        <v>70</v>
      </c>
      <c r="G3267" s="1" t="s">
        <v>28</v>
      </c>
      <c r="H3267" s="1">
        <v>5119</v>
      </c>
      <c r="I3267" s="1">
        <v>14832</v>
      </c>
      <c r="J3267" s="7">
        <v>0.34499999999999997</v>
      </c>
      <c r="K3267" s="1" t="s">
        <v>21</v>
      </c>
      <c r="L3267" s="1" t="s">
        <v>29</v>
      </c>
      <c r="M3267" s="1" t="s">
        <v>29</v>
      </c>
      <c r="N3267" s="1" t="s">
        <v>22</v>
      </c>
      <c r="O3267" s="1" t="str">
        <f t="shared" ca="1" si="25"/>
        <v>Please solve the LeetCode problem '3317. Find the Number of Possible Ways for an Event'.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68" spans="1:15" x14ac:dyDescent="0.25">
      <c r="A3268" s="1">
        <v>3417</v>
      </c>
      <c r="B3268" s="2" t="str">
        <f>HYPERLINK("https://leetcode.com/problems/zigzag-grid-traversal-with-skip/", "Zigzag Grid Traversal With Skip")</f>
        <v>Zigzag Grid Traversal With Skip</v>
      </c>
      <c r="C3268" s="1">
        <v>74</v>
      </c>
      <c r="D3268" s="1">
        <v>11</v>
      </c>
      <c r="E3268" s="3">
        <f t="shared" si="24"/>
        <v>0.87058823529411766</v>
      </c>
      <c r="F3268" s="1" t="s">
        <v>77</v>
      </c>
      <c r="G3268" s="1" t="s">
        <v>20</v>
      </c>
      <c r="H3268" s="1">
        <v>37077</v>
      </c>
      <c r="I3268" s="1">
        <v>57367</v>
      </c>
      <c r="J3268" s="7">
        <v>0.64600000000000002</v>
      </c>
      <c r="K3268" s="1" t="s">
        <v>21</v>
      </c>
      <c r="L3268" s="1" t="s">
        <v>29</v>
      </c>
      <c r="M3268" s="1" t="s">
        <v>29</v>
      </c>
      <c r="N3268" s="1" t="s">
        <v>22</v>
      </c>
      <c r="O3268" s="1" t="str">
        <f t="shared" ca="1" si="25"/>
        <v>Please solve the LeetCode problem '3417. Zigzag Grid Traversal With Skip'.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69" spans="1:15" x14ac:dyDescent="0.25">
      <c r="A3269" s="1">
        <v>3452</v>
      </c>
      <c r="B3269" s="2" t="str">
        <f>HYPERLINK("https://leetcode.com/problems/sum-of-good-numbers/", "Sum of Good Numbers")</f>
        <v>Sum of Good Numbers</v>
      </c>
      <c r="C3269" s="1">
        <v>74</v>
      </c>
      <c r="D3269" s="1">
        <v>27</v>
      </c>
      <c r="E3269" s="3">
        <f t="shared" si="24"/>
        <v>0.73267326732673266</v>
      </c>
      <c r="F3269" s="1" t="s">
        <v>113</v>
      </c>
      <c r="G3269" s="1" t="s">
        <v>20</v>
      </c>
      <c r="H3269" s="1">
        <v>49655</v>
      </c>
      <c r="I3269" s="1">
        <v>71505</v>
      </c>
      <c r="J3269" s="7">
        <v>0.69399999999999995</v>
      </c>
      <c r="K3269" s="1" t="s">
        <v>21</v>
      </c>
      <c r="L3269" s="1" t="s">
        <v>29</v>
      </c>
      <c r="M3269" s="1" t="s">
        <v>29</v>
      </c>
      <c r="N3269" s="1" t="s">
        <v>22</v>
      </c>
      <c r="O3269" s="1" t="str">
        <f t="shared" ca="1" si="25"/>
        <v>Please solve the LeetCode problem '3452. Sum of Good Numbers'.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70" spans="1:15" x14ac:dyDescent="0.25">
      <c r="A3270" s="1">
        <v>3677</v>
      </c>
      <c r="B3270" s="2" t="str">
        <f>HYPERLINK("https://leetcode.com/problems/count-binary-palindromic-numbers/", "Count Binary Palindromic Numbers")</f>
        <v>Count Binary Palindromic Numbers</v>
      </c>
      <c r="C3270" s="1">
        <v>74</v>
      </c>
      <c r="D3270" s="1">
        <v>3</v>
      </c>
      <c r="E3270" s="3">
        <f t="shared" si="24"/>
        <v>0.96103896103896103</v>
      </c>
      <c r="F3270" s="1" t="s">
        <v>227</v>
      </c>
      <c r="G3270" s="1" t="s">
        <v>28</v>
      </c>
      <c r="H3270" s="1">
        <v>12421</v>
      </c>
      <c r="I3270" s="1">
        <v>41652</v>
      </c>
      <c r="J3270" s="7">
        <v>0.29799999999999999</v>
      </c>
      <c r="K3270" s="1" t="s">
        <v>21</v>
      </c>
      <c r="L3270" s="1" t="s">
        <v>29</v>
      </c>
      <c r="M3270" s="1" t="s">
        <v>29</v>
      </c>
      <c r="N3270" s="1" t="s">
        <v>22</v>
      </c>
      <c r="O3270" s="1" t="str">
        <f t="shared" ca="1" si="25"/>
        <v>Please solve the LeetCode problem '3677. Count Binary Palindromic Numbers'.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71" spans="1:15" x14ac:dyDescent="0.25">
      <c r="A3271" s="1">
        <v>3761</v>
      </c>
      <c r="B3271" s="2" t="str">
        <f>HYPERLINK("https://leetcode.com/problems/minimum-absolute-distance-between-mirror-pairs/", "Minimum Absolute Distance Between Mirror Pairs")</f>
        <v>Minimum Absolute Distance Between Mirror Pairs</v>
      </c>
      <c r="C3271" s="1">
        <v>74</v>
      </c>
      <c r="D3271" s="1">
        <v>3</v>
      </c>
      <c r="E3271" s="3">
        <f t="shared" si="24"/>
        <v>0.96103896103896103</v>
      </c>
      <c r="F3271" s="1" t="s">
        <v>741</v>
      </c>
      <c r="G3271" s="1" t="s">
        <v>24</v>
      </c>
      <c r="H3271" s="1">
        <v>20904</v>
      </c>
      <c r="I3271" s="1">
        <v>47513</v>
      </c>
      <c r="J3271" s="7">
        <v>0.44</v>
      </c>
      <c r="K3271" s="1" t="s">
        <v>21</v>
      </c>
      <c r="L3271" s="1" t="s">
        <v>29</v>
      </c>
      <c r="M3271" s="1" t="s">
        <v>29</v>
      </c>
      <c r="N3271" s="1" t="s">
        <v>22</v>
      </c>
      <c r="O3271" s="1" t="str">
        <f t="shared" ca="1" si="25"/>
        <v>Please solve the LeetCode problem '3761. Minimum Absolute Distance Between Mirror Pairs'.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72" spans="1:15" x14ac:dyDescent="0.25">
      <c r="A3272" s="1">
        <v>2238</v>
      </c>
      <c r="B3272" s="2" t="str">
        <f>HYPERLINK("https://leetcode.com/problems/number-of-times-a-driver-was-a-passenger/", "Number of Times a Driver Was a Passenger")</f>
        <v>Number of Times a Driver Was a Passenger</v>
      </c>
      <c r="C3272" s="1">
        <v>73</v>
      </c>
      <c r="D3272" s="1">
        <v>5</v>
      </c>
      <c r="E3272" s="3">
        <f t="shared" si="24"/>
        <v>0.9358974358974359</v>
      </c>
      <c r="F3272" s="1" t="s">
        <v>297</v>
      </c>
      <c r="G3272" s="1" t="s">
        <v>24</v>
      </c>
      <c r="H3272" s="1">
        <v>10990</v>
      </c>
      <c r="I3272" s="1">
        <v>15339</v>
      </c>
      <c r="J3272" s="7">
        <v>0.71599999999999997</v>
      </c>
      <c r="K3272" s="1" t="s">
        <v>29</v>
      </c>
      <c r="L3272" s="1" t="s">
        <v>29</v>
      </c>
      <c r="M3272" s="1" t="s">
        <v>29</v>
      </c>
      <c r="N3272" s="1" t="s">
        <v>297</v>
      </c>
      <c r="O3272" s="1" t="str">
        <f t="shared" ca="1" si="25"/>
        <v>Please solve the LeetCode problem '2238. Number of Times a Driver Was a Passenger'.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73" spans="1:15" x14ac:dyDescent="0.25">
      <c r="A3273" s="1">
        <v>3303</v>
      </c>
      <c r="B3273" s="2" t="str">
        <f>HYPERLINK("https://leetcode.com/problems/find-the-occurrence-of-first-almost-equal-substring/", "Find the Occurrence of First Almost Equal Substring")</f>
        <v>Find the Occurrence of First Almost Equal Substring</v>
      </c>
      <c r="C3273" s="1">
        <v>73</v>
      </c>
      <c r="D3273" s="1">
        <v>9</v>
      </c>
      <c r="E3273" s="3">
        <f t="shared" si="24"/>
        <v>0.8902439024390244</v>
      </c>
      <c r="F3273" s="1" t="s">
        <v>207</v>
      </c>
      <c r="G3273" s="1" t="s">
        <v>28</v>
      </c>
      <c r="H3273" s="1">
        <v>5273</v>
      </c>
      <c r="I3273" s="1">
        <v>34867</v>
      </c>
      <c r="J3273" s="7">
        <v>0.151</v>
      </c>
      <c r="K3273" s="1" t="s">
        <v>21</v>
      </c>
      <c r="L3273" s="1" t="s">
        <v>29</v>
      </c>
      <c r="M3273" s="1" t="s">
        <v>29</v>
      </c>
      <c r="N3273" s="1" t="s">
        <v>22</v>
      </c>
      <c r="O3273" s="1" t="str">
        <f t="shared" ca="1" si="25"/>
        <v>Please solve the LeetCode problem '3303. Find the Occurrence of First Almost Equal Substring'.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74" spans="1:15" x14ac:dyDescent="0.25">
      <c r="A3274" s="1">
        <v>3438</v>
      </c>
      <c r="B3274" s="2" t="str">
        <f>HYPERLINK("https://leetcode.com/problems/find-valid-pair-of-adjacent-digits-in-string/", "Find Valid Pair of Adjacent Digits in String")</f>
        <v>Find Valid Pair of Adjacent Digits in String</v>
      </c>
      <c r="C3274" s="1">
        <v>73</v>
      </c>
      <c r="D3274" s="1">
        <v>9</v>
      </c>
      <c r="E3274" s="3">
        <f t="shared" si="24"/>
        <v>0.8902439024390244</v>
      </c>
      <c r="F3274" s="1" t="s">
        <v>237</v>
      </c>
      <c r="G3274" s="1" t="s">
        <v>20</v>
      </c>
      <c r="H3274" s="1">
        <v>45351</v>
      </c>
      <c r="I3274" s="1">
        <v>75120</v>
      </c>
      <c r="J3274" s="7">
        <v>0.60399999999999998</v>
      </c>
      <c r="K3274" s="1" t="s">
        <v>21</v>
      </c>
      <c r="L3274" s="1" t="s">
        <v>29</v>
      </c>
      <c r="M3274" s="1" t="s">
        <v>29</v>
      </c>
      <c r="N3274" s="1" t="s">
        <v>22</v>
      </c>
      <c r="O3274" s="1" t="str">
        <f t="shared" ca="1" si="25"/>
        <v>Please solve the LeetCode problem '3438. Find Valid Pair of Adjacent Digits in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75" spans="1:15" x14ac:dyDescent="0.25">
      <c r="A3275" s="1">
        <v>3557</v>
      </c>
      <c r="B3275" s="2" t="str">
        <f>HYPERLINK("https://leetcode.com/problems/find-maximum-number-of-non-intersecting-substrings/", "Find Maximum Number of Non Intersecting Substrings")</f>
        <v>Find Maximum Number of Non Intersecting Substrings</v>
      </c>
      <c r="C3275" s="1">
        <v>73</v>
      </c>
      <c r="D3275" s="1">
        <v>3</v>
      </c>
      <c r="E3275" s="3">
        <f t="shared" si="24"/>
        <v>0.96052631578947367</v>
      </c>
      <c r="F3275" s="1" t="s">
        <v>1219</v>
      </c>
      <c r="G3275" s="1" t="s">
        <v>24</v>
      </c>
      <c r="H3275" s="1">
        <v>15638</v>
      </c>
      <c r="I3275" s="1">
        <v>51780</v>
      </c>
      <c r="J3275" s="7">
        <v>0.30199999999999999</v>
      </c>
      <c r="K3275" s="1" t="s">
        <v>21</v>
      </c>
      <c r="L3275" s="1" t="s">
        <v>29</v>
      </c>
      <c r="M3275" s="1" t="s">
        <v>29</v>
      </c>
      <c r="N3275" s="1" t="s">
        <v>22</v>
      </c>
      <c r="O3275" s="1" t="str">
        <f t="shared" ca="1" si="25"/>
        <v>Please solve the LeetCode problem '3557. Find Maximum Number of Non Intersecting Substrings'.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76" spans="1:15" x14ac:dyDescent="0.25">
      <c r="A3276" s="1">
        <v>2219</v>
      </c>
      <c r="B3276" s="2" t="str">
        <f>HYPERLINK("https://leetcode.com/problems/maximum-sum-score-of-array/", "Maximum Sum Score of Array")</f>
        <v>Maximum Sum Score of Array</v>
      </c>
      <c r="C3276" s="1">
        <v>72</v>
      </c>
      <c r="D3276" s="1">
        <v>19</v>
      </c>
      <c r="E3276" s="3">
        <f t="shared" si="24"/>
        <v>0.79120879120879117</v>
      </c>
      <c r="F3276" s="1" t="s">
        <v>37</v>
      </c>
      <c r="G3276" s="1" t="s">
        <v>24</v>
      </c>
      <c r="H3276" s="1">
        <v>5664</v>
      </c>
      <c r="I3276" s="1">
        <v>9026</v>
      </c>
      <c r="J3276" s="7">
        <v>0.628</v>
      </c>
      <c r="K3276" s="1" t="s">
        <v>29</v>
      </c>
      <c r="L3276" s="1" t="s">
        <v>29</v>
      </c>
      <c r="M3276" s="1" t="s">
        <v>29</v>
      </c>
      <c r="N3276" s="1" t="s">
        <v>22</v>
      </c>
      <c r="O3276" s="1" t="str">
        <f t="shared" ca="1" si="25"/>
        <v>Please solve the LeetCode problem '2219. Maximum Sum Score of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77" spans="1:15" x14ac:dyDescent="0.25">
      <c r="A3277" s="1">
        <v>2650</v>
      </c>
      <c r="B3277" s="2" t="str">
        <f>HYPERLINK("https://leetcode.com/problems/design-cancellable-function/", "Design Cancellable Function")</f>
        <v>Design Cancellable Function</v>
      </c>
      <c r="C3277" s="1">
        <v>72</v>
      </c>
      <c r="D3277" s="1">
        <v>20</v>
      </c>
      <c r="E3277" s="3">
        <f t="shared" si="24"/>
        <v>0.78260869565217395</v>
      </c>
      <c r="G3277" s="1" t="s">
        <v>28</v>
      </c>
      <c r="H3277" s="1">
        <v>4176</v>
      </c>
      <c r="I3277" s="1">
        <v>7501</v>
      </c>
      <c r="J3277" s="7">
        <v>0.55700000000000005</v>
      </c>
      <c r="K3277" s="1" t="s">
        <v>21</v>
      </c>
      <c r="L3277" s="1" t="s">
        <v>29</v>
      </c>
      <c r="M3277" s="1" t="s">
        <v>29</v>
      </c>
      <c r="N3277" s="1" t="s">
        <v>555</v>
      </c>
      <c r="O3277" s="1" t="str">
        <f t="shared" ca="1" si="25"/>
        <v>Please solve the LeetCode problem '2650. Design Cancellable Function'.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78" spans="1:15" x14ac:dyDescent="0.25">
      <c r="A3278" s="1">
        <v>3345</v>
      </c>
      <c r="B3278" s="2" t="str">
        <f>HYPERLINK("https://leetcode.com/problems/smallest-divisible-digit-product-i/", "Smallest Divisible Digit Product I")</f>
        <v>Smallest Divisible Digit Product I</v>
      </c>
      <c r="C3278" s="1">
        <v>72</v>
      </c>
      <c r="D3278" s="1">
        <v>12</v>
      </c>
      <c r="E3278" s="3">
        <f t="shared" si="24"/>
        <v>0.8571428571428571</v>
      </c>
      <c r="F3278" s="1" t="s">
        <v>602</v>
      </c>
      <c r="G3278" s="1" t="s">
        <v>20</v>
      </c>
      <c r="H3278" s="1">
        <v>37602</v>
      </c>
      <c r="I3278" s="1">
        <v>58417</v>
      </c>
      <c r="J3278" s="7">
        <v>0.64400000000000002</v>
      </c>
      <c r="K3278" s="1" t="s">
        <v>21</v>
      </c>
      <c r="L3278" s="1" t="s">
        <v>29</v>
      </c>
      <c r="M3278" s="1" t="s">
        <v>29</v>
      </c>
      <c r="N3278" s="1" t="s">
        <v>22</v>
      </c>
      <c r="O3278" s="1" t="str">
        <f t="shared" ca="1" si="25"/>
        <v>Please solve the LeetCode problem '3345. Smallest Divisible Digit Product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79" spans="1:15" x14ac:dyDescent="0.25">
      <c r="A3279" s="1">
        <v>3679</v>
      </c>
      <c r="B3279" s="2" t="str">
        <f>HYPERLINK("https://leetcode.com/problems/minimum-discards-to-balance-inventory/", " Minimum Discards to Balance Inventory")</f>
        <v xml:space="preserve"> Minimum Discards to Balance Inventory</v>
      </c>
      <c r="C3279" s="1">
        <v>72</v>
      </c>
      <c r="D3279" s="1">
        <v>16</v>
      </c>
      <c r="E3279" s="3">
        <f t="shared" si="24"/>
        <v>0.81818181818181823</v>
      </c>
      <c r="F3279" s="1" t="s">
        <v>1214</v>
      </c>
      <c r="G3279" s="1" t="s">
        <v>24</v>
      </c>
      <c r="H3279" s="1">
        <v>18838</v>
      </c>
      <c r="I3279" s="1">
        <v>54457</v>
      </c>
      <c r="J3279" s="7">
        <v>0.34599999999999997</v>
      </c>
      <c r="K3279" s="1" t="s">
        <v>21</v>
      </c>
      <c r="L3279" s="1" t="s">
        <v>29</v>
      </c>
      <c r="M3279" s="1" t="s">
        <v>29</v>
      </c>
      <c r="N3279" s="1" t="s">
        <v>22</v>
      </c>
      <c r="O3279" s="1" t="str">
        <f t="shared" ca="1" si="25"/>
        <v>Please solve the LeetCode problem '3679.  Minimum Discards to Balance Inventory'.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80" spans="1:15" x14ac:dyDescent="0.25">
      <c r="A3280" s="1">
        <v>3693</v>
      </c>
      <c r="B3280" s="2" t="str">
        <f>HYPERLINK("https://leetcode.com/problems/climbing-stairs-ii/", "Climbing Stairs II")</f>
        <v>Climbing Stairs II</v>
      </c>
      <c r="C3280" s="1">
        <v>72</v>
      </c>
      <c r="D3280" s="1">
        <v>9</v>
      </c>
      <c r="E3280" s="3">
        <f t="shared" si="24"/>
        <v>0.88888888888888884</v>
      </c>
      <c r="F3280" s="1" t="s">
        <v>30</v>
      </c>
      <c r="G3280" s="1" t="s">
        <v>24</v>
      </c>
      <c r="H3280" s="1">
        <v>25587</v>
      </c>
      <c r="I3280" s="1">
        <v>40071</v>
      </c>
      <c r="J3280" s="7">
        <v>0.63900000000000001</v>
      </c>
      <c r="K3280" s="1" t="s">
        <v>21</v>
      </c>
      <c r="L3280" s="1" t="s">
        <v>29</v>
      </c>
      <c r="M3280" s="1" t="s">
        <v>29</v>
      </c>
      <c r="N3280" s="1" t="s">
        <v>22</v>
      </c>
      <c r="O3280" s="1" t="str">
        <f t="shared" ca="1" si="25"/>
        <v>Please solve the LeetCode problem '3693. Climbing Stairs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81" spans="1:15" x14ac:dyDescent="0.25">
      <c r="A3281" s="1">
        <v>3710</v>
      </c>
      <c r="B3281" s="2" t="str">
        <f>HYPERLINK("https://leetcode.com/problems/maximum-partition-factor/", "Maximum Partition Factor")</f>
        <v>Maximum Partition Factor</v>
      </c>
      <c r="C3281" s="1">
        <v>72</v>
      </c>
      <c r="D3281" s="1">
        <v>7</v>
      </c>
      <c r="E3281" s="3">
        <f t="shared" si="24"/>
        <v>0.91139240506329111</v>
      </c>
      <c r="F3281" s="1" t="s">
        <v>1215</v>
      </c>
      <c r="G3281" s="1" t="s">
        <v>28</v>
      </c>
      <c r="H3281" s="1">
        <v>6212</v>
      </c>
      <c r="I3281" s="1">
        <v>20352</v>
      </c>
      <c r="J3281" s="7">
        <v>0.30499999999999999</v>
      </c>
      <c r="K3281" s="1" t="s">
        <v>21</v>
      </c>
      <c r="L3281" s="1" t="s">
        <v>29</v>
      </c>
      <c r="M3281" s="1" t="s">
        <v>29</v>
      </c>
      <c r="N3281" s="1" t="s">
        <v>22</v>
      </c>
      <c r="O3281" s="1" t="str">
        <f t="shared" ca="1" si="25"/>
        <v>Please solve the LeetCode problem '3710. Maximum Partition Factor'.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82" spans="1:15" x14ac:dyDescent="0.25">
      <c r="A3282" s="1">
        <v>3713</v>
      </c>
      <c r="B3282" s="2" t="str">
        <f>HYPERLINK("https://leetcode.com/problems/longest-balanced-substring-i/", "Longest Balanced Substring I")</f>
        <v>Longest Balanced Substring I</v>
      </c>
      <c r="C3282" s="1">
        <v>72</v>
      </c>
      <c r="D3282" s="1">
        <v>6</v>
      </c>
      <c r="E3282" s="3">
        <f t="shared" si="24"/>
        <v>0.92307692307692313</v>
      </c>
      <c r="F3282" s="1" t="s">
        <v>971</v>
      </c>
      <c r="G3282" s="1" t="s">
        <v>24</v>
      </c>
      <c r="H3282" s="1">
        <v>30579</v>
      </c>
      <c r="I3282" s="1">
        <v>58175</v>
      </c>
      <c r="J3282" s="7">
        <v>0.52600000000000002</v>
      </c>
      <c r="K3282" s="1" t="s">
        <v>21</v>
      </c>
      <c r="L3282" s="1" t="s">
        <v>29</v>
      </c>
      <c r="M3282" s="1" t="s">
        <v>29</v>
      </c>
      <c r="N3282" s="1" t="s">
        <v>22</v>
      </c>
      <c r="O3282" s="1" t="str">
        <f t="shared" ca="1" si="25"/>
        <v>Please solve the LeetCode problem '3713. Longest Balanced Substring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83" spans="1:15" x14ac:dyDescent="0.25">
      <c r="A3283" s="1">
        <v>2072</v>
      </c>
      <c r="B3283" s="2" t="str">
        <f>HYPERLINK("https://leetcode.com/problems/the-winner-university/", "The Winner University")</f>
        <v>The Winner University</v>
      </c>
      <c r="C3283" s="1">
        <v>71</v>
      </c>
      <c r="D3283" s="1">
        <v>3</v>
      </c>
      <c r="E3283" s="3">
        <f t="shared" si="24"/>
        <v>0.95945945945945943</v>
      </c>
      <c r="F3283" s="1" t="s">
        <v>297</v>
      </c>
      <c r="G3283" s="1" t="s">
        <v>20</v>
      </c>
      <c r="H3283" s="1">
        <v>14482</v>
      </c>
      <c r="I3283" s="1">
        <v>19206</v>
      </c>
      <c r="J3283" s="7">
        <v>0.754</v>
      </c>
      <c r="K3283" s="1" t="s">
        <v>29</v>
      </c>
      <c r="L3283" s="1" t="s">
        <v>21</v>
      </c>
      <c r="M3283" s="1" t="s">
        <v>29</v>
      </c>
      <c r="N3283" s="1" t="s">
        <v>297</v>
      </c>
      <c r="O3283" s="1" t="str">
        <f t="shared" ca="1" si="25"/>
        <v>Please solve the LeetCode problem '2072. The Winner University'.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84" spans="1:15" x14ac:dyDescent="0.25">
      <c r="A3284" s="1">
        <v>2112</v>
      </c>
      <c r="B3284" s="2" t="str">
        <f>HYPERLINK("https://leetcode.com/problems/the-airport-with-the-most-traffic/", "The Airport With the Most Traffic")</f>
        <v>The Airport With the Most Traffic</v>
      </c>
      <c r="C3284" s="1">
        <v>71</v>
      </c>
      <c r="D3284" s="1">
        <v>8</v>
      </c>
      <c r="E3284" s="3">
        <f t="shared" si="24"/>
        <v>0.89873417721518989</v>
      </c>
      <c r="F3284" s="1" t="s">
        <v>297</v>
      </c>
      <c r="G3284" s="1" t="s">
        <v>24</v>
      </c>
      <c r="H3284" s="1">
        <v>11618</v>
      </c>
      <c r="I3284" s="1">
        <v>16264</v>
      </c>
      <c r="J3284" s="7">
        <v>0.71399999999999997</v>
      </c>
      <c r="K3284" s="1" t="s">
        <v>29</v>
      </c>
      <c r="L3284" s="1" t="s">
        <v>29</v>
      </c>
      <c r="M3284" s="1" t="s">
        <v>29</v>
      </c>
      <c r="N3284" s="1" t="s">
        <v>297</v>
      </c>
      <c r="O3284" s="1" t="str">
        <f t="shared" ca="1" si="25"/>
        <v>Please solve the LeetCode problem '2112. The Airport With the Most Traffic'.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85" spans="1:15" x14ac:dyDescent="0.25">
      <c r="A3285" s="1">
        <v>3130</v>
      </c>
      <c r="B3285" s="2" t="str">
        <f>HYPERLINK("https://leetcode.com/problems/find-all-possible-stable-binary-arrays-ii/", "Find All Possible Stable Binary Arrays II")</f>
        <v>Find All Possible Stable Binary Arrays II</v>
      </c>
      <c r="C3285" s="1">
        <v>71</v>
      </c>
      <c r="D3285" s="1">
        <v>13</v>
      </c>
      <c r="E3285" s="3">
        <f t="shared" si="24"/>
        <v>0.84523809523809523</v>
      </c>
      <c r="F3285" s="1" t="s">
        <v>599</v>
      </c>
      <c r="G3285" s="1" t="s">
        <v>28</v>
      </c>
      <c r="H3285" s="1">
        <v>4197</v>
      </c>
      <c r="I3285" s="1">
        <v>15587</v>
      </c>
      <c r="J3285" s="7">
        <v>0.26900000000000002</v>
      </c>
      <c r="K3285" s="1" t="s">
        <v>21</v>
      </c>
      <c r="L3285" s="1" t="s">
        <v>29</v>
      </c>
      <c r="M3285" s="1" t="s">
        <v>29</v>
      </c>
      <c r="N3285" s="1" t="s">
        <v>22</v>
      </c>
      <c r="O3285" s="1" t="str">
        <f t="shared" ca="1" si="25"/>
        <v>Please solve the LeetCode problem '3130. Find All Possible Stable Binary Arrays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86" spans="1:15" x14ac:dyDescent="0.25">
      <c r="A3286" s="1">
        <v>3518</v>
      </c>
      <c r="B3286" s="2" t="str">
        <f>HYPERLINK("https://leetcode.com/problems/smallest-palindromic-rearrangement-ii/", "Smallest Palindromic Rearrangement II")</f>
        <v>Smallest Palindromic Rearrangement II</v>
      </c>
      <c r="C3286" s="1">
        <v>71</v>
      </c>
      <c r="D3286" s="1">
        <v>7</v>
      </c>
      <c r="E3286" s="3">
        <f t="shared" si="24"/>
        <v>0.91025641025641024</v>
      </c>
      <c r="F3286" s="1" t="s">
        <v>941</v>
      </c>
      <c r="G3286" s="1" t="s">
        <v>28</v>
      </c>
      <c r="H3286" s="1">
        <v>5847</v>
      </c>
      <c r="I3286" s="1">
        <v>41578</v>
      </c>
      <c r="J3286" s="7">
        <v>0.14099999999999999</v>
      </c>
      <c r="K3286" s="1" t="s">
        <v>21</v>
      </c>
      <c r="L3286" s="1" t="s">
        <v>29</v>
      </c>
      <c r="M3286" s="1" t="s">
        <v>29</v>
      </c>
      <c r="N3286" s="1" t="s">
        <v>22</v>
      </c>
      <c r="O3286" s="1" t="str">
        <f t="shared" ca="1" si="25"/>
        <v>Please solve the LeetCode problem '3518. Smallest Palindromic Rearrangement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87" spans="1:15" x14ac:dyDescent="0.25">
      <c r="A3287" s="1">
        <v>3732</v>
      </c>
      <c r="B3287" s="2" t="str">
        <f>HYPERLINK("https://leetcode.com/problems/maximum-product-of-three-elements-after-one-replacement/", "Maximum Product of Three Elements After One Replacement")</f>
        <v>Maximum Product of Three Elements After One Replacement</v>
      </c>
      <c r="C3287" s="1">
        <v>71</v>
      </c>
      <c r="D3287" s="1">
        <v>7</v>
      </c>
      <c r="E3287" s="3">
        <f t="shared" si="24"/>
        <v>0.91025641025641024</v>
      </c>
      <c r="F3287" s="1" t="s">
        <v>354</v>
      </c>
      <c r="G3287" s="1" t="s">
        <v>24</v>
      </c>
      <c r="H3287" s="1">
        <v>29796</v>
      </c>
      <c r="I3287" s="1">
        <v>63665</v>
      </c>
      <c r="J3287" s="7">
        <v>0.46800000000000003</v>
      </c>
      <c r="K3287" s="1" t="s">
        <v>21</v>
      </c>
      <c r="L3287" s="1" t="s">
        <v>29</v>
      </c>
      <c r="M3287" s="1" t="s">
        <v>29</v>
      </c>
      <c r="N3287" s="1" t="s">
        <v>22</v>
      </c>
      <c r="O3287" s="1" t="str">
        <f t="shared" ca="1" si="25"/>
        <v>Please solve the LeetCode problem '3732. Maximum Product of Three Elements After One Replacement'.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88" spans="1:15" x14ac:dyDescent="0.25">
      <c r="A3288" s="1">
        <v>1826</v>
      </c>
      <c r="B3288" s="2" t="str">
        <f>HYPERLINK("https://leetcode.com/problems/faulty-sensor/", "Faulty Sensor")</f>
        <v>Faulty Sensor</v>
      </c>
      <c r="C3288" s="1">
        <v>70</v>
      </c>
      <c r="D3288" s="1">
        <v>85</v>
      </c>
      <c r="E3288" s="3">
        <f t="shared" si="24"/>
        <v>0.45161290322580644</v>
      </c>
      <c r="F3288" s="1" t="s">
        <v>51</v>
      </c>
      <c r="G3288" s="1" t="s">
        <v>20</v>
      </c>
      <c r="H3288" s="1">
        <v>6916</v>
      </c>
      <c r="I3288" s="1">
        <v>13713</v>
      </c>
      <c r="J3288" s="7">
        <v>0.504</v>
      </c>
      <c r="K3288" s="1" t="s">
        <v>29</v>
      </c>
      <c r="L3288" s="1" t="s">
        <v>29</v>
      </c>
      <c r="M3288" s="1" t="s">
        <v>29</v>
      </c>
      <c r="N3288" s="1" t="s">
        <v>22</v>
      </c>
      <c r="O3288" s="1" t="str">
        <f t="shared" ca="1" si="25"/>
        <v>Please solve the LeetCode problem '1826. Faulty Sensor'.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89" spans="1:15" x14ac:dyDescent="0.25">
      <c r="A3289" s="1">
        <v>3603</v>
      </c>
      <c r="B3289" s="2" t="str">
        <f>HYPERLINK("https://leetcode.com/problems/minimum-cost-path-with-alternating-directions-ii/", "Minimum Cost Path with Alternating Directions II")</f>
        <v>Minimum Cost Path with Alternating Directions II</v>
      </c>
      <c r="C3289" s="1">
        <v>70</v>
      </c>
      <c r="D3289" s="1">
        <v>10</v>
      </c>
      <c r="E3289" s="3">
        <f t="shared" si="24"/>
        <v>0.875</v>
      </c>
      <c r="F3289" s="1" t="s">
        <v>94</v>
      </c>
      <c r="G3289" s="1" t="s">
        <v>24</v>
      </c>
      <c r="H3289" s="1">
        <v>18580</v>
      </c>
      <c r="I3289" s="1">
        <v>41797</v>
      </c>
      <c r="J3289" s="7">
        <v>0.44500000000000001</v>
      </c>
      <c r="K3289" s="1" t="s">
        <v>21</v>
      </c>
      <c r="L3289" s="1" t="s">
        <v>29</v>
      </c>
      <c r="M3289" s="1" t="s">
        <v>29</v>
      </c>
      <c r="N3289" s="1" t="s">
        <v>22</v>
      </c>
      <c r="O3289" s="1" t="str">
        <f t="shared" ca="1" si="25"/>
        <v>Please solve the LeetCode problem '3603. Minimum Cost Path with Alternating Directions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90" spans="1:15" x14ac:dyDescent="0.25">
      <c r="A3290" s="1">
        <v>3638</v>
      </c>
      <c r="B3290" s="2" t="str">
        <f>HYPERLINK("https://leetcode.com/problems/maximum-balanced-shipments/", "Maximum Balanced Shipments")</f>
        <v>Maximum Balanced Shipments</v>
      </c>
      <c r="C3290" s="1">
        <v>70</v>
      </c>
      <c r="D3290" s="1">
        <v>8</v>
      </c>
      <c r="E3290" s="3">
        <f t="shared" si="24"/>
        <v>0.89743589743589747</v>
      </c>
      <c r="F3290" s="1" t="s">
        <v>289</v>
      </c>
      <c r="G3290" s="1" t="s">
        <v>24</v>
      </c>
      <c r="H3290" s="1">
        <v>47781</v>
      </c>
      <c r="I3290" s="1">
        <v>78953</v>
      </c>
      <c r="J3290" s="7">
        <v>0.60499999999999998</v>
      </c>
      <c r="K3290" s="1" t="s">
        <v>21</v>
      </c>
      <c r="L3290" s="1" t="s">
        <v>29</v>
      </c>
      <c r="M3290" s="1" t="s">
        <v>29</v>
      </c>
      <c r="N3290" s="1" t="s">
        <v>22</v>
      </c>
      <c r="O3290" s="1" t="str">
        <f t="shared" ca="1" si="25"/>
        <v>Please solve the LeetCode problem '3638. Maximum Balanced Shipments'.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91" spans="1:15" x14ac:dyDescent="0.25">
      <c r="A3291" s="1">
        <v>3675</v>
      </c>
      <c r="B3291" s="2" t="str">
        <f>HYPERLINK("https://leetcode.com/problems/minimum-operations-to-transform-string/", "Minimum Operations to Transform String")</f>
        <v>Minimum Operations to Transform String</v>
      </c>
      <c r="C3291" s="1">
        <v>70</v>
      </c>
      <c r="D3291" s="1">
        <v>7</v>
      </c>
      <c r="E3291" s="3">
        <f t="shared" si="24"/>
        <v>0.90909090909090906</v>
      </c>
      <c r="F3291" s="1" t="s">
        <v>424</v>
      </c>
      <c r="G3291" s="1" t="s">
        <v>24</v>
      </c>
      <c r="H3291" s="1">
        <v>46653</v>
      </c>
      <c r="I3291" s="1">
        <v>76067</v>
      </c>
      <c r="J3291" s="7">
        <v>0.61299999999999999</v>
      </c>
      <c r="K3291" s="1" t="s">
        <v>21</v>
      </c>
      <c r="L3291" s="1" t="s">
        <v>29</v>
      </c>
      <c r="M3291" s="1" t="s">
        <v>29</v>
      </c>
      <c r="N3291" s="1" t="s">
        <v>22</v>
      </c>
      <c r="O3291" s="1" t="str">
        <f t="shared" ca="1" si="25"/>
        <v>Please solve the LeetCode problem '3675. Minimum Operations to Transform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92" spans="1:15" x14ac:dyDescent="0.25">
      <c r="A3292" s="1">
        <v>1666</v>
      </c>
      <c r="B3292" s="2" t="str">
        <f>HYPERLINK("https://leetcode.com/problems/change-the-root-of-a-binary-tree/", "Change the Root of a Binary Tree")</f>
        <v>Change the Root of a Binary Tree</v>
      </c>
      <c r="C3292" s="1">
        <v>69</v>
      </c>
      <c r="D3292" s="1">
        <v>198</v>
      </c>
      <c r="E3292" s="3">
        <f t="shared" si="24"/>
        <v>0.25842696629213485</v>
      </c>
      <c r="F3292" s="1" t="s">
        <v>67</v>
      </c>
      <c r="G3292" s="1" t="s">
        <v>24</v>
      </c>
      <c r="H3292" s="1">
        <v>5823</v>
      </c>
      <c r="I3292" s="1">
        <v>7765</v>
      </c>
      <c r="J3292" s="7">
        <v>0.75</v>
      </c>
      <c r="K3292" s="1" t="s">
        <v>29</v>
      </c>
      <c r="L3292" s="1" t="s">
        <v>29</v>
      </c>
      <c r="M3292" s="1" t="s">
        <v>29</v>
      </c>
      <c r="N3292" s="1" t="s">
        <v>22</v>
      </c>
      <c r="O3292" s="1" t="str">
        <f t="shared" ca="1" si="25"/>
        <v>Please solve the LeetCode problem '1666. Change the Root of a Binary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93" spans="1:15" x14ac:dyDescent="0.25">
      <c r="A3293" s="1">
        <v>1853</v>
      </c>
      <c r="B3293" s="2" t="str">
        <f>HYPERLINK("https://leetcode.com/problems/convert-date-format/", "Convert Date Format")</f>
        <v>Convert Date Format</v>
      </c>
      <c r="C3293" s="1">
        <v>69</v>
      </c>
      <c r="D3293" s="1">
        <v>42</v>
      </c>
      <c r="E3293" s="3">
        <f t="shared" si="24"/>
        <v>0.6216216216216216</v>
      </c>
      <c r="F3293" s="1" t="s">
        <v>297</v>
      </c>
      <c r="G3293" s="1" t="s">
        <v>20</v>
      </c>
      <c r="H3293" s="1">
        <v>15717</v>
      </c>
      <c r="I3293" s="1">
        <v>18492</v>
      </c>
      <c r="J3293" s="7">
        <v>0.85</v>
      </c>
      <c r="K3293" s="1" t="s">
        <v>29</v>
      </c>
      <c r="L3293" s="1" t="s">
        <v>29</v>
      </c>
      <c r="M3293" s="1" t="s">
        <v>29</v>
      </c>
      <c r="N3293" s="1" t="s">
        <v>297</v>
      </c>
      <c r="O3293" s="1" t="str">
        <f t="shared" ca="1" si="25"/>
        <v>Please solve the LeetCode problem '1853. Convert Date Format'.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94" spans="1:15" x14ac:dyDescent="0.25">
      <c r="A3294" s="1">
        <v>3572</v>
      </c>
      <c r="B3294" s="2" t="str">
        <f>HYPERLINK("https://leetcode.com/problems/maximize-ysum-by-picking-a-triplet-of-distinct-xvalues/", "Maximize Y‑Sum by Picking a Triplet of Distinct X‑Values")</f>
        <v>Maximize Y‑Sum by Picking a Triplet of Distinct X‑Values</v>
      </c>
      <c r="C3294" s="1">
        <v>69</v>
      </c>
      <c r="D3294" s="1">
        <v>2</v>
      </c>
      <c r="E3294" s="3">
        <f t="shared" si="24"/>
        <v>0.971830985915493</v>
      </c>
      <c r="F3294" s="1" t="s">
        <v>358</v>
      </c>
      <c r="G3294" s="1" t="s">
        <v>24</v>
      </c>
      <c r="H3294" s="1">
        <v>30091</v>
      </c>
      <c r="I3294" s="1">
        <v>47706</v>
      </c>
      <c r="J3294" s="7">
        <v>0.63100000000000001</v>
      </c>
      <c r="K3294" s="1" t="s">
        <v>21</v>
      </c>
      <c r="L3294" s="1" t="s">
        <v>29</v>
      </c>
      <c r="M3294" s="1" t="s">
        <v>29</v>
      </c>
      <c r="N3294" s="1" t="s">
        <v>22</v>
      </c>
      <c r="O3294" s="1" t="str">
        <f t="shared" ca="1" si="25"/>
        <v>Please solve the LeetCode problem '3572. Maximize Y‑Sum by Picking a Triplet of Distinct X‑Values'.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95" spans="1:15" x14ac:dyDescent="0.25">
      <c r="A3295" s="1">
        <v>3585</v>
      </c>
      <c r="B3295" s="2" t="str">
        <f>HYPERLINK("https://leetcode.com/problems/find-weighted-median-node-in-tree/", "Find Weighted Median Node in Tree")</f>
        <v>Find Weighted Median Node in Tree</v>
      </c>
      <c r="C3295" s="1">
        <v>69</v>
      </c>
      <c r="D3295" s="1">
        <v>5</v>
      </c>
      <c r="E3295" s="3">
        <f t="shared" si="24"/>
        <v>0.93243243243243246</v>
      </c>
      <c r="F3295" s="1" t="s">
        <v>1399</v>
      </c>
      <c r="G3295" s="1" t="s">
        <v>28</v>
      </c>
      <c r="H3295" s="1">
        <v>4300</v>
      </c>
      <c r="I3295" s="1">
        <v>16630</v>
      </c>
      <c r="J3295" s="7">
        <v>0.25900000000000001</v>
      </c>
      <c r="K3295" s="1" t="s">
        <v>21</v>
      </c>
      <c r="L3295" s="1" t="s">
        <v>29</v>
      </c>
      <c r="M3295" s="1" t="s">
        <v>29</v>
      </c>
      <c r="N3295" s="1" t="s">
        <v>22</v>
      </c>
      <c r="O3295" s="1" t="str">
        <f t="shared" ca="1" si="25"/>
        <v>Please solve the LeetCode problem '3585. Find Weighted Median Node in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96" spans="1:15" x14ac:dyDescent="0.25">
      <c r="A3296" s="1">
        <v>3719</v>
      </c>
      <c r="B3296" s="2" t="str">
        <f>HYPERLINK("https://leetcode.com/problems/longest-balanced-subarray-i/", "Longest Balanced Subarray I")</f>
        <v>Longest Balanced Subarray I</v>
      </c>
      <c r="C3296" s="1">
        <v>69</v>
      </c>
      <c r="D3296" s="1">
        <v>2</v>
      </c>
      <c r="E3296" s="3">
        <f t="shared" si="24"/>
        <v>0.971830985915493</v>
      </c>
      <c r="F3296" s="1" t="s">
        <v>940</v>
      </c>
      <c r="G3296" s="1" t="s">
        <v>24</v>
      </c>
      <c r="H3296" s="1">
        <v>28860</v>
      </c>
      <c r="I3296" s="1">
        <v>55181</v>
      </c>
      <c r="J3296" s="7">
        <v>0.52300000000000002</v>
      </c>
      <c r="K3296" s="1" t="s">
        <v>21</v>
      </c>
      <c r="L3296" s="1" t="s">
        <v>29</v>
      </c>
      <c r="M3296" s="1" t="s">
        <v>29</v>
      </c>
      <c r="N3296" s="1" t="s">
        <v>22</v>
      </c>
      <c r="O3296" s="1" t="str">
        <f t="shared" ca="1" si="25"/>
        <v>Please solve the LeetCode problem '3719. Longest Balanced Subarray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97" spans="1:15" x14ac:dyDescent="0.25">
      <c r="A3297" s="1">
        <v>3781</v>
      </c>
      <c r="B3297" s="2" t="str">
        <f>HYPERLINK("https://leetcode.com/problems/maximum-score-after-binary-swaps/", "Maximum Score After Binary Swaps")</f>
        <v>Maximum Score After Binary Swaps</v>
      </c>
      <c r="C3297" s="1">
        <v>69</v>
      </c>
      <c r="D3297" s="1">
        <v>2</v>
      </c>
      <c r="E3297" s="3">
        <f t="shared" si="24"/>
        <v>0.971830985915493</v>
      </c>
      <c r="F3297" s="1" t="s">
        <v>1221</v>
      </c>
      <c r="G3297" s="1" t="s">
        <v>24</v>
      </c>
      <c r="H3297" s="1">
        <v>13210</v>
      </c>
      <c r="I3297" s="1">
        <v>38094</v>
      </c>
      <c r="J3297" s="7">
        <v>0.34699999999999998</v>
      </c>
      <c r="K3297" s="1" t="s">
        <v>21</v>
      </c>
      <c r="L3297" s="1" t="s">
        <v>29</v>
      </c>
      <c r="M3297" s="1" t="s">
        <v>29</v>
      </c>
      <c r="N3297" s="1" t="s">
        <v>22</v>
      </c>
      <c r="O3297" s="1" t="str">
        <f t="shared" ca="1" si="25"/>
        <v>Please solve the LeetCode problem '3781. Maximum Score After Binary Swaps'.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98" spans="1:15" x14ac:dyDescent="0.25">
      <c r="A3298" s="1">
        <v>1917</v>
      </c>
      <c r="B3298" s="2" t="str">
        <f>HYPERLINK("https://leetcode.com/problems/leetcodify-friends-recommendations/", "Leetcodify Friends Recommendations")</f>
        <v>Leetcodify Friends Recommendations</v>
      </c>
      <c r="C3298" s="1">
        <v>68</v>
      </c>
      <c r="D3298" s="1">
        <v>61</v>
      </c>
      <c r="E3298" s="3">
        <f t="shared" si="24"/>
        <v>0.52713178294573648</v>
      </c>
      <c r="F3298" s="1" t="s">
        <v>297</v>
      </c>
      <c r="G3298" s="1" t="s">
        <v>28</v>
      </c>
      <c r="H3298" s="1">
        <v>8702</v>
      </c>
      <c r="I3298" s="1">
        <v>30557</v>
      </c>
      <c r="J3298" s="7">
        <v>0.28499999999999998</v>
      </c>
      <c r="K3298" s="1" t="s">
        <v>29</v>
      </c>
      <c r="L3298" s="1" t="s">
        <v>29</v>
      </c>
      <c r="M3298" s="1" t="s">
        <v>29</v>
      </c>
      <c r="N3298" s="1" t="s">
        <v>297</v>
      </c>
      <c r="O3298" s="1" t="str">
        <f t="shared" ca="1" si="25"/>
        <v>Please solve the LeetCode problem '1917. Leetcodify Friends Recommendations'.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299" spans="1:15" x14ac:dyDescent="0.25">
      <c r="A3299" s="1">
        <v>2307</v>
      </c>
      <c r="B3299" s="2" t="str">
        <f>HYPERLINK("https://leetcode.com/problems/check-for-contradictions-in-equations/", "Check for Contradictions in Equations")</f>
        <v>Check for Contradictions in Equations</v>
      </c>
      <c r="C3299" s="1">
        <v>68</v>
      </c>
      <c r="D3299" s="1">
        <v>27</v>
      </c>
      <c r="E3299" s="3">
        <f t="shared" si="24"/>
        <v>0.71578947368421053</v>
      </c>
      <c r="F3299" s="1" t="s">
        <v>1225</v>
      </c>
      <c r="G3299" s="1" t="s">
        <v>28</v>
      </c>
      <c r="H3299" s="1">
        <v>5146</v>
      </c>
      <c r="I3299" s="1">
        <v>11773</v>
      </c>
      <c r="J3299" s="7">
        <v>0.437</v>
      </c>
      <c r="K3299" s="1" t="s">
        <v>29</v>
      </c>
      <c r="L3299" s="1" t="s">
        <v>29</v>
      </c>
      <c r="M3299" s="1" t="s">
        <v>29</v>
      </c>
      <c r="N3299" s="1" t="s">
        <v>22</v>
      </c>
      <c r="O3299" s="1" t="str">
        <f t="shared" ca="1" si="25"/>
        <v>Please solve the LeetCode problem '2307. Check for Contradictions in Equations'.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00" spans="1:15" x14ac:dyDescent="0.25">
      <c r="A3300" s="1">
        <v>2323</v>
      </c>
      <c r="B3300" s="2" t="str">
        <f>HYPERLINK("https://leetcode.com/problems/find-minimum-time-to-finish-all-jobs-ii/", "Find Minimum Time to Finish All Jobs II")</f>
        <v>Find Minimum Time to Finish All Jobs II</v>
      </c>
      <c r="C3300" s="1">
        <v>68</v>
      </c>
      <c r="D3300" s="1">
        <v>19</v>
      </c>
      <c r="E3300" s="3">
        <f t="shared" si="24"/>
        <v>0.7816091954022989</v>
      </c>
      <c r="F3300" s="1" t="s">
        <v>169</v>
      </c>
      <c r="G3300" s="1" t="s">
        <v>24</v>
      </c>
      <c r="H3300" s="1">
        <v>12476</v>
      </c>
      <c r="I3300" s="1">
        <v>18922</v>
      </c>
      <c r="J3300" s="7">
        <v>0.65900000000000003</v>
      </c>
      <c r="K3300" s="1" t="s">
        <v>29</v>
      </c>
      <c r="L3300" s="1" t="s">
        <v>29</v>
      </c>
      <c r="M3300" s="1" t="s">
        <v>29</v>
      </c>
      <c r="N3300" s="1" t="s">
        <v>22</v>
      </c>
      <c r="O3300" s="1" t="str">
        <f t="shared" ca="1" si="25"/>
        <v>Please solve the LeetCode problem '2323. Find Minimum Time to Finish All Jobs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01" spans="1:15" x14ac:dyDescent="0.25">
      <c r="A3301" s="1">
        <v>3521</v>
      </c>
      <c r="B3301" s="2" t="str">
        <f>HYPERLINK("https://leetcode.com/problems/find-product-recommendation-pairs/", "Find Product Recommendation Pairs")</f>
        <v>Find Product Recommendation Pairs</v>
      </c>
      <c r="C3301" s="1">
        <v>68</v>
      </c>
      <c r="D3301" s="1">
        <v>4</v>
      </c>
      <c r="E3301" s="3">
        <f t="shared" si="24"/>
        <v>0.94444444444444442</v>
      </c>
      <c r="F3301" s="1" t="s">
        <v>297</v>
      </c>
      <c r="G3301" s="1" t="s">
        <v>24</v>
      </c>
      <c r="H3301" s="1">
        <v>11557</v>
      </c>
      <c r="I3301" s="1">
        <v>18768</v>
      </c>
      <c r="J3301" s="7">
        <v>0.61599999999999999</v>
      </c>
      <c r="K3301" s="1" t="s">
        <v>21</v>
      </c>
      <c r="L3301" s="1" t="s">
        <v>29</v>
      </c>
      <c r="M3301" s="1" t="s">
        <v>29</v>
      </c>
      <c r="N3301" s="1" t="s">
        <v>297</v>
      </c>
      <c r="O3301" s="1" t="str">
        <f t="shared" ca="1" si="25"/>
        <v>Please solve the LeetCode problem '3521. Find Product Recommendation Pairs'.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02" spans="1:15" x14ac:dyDescent="0.25">
      <c r="A3302" s="1">
        <v>3538</v>
      </c>
      <c r="B3302" s="2" t="str">
        <f>HYPERLINK("https://leetcode.com/problems/merge-operations-for-minimum-travel-time/", "Merge Operations for Minimum Travel Time")</f>
        <v>Merge Operations for Minimum Travel Time</v>
      </c>
      <c r="C3302" s="1">
        <v>68</v>
      </c>
      <c r="D3302" s="1">
        <v>10</v>
      </c>
      <c r="E3302" s="3">
        <f t="shared" si="24"/>
        <v>0.87179487179487181</v>
      </c>
      <c r="F3302" s="1" t="s">
        <v>407</v>
      </c>
      <c r="G3302" s="1" t="s">
        <v>28</v>
      </c>
      <c r="H3302" s="1">
        <v>4799</v>
      </c>
      <c r="I3302" s="1">
        <v>15722</v>
      </c>
      <c r="J3302" s="7">
        <v>0.30499999999999999</v>
      </c>
      <c r="K3302" s="1" t="s">
        <v>21</v>
      </c>
      <c r="L3302" s="1" t="s">
        <v>29</v>
      </c>
      <c r="M3302" s="1" t="s">
        <v>29</v>
      </c>
      <c r="N3302" s="1" t="s">
        <v>22</v>
      </c>
      <c r="O3302" s="1" t="str">
        <f t="shared" ca="1" si="25"/>
        <v>Please solve the LeetCode problem '3538. Merge Operations for Minimum Travel Time'.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03" spans="1:15" x14ac:dyDescent="0.25">
      <c r="A3303" s="1">
        <v>3635</v>
      </c>
      <c r="B3303" s="2" t="str">
        <f>HYPERLINK("https://leetcode.com/problems/earliest-finish-time-for-land-and-water-rides-ii/", "Earliest Finish Time for Land and Water Rides II")</f>
        <v>Earliest Finish Time for Land and Water Rides II</v>
      </c>
      <c r="C3303" s="1">
        <v>68</v>
      </c>
      <c r="D3303" s="1">
        <v>2</v>
      </c>
      <c r="E3303" s="3">
        <f t="shared" si="24"/>
        <v>0.97142857142857142</v>
      </c>
      <c r="F3303" s="1" t="s">
        <v>290</v>
      </c>
      <c r="G3303" s="1" t="s">
        <v>24</v>
      </c>
      <c r="H3303" s="1">
        <v>12533</v>
      </c>
      <c r="I3303" s="1">
        <v>36192</v>
      </c>
      <c r="J3303" s="7">
        <v>0.34599999999999997</v>
      </c>
      <c r="K3303" s="1" t="s">
        <v>21</v>
      </c>
      <c r="L3303" s="1" t="s">
        <v>29</v>
      </c>
      <c r="M3303" s="1" t="s">
        <v>29</v>
      </c>
      <c r="N3303" s="1" t="s">
        <v>22</v>
      </c>
      <c r="O3303" s="1" t="str">
        <f t="shared" ca="1" si="25"/>
        <v>Please solve the LeetCode problem '3635. Earliest Finish Time for Land and Water Rides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04" spans="1:15" x14ac:dyDescent="0.25">
      <c r="A3304" s="1">
        <v>3796</v>
      </c>
      <c r="B3304" s="2" t="str">
        <f>HYPERLINK("https://leetcode.com/problems/find-maximum-value-in-a-constrained-sequence/", "Find Maximum Value in a Constrained Sequence")</f>
        <v>Find Maximum Value in a Constrained Sequence</v>
      </c>
      <c r="C3304" s="1">
        <v>68</v>
      </c>
      <c r="D3304" s="1">
        <v>8</v>
      </c>
      <c r="E3304" s="3">
        <f t="shared" si="24"/>
        <v>0.89473684210526316</v>
      </c>
      <c r="F3304" s="1" t="s">
        <v>96</v>
      </c>
      <c r="G3304" s="1" t="s">
        <v>24</v>
      </c>
      <c r="H3304" s="1">
        <v>11998</v>
      </c>
      <c r="I3304" s="1">
        <v>19302</v>
      </c>
      <c r="J3304" s="7">
        <v>0.622</v>
      </c>
      <c r="K3304" s="1" t="s">
        <v>21</v>
      </c>
      <c r="L3304" s="1" t="s">
        <v>29</v>
      </c>
      <c r="M3304" s="1" t="s">
        <v>29</v>
      </c>
      <c r="N3304" s="1" t="s">
        <v>22</v>
      </c>
      <c r="O3304" s="1" t="str">
        <f t="shared" ca="1" si="25"/>
        <v>Please solve the LeetCode problem '3796. Find Maximum Value in a Constrained Sequence'.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05" spans="1:15" x14ac:dyDescent="0.25">
      <c r="A3305" s="1">
        <v>734</v>
      </c>
      <c r="B3305" s="2" t="str">
        <f>HYPERLINK("https://leetcode.com/problems/sentence-similarity/", "Sentence Similarity")</f>
        <v>Sentence Similarity</v>
      </c>
      <c r="C3305" s="1">
        <v>67</v>
      </c>
      <c r="D3305" s="1">
        <v>72</v>
      </c>
      <c r="E3305" s="3">
        <f t="shared" si="24"/>
        <v>0.48201438848920863</v>
      </c>
      <c r="F3305" s="1" t="s">
        <v>258</v>
      </c>
      <c r="G3305" s="1" t="s">
        <v>20</v>
      </c>
      <c r="H3305" s="1">
        <v>74664</v>
      </c>
      <c r="I3305" s="1">
        <v>166887</v>
      </c>
      <c r="J3305" s="7">
        <v>0.44700000000000001</v>
      </c>
      <c r="K3305" s="1" t="s">
        <v>29</v>
      </c>
      <c r="L3305" s="1" t="s">
        <v>21</v>
      </c>
      <c r="M3305" s="1" t="s">
        <v>29</v>
      </c>
      <c r="N3305" s="1" t="s">
        <v>22</v>
      </c>
      <c r="O3305" s="1" t="str">
        <f t="shared" ca="1" si="25"/>
        <v>Please solve the LeetCode problem '734. Sentence Similarity'.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06" spans="1:15" x14ac:dyDescent="0.25">
      <c r="A3306" s="1">
        <v>1939</v>
      </c>
      <c r="B3306" s="2" t="str">
        <f>HYPERLINK("https://leetcode.com/problems/users-that-actively-request-confirmation-messages/", "Users That Actively Request Confirmation Messages")</f>
        <v>Users That Actively Request Confirmation Messages</v>
      </c>
      <c r="C3306" s="1">
        <v>67</v>
      </c>
      <c r="D3306" s="1">
        <v>49</v>
      </c>
      <c r="E3306" s="3">
        <f t="shared" si="24"/>
        <v>0.57758620689655171</v>
      </c>
      <c r="F3306" s="1" t="s">
        <v>297</v>
      </c>
      <c r="G3306" s="1" t="s">
        <v>20</v>
      </c>
      <c r="H3306" s="1">
        <v>14183</v>
      </c>
      <c r="I3306" s="1">
        <v>24982</v>
      </c>
      <c r="J3306" s="7">
        <v>0.56799999999999995</v>
      </c>
      <c r="K3306" s="1" t="s">
        <v>29</v>
      </c>
      <c r="L3306" s="1" t="s">
        <v>29</v>
      </c>
      <c r="M3306" s="1" t="s">
        <v>29</v>
      </c>
      <c r="N3306" s="1" t="s">
        <v>297</v>
      </c>
      <c r="O3306" s="1" t="str">
        <f t="shared" ca="1" si="25"/>
        <v>Please solve the LeetCode problem '1939. Users That Actively Request Confirmation Messages'.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07" spans="1:15" x14ac:dyDescent="0.25">
      <c r="A3307" s="1">
        <v>2189</v>
      </c>
      <c r="B3307" s="2" t="str">
        <f>HYPERLINK("https://leetcode.com/problems/number-of-ways-to-build-house-of-cards/", "Number of Ways to Build House of Cards")</f>
        <v>Number of Ways to Build House of Cards</v>
      </c>
      <c r="C3307" s="1">
        <v>67</v>
      </c>
      <c r="D3307" s="1">
        <v>18</v>
      </c>
      <c r="E3307" s="3">
        <f t="shared" si="24"/>
        <v>0.78823529411764703</v>
      </c>
      <c r="F3307" s="1" t="s">
        <v>250</v>
      </c>
      <c r="G3307" s="1" t="s">
        <v>24</v>
      </c>
      <c r="H3307" s="1">
        <v>3610</v>
      </c>
      <c r="I3307" s="1">
        <v>5769</v>
      </c>
      <c r="J3307" s="7">
        <v>0.626</v>
      </c>
      <c r="K3307" s="1" t="s">
        <v>29</v>
      </c>
      <c r="L3307" s="1" t="s">
        <v>29</v>
      </c>
      <c r="M3307" s="1" t="s">
        <v>29</v>
      </c>
      <c r="N3307" s="1" t="s">
        <v>22</v>
      </c>
      <c r="O3307" s="1" t="str">
        <f t="shared" ca="1" si="25"/>
        <v>Please solve the LeetCode problem '2189. Number of Ways to Build House of Cards'.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08" spans="1:15" x14ac:dyDescent="0.25">
      <c r="A3308" s="1">
        <v>3360</v>
      </c>
      <c r="B3308" s="2" t="str">
        <f>HYPERLINK("https://leetcode.com/problems/stone-removal-game/", "Stone Removal Game")</f>
        <v>Stone Removal Game</v>
      </c>
      <c r="C3308" s="1">
        <v>67</v>
      </c>
      <c r="D3308" s="1">
        <v>5</v>
      </c>
      <c r="E3308" s="3">
        <f t="shared" si="24"/>
        <v>0.93055555555555558</v>
      </c>
      <c r="F3308" s="1" t="s">
        <v>465</v>
      </c>
      <c r="G3308" s="1" t="s">
        <v>20</v>
      </c>
      <c r="H3308" s="1">
        <v>31888</v>
      </c>
      <c r="I3308" s="1">
        <v>75325</v>
      </c>
      <c r="J3308" s="7">
        <v>0.42299999999999999</v>
      </c>
      <c r="K3308" s="1" t="s">
        <v>21</v>
      </c>
      <c r="L3308" s="1" t="s">
        <v>29</v>
      </c>
      <c r="M3308" s="1" t="s">
        <v>29</v>
      </c>
      <c r="N3308" s="1" t="s">
        <v>22</v>
      </c>
      <c r="O3308" s="1" t="str">
        <f t="shared" ca="1" si="25"/>
        <v>Please solve the LeetCode problem '3360. Stone Removal Game'.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09" spans="1:15" x14ac:dyDescent="0.25">
      <c r="A3309" s="1">
        <v>3499</v>
      </c>
      <c r="B3309" s="2" t="str">
        <f>HYPERLINK("https://leetcode.com/problems/maximize-active-section-with-trade-i/", "Maximize Active Section with Trade I")</f>
        <v>Maximize Active Section with Trade I</v>
      </c>
      <c r="C3309" s="1">
        <v>67</v>
      </c>
      <c r="D3309" s="1">
        <v>28</v>
      </c>
      <c r="E3309" s="3">
        <f t="shared" si="24"/>
        <v>0.70526315789473681</v>
      </c>
      <c r="F3309" s="1" t="s">
        <v>831</v>
      </c>
      <c r="G3309" s="1" t="s">
        <v>24</v>
      </c>
      <c r="H3309" s="1">
        <v>13658</v>
      </c>
      <c r="I3309" s="1">
        <v>43970</v>
      </c>
      <c r="J3309" s="7">
        <v>0.311</v>
      </c>
      <c r="K3309" s="1" t="s">
        <v>21</v>
      </c>
      <c r="L3309" s="1" t="s">
        <v>29</v>
      </c>
      <c r="M3309" s="1" t="s">
        <v>29</v>
      </c>
      <c r="N3309" s="1" t="s">
        <v>22</v>
      </c>
      <c r="O3309" s="1" t="str">
        <f t="shared" ca="1" si="25"/>
        <v>Please solve the LeetCode problem '3499. Maximize Active Section with Trade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10" spans="1:15" x14ac:dyDescent="0.25">
      <c r="A3310" s="1">
        <v>3600</v>
      </c>
      <c r="B3310" s="2" t="str">
        <f>HYPERLINK("https://leetcode.com/problems/maximize-spanning-tree-stability-with-upgrades/", "Maximize Spanning Tree Stability with Upgrades")</f>
        <v>Maximize Spanning Tree Stability with Upgrades</v>
      </c>
      <c r="C3310" s="1">
        <v>67</v>
      </c>
      <c r="D3310" s="1">
        <v>3</v>
      </c>
      <c r="E3310" s="3">
        <f t="shared" si="24"/>
        <v>0.95714285714285718</v>
      </c>
      <c r="F3310" s="1" t="s">
        <v>1223</v>
      </c>
      <c r="G3310" s="1" t="s">
        <v>28</v>
      </c>
      <c r="H3310" s="1">
        <v>6959</v>
      </c>
      <c r="I3310" s="1">
        <v>17650</v>
      </c>
      <c r="J3310" s="7">
        <v>0.39400000000000002</v>
      </c>
      <c r="K3310" s="1" t="s">
        <v>21</v>
      </c>
      <c r="L3310" s="1" t="s">
        <v>29</v>
      </c>
      <c r="M3310" s="1" t="s">
        <v>29</v>
      </c>
      <c r="N3310" s="1" t="s">
        <v>22</v>
      </c>
      <c r="O3310" s="1" t="str">
        <f t="shared" ca="1" si="25"/>
        <v>Please solve the LeetCode problem '3600. Maximize Spanning Tree Stability with Upgrades'.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11" spans="1:15" x14ac:dyDescent="0.25">
      <c r="A3311" s="1">
        <v>1821</v>
      </c>
      <c r="B3311" s="2" t="str">
        <f>HYPERLINK("https://leetcode.com/problems/find-customers-with-positive-revenue-this-year/", "Find Customers With Positive Revenue this Year")</f>
        <v>Find Customers With Positive Revenue this Year</v>
      </c>
      <c r="C3311" s="1">
        <v>66</v>
      </c>
      <c r="D3311" s="1">
        <v>26</v>
      </c>
      <c r="E3311" s="3">
        <f t="shared" si="24"/>
        <v>0.71739130434782605</v>
      </c>
      <c r="F3311" s="1" t="s">
        <v>297</v>
      </c>
      <c r="G3311" s="1" t="s">
        <v>20</v>
      </c>
      <c r="H3311" s="1">
        <v>35982</v>
      </c>
      <c r="I3311" s="1">
        <v>41027</v>
      </c>
      <c r="J3311" s="7">
        <v>0.877</v>
      </c>
      <c r="K3311" s="1" t="s">
        <v>29</v>
      </c>
      <c r="L3311" s="1" t="s">
        <v>29</v>
      </c>
      <c r="M3311" s="1" t="s">
        <v>29</v>
      </c>
      <c r="N3311" s="1" t="s">
        <v>297</v>
      </c>
      <c r="O3311" s="1" t="str">
        <f t="shared" ca="1" si="25"/>
        <v>Please solve the LeetCode problem '1821. Find Customers With Positive Revenue this Year'.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12" spans="1:15" x14ac:dyDescent="0.25">
      <c r="A3312" s="1">
        <v>2113</v>
      </c>
      <c r="B3312" s="2" t="str">
        <f>HYPERLINK("https://leetcode.com/problems/elements-in-array-after-removing-and-replacing-elements/", "Elements in Array After Removing and Replacing Elements")</f>
        <v>Elements in Array After Removing and Replacing Elements</v>
      </c>
      <c r="C3312" s="1">
        <v>66</v>
      </c>
      <c r="D3312" s="1">
        <v>8</v>
      </c>
      <c r="E3312" s="3">
        <f t="shared" si="24"/>
        <v>0.89189189189189189</v>
      </c>
      <c r="F3312" s="1" t="s">
        <v>113</v>
      </c>
      <c r="G3312" s="1" t="s">
        <v>24</v>
      </c>
      <c r="H3312" s="1">
        <v>2389</v>
      </c>
      <c r="I3312" s="1">
        <v>3403</v>
      </c>
      <c r="J3312" s="7">
        <v>0.70199999999999996</v>
      </c>
      <c r="K3312" s="1" t="s">
        <v>29</v>
      </c>
      <c r="L3312" s="1" t="s">
        <v>29</v>
      </c>
      <c r="M3312" s="1" t="s">
        <v>29</v>
      </c>
      <c r="N3312" s="1" t="s">
        <v>22</v>
      </c>
      <c r="O3312" s="1" t="str">
        <f t="shared" ca="1" si="25"/>
        <v>Please solve the LeetCode problem '2113. Elements in Array After Removing and Replacing Elements'.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13" spans="1:15" x14ac:dyDescent="0.25">
      <c r="A3313" s="1">
        <v>2228</v>
      </c>
      <c r="B3313" s="2" t="str">
        <f>HYPERLINK("https://leetcode.com/problems/users-with-two-purchases-within-seven-days/", "Users With Two Purchases Within Seven Days")</f>
        <v>Users With Two Purchases Within Seven Days</v>
      </c>
      <c r="C3313" s="1">
        <v>66</v>
      </c>
      <c r="D3313" s="1">
        <v>11</v>
      </c>
      <c r="E3313" s="3">
        <f t="shared" si="24"/>
        <v>0.8571428571428571</v>
      </c>
      <c r="F3313" s="1" t="s">
        <v>297</v>
      </c>
      <c r="G3313" s="1" t="s">
        <v>24</v>
      </c>
      <c r="H3313" s="1">
        <v>11700</v>
      </c>
      <c r="I3313" s="1">
        <v>25109</v>
      </c>
      <c r="J3313" s="7">
        <v>0.46600000000000003</v>
      </c>
      <c r="K3313" s="1" t="s">
        <v>29</v>
      </c>
      <c r="L3313" s="1" t="s">
        <v>29</v>
      </c>
      <c r="M3313" s="1" t="s">
        <v>29</v>
      </c>
      <c r="N3313" s="1" t="s">
        <v>297</v>
      </c>
      <c r="O3313" s="1" t="str">
        <f t="shared" ca="1" si="25"/>
        <v>Please solve the LeetCode problem '2228. Users With Two Purchases Within Seven Days'.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14" spans="1:15" x14ac:dyDescent="0.25">
      <c r="A3314" s="1">
        <v>2282</v>
      </c>
      <c r="B3314" s="2" t="str">
        <f>HYPERLINK("https://leetcode.com/problems/number-of-people-that-can-be-seen-in-a-grid/", "Number of People That Can Be Seen in a Grid")</f>
        <v>Number of People That Can Be Seen in a Grid</v>
      </c>
      <c r="C3314" s="1">
        <v>66</v>
      </c>
      <c r="D3314" s="1">
        <v>34</v>
      </c>
      <c r="E3314" s="3">
        <f t="shared" si="24"/>
        <v>0.66</v>
      </c>
      <c r="F3314" s="1" t="s">
        <v>1230</v>
      </c>
      <c r="G3314" s="1" t="s">
        <v>24</v>
      </c>
      <c r="H3314" s="1">
        <v>2559</v>
      </c>
      <c r="I3314" s="1">
        <v>5382</v>
      </c>
      <c r="J3314" s="7">
        <v>0.47499999999999998</v>
      </c>
      <c r="K3314" s="1" t="s">
        <v>29</v>
      </c>
      <c r="L3314" s="1" t="s">
        <v>29</v>
      </c>
      <c r="M3314" s="1" t="s">
        <v>29</v>
      </c>
      <c r="N3314" s="1" t="s">
        <v>22</v>
      </c>
      <c r="O3314" s="1" t="str">
        <f t="shared" ca="1" si="25"/>
        <v>Please solve the LeetCode problem '2282. Number of People That Can Be Seen in a Grid'.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15" spans="1:15" x14ac:dyDescent="0.25">
      <c r="A3315" s="1">
        <v>3220</v>
      </c>
      <c r="B3315" s="2" t="str">
        <f>HYPERLINK("https://leetcode.com/problems/odd-and-even-transactions/", "Odd and Even Transactions")</f>
        <v>Odd and Even Transactions</v>
      </c>
      <c r="C3315" s="1">
        <v>66</v>
      </c>
      <c r="D3315" s="1">
        <v>34</v>
      </c>
      <c r="E3315" s="3">
        <f t="shared" si="24"/>
        <v>0.66</v>
      </c>
      <c r="F3315" s="1" t="s">
        <v>297</v>
      </c>
      <c r="G3315" s="1" t="s">
        <v>24</v>
      </c>
      <c r="H3315" s="1">
        <v>30341</v>
      </c>
      <c r="I3315" s="1">
        <v>44453</v>
      </c>
      <c r="J3315" s="7">
        <v>0.68300000000000005</v>
      </c>
      <c r="K3315" s="1" t="s">
        <v>21</v>
      </c>
      <c r="L3315" s="1" t="s">
        <v>29</v>
      </c>
      <c r="M3315" s="1" t="s">
        <v>29</v>
      </c>
      <c r="N3315" s="1" t="s">
        <v>297</v>
      </c>
      <c r="O3315" s="1" t="str">
        <f t="shared" ca="1" si="25"/>
        <v>Please solve the LeetCode problem '3220. Odd and Even Transactions'.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16" spans="1:15" x14ac:dyDescent="0.25">
      <c r="A3316" s="1">
        <v>3361</v>
      </c>
      <c r="B3316" s="2" t="str">
        <f>HYPERLINK("https://leetcode.com/problems/shift-distance-between-two-strings/", "Shift Distance Between Two Strings")</f>
        <v>Shift Distance Between Two Strings</v>
      </c>
      <c r="C3316" s="1">
        <v>66</v>
      </c>
      <c r="D3316" s="1">
        <v>46</v>
      </c>
      <c r="E3316" s="3">
        <f t="shared" si="24"/>
        <v>0.5892857142857143</v>
      </c>
      <c r="F3316" s="1" t="s">
        <v>372</v>
      </c>
      <c r="G3316" s="1" t="s">
        <v>24</v>
      </c>
      <c r="H3316" s="1">
        <v>16974</v>
      </c>
      <c r="I3316" s="1">
        <v>31778</v>
      </c>
      <c r="J3316" s="7">
        <v>0.53400000000000003</v>
      </c>
      <c r="K3316" s="1" t="s">
        <v>21</v>
      </c>
      <c r="L3316" s="1" t="s">
        <v>29</v>
      </c>
      <c r="M3316" s="1" t="s">
        <v>29</v>
      </c>
      <c r="N3316" s="1" t="s">
        <v>22</v>
      </c>
      <c r="O3316" s="1" t="str">
        <f t="shared" ca="1" si="25"/>
        <v>Please solve the LeetCode problem '3361. Shift Distance Between Two Strings'.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17" spans="1:15" x14ac:dyDescent="0.25">
      <c r="A3317" s="1">
        <v>2292</v>
      </c>
      <c r="B3317" s="2" t="str">
        <f>HYPERLINK("https://leetcode.com/problems/products-with-three-or-more-orders-in-two-consecutive-years/", "Products With Three or More Orders in Two Consecutive Years")</f>
        <v>Products With Three or More Orders in Two Consecutive Years</v>
      </c>
      <c r="C3317" s="1">
        <v>65</v>
      </c>
      <c r="D3317" s="1">
        <v>29</v>
      </c>
      <c r="E3317" s="3">
        <f t="shared" si="24"/>
        <v>0.69148936170212771</v>
      </c>
      <c r="F3317" s="1" t="s">
        <v>297</v>
      </c>
      <c r="G3317" s="1" t="s">
        <v>24</v>
      </c>
      <c r="H3317" s="1">
        <v>10272</v>
      </c>
      <c r="I3317" s="1">
        <v>25384</v>
      </c>
      <c r="J3317" s="7">
        <v>0.40500000000000003</v>
      </c>
      <c r="K3317" s="1" t="s">
        <v>29</v>
      </c>
      <c r="L3317" s="1" t="s">
        <v>29</v>
      </c>
      <c r="M3317" s="1" t="s">
        <v>29</v>
      </c>
      <c r="N3317" s="1" t="s">
        <v>297</v>
      </c>
      <c r="O3317" s="1" t="str">
        <f t="shared" ca="1" si="25"/>
        <v>Please solve the LeetCode problem '2292. Products With Three or More Orders in Two Consecutive Years'.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18" spans="1:15" x14ac:dyDescent="0.25">
      <c r="A3318" s="1">
        <v>3550</v>
      </c>
      <c r="B3318" s="2" t="str">
        <f>HYPERLINK("https://leetcode.com/problems/smallest-index-with-digit-sum-equal-to-index/", "Smallest Index With Digit Sum Equal to Index")</f>
        <v>Smallest Index With Digit Sum Equal to Index</v>
      </c>
      <c r="C3318" s="1">
        <v>65</v>
      </c>
      <c r="D3318" s="1">
        <v>3</v>
      </c>
      <c r="E3318" s="3">
        <f t="shared" si="24"/>
        <v>0.95588235294117652</v>
      </c>
      <c r="F3318" s="1" t="s">
        <v>115</v>
      </c>
      <c r="G3318" s="1" t="s">
        <v>20</v>
      </c>
      <c r="H3318" s="1">
        <v>50848</v>
      </c>
      <c r="I3318" s="1">
        <v>63440</v>
      </c>
      <c r="J3318" s="7">
        <v>0.80200000000000005</v>
      </c>
      <c r="K3318" s="1" t="s">
        <v>21</v>
      </c>
      <c r="L3318" s="1" t="s">
        <v>29</v>
      </c>
      <c r="M3318" s="1" t="s">
        <v>29</v>
      </c>
      <c r="N3318" s="1" t="s">
        <v>22</v>
      </c>
      <c r="O3318" s="1" t="str">
        <f t="shared" ca="1" si="25"/>
        <v>Please solve the LeetCode problem '3550. Smallest Index With Digit Sum Equal to Index'.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19" spans="1:15" x14ac:dyDescent="0.25">
      <c r="A3319" s="1">
        <v>3727</v>
      </c>
      <c r="B3319" s="2" t="str">
        <f>HYPERLINK("https://leetcode.com/problems/maximum-alternating-sum-of-squares/", "Maximum Alternating Sum of Squares")</f>
        <v>Maximum Alternating Sum of Squares</v>
      </c>
      <c r="C3319" s="1">
        <v>65</v>
      </c>
      <c r="D3319" s="1">
        <v>1</v>
      </c>
      <c r="E3319" s="3">
        <f t="shared" ref="E3319:E3573" si="26">IF(INDEX(C:C, ROW())+INDEX(D:D, ROW())=0, 0, INDEX(C:C, ROW())/(INDEX(C:C, ROW())+INDEX(D:D, ROW())))</f>
        <v>0.98484848484848486</v>
      </c>
      <c r="F3319" s="1" t="s">
        <v>169</v>
      </c>
      <c r="G3319" s="1" t="s">
        <v>24</v>
      </c>
      <c r="H3319" s="1">
        <v>32023</v>
      </c>
      <c r="I3319" s="1">
        <v>52626</v>
      </c>
      <c r="J3319" s="7">
        <v>0.60899999999999999</v>
      </c>
      <c r="K3319" s="1" t="s">
        <v>21</v>
      </c>
      <c r="L3319" s="1" t="s">
        <v>29</v>
      </c>
      <c r="M3319" s="1" t="s">
        <v>29</v>
      </c>
      <c r="N3319" s="1" t="s">
        <v>22</v>
      </c>
      <c r="O3319" s="1" t="str">
        <f t="shared" ref="O3319:O3573" ca="1" si="27"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>Please solve the LeetCode problem '3727. Maximum Alternating Sum of Squares'.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20" spans="1:15" x14ac:dyDescent="0.25">
      <c r="A3320" s="1">
        <v>3756</v>
      </c>
      <c r="B3320" s="2" t="str">
        <f>HYPERLINK("https://leetcode.com/problems/concatenate-non-zero-digits-and-multiply-by-sum-ii/", "Concatenate Non-Zero Digits and Multiply by Sum II")</f>
        <v>Concatenate Non-Zero Digits and Multiply by Sum II</v>
      </c>
      <c r="C3320" s="1">
        <v>65</v>
      </c>
      <c r="D3320" s="1">
        <v>9</v>
      </c>
      <c r="E3320" s="3">
        <f t="shared" si="26"/>
        <v>0.8783783783783784</v>
      </c>
      <c r="F3320" s="1" t="s">
        <v>1227</v>
      </c>
      <c r="G3320" s="1" t="s">
        <v>24</v>
      </c>
      <c r="H3320" s="1">
        <v>9554</v>
      </c>
      <c r="I3320" s="1">
        <v>40341</v>
      </c>
      <c r="J3320" s="7">
        <v>0.23699999999999999</v>
      </c>
      <c r="K3320" s="1" t="s">
        <v>21</v>
      </c>
      <c r="L3320" s="1" t="s">
        <v>29</v>
      </c>
      <c r="M3320" s="1" t="s">
        <v>29</v>
      </c>
      <c r="N3320" s="1" t="s">
        <v>22</v>
      </c>
      <c r="O3320" s="1" t="str">
        <f t="shared" ca="1" si="27"/>
        <v>Please solve the LeetCode problem '3756. Concatenate Non-Zero Digits and Multiply by Sum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21" spans="1:15" x14ac:dyDescent="0.25">
      <c r="A3321" s="1">
        <v>3795</v>
      </c>
      <c r="B3321" s="2" t="str">
        <f>HYPERLINK("https://leetcode.com/problems/minimum-subarray-length-with-distinct-sum-at-least-k/", "Minimum Subarray Length With Distinct Sum At Least K")</f>
        <v>Minimum Subarray Length With Distinct Sum At Least K</v>
      </c>
      <c r="C3321" s="1">
        <v>65</v>
      </c>
      <c r="D3321" s="1">
        <v>6</v>
      </c>
      <c r="E3321" s="3">
        <f t="shared" si="26"/>
        <v>0.91549295774647887</v>
      </c>
      <c r="F3321" s="1" t="s">
        <v>185</v>
      </c>
      <c r="G3321" s="1" t="s">
        <v>24</v>
      </c>
      <c r="H3321" s="1">
        <v>25832</v>
      </c>
      <c r="I3321" s="1">
        <v>82176</v>
      </c>
      <c r="J3321" s="7">
        <v>0.314</v>
      </c>
      <c r="K3321" s="1" t="s">
        <v>21</v>
      </c>
      <c r="L3321" s="1" t="s">
        <v>29</v>
      </c>
      <c r="M3321" s="1" t="s">
        <v>29</v>
      </c>
      <c r="N3321" s="1" t="s">
        <v>22</v>
      </c>
      <c r="O3321" s="1" t="str">
        <f t="shared" ca="1" si="27"/>
        <v>Please solve the LeetCode problem '3795. Minimum Subarray Length With Distinct Sum At Least K'.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22" spans="1:15" x14ac:dyDescent="0.25">
      <c r="A3322" s="1">
        <v>1645</v>
      </c>
      <c r="B3322" s="2" t="str">
        <f>HYPERLINK("https://leetcode.com/problems/hopper-company-queries-ii/", "Hopper Company Queries II")</f>
        <v>Hopper Company Queries II</v>
      </c>
      <c r="C3322" s="1">
        <v>64</v>
      </c>
      <c r="D3322" s="1">
        <v>18</v>
      </c>
      <c r="E3322" s="3">
        <f t="shared" si="26"/>
        <v>0.78048780487804881</v>
      </c>
      <c r="F3322" s="1" t="s">
        <v>297</v>
      </c>
      <c r="G3322" s="1" t="s">
        <v>28</v>
      </c>
      <c r="H3322" s="1">
        <v>8341</v>
      </c>
      <c r="I3322" s="1">
        <v>20990</v>
      </c>
      <c r="J3322" s="7">
        <v>0.39700000000000002</v>
      </c>
      <c r="K3322" s="1" t="s">
        <v>29</v>
      </c>
      <c r="L3322" s="1" t="s">
        <v>29</v>
      </c>
      <c r="M3322" s="1" t="s">
        <v>29</v>
      </c>
      <c r="N3322" s="1" t="s">
        <v>297</v>
      </c>
      <c r="O3322" s="1" t="str">
        <f t="shared" ca="1" si="27"/>
        <v>Please solve the LeetCode problem '1645. Hopper Company Queries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23" spans="1:15" x14ac:dyDescent="0.25">
      <c r="A3323" s="1">
        <v>2802</v>
      </c>
      <c r="B3323" s="2" t="str">
        <f>HYPERLINK("https://leetcode.com/problems/find-the-k-th-lucky-number/", "Find The K-th Lucky Number")</f>
        <v>Find The K-th Lucky Number</v>
      </c>
      <c r="C3323" s="1">
        <v>64</v>
      </c>
      <c r="D3323" s="1">
        <v>14</v>
      </c>
      <c r="E3323" s="3">
        <f t="shared" si="26"/>
        <v>0.82051282051282048</v>
      </c>
      <c r="F3323" s="1" t="s">
        <v>605</v>
      </c>
      <c r="G3323" s="1" t="s">
        <v>24</v>
      </c>
      <c r="H3323" s="1">
        <v>6273</v>
      </c>
      <c r="I3323" s="1">
        <v>8241</v>
      </c>
      <c r="J3323" s="7">
        <v>0.76100000000000001</v>
      </c>
      <c r="K3323" s="1" t="s">
        <v>29</v>
      </c>
      <c r="L3323" s="1" t="s">
        <v>21</v>
      </c>
      <c r="M3323" s="1" t="s">
        <v>29</v>
      </c>
      <c r="N3323" s="1" t="s">
        <v>22</v>
      </c>
      <c r="O3323" s="1" t="str">
        <f t="shared" ca="1" si="27"/>
        <v>Please solve the LeetCode problem '2802. Find The K-th Lucky Number'.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24" spans="1:15" x14ac:dyDescent="0.25">
      <c r="A3324" s="1">
        <v>3536</v>
      </c>
      <c r="B3324" s="2" t="str">
        <f>HYPERLINK("https://leetcode.com/problems/maximum-product-of-two-digits/", "Maximum Product of Two Digits")</f>
        <v>Maximum Product of Two Digits</v>
      </c>
      <c r="C3324" s="1">
        <v>64</v>
      </c>
      <c r="D3324" s="1">
        <v>2</v>
      </c>
      <c r="E3324" s="3">
        <f t="shared" si="26"/>
        <v>0.96969696969696972</v>
      </c>
      <c r="F3324" s="1" t="s">
        <v>808</v>
      </c>
      <c r="G3324" s="1" t="s">
        <v>20</v>
      </c>
      <c r="H3324" s="1">
        <v>44628</v>
      </c>
      <c r="I3324" s="1">
        <v>64306</v>
      </c>
      <c r="J3324" s="7">
        <v>0.69399999999999995</v>
      </c>
      <c r="K3324" s="1" t="s">
        <v>21</v>
      </c>
      <c r="L3324" s="1" t="s">
        <v>29</v>
      </c>
      <c r="M3324" s="1" t="s">
        <v>29</v>
      </c>
      <c r="N3324" s="1" t="s">
        <v>22</v>
      </c>
      <c r="O3324" s="1" t="str">
        <f t="shared" ca="1" si="27"/>
        <v>Please solve the LeetCode problem '3536. Maximum Product of Two Digits'.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25" spans="1:15" x14ac:dyDescent="0.25">
      <c r="A3325" s="1">
        <v>3582</v>
      </c>
      <c r="B3325" s="2" t="str">
        <f>HYPERLINK("https://leetcode.com/problems/generate-tag-for-video-caption/", "Generate Tag for Video Caption")</f>
        <v>Generate Tag for Video Caption</v>
      </c>
      <c r="C3325" s="1">
        <v>64</v>
      </c>
      <c r="D3325" s="1">
        <v>29</v>
      </c>
      <c r="E3325" s="3">
        <f t="shared" si="26"/>
        <v>0.68817204301075274</v>
      </c>
      <c r="F3325" s="1" t="s">
        <v>414</v>
      </c>
      <c r="G3325" s="1" t="s">
        <v>20</v>
      </c>
      <c r="H3325" s="1">
        <v>42086</v>
      </c>
      <c r="I3325" s="1">
        <v>130532</v>
      </c>
      <c r="J3325" s="7">
        <v>0.32200000000000001</v>
      </c>
      <c r="K3325" s="1" t="s">
        <v>21</v>
      </c>
      <c r="L3325" s="1" t="s">
        <v>29</v>
      </c>
      <c r="M3325" s="1" t="s">
        <v>29</v>
      </c>
      <c r="N3325" s="1" t="s">
        <v>22</v>
      </c>
      <c r="O3325" s="1" t="str">
        <f t="shared" ca="1" si="27"/>
        <v>Please solve the LeetCode problem '3582. Generate Tag for Video Caption'.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26" spans="1:15" x14ac:dyDescent="0.25">
      <c r="A3326" s="1">
        <v>3597</v>
      </c>
      <c r="B3326" s="2" t="str">
        <f>HYPERLINK("https://leetcode.com/problems/partition-string/", "Partition String ")</f>
        <v xml:space="preserve">Partition String </v>
      </c>
      <c r="C3326" s="1">
        <v>64</v>
      </c>
      <c r="D3326" s="1">
        <v>6</v>
      </c>
      <c r="E3326" s="3">
        <f t="shared" si="26"/>
        <v>0.91428571428571426</v>
      </c>
      <c r="F3326" s="1" t="s">
        <v>1226</v>
      </c>
      <c r="G3326" s="1" t="s">
        <v>24</v>
      </c>
      <c r="H3326" s="1">
        <v>37481</v>
      </c>
      <c r="I3326" s="1">
        <v>64126</v>
      </c>
      <c r="J3326" s="7">
        <v>0.58399999999999996</v>
      </c>
      <c r="K3326" s="1" t="s">
        <v>21</v>
      </c>
      <c r="L3326" s="1" t="s">
        <v>29</v>
      </c>
      <c r="M3326" s="1" t="s">
        <v>29</v>
      </c>
      <c r="N3326" s="1" t="s">
        <v>22</v>
      </c>
      <c r="O3326" s="1" t="str">
        <f t="shared" ca="1" si="27"/>
        <v>Please solve the LeetCode problem '3597. Partition String 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27" spans="1:15" x14ac:dyDescent="0.25">
      <c r="A3327" s="1">
        <v>3786</v>
      </c>
      <c r="B3327" s="2" t="str">
        <f>HYPERLINK("https://leetcode.com/problems/total-sum-of-interaction-cost-in-tree-groups/", "Total Sum of Interaction Cost in Tree Groups")</f>
        <v>Total Sum of Interaction Cost in Tree Groups</v>
      </c>
      <c r="C3327" s="1">
        <v>64</v>
      </c>
      <c r="D3327" s="1">
        <v>3</v>
      </c>
      <c r="E3327" s="3">
        <f t="shared" si="26"/>
        <v>0.95522388059701491</v>
      </c>
      <c r="F3327" s="1" t="s">
        <v>1073</v>
      </c>
      <c r="G3327" s="1" t="s">
        <v>28</v>
      </c>
      <c r="H3327" s="1">
        <v>6546</v>
      </c>
      <c r="I3327" s="1">
        <v>12321</v>
      </c>
      <c r="J3327" s="7">
        <v>0.53100000000000003</v>
      </c>
      <c r="K3327" s="1" t="s">
        <v>21</v>
      </c>
      <c r="L3327" s="1" t="s">
        <v>29</v>
      </c>
      <c r="M3327" s="1" t="s">
        <v>29</v>
      </c>
      <c r="N3327" s="1" t="s">
        <v>22</v>
      </c>
      <c r="O3327" s="1" t="str">
        <f t="shared" ca="1" si="27"/>
        <v>Please solve the LeetCode problem '3786. Total Sum of Interaction Cost in Tree Groups'.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28" spans="1:15" x14ac:dyDescent="0.25">
      <c r="A3328" s="1">
        <v>2051</v>
      </c>
      <c r="B3328" s="2" t="str">
        <f>HYPERLINK("https://leetcode.com/problems/the-category-of-each-member-in-the-store/", "The Category of Each Member in the Store")</f>
        <v>The Category of Each Member in the Store</v>
      </c>
      <c r="C3328" s="1">
        <v>63</v>
      </c>
      <c r="D3328" s="1">
        <v>8</v>
      </c>
      <c r="E3328" s="3">
        <f t="shared" si="26"/>
        <v>0.88732394366197187</v>
      </c>
      <c r="F3328" s="1" t="s">
        <v>297</v>
      </c>
      <c r="G3328" s="1" t="s">
        <v>24</v>
      </c>
      <c r="H3328" s="1">
        <v>10559</v>
      </c>
      <c r="I3328" s="1">
        <v>14930</v>
      </c>
      <c r="J3328" s="7">
        <v>0.70699999999999996</v>
      </c>
      <c r="K3328" s="1" t="s">
        <v>29</v>
      </c>
      <c r="L3328" s="1" t="s">
        <v>29</v>
      </c>
      <c r="M3328" s="1" t="s">
        <v>29</v>
      </c>
      <c r="N3328" s="1" t="s">
        <v>297</v>
      </c>
      <c r="O3328" s="1" t="str">
        <f t="shared" ca="1" si="27"/>
        <v>Please solve the LeetCode problem '2051. The Category of Each Member in the Store'.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29" spans="1:15" x14ac:dyDescent="0.25">
      <c r="A3329" s="1">
        <v>2247</v>
      </c>
      <c r="B3329" s="2" t="str">
        <f>HYPERLINK("https://leetcode.com/problems/maximum-cost-of-trip-with-k-highways/", "Maximum Cost of Trip With K Highways")</f>
        <v>Maximum Cost of Trip With K Highways</v>
      </c>
      <c r="C3329" s="1">
        <v>63</v>
      </c>
      <c r="D3329" s="1">
        <v>0</v>
      </c>
      <c r="E3329" s="3">
        <f t="shared" si="26"/>
        <v>1</v>
      </c>
      <c r="F3329" s="1" t="s">
        <v>1366</v>
      </c>
      <c r="G3329" s="1" t="s">
        <v>28</v>
      </c>
      <c r="H3329" s="1">
        <v>2327</v>
      </c>
      <c r="I3329" s="1">
        <v>4573</v>
      </c>
      <c r="J3329" s="7">
        <v>0.50900000000000001</v>
      </c>
      <c r="K3329" s="1" t="s">
        <v>29</v>
      </c>
      <c r="L3329" s="1" t="s">
        <v>29</v>
      </c>
      <c r="M3329" s="1" t="s">
        <v>29</v>
      </c>
      <c r="N3329" s="1" t="s">
        <v>22</v>
      </c>
      <c r="O3329" s="1" t="str">
        <f t="shared" ca="1" si="27"/>
        <v>Please solve the LeetCode problem '2247. Maximum Cost of Trip With K Highways'.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30" spans="1:15" x14ac:dyDescent="0.25">
      <c r="A3330" s="1">
        <v>2459</v>
      </c>
      <c r="B3330" s="2" t="str">
        <f>HYPERLINK("https://leetcode.com/problems/sort-array-by-moving-items-to-empty-space/", "Sort Array by Moving Items to Empty Space")</f>
        <v>Sort Array by Moving Items to Empty Space</v>
      </c>
      <c r="C3330" s="1">
        <v>63</v>
      </c>
      <c r="D3330" s="1">
        <v>1</v>
      </c>
      <c r="E3330" s="3">
        <f t="shared" si="26"/>
        <v>0.984375</v>
      </c>
      <c r="F3330" s="1" t="s">
        <v>169</v>
      </c>
      <c r="G3330" s="1" t="s">
        <v>28</v>
      </c>
      <c r="H3330" s="1">
        <v>2834</v>
      </c>
      <c r="I3330" s="1">
        <v>6263</v>
      </c>
      <c r="J3330" s="7">
        <v>0.45200000000000001</v>
      </c>
      <c r="K3330" s="1" t="s">
        <v>29</v>
      </c>
      <c r="L3330" s="1" t="s">
        <v>29</v>
      </c>
      <c r="M3330" s="1" t="s">
        <v>29</v>
      </c>
      <c r="N3330" s="1" t="s">
        <v>22</v>
      </c>
      <c r="O3330" s="1" t="str">
        <f t="shared" ca="1" si="27"/>
        <v>Please solve the LeetCode problem '2459. Sort Array by Moving Items to Empty Space'.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31" spans="1:15" x14ac:dyDescent="0.25">
      <c r="A3331" s="1">
        <v>3352</v>
      </c>
      <c r="B3331" s="2" t="str">
        <f>HYPERLINK("https://leetcode.com/problems/count-k-reducible-numbers-less-than-n/", "Count K-Reducible Numbers Less Than N")</f>
        <v>Count K-Reducible Numbers Less Than N</v>
      </c>
      <c r="C3331" s="1">
        <v>63</v>
      </c>
      <c r="D3331" s="1">
        <v>3</v>
      </c>
      <c r="E3331" s="3">
        <f t="shared" si="26"/>
        <v>0.95454545454545459</v>
      </c>
      <c r="F3331" s="1" t="s">
        <v>734</v>
      </c>
      <c r="G3331" s="1" t="s">
        <v>28</v>
      </c>
      <c r="H3331" s="1">
        <v>4402</v>
      </c>
      <c r="I3331" s="1">
        <v>16153</v>
      </c>
      <c r="J3331" s="7">
        <v>0.27300000000000002</v>
      </c>
      <c r="K3331" s="1" t="s">
        <v>21</v>
      </c>
      <c r="L3331" s="1" t="s">
        <v>29</v>
      </c>
      <c r="M3331" s="1" t="s">
        <v>29</v>
      </c>
      <c r="N3331" s="1" t="s">
        <v>22</v>
      </c>
      <c r="O3331" s="1" t="str">
        <f t="shared" ca="1" si="27"/>
        <v>Please solve the LeetCode problem '3352. Count K-Reducible Numbers Less Than 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32" spans="1:15" x14ac:dyDescent="0.25">
      <c r="A3332" s="1">
        <v>3502</v>
      </c>
      <c r="B3332" s="2" t="str">
        <f>HYPERLINK("https://leetcode.com/problems/minimum-cost-to-reach-every-position/", "Minimum Cost to Reach Every Position")</f>
        <v>Minimum Cost to Reach Every Position</v>
      </c>
      <c r="C3332" s="1">
        <v>63</v>
      </c>
      <c r="D3332" s="1">
        <v>78</v>
      </c>
      <c r="E3332" s="3">
        <f t="shared" si="26"/>
        <v>0.44680851063829785</v>
      </c>
      <c r="F3332" s="1" t="s">
        <v>113</v>
      </c>
      <c r="G3332" s="1" t="s">
        <v>20</v>
      </c>
      <c r="H3332" s="1">
        <v>38935</v>
      </c>
      <c r="I3332" s="1">
        <v>46855</v>
      </c>
      <c r="J3332" s="7">
        <v>0.83099999999999996</v>
      </c>
      <c r="K3332" s="1" t="s">
        <v>21</v>
      </c>
      <c r="L3332" s="1" t="s">
        <v>29</v>
      </c>
      <c r="M3332" s="1" t="s">
        <v>29</v>
      </c>
      <c r="N3332" s="1" t="s">
        <v>22</v>
      </c>
      <c r="O3332" s="1" t="str">
        <f t="shared" ca="1" si="27"/>
        <v>Please solve the LeetCode problem '3502. Minimum Cost to Reach Every Position'.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33" spans="1:15" x14ac:dyDescent="0.25">
      <c r="A3333" s="1">
        <v>3752</v>
      </c>
      <c r="B3333" s="2" t="str">
        <f>HYPERLINK("https://leetcode.com/problems/lexicographically-smallest-negated-permutation-that-sums-to-target/", "Lexicographically Smallest Negated Permutation that Sums to Target")</f>
        <v>Lexicographically Smallest Negated Permutation that Sums to Target</v>
      </c>
      <c r="C3333" s="1">
        <v>63</v>
      </c>
      <c r="D3333" s="1">
        <v>6</v>
      </c>
      <c r="E3333" s="3">
        <f t="shared" si="26"/>
        <v>0.91304347826086951</v>
      </c>
      <c r="F3333" s="1" t="s">
        <v>1233</v>
      </c>
      <c r="G3333" s="1" t="s">
        <v>24</v>
      </c>
      <c r="H3333" s="1">
        <v>11608</v>
      </c>
      <c r="I3333" s="1">
        <v>38808</v>
      </c>
      <c r="J3333" s="7">
        <v>0.29899999999999999</v>
      </c>
      <c r="K3333" s="1" t="s">
        <v>21</v>
      </c>
      <c r="L3333" s="1" t="s">
        <v>29</v>
      </c>
      <c r="M3333" s="1" t="s">
        <v>29</v>
      </c>
      <c r="N3333" s="1" t="s">
        <v>22</v>
      </c>
      <c r="O3333" s="1" t="str">
        <f t="shared" ca="1" si="27"/>
        <v>Please solve the LeetCode problem '3752. Lexicographically Smallest Negated Permutation that Sums to Target'.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34" spans="1:15" x14ac:dyDescent="0.25">
      <c r="A3334" s="1">
        <v>3357</v>
      </c>
      <c r="B3334" s="2" t="str">
        <f>HYPERLINK("https://leetcode.com/problems/minimize-the-maximum-adjacent-element-difference/", "Minimize the Maximum Adjacent Element Difference")</f>
        <v>Minimize the Maximum Adjacent Element Difference</v>
      </c>
      <c r="C3334" s="1">
        <v>62</v>
      </c>
      <c r="D3334" s="1">
        <v>14</v>
      </c>
      <c r="E3334" s="3">
        <f t="shared" si="26"/>
        <v>0.81578947368421051</v>
      </c>
      <c r="F3334" s="1" t="s">
        <v>533</v>
      </c>
      <c r="G3334" s="1" t="s">
        <v>28</v>
      </c>
      <c r="H3334" s="1">
        <v>3446</v>
      </c>
      <c r="I3334" s="1">
        <v>17956</v>
      </c>
      <c r="J3334" s="7">
        <v>0.192</v>
      </c>
      <c r="K3334" s="1" t="s">
        <v>21</v>
      </c>
      <c r="L3334" s="1" t="s">
        <v>29</v>
      </c>
      <c r="M3334" s="1" t="s">
        <v>29</v>
      </c>
      <c r="N3334" s="1" t="s">
        <v>22</v>
      </c>
      <c r="O3334" s="1" t="str">
        <f t="shared" ca="1" si="27"/>
        <v>Please solve the LeetCode problem '3357. Minimize the Maximum Adjacent Element Difference'.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35" spans="1:15" x14ac:dyDescent="0.25">
      <c r="A3335" s="1">
        <v>3402</v>
      </c>
      <c r="B3335" s="2" t="str">
        <f>HYPERLINK("https://leetcode.com/problems/minimum-operations-to-make-columns-strictly-increasing/", "Minimum Operations to Make Columns Strictly Increasing")</f>
        <v>Minimum Operations to Make Columns Strictly Increasing</v>
      </c>
      <c r="C3335" s="1">
        <v>62</v>
      </c>
      <c r="D3335" s="1">
        <v>5</v>
      </c>
      <c r="E3335" s="3">
        <f t="shared" si="26"/>
        <v>0.92537313432835822</v>
      </c>
      <c r="F3335" s="1" t="s">
        <v>405</v>
      </c>
      <c r="G3335" s="1" t="s">
        <v>20</v>
      </c>
      <c r="H3335" s="1">
        <v>36119</v>
      </c>
      <c r="I3335" s="1">
        <v>49881</v>
      </c>
      <c r="J3335" s="7">
        <v>0.72399999999999998</v>
      </c>
      <c r="K3335" s="1" t="s">
        <v>21</v>
      </c>
      <c r="L3335" s="1" t="s">
        <v>29</v>
      </c>
      <c r="M3335" s="1" t="s">
        <v>29</v>
      </c>
      <c r="N3335" s="1" t="s">
        <v>22</v>
      </c>
      <c r="O3335" s="1" t="str">
        <f t="shared" ca="1" si="27"/>
        <v>Please solve the LeetCode problem '3402. Minimum Operations to Make Columns Strictly Increasing'.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36" spans="1:15" x14ac:dyDescent="0.25">
      <c r="A3336" s="1">
        <v>3456</v>
      </c>
      <c r="B3336" s="2" t="str">
        <f>HYPERLINK("https://leetcode.com/problems/find-special-substring-of-length-k/", "Find Special Substring of Length K")</f>
        <v>Find Special Substring of Length K</v>
      </c>
      <c r="C3336" s="1">
        <v>62</v>
      </c>
      <c r="D3336" s="1">
        <v>10</v>
      </c>
      <c r="E3336" s="3">
        <f t="shared" si="26"/>
        <v>0.86111111111111116</v>
      </c>
      <c r="F3336" s="1" t="s">
        <v>146</v>
      </c>
      <c r="G3336" s="1" t="s">
        <v>20</v>
      </c>
      <c r="H3336" s="1">
        <v>40885</v>
      </c>
      <c r="I3336" s="1">
        <v>116506</v>
      </c>
      <c r="J3336" s="7">
        <v>0.35099999999999998</v>
      </c>
      <c r="K3336" s="1" t="s">
        <v>21</v>
      </c>
      <c r="L3336" s="1" t="s">
        <v>29</v>
      </c>
      <c r="M3336" s="1" t="s">
        <v>29</v>
      </c>
      <c r="N3336" s="1" t="s">
        <v>22</v>
      </c>
      <c r="O3336" s="1" t="str">
        <f t="shared" ca="1" si="27"/>
        <v>Please solve the LeetCode problem '3456. Find Special Substring of Length K'.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37" spans="1:15" x14ac:dyDescent="0.25">
      <c r="A3337" s="1">
        <v>3492</v>
      </c>
      <c r="B3337" s="2" t="str">
        <f>HYPERLINK("https://leetcode.com/problems/maximum-containers-on-a-ship/", "Maximum Containers on a Ship")</f>
        <v>Maximum Containers on a Ship</v>
      </c>
      <c r="C3337" s="1">
        <v>62</v>
      </c>
      <c r="D3337" s="1">
        <v>13</v>
      </c>
      <c r="E3337" s="3">
        <f t="shared" si="26"/>
        <v>0.82666666666666666</v>
      </c>
      <c r="F3337" s="1" t="s">
        <v>84</v>
      </c>
      <c r="G3337" s="1" t="s">
        <v>20</v>
      </c>
      <c r="H3337" s="1">
        <v>48287</v>
      </c>
      <c r="I3337" s="1">
        <v>64284</v>
      </c>
      <c r="J3337" s="7">
        <v>0.751</v>
      </c>
      <c r="K3337" s="1" t="s">
        <v>21</v>
      </c>
      <c r="L3337" s="1" t="s">
        <v>29</v>
      </c>
      <c r="M3337" s="1" t="s">
        <v>29</v>
      </c>
      <c r="N3337" s="1" t="s">
        <v>22</v>
      </c>
      <c r="O3337" s="1" t="str">
        <f t="shared" ca="1" si="27"/>
        <v>Please solve the LeetCode problem '3492. Maximum Containers on a Ship'.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38" spans="1:15" x14ac:dyDescent="0.25">
      <c r="A3338" s="1">
        <v>3515</v>
      </c>
      <c r="B3338" s="2" t="str">
        <f>HYPERLINK("https://leetcode.com/problems/shortest-path-in-a-weighted-tree/", "Shortest Path in a Weighted Tree")</f>
        <v>Shortest Path in a Weighted Tree</v>
      </c>
      <c r="C3338" s="1">
        <v>62</v>
      </c>
      <c r="D3338" s="1">
        <v>2</v>
      </c>
      <c r="E3338" s="3">
        <f t="shared" si="26"/>
        <v>0.96875</v>
      </c>
      <c r="F3338" s="1" t="s">
        <v>1234</v>
      </c>
      <c r="G3338" s="1" t="s">
        <v>28</v>
      </c>
      <c r="H3338" s="1">
        <v>6854</v>
      </c>
      <c r="I3338" s="1">
        <v>16361</v>
      </c>
      <c r="J3338" s="7">
        <v>0.41899999999999998</v>
      </c>
      <c r="K3338" s="1" t="s">
        <v>21</v>
      </c>
      <c r="L3338" s="1" t="s">
        <v>29</v>
      </c>
      <c r="M3338" s="1" t="s">
        <v>29</v>
      </c>
      <c r="N3338" s="1" t="s">
        <v>22</v>
      </c>
      <c r="O3338" s="1" t="str">
        <f t="shared" ca="1" si="27"/>
        <v>Please solve the LeetCode problem '3515. Shortest Path in a Weighted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39" spans="1:15" x14ac:dyDescent="0.25">
      <c r="A3339" s="1">
        <v>3529</v>
      </c>
      <c r="B3339" s="2" t="str">
        <f>HYPERLINK("https://leetcode.com/problems/count-cells-in-overlapping-horizontal-and-vertical-substrings/", "Count Cells in Overlapping Horizontal and Vertical Substrings")</f>
        <v>Count Cells in Overlapping Horizontal and Vertical Substrings</v>
      </c>
      <c r="C3339" s="1">
        <v>62</v>
      </c>
      <c r="D3339" s="1">
        <v>14</v>
      </c>
      <c r="E3339" s="3">
        <f t="shared" si="26"/>
        <v>0.81578947368421051</v>
      </c>
      <c r="F3339" s="1" t="s">
        <v>1237</v>
      </c>
      <c r="G3339" s="1" t="s">
        <v>24</v>
      </c>
      <c r="H3339" s="1">
        <v>7254</v>
      </c>
      <c r="I3339" s="1">
        <v>27152</v>
      </c>
      <c r="J3339" s="7">
        <v>0.26700000000000002</v>
      </c>
      <c r="K3339" s="1" t="s">
        <v>21</v>
      </c>
      <c r="L3339" s="1" t="s">
        <v>29</v>
      </c>
      <c r="M3339" s="1" t="s">
        <v>29</v>
      </c>
      <c r="N3339" s="1" t="s">
        <v>22</v>
      </c>
      <c r="O3339" s="1" t="str">
        <f t="shared" ca="1" si="27"/>
        <v>Please solve the LeetCode problem '3529. Count Cells in Overlapping Horizontal and Vertical Substrings'.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40" spans="1:15" x14ac:dyDescent="0.25">
      <c r="A3340" s="1">
        <v>3591</v>
      </c>
      <c r="B3340" s="2" t="str">
        <f>HYPERLINK("https://leetcode.com/problems/check-if-any-element-has-prime-frequency/", "Check if Any Element Has Prime Frequency")</f>
        <v>Check if Any Element Has Prime Frequency</v>
      </c>
      <c r="C3340" s="1">
        <v>62</v>
      </c>
      <c r="D3340" s="1">
        <v>2</v>
      </c>
      <c r="E3340" s="3">
        <f t="shared" si="26"/>
        <v>0.96875</v>
      </c>
      <c r="F3340" s="1" t="s">
        <v>518</v>
      </c>
      <c r="G3340" s="1" t="s">
        <v>20</v>
      </c>
      <c r="H3340" s="1">
        <v>49806</v>
      </c>
      <c r="I3340" s="1">
        <v>79831</v>
      </c>
      <c r="J3340" s="7">
        <v>0.624</v>
      </c>
      <c r="K3340" s="1" t="s">
        <v>21</v>
      </c>
      <c r="L3340" s="1" t="s">
        <v>29</v>
      </c>
      <c r="M3340" s="1" t="s">
        <v>29</v>
      </c>
      <c r="N3340" s="1" t="s">
        <v>22</v>
      </c>
      <c r="O3340" s="1" t="str">
        <f t="shared" ca="1" si="27"/>
        <v>Please solve the LeetCode problem '3591. Check if Any Element Has Prime Frequency'.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41" spans="1:15" x14ac:dyDescent="0.25">
      <c r="A3341" s="1">
        <v>3619</v>
      </c>
      <c r="B3341" s="2" t="str">
        <f>HYPERLINK("https://leetcode.com/problems/count-islands-with-total-value-divisible-by-k/", "Count Islands With Total Value Divisible by K")</f>
        <v>Count Islands With Total Value Divisible by K</v>
      </c>
      <c r="C3341" s="1">
        <v>62</v>
      </c>
      <c r="D3341" s="1">
        <v>1</v>
      </c>
      <c r="E3341" s="3">
        <f t="shared" si="26"/>
        <v>0.98412698412698407</v>
      </c>
      <c r="F3341" s="1" t="s">
        <v>40</v>
      </c>
      <c r="G3341" s="1" t="s">
        <v>24</v>
      </c>
      <c r="H3341" s="1">
        <v>28872</v>
      </c>
      <c r="I3341" s="1">
        <v>51308</v>
      </c>
      <c r="J3341" s="7">
        <v>0.56299999999999994</v>
      </c>
      <c r="K3341" s="1" t="s">
        <v>21</v>
      </c>
      <c r="L3341" s="1" t="s">
        <v>29</v>
      </c>
      <c r="M3341" s="1" t="s">
        <v>29</v>
      </c>
      <c r="N3341" s="1" t="s">
        <v>22</v>
      </c>
      <c r="O3341" s="1" t="str">
        <f t="shared" ca="1" si="27"/>
        <v>Please solve the LeetCode problem '3619. Count Islands With Total Value Divisible by K'.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42" spans="1:15" x14ac:dyDescent="0.25">
      <c r="A3342" s="1">
        <v>3633</v>
      </c>
      <c r="B3342" s="2" t="str">
        <f>HYPERLINK("https://leetcode.com/problems/earliest-finish-time-for-land-and-water-rides-i/", "Earliest Finish Time for Land and Water Rides I")</f>
        <v>Earliest Finish Time for Land and Water Rides I</v>
      </c>
      <c r="C3342" s="1">
        <v>62</v>
      </c>
      <c r="D3342" s="1">
        <v>14</v>
      </c>
      <c r="E3342" s="3">
        <f t="shared" si="26"/>
        <v>0.81578947368421051</v>
      </c>
      <c r="F3342" s="1" t="s">
        <v>290</v>
      </c>
      <c r="G3342" s="1" t="s">
        <v>20</v>
      </c>
      <c r="H3342" s="1">
        <v>31774</v>
      </c>
      <c r="I3342" s="1">
        <v>51712</v>
      </c>
      <c r="J3342" s="7">
        <v>0.61399999999999999</v>
      </c>
      <c r="K3342" s="1" t="s">
        <v>21</v>
      </c>
      <c r="L3342" s="1" t="s">
        <v>29</v>
      </c>
      <c r="M3342" s="1" t="s">
        <v>29</v>
      </c>
      <c r="N3342" s="1" t="s">
        <v>22</v>
      </c>
      <c r="O3342" s="1" t="str">
        <f t="shared" ca="1" si="27"/>
        <v>Please solve the LeetCode problem '3633. Earliest Finish Time for Land and Water Rides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43" spans="1:15" x14ac:dyDescent="0.25">
      <c r="A3343" s="1">
        <v>3637</v>
      </c>
      <c r="B3343" s="2" t="str">
        <f>HYPERLINK("https://leetcode.com/problems/trionic-array-i/", "Trionic Array I")</f>
        <v>Trionic Array I</v>
      </c>
      <c r="C3343" s="1">
        <v>62</v>
      </c>
      <c r="D3343" s="1">
        <v>6</v>
      </c>
      <c r="E3343" s="3">
        <f t="shared" si="26"/>
        <v>0.91176470588235292</v>
      </c>
      <c r="F3343" s="1" t="s">
        <v>113</v>
      </c>
      <c r="G3343" s="1" t="s">
        <v>20</v>
      </c>
      <c r="H3343" s="1">
        <v>60823</v>
      </c>
      <c r="I3343" s="1">
        <v>129471</v>
      </c>
      <c r="J3343" s="7">
        <v>0.47</v>
      </c>
      <c r="K3343" s="1" t="s">
        <v>21</v>
      </c>
      <c r="L3343" s="1" t="s">
        <v>29</v>
      </c>
      <c r="M3343" s="1" t="s">
        <v>29</v>
      </c>
      <c r="N3343" s="1" t="s">
        <v>22</v>
      </c>
      <c r="O3343" s="1" t="str">
        <f t="shared" ca="1" si="27"/>
        <v>Please solve the LeetCode problem '3637. Trionic Array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44" spans="1:15" x14ac:dyDescent="0.25">
      <c r="A3344" s="1">
        <v>3650</v>
      </c>
      <c r="B3344" s="2" t="str">
        <f>HYPERLINK("https://leetcode.com/problems/minimum-cost-path-with-edge-reversals/", "Minimum Cost Path with Edge Reversals")</f>
        <v>Minimum Cost Path with Edge Reversals</v>
      </c>
      <c r="C3344" s="1">
        <v>62</v>
      </c>
      <c r="D3344" s="1">
        <v>2</v>
      </c>
      <c r="E3344" s="3">
        <f t="shared" si="26"/>
        <v>0.96875</v>
      </c>
      <c r="F3344" s="1" t="s">
        <v>737</v>
      </c>
      <c r="G3344" s="1" t="s">
        <v>24</v>
      </c>
      <c r="H3344" s="1">
        <v>15672</v>
      </c>
      <c r="I3344" s="1">
        <v>33184</v>
      </c>
      <c r="J3344" s="7">
        <v>0.47199999999999998</v>
      </c>
      <c r="K3344" s="1" t="s">
        <v>21</v>
      </c>
      <c r="L3344" s="1" t="s">
        <v>29</v>
      </c>
      <c r="M3344" s="1" t="s">
        <v>29</v>
      </c>
      <c r="N3344" s="1" t="s">
        <v>22</v>
      </c>
      <c r="O3344" s="1" t="str">
        <f t="shared" ca="1" si="27"/>
        <v>Please solve the LeetCode problem '3650. Minimum Cost Path with Edge Reversals'.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45" spans="1:15" x14ac:dyDescent="0.25">
      <c r="A3345" s="1">
        <v>3694</v>
      </c>
      <c r="B3345" s="2" t="str">
        <f>HYPERLINK("https://leetcode.com/problems/distinct-points-reachable-after-substring-removal/", "Distinct Points Reachable After Substring Removal")</f>
        <v>Distinct Points Reachable After Substring Removal</v>
      </c>
      <c r="C3345" s="1">
        <v>62</v>
      </c>
      <c r="D3345" s="1">
        <v>1</v>
      </c>
      <c r="E3345" s="3">
        <f t="shared" si="26"/>
        <v>0.98412698412698407</v>
      </c>
      <c r="F3345" s="1" t="s">
        <v>1231</v>
      </c>
      <c r="G3345" s="1" t="s">
        <v>24</v>
      </c>
      <c r="H3345" s="1">
        <v>15604</v>
      </c>
      <c r="I3345" s="1">
        <v>29109</v>
      </c>
      <c r="J3345" s="7">
        <v>0.53600000000000003</v>
      </c>
      <c r="K3345" s="1" t="s">
        <v>21</v>
      </c>
      <c r="L3345" s="1" t="s">
        <v>29</v>
      </c>
      <c r="M3345" s="1" t="s">
        <v>29</v>
      </c>
      <c r="N3345" s="1" t="s">
        <v>22</v>
      </c>
      <c r="O3345" s="1" t="str">
        <f t="shared" ca="1" si="27"/>
        <v>Please solve the LeetCode problem '3694. Distinct Points Reachable After Substring Removal'.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46" spans="1:15" x14ac:dyDescent="0.25">
      <c r="A3346" s="1">
        <v>3715</v>
      </c>
      <c r="B3346" s="2" t="str">
        <f>HYPERLINK("https://leetcode.com/problems/sum-of-perfect-square-ancestors/", "Sum of Perfect Square Ancestors")</f>
        <v>Sum of Perfect Square Ancestors</v>
      </c>
      <c r="C3346" s="1">
        <v>62</v>
      </c>
      <c r="D3346" s="1">
        <v>3</v>
      </c>
      <c r="E3346" s="3">
        <f t="shared" si="26"/>
        <v>0.9538461538461539</v>
      </c>
      <c r="F3346" s="1" t="s">
        <v>1228</v>
      </c>
      <c r="G3346" s="1" t="s">
        <v>28</v>
      </c>
      <c r="H3346" s="1">
        <v>6653</v>
      </c>
      <c r="I3346" s="1">
        <v>15777</v>
      </c>
      <c r="J3346" s="7">
        <v>0.42199999999999999</v>
      </c>
      <c r="K3346" s="1" t="s">
        <v>21</v>
      </c>
      <c r="L3346" s="1" t="s">
        <v>29</v>
      </c>
      <c r="M3346" s="1" t="s">
        <v>29</v>
      </c>
      <c r="N3346" s="1" t="s">
        <v>22</v>
      </c>
      <c r="O3346" s="1" t="str">
        <f t="shared" ca="1" si="27"/>
        <v>Please solve the LeetCode problem '3715. Sum of Perfect Square Ancestors'.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47" spans="1:15" x14ac:dyDescent="0.25">
      <c r="A3347" s="1">
        <v>3759</v>
      </c>
      <c r="B3347" s="2" t="str">
        <f>HYPERLINK("https://leetcode.com/problems/count-elements-with-at-least-k-greater-values/", "Count Elements With at Least K Greater Values")</f>
        <v>Count Elements With at Least K Greater Values</v>
      </c>
      <c r="C3347" s="1">
        <v>62</v>
      </c>
      <c r="D3347" s="1">
        <v>7</v>
      </c>
      <c r="E3347" s="3">
        <f t="shared" si="26"/>
        <v>0.89855072463768115</v>
      </c>
      <c r="F3347" s="1" t="s">
        <v>1224</v>
      </c>
      <c r="G3347" s="1" t="s">
        <v>24</v>
      </c>
      <c r="H3347" s="1">
        <v>29409</v>
      </c>
      <c r="I3347" s="1">
        <v>94935</v>
      </c>
      <c r="J3347" s="7">
        <v>0.31</v>
      </c>
      <c r="K3347" s="1" t="s">
        <v>21</v>
      </c>
      <c r="L3347" s="1" t="s">
        <v>29</v>
      </c>
      <c r="M3347" s="1" t="s">
        <v>29</v>
      </c>
      <c r="N3347" s="1" t="s">
        <v>22</v>
      </c>
      <c r="O3347" s="1" t="str">
        <f t="shared" ca="1" si="27"/>
        <v>Please solve the LeetCode problem '3759. Count Elements With at Least K Greater Values'.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48" spans="1:15" x14ac:dyDescent="0.25">
      <c r="A3348" s="1">
        <v>3789</v>
      </c>
      <c r="B3348" s="2" t="str">
        <f>HYPERLINK("https://leetcode.com/problems/minimum-cost-to-acquire-required-items/", "Minimum Cost to Acquire Required Items")</f>
        <v>Minimum Cost to Acquire Required Items</v>
      </c>
      <c r="C3348" s="1">
        <v>62</v>
      </c>
      <c r="D3348" s="1">
        <v>5</v>
      </c>
      <c r="E3348" s="3">
        <f t="shared" si="26"/>
        <v>0.92537313432835822</v>
      </c>
      <c r="F3348" s="1" t="s">
        <v>296</v>
      </c>
      <c r="G3348" s="1" t="s">
        <v>24</v>
      </c>
      <c r="H3348" s="1">
        <v>22331</v>
      </c>
      <c r="I3348" s="1">
        <v>64728</v>
      </c>
      <c r="J3348" s="7">
        <v>0.34499999999999997</v>
      </c>
      <c r="K3348" s="1" t="s">
        <v>21</v>
      </c>
      <c r="L3348" s="1" t="s">
        <v>29</v>
      </c>
      <c r="M3348" s="1" t="s">
        <v>29</v>
      </c>
      <c r="N3348" s="1" t="s">
        <v>22</v>
      </c>
      <c r="O3348" s="1" t="str">
        <f t="shared" ca="1" si="27"/>
        <v>Please solve the LeetCode problem '3789. Minimum Cost to Acquire Required Items'.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49" spans="1:15" x14ac:dyDescent="0.25">
      <c r="A3349" s="1">
        <v>1421</v>
      </c>
      <c r="B3349" s="2" t="str">
        <f>HYPERLINK("https://leetcode.com/problems/npv-queries/", "NPV Queries")</f>
        <v>NPV Queries</v>
      </c>
      <c r="C3349" s="1">
        <v>61</v>
      </c>
      <c r="D3349" s="1">
        <v>297</v>
      </c>
      <c r="E3349" s="3">
        <f t="shared" si="26"/>
        <v>0.17039106145251395</v>
      </c>
      <c r="F3349" s="1" t="s">
        <v>297</v>
      </c>
      <c r="G3349" s="1" t="s">
        <v>20</v>
      </c>
      <c r="H3349" s="1">
        <v>31108</v>
      </c>
      <c r="I3349" s="1">
        <v>37482</v>
      </c>
      <c r="J3349" s="7">
        <v>0.83</v>
      </c>
      <c r="K3349" s="1" t="s">
        <v>29</v>
      </c>
      <c r="L3349" s="1" t="s">
        <v>21</v>
      </c>
      <c r="M3349" s="1" t="s">
        <v>29</v>
      </c>
      <c r="N3349" s="1" t="s">
        <v>297</v>
      </c>
      <c r="O3349" s="1" t="str">
        <f t="shared" ca="1" si="27"/>
        <v>Please solve the LeetCode problem '1421. NPV Queries'.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50" spans="1:15" x14ac:dyDescent="0.25">
      <c r="A3350" s="1">
        <v>1919</v>
      </c>
      <c r="B3350" s="2" t="str">
        <f>HYPERLINK("https://leetcode.com/problems/leetcodify-similar-friends/", "Leetcodify Similar Friends")</f>
        <v>Leetcodify Similar Friends</v>
      </c>
      <c r="C3350" s="1">
        <v>61</v>
      </c>
      <c r="D3350" s="1">
        <v>6</v>
      </c>
      <c r="E3350" s="3">
        <f t="shared" si="26"/>
        <v>0.91044776119402981</v>
      </c>
      <c r="F3350" s="1" t="s">
        <v>297</v>
      </c>
      <c r="G3350" s="1" t="s">
        <v>28</v>
      </c>
      <c r="H3350" s="1">
        <v>7541</v>
      </c>
      <c r="I3350" s="1">
        <v>17541</v>
      </c>
      <c r="J3350" s="7">
        <v>0.43</v>
      </c>
      <c r="K3350" s="1" t="s">
        <v>29</v>
      </c>
      <c r="L3350" s="1" t="s">
        <v>29</v>
      </c>
      <c r="M3350" s="1" t="s">
        <v>29</v>
      </c>
      <c r="N3350" s="1" t="s">
        <v>297</v>
      </c>
      <c r="O3350" s="1" t="str">
        <f t="shared" ca="1" si="27"/>
        <v>Please solve the LeetCode problem '1919. Leetcodify Similar Friends'.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51" spans="1:15" x14ac:dyDescent="0.25">
      <c r="A3351" s="1">
        <v>1933</v>
      </c>
      <c r="B3351" s="2" t="str">
        <f>HYPERLINK("https://leetcode.com/problems/check-if-string-is-decomposable-into-value-equal-substrings/", "Check if String Is Decomposable Into Value-Equal Substrings")</f>
        <v>Check if String Is Decomposable Into Value-Equal Substrings</v>
      </c>
      <c r="C3351" s="1">
        <v>61</v>
      </c>
      <c r="D3351" s="1">
        <v>15</v>
      </c>
      <c r="E3351" s="3">
        <f t="shared" si="26"/>
        <v>0.80263157894736847</v>
      </c>
      <c r="F3351" s="1" t="s">
        <v>146</v>
      </c>
      <c r="G3351" s="1" t="s">
        <v>20</v>
      </c>
      <c r="H3351" s="1">
        <v>4683</v>
      </c>
      <c r="I3351" s="1">
        <v>9230</v>
      </c>
      <c r="J3351" s="7">
        <v>0.50700000000000001</v>
      </c>
      <c r="K3351" s="1" t="s">
        <v>29</v>
      </c>
      <c r="L3351" s="1" t="s">
        <v>29</v>
      </c>
      <c r="M3351" s="1" t="s">
        <v>29</v>
      </c>
      <c r="N3351" s="1" t="s">
        <v>22</v>
      </c>
      <c r="O3351" s="1" t="str">
        <f t="shared" ca="1" si="27"/>
        <v>Please solve the LeetCode problem '1933. Check if String Is Decomposable Into Value-Equal Substrings'.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52" spans="1:15" x14ac:dyDescent="0.25">
      <c r="A3352" s="1">
        <v>3145</v>
      </c>
      <c r="B3352" s="2" t="str">
        <f>HYPERLINK("https://leetcode.com/problems/find-products-of-elements-of-big-array/", "Find Products of Elements of Big Array")</f>
        <v>Find Products of Elements of Big Array</v>
      </c>
      <c r="C3352" s="1">
        <v>61</v>
      </c>
      <c r="D3352" s="1">
        <v>17</v>
      </c>
      <c r="E3352" s="3">
        <f t="shared" si="26"/>
        <v>0.78205128205128205</v>
      </c>
      <c r="F3352" s="1" t="s">
        <v>1236</v>
      </c>
      <c r="G3352" s="1" t="s">
        <v>28</v>
      </c>
      <c r="H3352" s="1">
        <v>2953</v>
      </c>
      <c r="I3352" s="1">
        <v>12200</v>
      </c>
      <c r="J3352" s="7">
        <v>0.24199999999999999</v>
      </c>
      <c r="K3352" s="1" t="s">
        <v>21</v>
      </c>
      <c r="L3352" s="1" t="s">
        <v>29</v>
      </c>
      <c r="M3352" s="1" t="s">
        <v>29</v>
      </c>
      <c r="N3352" s="1" t="s">
        <v>22</v>
      </c>
      <c r="O3352" s="1" t="str">
        <f t="shared" ca="1" si="27"/>
        <v>Please solve the LeetCode problem '3145. Find Products of Elements of Big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53" spans="1:15" x14ac:dyDescent="0.25">
      <c r="A3353" s="1">
        <v>3485</v>
      </c>
      <c r="B3353" s="2" t="str">
        <f>HYPERLINK("https://leetcode.com/problems/longest-common-prefix-of-k-strings-after-removal/", "Longest Common Prefix of K Strings After Removal")</f>
        <v>Longest Common Prefix of K Strings After Removal</v>
      </c>
      <c r="C3353" s="1">
        <v>61</v>
      </c>
      <c r="D3353" s="1">
        <v>5</v>
      </c>
      <c r="E3353" s="3">
        <f t="shared" si="26"/>
        <v>0.9242424242424242</v>
      </c>
      <c r="F3353" s="1" t="s">
        <v>54</v>
      </c>
      <c r="G3353" s="1" t="s">
        <v>28</v>
      </c>
      <c r="H3353" s="1">
        <v>6300</v>
      </c>
      <c r="I3353" s="1">
        <v>26822</v>
      </c>
      <c r="J3353" s="7">
        <v>0.23499999999999999</v>
      </c>
      <c r="K3353" s="1" t="s">
        <v>21</v>
      </c>
      <c r="L3353" s="1" t="s">
        <v>29</v>
      </c>
      <c r="M3353" s="1" t="s">
        <v>29</v>
      </c>
      <c r="N3353" s="1" t="s">
        <v>22</v>
      </c>
      <c r="O3353" s="1" t="str">
        <f t="shared" ca="1" si="27"/>
        <v>Please solve the LeetCode problem '3485. Longest Common Prefix of K Strings After Removal'.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54" spans="1:15" x14ac:dyDescent="0.25">
      <c r="A3354" s="1">
        <v>3723</v>
      </c>
      <c r="B3354" s="2" t="str">
        <f>HYPERLINK("https://leetcode.com/problems/maximize-sum-of-squares-of-digits/", "Maximize Sum of Squares of Digits")</f>
        <v>Maximize Sum of Squares of Digits</v>
      </c>
      <c r="C3354" s="1">
        <v>61</v>
      </c>
      <c r="D3354" s="1">
        <v>2</v>
      </c>
      <c r="E3354" s="3">
        <f t="shared" si="26"/>
        <v>0.96825396825396826</v>
      </c>
      <c r="F3354" s="1" t="s">
        <v>296</v>
      </c>
      <c r="G3354" s="1" t="s">
        <v>24</v>
      </c>
      <c r="H3354" s="1">
        <v>22204</v>
      </c>
      <c r="I3354" s="1">
        <v>37713</v>
      </c>
      <c r="J3354" s="7">
        <v>0.58899999999999997</v>
      </c>
      <c r="K3354" s="1" t="s">
        <v>21</v>
      </c>
      <c r="L3354" s="1" t="s">
        <v>29</v>
      </c>
      <c r="M3354" s="1" t="s">
        <v>29</v>
      </c>
      <c r="N3354" s="1" t="s">
        <v>22</v>
      </c>
      <c r="O3354" s="1" t="str">
        <f t="shared" ca="1" si="27"/>
        <v>Please solve the LeetCode problem '3723. Maximize Sum of Squares of Digits'.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55" spans="1:15" x14ac:dyDescent="0.25">
      <c r="A3355" s="1">
        <v>3806</v>
      </c>
      <c r="B3355" s="2" t="str">
        <f>HYPERLINK("https://leetcode.com/problems/maximum-bitwise-and-after-increment-operations/", "Maximum Bitwise AND After Increment Operations")</f>
        <v>Maximum Bitwise AND After Increment Operations</v>
      </c>
      <c r="C3355" s="1">
        <v>61</v>
      </c>
      <c r="D3355" s="1">
        <v>3</v>
      </c>
      <c r="E3355" s="3">
        <f t="shared" si="26"/>
        <v>0.953125</v>
      </c>
      <c r="F3355" s="1" t="s">
        <v>1220</v>
      </c>
      <c r="G3355" s="1" t="s">
        <v>28</v>
      </c>
      <c r="H3355" s="1">
        <v>5464</v>
      </c>
      <c r="I3355" s="1">
        <v>18814</v>
      </c>
      <c r="J3355" s="7">
        <v>0.28999999999999998</v>
      </c>
      <c r="K3355" s="1" t="s">
        <v>21</v>
      </c>
      <c r="L3355" s="1" t="s">
        <v>29</v>
      </c>
      <c r="M3355" s="1" t="s">
        <v>29</v>
      </c>
      <c r="N3355" s="1" t="s">
        <v>22</v>
      </c>
      <c r="O3355" s="1" t="str">
        <f t="shared" ca="1" si="27"/>
        <v>Please solve the LeetCode problem '3806. Maximum Bitwise AND After Increment Operations'.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56" spans="1:15" x14ac:dyDescent="0.25">
      <c r="A3356" s="1">
        <v>2324</v>
      </c>
      <c r="B3356" s="2" t="str">
        <f>HYPERLINK("https://leetcode.com/problems/product-sales-analysis-iv/", "Product Sales Analysis IV")</f>
        <v>Product Sales Analysis IV</v>
      </c>
      <c r="C3356" s="1">
        <v>60</v>
      </c>
      <c r="D3356" s="1">
        <v>1</v>
      </c>
      <c r="E3356" s="3">
        <f t="shared" si="26"/>
        <v>0.98360655737704916</v>
      </c>
      <c r="F3356" s="1" t="s">
        <v>297</v>
      </c>
      <c r="G3356" s="1" t="s">
        <v>24</v>
      </c>
      <c r="H3356" s="1">
        <v>10973</v>
      </c>
      <c r="I3356" s="1">
        <v>14469</v>
      </c>
      <c r="J3356" s="7">
        <v>0.75800000000000001</v>
      </c>
      <c r="K3356" s="1" t="s">
        <v>29</v>
      </c>
      <c r="L3356" s="1" t="s">
        <v>29</v>
      </c>
      <c r="M3356" s="1" t="s">
        <v>29</v>
      </c>
      <c r="N3356" s="1" t="s">
        <v>297</v>
      </c>
      <c r="O3356" s="1" t="str">
        <f t="shared" ca="1" si="27"/>
        <v>Please solve the LeetCode problem '2324. Product Sales Analysis IV'.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57" spans="1:15" x14ac:dyDescent="0.25">
      <c r="A3357" s="1">
        <v>2378</v>
      </c>
      <c r="B3357" s="2" t="str">
        <f>HYPERLINK("https://leetcode.com/problems/choose-edges-to-maximize-score-in-a-tree/", "Choose Edges to Maximize Score in a Tree")</f>
        <v>Choose Edges to Maximize Score in a Tree</v>
      </c>
      <c r="C3357" s="1">
        <v>60</v>
      </c>
      <c r="D3357" s="1">
        <v>13</v>
      </c>
      <c r="E3357" s="3">
        <f t="shared" si="26"/>
        <v>0.82191780821917804</v>
      </c>
      <c r="F3357" s="1" t="s">
        <v>1007</v>
      </c>
      <c r="G3357" s="1" t="s">
        <v>24</v>
      </c>
      <c r="H3357" s="1">
        <v>2060</v>
      </c>
      <c r="I3357" s="1">
        <v>3647</v>
      </c>
      <c r="J3357" s="7">
        <v>0.56499999999999995</v>
      </c>
      <c r="K3357" s="1" t="s">
        <v>29</v>
      </c>
      <c r="L3357" s="1" t="s">
        <v>29</v>
      </c>
      <c r="M3357" s="1" t="s">
        <v>29</v>
      </c>
      <c r="N3357" s="1" t="s">
        <v>22</v>
      </c>
      <c r="O3357" s="1" t="str">
        <f t="shared" ca="1" si="27"/>
        <v>Please solve the LeetCode problem '2378. Choose Edges to Maximize Score in a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58" spans="1:15" x14ac:dyDescent="0.25">
      <c r="A3358" s="1">
        <v>3086</v>
      </c>
      <c r="B3358" s="2" t="str">
        <f>HYPERLINK("https://leetcode.com/problems/minimum-moves-to-pick-k-ones/", "Minimum Moves to Pick K Ones")</f>
        <v>Minimum Moves to Pick K Ones</v>
      </c>
      <c r="C3358" s="1">
        <v>60</v>
      </c>
      <c r="D3358" s="1">
        <v>53</v>
      </c>
      <c r="E3358" s="3">
        <f t="shared" si="26"/>
        <v>0.53097345132743368</v>
      </c>
      <c r="F3358" s="1" t="s">
        <v>784</v>
      </c>
      <c r="G3358" s="1" t="s">
        <v>28</v>
      </c>
      <c r="H3358" s="1">
        <v>4117</v>
      </c>
      <c r="I3358" s="1">
        <v>19370</v>
      </c>
      <c r="J3358" s="7">
        <v>0.21299999999999999</v>
      </c>
      <c r="K3358" s="1" t="s">
        <v>21</v>
      </c>
      <c r="L3358" s="1" t="s">
        <v>29</v>
      </c>
      <c r="M3358" s="1" t="s">
        <v>29</v>
      </c>
      <c r="N3358" s="1" t="s">
        <v>22</v>
      </c>
      <c r="O3358" s="1" t="str">
        <f t="shared" ca="1" si="27"/>
        <v>Please solve the LeetCode problem '3086. Minimum Moves to Pick K Ones'.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59" spans="1:15" x14ac:dyDescent="0.25">
      <c r="A3359" s="1">
        <v>3189</v>
      </c>
      <c r="B3359" s="2" t="str">
        <f>HYPERLINK("https://leetcode.com/problems/minimum-moves-to-get-a-peaceful-board/", "Minimum Moves to Get a Peaceful Board")</f>
        <v>Minimum Moves to Get a Peaceful Board</v>
      </c>
      <c r="C3359" s="1">
        <v>60</v>
      </c>
      <c r="D3359" s="1">
        <v>13</v>
      </c>
      <c r="E3359" s="3">
        <f t="shared" si="26"/>
        <v>0.82191780821917804</v>
      </c>
      <c r="F3359" s="1" t="s">
        <v>443</v>
      </c>
      <c r="G3359" s="1" t="s">
        <v>24</v>
      </c>
      <c r="H3359" s="1">
        <v>4738</v>
      </c>
      <c r="I3359" s="1">
        <v>6242</v>
      </c>
      <c r="J3359" s="7">
        <v>0.75900000000000001</v>
      </c>
      <c r="K3359" s="1" t="s">
        <v>29</v>
      </c>
      <c r="L3359" s="1" t="s">
        <v>21</v>
      </c>
      <c r="M3359" s="1" t="s">
        <v>29</v>
      </c>
      <c r="N3359" s="1" t="s">
        <v>22</v>
      </c>
      <c r="O3359" s="1" t="str">
        <f t="shared" ca="1" si="27"/>
        <v>Please solve the LeetCode problem '3189. Minimum Moves to Get a Peaceful Board'.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60" spans="1:15" x14ac:dyDescent="0.25">
      <c r="A3360" s="1">
        <v>3245</v>
      </c>
      <c r="B3360" s="2" t="str">
        <f>HYPERLINK("https://leetcode.com/problems/alternating-groups-iii/", "Alternating Groups III")</f>
        <v>Alternating Groups III</v>
      </c>
      <c r="C3360" s="1">
        <v>60</v>
      </c>
      <c r="D3360" s="1">
        <v>10</v>
      </c>
      <c r="E3360" s="3">
        <f t="shared" si="26"/>
        <v>0.8571428571428571</v>
      </c>
      <c r="F3360" s="1" t="s">
        <v>1238</v>
      </c>
      <c r="G3360" s="1" t="s">
        <v>28</v>
      </c>
      <c r="H3360" s="1">
        <v>2736</v>
      </c>
      <c r="I3360" s="1">
        <v>14748</v>
      </c>
      <c r="J3360" s="7">
        <v>0.186</v>
      </c>
      <c r="K3360" s="1" t="s">
        <v>21</v>
      </c>
      <c r="L3360" s="1" t="s">
        <v>29</v>
      </c>
      <c r="M3360" s="1" t="s">
        <v>29</v>
      </c>
      <c r="N3360" s="1" t="s">
        <v>22</v>
      </c>
      <c r="O3360" s="1" t="str">
        <f t="shared" ca="1" si="27"/>
        <v>Please solve the LeetCode problem '3245. Alternating Groups III'.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61" spans="1:15" x14ac:dyDescent="0.25">
      <c r="A3361" s="1">
        <v>3410</v>
      </c>
      <c r="B3361" s="2" t="str">
        <f>HYPERLINK("https://leetcode.com/problems/maximize-subarray-sum-after-removing-all-occurrences-of-one-element/", "Maximize Subarray Sum After Removing All Occurrences of One Element")</f>
        <v>Maximize Subarray Sum After Removing All Occurrences of One Element</v>
      </c>
      <c r="C3361" s="1">
        <v>60</v>
      </c>
      <c r="D3361" s="1">
        <v>5</v>
      </c>
      <c r="E3361" s="3">
        <f t="shared" si="26"/>
        <v>0.92307692307692313</v>
      </c>
      <c r="F3361" s="1" t="s">
        <v>1239</v>
      </c>
      <c r="G3361" s="1" t="s">
        <v>28</v>
      </c>
      <c r="H3361" s="1">
        <v>3864</v>
      </c>
      <c r="I3361" s="1">
        <v>17073</v>
      </c>
      <c r="J3361" s="7">
        <v>0.22600000000000001</v>
      </c>
      <c r="K3361" s="1" t="s">
        <v>21</v>
      </c>
      <c r="L3361" s="1" t="s">
        <v>29</v>
      </c>
      <c r="M3361" s="1" t="s">
        <v>29</v>
      </c>
      <c r="N3361" s="1" t="s">
        <v>22</v>
      </c>
      <c r="O3361" s="1" t="str">
        <f t="shared" ca="1" si="27"/>
        <v>Please solve the LeetCode problem '3410. Maximize Subarray Sum After Removing All Occurrences of One Element'.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62" spans="1:15" x14ac:dyDescent="0.25">
      <c r="A3362" s="1">
        <v>3788</v>
      </c>
      <c r="B3362" s="2" t="str">
        <f>HYPERLINK("https://leetcode.com/problems/maximum-score-of-a-split/", "Maximum Score of a Split")</f>
        <v>Maximum Score of a Split</v>
      </c>
      <c r="C3362" s="1">
        <v>60</v>
      </c>
      <c r="D3362" s="1">
        <v>6</v>
      </c>
      <c r="E3362" s="3">
        <f t="shared" si="26"/>
        <v>0.90909090909090906</v>
      </c>
      <c r="F3362" s="1" t="s">
        <v>37</v>
      </c>
      <c r="G3362" s="1" t="s">
        <v>24</v>
      </c>
      <c r="H3362" s="1">
        <v>35288</v>
      </c>
      <c r="I3362" s="1">
        <v>68713</v>
      </c>
      <c r="J3362" s="7">
        <v>0.51400000000000001</v>
      </c>
      <c r="K3362" s="1" t="s">
        <v>21</v>
      </c>
      <c r="L3362" s="1" t="s">
        <v>29</v>
      </c>
      <c r="M3362" s="1" t="s">
        <v>29</v>
      </c>
      <c r="N3362" s="1" t="s">
        <v>22</v>
      </c>
      <c r="O3362" s="1" t="str">
        <f t="shared" ca="1" si="27"/>
        <v>Please solve the LeetCode problem '3788. Maximum Score of a Split'.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63" spans="1:15" x14ac:dyDescent="0.25">
      <c r="A3363" s="1">
        <v>2728</v>
      </c>
      <c r="B3363" s="2" t="str">
        <f>HYPERLINK("https://leetcode.com/problems/count-houses-in-a-circular-street/", "Count Houses in a Circular Street")</f>
        <v>Count Houses in a Circular Street</v>
      </c>
      <c r="C3363" s="1">
        <v>59</v>
      </c>
      <c r="D3363" s="1">
        <v>12</v>
      </c>
      <c r="E3363" s="3">
        <f t="shared" si="26"/>
        <v>0.83098591549295775</v>
      </c>
      <c r="F3363" s="1" t="s">
        <v>1242</v>
      </c>
      <c r="G3363" s="1" t="s">
        <v>20</v>
      </c>
      <c r="H3363" s="1">
        <v>3173</v>
      </c>
      <c r="I3363" s="1">
        <v>3693</v>
      </c>
      <c r="J3363" s="7">
        <v>0.85899999999999999</v>
      </c>
      <c r="K3363" s="1" t="s">
        <v>29</v>
      </c>
      <c r="L3363" s="1" t="s">
        <v>29</v>
      </c>
      <c r="M3363" s="1" t="s">
        <v>29</v>
      </c>
      <c r="N3363" s="1" t="s">
        <v>22</v>
      </c>
      <c r="O3363" s="1" t="str">
        <f t="shared" ca="1" si="27"/>
        <v>Please solve the LeetCode problem '2728. Count Houses in a Circular Street'.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64" spans="1:15" x14ac:dyDescent="0.25">
      <c r="A3364" s="1">
        <v>3257</v>
      </c>
      <c r="B3364" s="2" t="str">
        <f>HYPERLINK("https://leetcode.com/problems/maximum-value-sum-by-placing-three-rooks-ii/", "Maximum Value Sum by Placing Three Rooks II")</f>
        <v>Maximum Value Sum by Placing Three Rooks II</v>
      </c>
      <c r="C3364" s="1">
        <v>59</v>
      </c>
      <c r="D3364" s="1">
        <v>9</v>
      </c>
      <c r="E3364" s="3">
        <f t="shared" si="26"/>
        <v>0.86764705882352944</v>
      </c>
      <c r="F3364" s="1" t="s">
        <v>1173</v>
      </c>
      <c r="G3364" s="1" t="s">
        <v>28</v>
      </c>
      <c r="H3364" s="1">
        <v>5376</v>
      </c>
      <c r="I3364" s="1">
        <v>20142</v>
      </c>
      <c r="J3364" s="7">
        <v>0.26700000000000002</v>
      </c>
      <c r="K3364" s="1" t="s">
        <v>21</v>
      </c>
      <c r="L3364" s="1" t="s">
        <v>29</v>
      </c>
      <c r="M3364" s="1" t="s">
        <v>29</v>
      </c>
      <c r="N3364" s="1" t="s">
        <v>22</v>
      </c>
      <c r="O3364" s="1" t="str">
        <f t="shared" ca="1" si="27"/>
        <v>Please solve the LeetCode problem '3257. Maximum Value Sum by Placing Three Rooks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65" spans="1:15" x14ac:dyDescent="0.25">
      <c r="A3365" s="1">
        <v>3481</v>
      </c>
      <c r="B3365" s="2" t="str">
        <f>HYPERLINK("https://leetcode.com/problems/apply-substitutions/", "Apply Substitutions")</f>
        <v>Apply Substitutions</v>
      </c>
      <c r="C3365" s="1">
        <v>59</v>
      </c>
      <c r="D3365" s="1">
        <v>5</v>
      </c>
      <c r="E3365" s="3">
        <f t="shared" si="26"/>
        <v>0.921875</v>
      </c>
      <c r="F3365" s="1" t="s">
        <v>1240</v>
      </c>
      <c r="G3365" s="1" t="s">
        <v>24</v>
      </c>
      <c r="H3365" s="1">
        <v>13952</v>
      </c>
      <c r="I3365" s="1">
        <v>18040</v>
      </c>
      <c r="J3365" s="7">
        <v>0.77300000000000002</v>
      </c>
      <c r="K3365" s="1" t="s">
        <v>29</v>
      </c>
      <c r="L3365" s="1" t="s">
        <v>29</v>
      </c>
      <c r="M3365" s="1" t="s">
        <v>29</v>
      </c>
      <c r="N3365" s="1" t="s">
        <v>22</v>
      </c>
      <c r="O3365" s="1" t="str">
        <f t="shared" ca="1" si="27"/>
        <v>Please solve the LeetCode problem '3481. Apply Substitutions'.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66" spans="1:15" x14ac:dyDescent="0.25">
      <c r="A3366" s="1">
        <v>3646</v>
      </c>
      <c r="B3366" s="2" t="str">
        <f>HYPERLINK("https://leetcode.com/problems/next-special-palindrome-number/", "Next Special Palindrome Number")</f>
        <v>Next Special Palindrome Number</v>
      </c>
      <c r="C3366" s="1">
        <v>59</v>
      </c>
      <c r="D3366" s="1">
        <v>5</v>
      </c>
      <c r="E3366" s="3">
        <f t="shared" si="26"/>
        <v>0.921875</v>
      </c>
      <c r="F3366" s="1" t="s">
        <v>510</v>
      </c>
      <c r="G3366" s="1" t="s">
        <v>28</v>
      </c>
      <c r="H3366" s="1">
        <v>9322</v>
      </c>
      <c r="I3366" s="1">
        <v>37272</v>
      </c>
      <c r="J3366" s="7">
        <v>0.25</v>
      </c>
      <c r="K3366" s="1" t="s">
        <v>21</v>
      </c>
      <c r="L3366" s="1" t="s">
        <v>29</v>
      </c>
      <c r="M3366" s="1" t="s">
        <v>29</v>
      </c>
      <c r="N3366" s="1" t="s">
        <v>22</v>
      </c>
      <c r="O3366" s="1" t="str">
        <f t="shared" ca="1" si="27"/>
        <v>Please solve the LeetCode problem '3646. Next Special Palindrome Number'.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67" spans="1:15" x14ac:dyDescent="0.25">
      <c r="A3367" s="1">
        <v>3725</v>
      </c>
      <c r="B3367" s="2" t="str">
        <f>HYPERLINK("https://leetcode.com/problems/count-ways-to-choose-coprime-integers-from-rows/", "Count Ways to Choose Coprime Integers from Rows")</f>
        <v>Count Ways to Choose Coprime Integers from Rows</v>
      </c>
      <c r="C3367" s="1">
        <v>59</v>
      </c>
      <c r="D3367" s="1">
        <v>4</v>
      </c>
      <c r="E3367" s="3">
        <f t="shared" si="26"/>
        <v>0.93650793650793651</v>
      </c>
      <c r="F3367" s="1" t="s">
        <v>1235</v>
      </c>
      <c r="G3367" s="1" t="s">
        <v>28</v>
      </c>
      <c r="H3367" s="1">
        <v>9052</v>
      </c>
      <c r="I3367" s="1">
        <v>18871</v>
      </c>
      <c r="J3367" s="7">
        <v>0.48</v>
      </c>
      <c r="K3367" s="1" t="s">
        <v>21</v>
      </c>
      <c r="L3367" s="1" t="s">
        <v>29</v>
      </c>
      <c r="M3367" s="1" t="s">
        <v>29</v>
      </c>
      <c r="N3367" s="1" t="s">
        <v>22</v>
      </c>
      <c r="O3367" s="1" t="str">
        <f t="shared" ca="1" si="27"/>
        <v>Please solve the LeetCode problem '3725. Count Ways to Choose Coprime Integers from Rows'.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68" spans="1:15" x14ac:dyDescent="0.25">
      <c r="A3368" s="1">
        <v>3767</v>
      </c>
      <c r="B3368" s="2" t="str">
        <f>HYPERLINK("https://leetcode.com/problems/maximize-points-after-choosing-k-tasks/", "Maximize Points After Choosing K Tasks")</f>
        <v>Maximize Points After Choosing K Tasks</v>
      </c>
      <c r="C3368" s="1">
        <v>59</v>
      </c>
      <c r="D3368" s="1">
        <v>2</v>
      </c>
      <c r="E3368" s="3">
        <f t="shared" si="26"/>
        <v>0.96721311475409832</v>
      </c>
      <c r="F3368" s="1" t="s">
        <v>302</v>
      </c>
      <c r="G3368" s="1" t="s">
        <v>24</v>
      </c>
      <c r="H3368" s="1">
        <v>15005</v>
      </c>
      <c r="I3368" s="1">
        <v>25249</v>
      </c>
      <c r="J3368" s="7">
        <v>0.59399999999999997</v>
      </c>
      <c r="K3368" s="1" t="s">
        <v>21</v>
      </c>
      <c r="L3368" s="1" t="s">
        <v>29</v>
      </c>
      <c r="M3368" s="1" t="s">
        <v>29</v>
      </c>
      <c r="N3368" s="1" t="s">
        <v>22</v>
      </c>
      <c r="O3368" s="1" t="str">
        <f t="shared" ca="1" si="27"/>
        <v>Please solve the LeetCode problem '3767. Maximize Points After Choosing K Tasks'.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69" spans="1:15" x14ac:dyDescent="0.25">
      <c r="A3369" s="1">
        <v>2041</v>
      </c>
      <c r="B3369" s="2" t="str">
        <f>HYPERLINK("https://leetcode.com/problems/accepted-candidates-from-the-interviews/", "Accepted Candidates From the Interviews")</f>
        <v>Accepted Candidates From the Interviews</v>
      </c>
      <c r="C3369" s="1">
        <v>58</v>
      </c>
      <c r="D3369" s="1">
        <v>28</v>
      </c>
      <c r="E3369" s="3">
        <f t="shared" si="26"/>
        <v>0.67441860465116277</v>
      </c>
      <c r="F3369" s="1" t="s">
        <v>297</v>
      </c>
      <c r="G3369" s="1" t="s">
        <v>24</v>
      </c>
      <c r="H3369" s="1">
        <v>15765</v>
      </c>
      <c r="I3369" s="1">
        <v>20096</v>
      </c>
      <c r="J3369" s="7">
        <v>0.78400000000000003</v>
      </c>
      <c r="K3369" s="1" t="s">
        <v>29</v>
      </c>
      <c r="L3369" s="1" t="s">
        <v>21</v>
      </c>
      <c r="M3369" s="1" t="s">
        <v>29</v>
      </c>
      <c r="N3369" s="1" t="s">
        <v>297</v>
      </c>
      <c r="O3369" s="1" t="str">
        <f t="shared" ca="1" si="27"/>
        <v>Please solve the LeetCode problem '2041. Accepted Candidates From the Interviews'.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70" spans="1:15" x14ac:dyDescent="0.25">
      <c r="A3370" s="1">
        <v>2533</v>
      </c>
      <c r="B3370" s="2" t="str">
        <f>HYPERLINK("https://leetcode.com/problems/number-of-good-binary-strings/", "Number of Good Binary Strings")</f>
        <v>Number of Good Binary Strings</v>
      </c>
      <c r="C3370" s="1">
        <v>58</v>
      </c>
      <c r="D3370" s="1">
        <v>23</v>
      </c>
      <c r="E3370" s="3">
        <f t="shared" si="26"/>
        <v>0.71604938271604934</v>
      </c>
      <c r="F3370" s="1" t="s">
        <v>251</v>
      </c>
      <c r="G3370" s="1" t="s">
        <v>24</v>
      </c>
      <c r="H3370" s="1">
        <v>7547</v>
      </c>
      <c r="I3370" s="1">
        <v>14336</v>
      </c>
      <c r="J3370" s="7">
        <v>0.52600000000000002</v>
      </c>
      <c r="K3370" s="1" t="s">
        <v>29</v>
      </c>
      <c r="L3370" s="1" t="s">
        <v>29</v>
      </c>
      <c r="M3370" s="1" t="s">
        <v>29</v>
      </c>
      <c r="N3370" s="1" t="s">
        <v>22</v>
      </c>
      <c r="O3370" s="1" t="str">
        <f t="shared" ca="1" si="27"/>
        <v>Please solve the LeetCode problem '2533. Number of Good Binary Strings'.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71" spans="1:15" x14ac:dyDescent="0.25">
      <c r="A3371" s="1">
        <v>2737</v>
      </c>
      <c r="B3371" s="2" t="str">
        <f>HYPERLINK("https://leetcode.com/problems/find-the-closest-marked-node/", "Find the Closest Marked Node")</f>
        <v>Find the Closest Marked Node</v>
      </c>
      <c r="C3371" s="1">
        <v>58</v>
      </c>
      <c r="D3371" s="1">
        <v>6</v>
      </c>
      <c r="E3371" s="3">
        <f t="shared" si="26"/>
        <v>0.90625</v>
      </c>
      <c r="F3371" s="1" t="s">
        <v>318</v>
      </c>
      <c r="G3371" s="1" t="s">
        <v>24</v>
      </c>
      <c r="H3371" s="1">
        <v>7279</v>
      </c>
      <c r="I3371" s="1">
        <v>11161</v>
      </c>
      <c r="J3371" s="7">
        <v>0.65200000000000002</v>
      </c>
      <c r="K3371" s="1" t="s">
        <v>29</v>
      </c>
      <c r="L3371" s="1" t="s">
        <v>21</v>
      </c>
      <c r="M3371" s="1" t="s">
        <v>29</v>
      </c>
      <c r="N3371" s="1" t="s">
        <v>22</v>
      </c>
      <c r="O3371" s="1" t="str">
        <f t="shared" ca="1" si="27"/>
        <v>Please solve the LeetCode problem '2737. Find the Closest Marked Node'.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72" spans="1:15" x14ac:dyDescent="0.25">
      <c r="A3372" s="1">
        <v>2852</v>
      </c>
      <c r="B3372" s="2" t="str">
        <f>HYPERLINK("https://leetcode.com/problems/sum-of-remoteness-of-all-cells/", "Sum of Remoteness of All Cells")</f>
        <v>Sum of Remoteness of All Cells</v>
      </c>
      <c r="C3372" s="1">
        <v>58</v>
      </c>
      <c r="D3372" s="1">
        <v>16</v>
      </c>
      <c r="E3372" s="3">
        <f t="shared" si="26"/>
        <v>0.78378378378378377</v>
      </c>
      <c r="F3372" s="1" t="s">
        <v>311</v>
      </c>
      <c r="G3372" s="1" t="s">
        <v>24</v>
      </c>
      <c r="H3372" s="1">
        <v>6444</v>
      </c>
      <c r="I3372" s="1">
        <v>9100</v>
      </c>
      <c r="J3372" s="7">
        <v>0.70799999999999996</v>
      </c>
      <c r="K3372" s="1" t="s">
        <v>29</v>
      </c>
      <c r="L3372" s="1" t="s">
        <v>21</v>
      </c>
      <c r="M3372" s="1" t="s">
        <v>29</v>
      </c>
      <c r="N3372" s="1" t="s">
        <v>22</v>
      </c>
      <c r="O3372" s="1" t="str">
        <f t="shared" ca="1" si="27"/>
        <v>Please solve the LeetCode problem '2852. Sum of Remoteness of All Cells'.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73" spans="1:15" x14ac:dyDescent="0.25">
      <c r="A3373" s="1">
        <v>3505</v>
      </c>
      <c r="B3373" s="2" t="str">
        <f>HYPERLINK("https://leetcode.com/problems/minimum-operations-to-make-elements-within-k-subarrays-equal/", "Minimum Operations to Make Elements Within K Subarrays Equal")</f>
        <v>Minimum Operations to Make Elements Within K Subarrays Equal</v>
      </c>
      <c r="C3373" s="1">
        <v>58</v>
      </c>
      <c r="D3373" s="1">
        <v>2</v>
      </c>
      <c r="E3373" s="3">
        <f t="shared" si="26"/>
        <v>0.96666666666666667</v>
      </c>
      <c r="F3373" s="1" t="s">
        <v>1245</v>
      </c>
      <c r="G3373" s="1" t="s">
        <v>28</v>
      </c>
      <c r="H3373" s="1">
        <v>4010</v>
      </c>
      <c r="I3373" s="1">
        <v>14870</v>
      </c>
      <c r="J3373" s="7">
        <v>0.27</v>
      </c>
      <c r="K3373" s="1" t="s">
        <v>21</v>
      </c>
      <c r="L3373" s="1" t="s">
        <v>29</v>
      </c>
      <c r="M3373" s="1" t="s">
        <v>29</v>
      </c>
      <c r="N3373" s="1" t="s">
        <v>22</v>
      </c>
      <c r="O3373" s="1" t="str">
        <f t="shared" ca="1" si="27"/>
        <v>Please solve the LeetCode problem '3505. Minimum Operations to Make Elements Within K Subarrays Equal'.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74" spans="1:15" x14ac:dyDescent="0.25">
      <c r="A3374" s="1">
        <v>3558</v>
      </c>
      <c r="B3374" s="2" t="str">
        <f>HYPERLINK("https://leetcode.com/problems/number-of-ways-to-assign-edge-weights-i/", "Number of Ways to Assign Edge Weights I")</f>
        <v>Number of Ways to Assign Edge Weights I</v>
      </c>
      <c r="C3374" s="1">
        <v>58</v>
      </c>
      <c r="D3374" s="1">
        <v>6</v>
      </c>
      <c r="E3374" s="3">
        <f t="shared" si="26"/>
        <v>0.90625</v>
      </c>
      <c r="F3374" s="1" t="s">
        <v>1247</v>
      </c>
      <c r="G3374" s="1" t="s">
        <v>24</v>
      </c>
      <c r="H3374" s="1">
        <v>13252</v>
      </c>
      <c r="I3374" s="1">
        <v>24848</v>
      </c>
      <c r="J3374" s="7">
        <v>0.53300000000000003</v>
      </c>
      <c r="K3374" s="1" t="s">
        <v>21</v>
      </c>
      <c r="L3374" s="1" t="s">
        <v>29</v>
      </c>
      <c r="M3374" s="1" t="s">
        <v>29</v>
      </c>
      <c r="N3374" s="1" t="s">
        <v>22</v>
      </c>
      <c r="O3374" s="1" t="str">
        <f t="shared" ca="1" si="27"/>
        <v>Please solve the LeetCode problem '3558. Number of Ways to Assign Edge Weights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75" spans="1:15" x14ac:dyDescent="0.25">
      <c r="A3375" s="1">
        <v>3560</v>
      </c>
      <c r="B3375" s="2" t="str">
        <f>HYPERLINK("https://leetcode.com/problems/find-minimum-log-transportation-cost/", "Find Minimum Log Transportation Cost")</f>
        <v>Find Minimum Log Transportation Cost</v>
      </c>
      <c r="C3375" s="1">
        <v>58</v>
      </c>
      <c r="D3375" s="1">
        <v>17</v>
      </c>
      <c r="E3375" s="3">
        <f t="shared" si="26"/>
        <v>0.77333333333333332</v>
      </c>
      <c r="F3375" s="1" t="s">
        <v>84</v>
      </c>
      <c r="G3375" s="1" t="s">
        <v>20</v>
      </c>
      <c r="H3375" s="1">
        <v>34688</v>
      </c>
      <c r="I3375" s="1">
        <v>82459</v>
      </c>
      <c r="J3375" s="7">
        <v>0.42099999999999999</v>
      </c>
      <c r="K3375" s="1" t="s">
        <v>21</v>
      </c>
      <c r="L3375" s="1" t="s">
        <v>29</v>
      </c>
      <c r="M3375" s="1" t="s">
        <v>29</v>
      </c>
      <c r="N3375" s="1" t="s">
        <v>22</v>
      </c>
      <c r="O3375" s="1" t="str">
        <f t="shared" ca="1" si="27"/>
        <v>Please solve the LeetCode problem '3560. Find Minimum Log Transportation Cost'.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76" spans="1:15" x14ac:dyDescent="0.25">
      <c r="A3376" s="1">
        <v>3615</v>
      </c>
      <c r="B3376" s="2" t="str">
        <f>HYPERLINK("https://leetcode.com/problems/longest-palindromic-path-in-graph/", "Longest Palindromic Path in Graph")</f>
        <v>Longest Palindromic Path in Graph</v>
      </c>
      <c r="C3376" s="1">
        <v>58</v>
      </c>
      <c r="D3376" s="1">
        <v>5</v>
      </c>
      <c r="E3376" s="3">
        <f t="shared" si="26"/>
        <v>0.92063492063492058</v>
      </c>
      <c r="F3376" s="1" t="s">
        <v>1400</v>
      </c>
      <c r="G3376" s="1" t="s">
        <v>28</v>
      </c>
      <c r="H3376" s="1">
        <v>6948</v>
      </c>
      <c r="I3376" s="1">
        <v>32016</v>
      </c>
      <c r="J3376" s="7">
        <v>0.217</v>
      </c>
      <c r="K3376" s="1" t="s">
        <v>21</v>
      </c>
      <c r="L3376" s="1" t="s">
        <v>29</v>
      </c>
      <c r="M3376" s="1" t="s">
        <v>29</v>
      </c>
      <c r="N3376" s="1" t="s">
        <v>22</v>
      </c>
      <c r="O3376" s="1" t="str">
        <f t="shared" ca="1" si="27"/>
        <v>Please solve the LeetCode problem '3615. Longest Palindromic Path in Graph'.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77" spans="1:15" x14ac:dyDescent="0.25">
      <c r="A3377" s="1">
        <v>3651</v>
      </c>
      <c r="B3377" s="2" t="str">
        <f>HYPERLINK("https://leetcode.com/problems/minimum-cost-path-with-teleportations/", "Minimum Cost Path with Teleportations")</f>
        <v>Minimum Cost Path with Teleportations</v>
      </c>
      <c r="C3377" s="1">
        <v>58</v>
      </c>
      <c r="D3377" s="1">
        <v>4</v>
      </c>
      <c r="E3377" s="3">
        <f t="shared" si="26"/>
        <v>0.93548387096774188</v>
      </c>
      <c r="F3377" s="1" t="s">
        <v>94</v>
      </c>
      <c r="G3377" s="1" t="s">
        <v>28</v>
      </c>
      <c r="H3377" s="1">
        <v>4652</v>
      </c>
      <c r="I3377" s="1">
        <v>23615</v>
      </c>
      <c r="J3377" s="7">
        <v>0.19700000000000001</v>
      </c>
      <c r="K3377" s="1" t="s">
        <v>21</v>
      </c>
      <c r="L3377" s="1" t="s">
        <v>29</v>
      </c>
      <c r="M3377" s="1" t="s">
        <v>29</v>
      </c>
      <c r="N3377" s="1" t="s">
        <v>22</v>
      </c>
      <c r="O3377" s="1" t="str">
        <f t="shared" ca="1" si="27"/>
        <v>Please solve the LeetCode problem '3651. Minimum Cost Path with Teleportations'.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78" spans="1:15" x14ac:dyDescent="0.25">
      <c r="A3378" s="1">
        <v>3770</v>
      </c>
      <c r="B3378" s="2" t="str">
        <f>HYPERLINK("https://leetcode.com/problems/largest-prime-from-consecutive-prime-sum/", "Largest Prime from Consecutive Prime Sum")</f>
        <v>Largest Prime from Consecutive Prime Sum</v>
      </c>
      <c r="C3378" s="1">
        <v>58</v>
      </c>
      <c r="D3378" s="1">
        <v>4</v>
      </c>
      <c r="E3378" s="3">
        <f t="shared" si="26"/>
        <v>0.93548387096774188</v>
      </c>
      <c r="F3378" s="1" t="s">
        <v>640</v>
      </c>
      <c r="G3378" s="1" t="s">
        <v>24</v>
      </c>
      <c r="H3378" s="1">
        <v>23281</v>
      </c>
      <c r="I3378" s="1">
        <v>60143</v>
      </c>
      <c r="J3378" s="7">
        <v>0.38700000000000001</v>
      </c>
      <c r="K3378" s="1" t="s">
        <v>21</v>
      </c>
      <c r="L3378" s="1" t="s">
        <v>29</v>
      </c>
      <c r="M3378" s="1" t="s">
        <v>29</v>
      </c>
      <c r="N3378" s="1" t="s">
        <v>22</v>
      </c>
      <c r="O3378" s="1" t="str">
        <f t="shared" ca="1" si="27"/>
        <v>Please solve the LeetCode problem '3770. Largest Prime from Consecutive Prime Sum'.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79" spans="1:15" x14ac:dyDescent="0.25">
      <c r="A3379" s="1">
        <v>3804</v>
      </c>
      <c r="B3379" s="2" t="str">
        <f>HYPERLINK("https://leetcode.com/problems/number-of-centered-subarrays/", "Number of Centered Subarrays")</f>
        <v>Number of Centered Subarrays</v>
      </c>
      <c r="C3379" s="1">
        <v>58</v>
      </c>
      <c r="D3379" s="1">
        <v>1</v>
      </c>
      <c r="E3379" s="3">
        <f t="shared" si="26"/>
        <v>0.98305084745762716</v>
      </c>
      <c r="F3379" s="1" t="s">
        <v>804</v>
      </c>
      <c r="G3379" s="1" t="s">
        <v>24</v>
      </c>
      <c r="H3379" s="1">
        <v>33891</v>
      </c>
      <c r="I3379" s="1">
        <v>50908</v>
      </c>
      <c r="J3379" s="7">
        <v>0.66600000000000004</v>
      </c>
      <c r="K3379" s="1" t="s">
        <v>21</v>
      </c>
      <c r="L3379" s="1" t="s">
        <v>29</v>
      </c>
      <c r="M3379" s="1" t="s">
        <v>29</v>
      </c>
      <c r="N3379" s="1" t="s">
        <v>22</v>
      </c>
      <c r="O3379" s="1" t="str">
        <f t="shared" ca="1" si="27"/>
        <v>Please solve the LeetCode problem '3804. Number of Centered Subarrays'.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80" spans="1:15" x14ac:dyDescent="0.25">
      <c r="A3380" s="1">
        <v>2664</v>
      </c>
      <c r="B3380" s="2" t="str">
        <f>HYPERLINK("https://leetcode.com/problems/the-knights-tour/", "The Knight’s Tour")</f>
        <v>The Knight’s Tour</v>
      </c>
      <c r="C3380" s="1">
        <v>57</v>
      </c>
      <c r="D3380" s="1">
        <v>16</v>
      </c>
      <c r="E3380" s="3">
        <f t="shared" si="26"/>
        <v>0.78082191780821919</v>
      </c>
      <c r="F3380" s="1" t="s">
        <v>353</v>
      </c>
      <c r="G3380" s="1" t="s">
        <v>24</v>
      </c>
      <c r="H3380" s="1">
        <v>6629</v>
      </c>
      <c r="I3380" s="1">
        <v>9136</v>
      </c>
      <c r="J3380" s="7">
        <v>0.72599999999999998</v>
      </c>
      <c r="K3380" s="1" t="s">
        <v>29</v>
      </c>
      <c r="L3380" s="1" t="s">
        <v>21</v>
      </c>
      <c r="M3380" s="1" t="s">
        <v>29</v>
      </c>
      <c r="N3380" s="1" t="s">
        <v>22</v>
      </c>
      <c r="O3380" s="1" t="str">
        <f t="shared" ca="1" si="27"/>
        <v>Please solve the LeetCode problem '2664. The Knight’s Tour'.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81" spans="1:15" x14ac:dyDescent="0.25">
      <c r="A3381" s="1">
        <v>3527</v>
      </c>
      <c r="B3381" s="2" t="str">
        <f>HYPERLINK("https://leetcode.com/problems/find-the-most-common-response/", "Find the Most Common Response")</f>
        <v>Find the Most Common Response</v>
      </c>
      <c r="C3381" s="1">
        <v>57</v>
      </c>
      <c r="D3381" s="1">
        <v>7</v>
      </c>
      <c r="E3381" s="3">
        <f t="shared" si="26"/>
        <v>0.890625</v>
      </c>
      <c r="F3381" s="1" t="s">
        <v>467</v>
      </c>
      <c r="G3381" s="1" t="s">
        <v>24</v>
      </c>
      <c r="H3381" s="1">
        <v>35475</v>
      </c>
      <c r="I3381" s="1">
        <v>47380</v>
      </c>
      <c r="J3381" s="7">
        <v>0.749</v>
      </c>
      <c r="K3381" s="1" t="s">
        <v>21</v>
      </c>
      <c r="L3381" s="1" t="s">
        <v>29</v>
      </c>
      <c r="M3381" s="1" t="s">
        <v>29</v>
      </c>
      <c r="N3381" s="1" t="s">
        <v>22</v>
      </c>
      <c r="O3381" s="1" t="str">
        <f t="shared" ca="1" si="27"/>
        <v>Please solve the LeetCode problem '3527. Find the Most Common Response'.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82" spans="1:15" x14ac:dyDescent="0.25">
      <c r="A3382" s="1">
        <v>3678</v>
      </c>
      <c r="B3382" s="2" t="str">
        <f>HYPERLINK("https://leetcode.com/problems/smallest-absent-positive-greater-than-average/", "Smallest Absent Positive Greater Than Average")</f>
        <v>Smallest Absent Positive Greater Than Average</v>
      </c>
      <c r="C3382" s="1">
        <v>57</v>
      </c>
      <c r="D3382" s="1">
        <v>5</v>
      </c>
      <c r="E3382" s="3">
        <f t="shared" si="26"/>
        <v>0.91935483870967738</v>
      </c>
      <c r="F3382" s="1" t="s">
        <v>19</v>
      </c>
      <c r="G3382" s="1" t="s">
        <v>20</v>
      </c>
      <c r="H3382" s="1">
        <v>34925</v>
      </c>
      <c r="I3382" s="1">
        <v>102963</v>
      </c>
      <c r="J3382" s="7">
        <v>0.33900000000000002</v>
      </c>
      <c r="K3382" s="1" t="s">
        <v>21</v>
      </c>
      <c r="L3382" s="1" t="s">
        <v>29</v>
      </c>
      <c r="M3382" s="1" t="s">
        <v>29</v>
      </c>
      <c r="N3382" s="1" t="s">
        <v>22</v>
      </c>
      <c r="O3382" s="1" t="str">
        <f t="shared" ca="1" si="27"/>
        <v>Please solve the LeetCode problem '3678. Smallest Absent Positive Greater Than Average'.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83" spans="1:15" x14ac:dyDescent="0.25">
      <c r="A3383" s="1">
        <v>3709</v>
      </c>
      <c r="B3383" s="2" t="str">
        <f>HYPERLINK("https://leetcode.com/problems/design-exam-scores-tracker/", "Design Exam Scores Tracker")</f>
        <v>Design Exam Scores Tracker</v>
      </c>
      <c r="C3383" s="1">
        <v>57</v>
      </c>
      <c r="D3383" s="1">
        <v>1</v>
      </c>
      <c r="E3383" s="3">
        <f t="shared" si="26"/>
        <v>0.98275862068965514</v>
      </c>
      <c r="F3383" s="1" t="s">
        <v>1249</v>
      </c>
      <c r="G3383" s="1" t="s">
        <v>24</v>
      </c>
      <c r="H3383" s="1">
        <v>18257</v>
      </c>
      <c r="I3383" s="1">
        <v>41781</v>
      </c>
      <c r="J3383" s="7">
        <v>0.437</v>
      </c>
      <c r="K3383" s="1" t="s">
        <v>21</v>
      </c>
      <c r="L3383" s="1" t="s">
        <v>29</v>
      </c>
      <c r="M3383" s="1" t="s">
        <v>29</v>
      </c>
      <c r="N3383" s="1" t="s">
        <v>22</v>
      </c>
      <c r="O3383" s="1" t="str">
        <f t="shared" ca="1" si="27"/>
        <v>Please solve the LeetCode problem '3709. Design Exam Scores Tracker'.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84" spans="1:15" x14ac:dyDescent="0.25">
      <c r="A3384" s="1">
        <v>3729</v>
      </c>
      <c r="B3384" s="2" t="str">
        <f>HYPERLINK("https://leetcode.com/problems/count-distinct-subarrays-divisible-by-k-in-sorted-array/", "Count Distinct Subarrays Divisible by K in Sorted Array")</f>
        <v>Count Distinct Subarrays Divisible by K in Sorted Array</v>
      </c>
      <c r="C3384" s="1">
        <v>57</v>
      </c>
      <c r="D3384" s="1">
        <v>3</v>
      </c>
      <c r="E3384" s="3">
        <f t="shared" si="26"/>
        <v>0.95</v>
      </c>
      <c r="F3384" s="1" t="s">
        <v>39</v>
      </c>
      <c r="G3384" s="1" t="s">
        <v>28</v>
      </c>
      <c r="H3384" s="1">
        <v>5634</v>
      </c>
      <c r="I3384" s="1">
        <v>20821</v>
      </c>
      <c r="J3384" s="7">
        <v>0.27100000000000002</v>
      </c>
      <c r="K3384" s="1" t="s">
        <v>21</v>
      </c>
      <c r="L3384" s="1" t="s">
        <v>29</v>
      </c>
      <c r="M3384" s="1" t="s">
        <v>29</v>
      </c>
      <c r="N3384" s="1" t="s">
        <v>22</v>
      </c>
      <c r="O3384" s="1" t="str">
        <f t="shared" ca="1" si="27"/>
        <v>Please solve the LeetCode problem '3729. Count Distinct Subarrays Divisible by K in Sorted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85" spans="1:15" x14ac:dyDescent="0.25">
      <c r="A3385" s="1">
        <v>2314</v>
      </c>
      <c r="B3385" s="2" t="str">
        <f>HYPERLINK("https://leetcode.com/problems/the-first-day-of-the-maximum-recorded-degree-in-each-city/", "The First Day of the Maximum Recorded Degree in Each City")</f>
        <v>The First Day of the Maximum Recorded Degree in Each City</v>
      </c>
      <c r="C3385" s="1">
        <v>56</v>
      </c>
      <c r="D3385" s="1">
        <v>2</v>
      </c>
      <c r="E3385" s="3">
        <f t="shared" si="26"/>
        <v>0.96551724137931039</v>
      </c>
      <c r="F3385" s="1" t="s">
        <v>297</v>
      </c>
      <c r="G3385" s="1" t="s">
        <v>24</v>
      </c>
      <c r="H3385" s="1">
        <v>8140</v>
      </c>
      <c r="I3385" s="1">
        <v>11056</v>
      </c>
      <c r="J3385" s="7">
        <v>0.73599999999999999</v>
      </c>
      <c r="K3385" s="1" t="s">
        <v>29</v>
      </c>
      <c r="L3385" s="1" t="s">
        <v>29</v>
      </c>
      <c r="M3385" s="1" t="s">
        <v>29</v>
      </c>
      <c r="N3385" s="1" t="s">
        <v>297</v>
      </c>
      <c r="O3385" s="1" t="str">
        <f t="shared" ca="1" si="27"/>
        <v>Please solve the LeetCode problem '2314. The First Day of the Maximum Recorded Degree in Each City'.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86" spans="1:15" x14ac:dyDescent="0.25">
      <c r="A3386" s="1">
        <v>3414</v>
      </c>
      <c r="B3386" s="2" t="str">
        <f>HYPERLINK("https://leetcode.com/problems/maximum-score-of-non-overlapping-intervals/", "Maximum Score of Non-overlapping Intervals")</f>
        <v>Maximum Score of Non-overlapping Intervals</v>
      </c>
      <c r="C3386" s="1">
        <v>56</v>
      </c>
      <c r="D3386" s="1">
        <v>7</v>
      </c>
      <c r="E3386" s="3">
        <f t="shared" si="26"/>
        <v>0.88888888888888884</v>
      </c>
      <c r="F3386" s="1" t="s">
        <v>188</v>
      </c>
      <c r="G3386" s="1" t="s">
        <v>28</v>
      </c>
      <c r="H3386" s="1">
        <v>4041</v>
      </c>
      <c r="I3386" s="1">
        <v>13128</v>
      </c>
      <c r="J3386" s="7">
        <v>0.308</v>
      </c>
      <c r="K3386" s="1" t="s">
        <v>21</v>
      </c>
      <c r="L3386" s="1" t="s">
        <v>29</v>
      </c>
      <c r="M3386" s="1" t="s">
        <v>29</v>
      </c>
      <c r="N3386" s="1" t="s">
        <v>22</v>
      </c>
      <c r="O3386" s="1" t="str">
        <f t="shared" ca="1" si="27"/>
        <v>Please solve the LeetCode problem '3414. Maximum Score of Non-overlapping Intervals'.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87" spans="1:15" x14ac:dyDescent="0.25">
      <c r="A3387" s="1">
        <v>3530</v>
      </c>
      <c r="B3387" s="2" t="str">
        <f>HYPERLINK("https://leetcode.com/problems/maximum-profit-from-valid-topological-order-in-dag/", "Maximum Profit from Valid Topological Order in DAG")</f>
        <v>Maximum Profit from Valid Topological Order in DAG</v>
      </c>
      <c r="C3387" s="1">
        <v>56</v>
      </c>
      <c r="D3387" s="1">
        <v>4</v>
      </c>
      <c r="E3387" s="3">
        <f t="shared" si="26"/>
        <v>0.93333333333333335</v>
      </c>
      <c r="F3387" s="1" t="s">
        <v>1401</v>
      </c>
      <c r="G3387" s="1" t="s">
        <v>28</v>
      </c>
      <c r="H3387" s="1">
        <v>5566</v>
      </c>
      <c r="I3387" s="1">
        <v>18826</v>
      </c>
      <c r="J3387" s="7">
        <v>0.29599999999999999</v>
      </c>
      <c r="K3387" s="1" t="s">
        <v>21</v>
      </c>
      <c r="L3387" s="1" t="s">
        <v>29</v>
      </c>
      <c r="M3387" s="1" t="s">
        <v>29</v>
      </c>
      <c r="N3387" s="1" t="s">
        <v>22</v>
      </c>
      <c r="O3387" s="1" t="str">
        <f t="shared" ca="1" si="27"/>
        <v>Please solve the LeetCode problem '3530. Maximum Profit from Valid Topological Order in DAG'.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88" spans="1:15" x14ac:dyDescent="0.25">
      <c r="A3388" s="1">
        <v>3559</v>
      </c>
      <c r="B3388" s="2" t="str">
        <f>HYPERLINK("https://leetcode.com/problems/number-of-ways-to-assign-edge-weights-ii/", "Number of Ways to Assign Edge Weights II")</f>
        <v>Number of Ways to Assign Edge Weights II</v>
      </c>
      <c r="C3388" s="1">
        <v>56</v>
      </c>
      <c r="D3388" s="1">
        <v>1</v>
      </c>
      <c r="E3388" s="3">
        <f t="shared" si="26"/>
        <v>0.98245614035087714</v>
      </c>
      <c r="F3388" s="1" t="s">
        <v>1251</v>
      </c>
      <c r="G3388" s="1" t="s">
        <v>28</v>
      </c>
      <c r="H3388" s="1">
        <v>6489</v>
      </c>
      <c r="I3388" s="1">
        <v>10884</v>
      </c>
      <c r="J3388" s="7">
        <v>0.59599999999999997</v>
      </c>
      <c r="K3388" s="1" t="s">
        <v>21</v>
      </c>
      <c r="L3388" s="1" t="s">
        <v>29</v>
      </c>
      <c r="M3388" s="1" t="s">
        <v>29</v>
      </c>
      <c r="N3388" s="1" t="s">
        <v>22</v>
      </c>
      <c r="O3388" s="1" t="str">
        <f t="shared" ca="1" si="27"/>
        <v>Please solve the LeetCode problem '3559. Number of Ways to Assign Edge Weights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89" spans="1:15" x14ac:dyDescent="0.25">
      <c r="A3389" s="1">
        <v>3681</v>
      </c>
      <c r="B3389" s="2" t="str">
        <f>HYPERLINK("https://leetcode.com/problems/maximum-xor-of-subsequences/", "Maximum XOR of Subsequences")</f>
        <v>Maximum XOR of Subsequences</v>
      </c>
      <c r="C3389" s="1">
        <v>56</v>
      </c>
      <c r="D3389" s="1">
        <v>10</v>
      </c>
      <c r="E3389" s="3">
        <f t="shared" si="26"/>
        <v>0.84848484848484851</v>
      </c>
      <c r="F3389" s="1" t="s">
        <v>1243</v>
      </c>
      <c r="G3389" s="1" t="s">
        <v>28</v>
      </c>
      <c r="H3389" s="1">
        <v>7268</v>
      </c>
      <c r="I3389" s="1">
        <v>14185</v>
      </c>
      <c r="J3389" s="7">
        <v>0.51200000000000001</v>
      </c>
      <c r="K3389" s="1" t="s">
        <v>21</v>
      </c>
      <c r="L3389" s="1" t="s">
        <v>29</v>
      </c>
      <c r="M3389" s="1" t="s">
        <v>29</v>
      </c>
      <c r="N3389" s="1" t="s">
        <v>22</v>
      </c>
      <c r="O3389" s="1" t="str">
        <f t="shared" ca="1" si="27"/>
        <v>Please solve the LeetCode problem '3681. Maximum XOR of Subsequences'.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90" spans="1:15" x14ac:dyDescent="0.25">
      <c r="A3390" s="1">
        <v>3739</v>
      </c>
      <c r="B3390" s="2" t="str">
        <f>HYPERLINK("https://leetcode.com/problems/count-subarrays-with-majority-element-ii/", "Count Subarrays With Majority Element II")</f>
        <v>Count Subarrays With Majority Element II</v>
      </c>
      <c r="C3390" s="1">
        <v>56</v>
      </c>
      <c r="D3390" s="1">
        <v>3</v>
      </c>
      <c r="E3390" s="3">
        <f t="shared" si="26"/>
        <v>0.94915254237288138</v>
      </c>
      <c r="F3390" s="1" t="s">
        <v>1241</v>
      </c>
      <c r="G3390" s="1" t="s">
        <v>28</v>
      </c>
      <c r="H3390" s="1">
        <v>6428</v>
      </c>
      <c r="I3390" s="1">
        <v>14716</v>
      </c>
      <c r="J3390" s="7">
        <v>0.437</v>
      </c>
      <c r="K3390" s="1" t="s">
        <v>21</v>
      </c>
      <c r="L3390" s="1" t="s">
        <v>29</v>
      </c>
      <c r="M3390" s="1" t="s">
        <v>29</v>
      </c>
      <c r="N3390" s="1" t="s">
        <v>22</v>
      </c>
      <c r="O3390" s="1" t="str">
        <f t="shared" ca="1" si="27"/>
        <v>Please solve the LeetCode problem '3739. Count Subarrays With Majority Element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91" spans="1:15" x14ac:dyDescent="0.25">
      <c r="A3391" s="1">
        <v>2015</v>
      </c>
      <c r="B3391" s="2" t="str">
        <f>HYPERLINK("https://leetcode.com/problems/average-height-of-buildings-in-each-segment/", "Average Height of Buildings in Each Segment")</f>
        <v>Average Height of Buildings in Each Segment</v>
      </c>
      <c r="C3391" s="1">
        <v>55</v>
      </c>
      <c r="D3391" s="1">
        <v>29</v>
      </c>
      <c r="E3391" s="3">
        <f t="shared" si="26"/>
        <v>0.65476190476190477</v>
      </c>
      <c r="F3391" s="1" t="s">
        <v>302</v>
      </c>
      <c r="G3391" s="1" t="s">
        <v>24</v>
      </c>
      <c r="H3391" s="1">
        <v>2677</v>
      </c>
      <c r="I3391" s="1">
        <v>4599</v>
      </c>
      <c r="J3391" s="7">
        <v>0.58199999999999996</v>
      </c>
      <c r="K3391" s="1" t="s">
        <v>29</v>
      </c>
      <c r="L3391" s="1" t="s">
        <v>29</v>
      </c>
      <c r="M3391" s="1" t="s">
        <v>29</v>
      </c>
      <c r="N3391" s="1" t="s">
        <v>22</v>
      </c>
      <c r="O3391" s="1" t="str">
        <f t="shared" ca="1" si="27"/>
        <v>Please solve the LeetCode problem '2015. Average Height of Buildings in Each Segment'.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92" spans="1:15" x14ac:dyDescent="0.25">
      <c r="A3392" s="1">
        <v>2026</v>
      </c>
      <c r="B3392" s="2" t="str">
        <f>HYPERLINK("https://leetcode.com/problems/low-quality-problems/", "Low-Quality Problems")</f>
        <v>Low-Quality Problems</v>
      </c>
      <c r="C3392" s="1">
        <v>55</v>
      </c>
      <c r="D3392" s="1">
        <v>12</v>
      </c>
      <c r="E3392" s="3">
        <f t="shared" si="26"/>
        <v>0.82089552238805974</v>
      </c>
      <c r="F3392" s="1" t="s">
        <v>297</v>
      </c>
      <c r="G3392" s="1" t="s">
        <v>20</v>
      </c>
      <c r="H3392" s="1">
        <v>15309</v>
      </c>
      <c r="I3392" s="1">
        <v>18214</v>
      </c>
      <c r="J3392" s="7">
        <v>0.84099999999999997</v>
      </c>
      <c r="K3392" s="1" t="s">
        <v>29</v>
      </c>
      <c r="L3392" s="1" t="s">
        <v>29</v>
      </c>
      <c r="M3392" s="1" t="s">
        <v>29</v>
      </c>
      <c r="N3392" s="1" t="s">
        <v>297</v>
      </c>
      <c r="O3392" s="1" t="str">
        <f t="shared" ca="1" si="27"/>
        <v>Please solve the LeetCode problem '2026. Low-Quality Problems'.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93" spans="1:15" x14ac:dyDescent="0.25">
      <c r="A3393" s="1">
        <v>2489</v>
      </c>
      <c r="B3393" s="2" t="str">
        <f>HYPERLINK("https://leetcode.com/problems/number-of-substrings-with-fixed-ratio/", "Number of Substrings With Fixed Ratio")</f>
        <v>Number of Substrings With Fixed Ratio</v>
      </c>
      <c r="C3393" s="1">
        <v>55</v>
      </c>
      <c r="D3393" s="1">
        <v>3</v>
      </c>
      <c r="E3393" s="3">
        <f t="shared" si="26"/>
        <v>0.94827586206896552</v>
      </c>
      <c r="F3393" s="1" t="s">
        <v>1253</v>
      </c>
      <c r="G3393" s="1" t="s">
        <v>24</v>
      </c>
      <c r="H3393" s="1">
        <v>1625</v>
      </c>
      <c r="I3393" s="1">
        <v>2838</v>
      </c>
      <c r="J3393" s="7">
        <v>0.57299999999999995</v>
      </c>
      <c r="K3393" s="1" t="s">
        <v>29</v>
      </c>
      <c r="L3393" s="1" t="s">
        <v>29</v>
      </c>
      <c r="M3393" s="1" t="s">
        <v>29</v>
      </c>
      <c r="N3393" s="1" t="s">
        <v>22</v>
      </c>
      <c r="O3393" s="1" t="str">
        <f t="shared" ca="1" si="27"/>
        <v>Please solve the LeetCode problem '2489. Number of Substrings With Fixed Ratio'.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94" spans="1:15" x14ac:dyDescent="0.25">
      <c r="A3394" s="1">
        <v>2505</v>
      </c>
      <c r="B3394" s="2" t="str">
        <f>HYPERLINK("https://leetcode.com/problems/bitwise-or-of-all-subsequence-sums/", "Bitwise OR of All Subsequence Sums")</f>
        <v>Bitwise OR of All Subsequence Sums</v>
      </c>
      <c r="C3394" s="1">
        <v>55</v>
      </c>
      <c r="D3394" s="1">
        <v>17</v>
      </c>
      <c r="E3394" s="3">
        <f t="shared" si="26"/>
        <v>0.76388888888888884</v>
      </c>
      <c r="F3394" s="1" t="s">
        <v>1254</v>
      </c>
      <c r="G3394" s="1" t="s">
        <v>24</v>
      </c>
      <c r="H3394" s="1">
        <v>4391</v>
      </c>
      <c r="I3394" s="1">
        <v>6836</v>
      </c>
      <c r="J3394" s="7">
        <v>0.64200000000000002</v>
      </c>
      <c r="K3394" s="1" t="s">
        <v>29</v>
      </c>
      <c r="L3394" s="1" t="s">
        <v>29</v>
      </c>
      <c r="M3394" s="1" t="s">
        <v>29</v>
      </c>
      <c r="N3394" s="1" t="s">
        <v>22</v>
      </c>
      <c r="O3394" s="1" t="str">
        <f t="shared" ca="1" si="27"/>
        <v>Please solve the LeetCode problem '2505. Bitwise OR of All Subsequence Sums'.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95" spans="1:15" x14ac:dyDescent="0.25">
      <c r="A3395" s="1">
        <v>3348</v>
      </c>
      <c r="B3395" s="2" t="str">
        <f>HYPERLINK("https://leetcode.com/problems/smallest-divisible-digit-product-ii/", "Smallest Divisible Digit Product II")</f>
        <v>Smallest Divisible Digit Product II</v>
      </c>
      <c r="C3395" s="1">
        <v>55</v>
      </c>
      <c r="D3395" s="1">
        <v>18</v>
      </c>
      <c r="E3395" s="3">
        <f t="shared" si="26"/>
        <v>0.75342465753424659</v>
      </c>
      <c r="F3395" s="1" t="s">
        <v>1250</v>
      </c>
      <c r="G3395" s="1" t="s">
        <v>28</v>
      </c>
      <c r="H3395" s="1">
        <v>4680</v>
      </c>
      <c r="I3395" s="1">
        <v>32734</v>
      </c>
      <c r="J3395" s="7">
        <v>0.14299999999999999</v>
      </c>
      <c r="K3395" s="1" t="s">
        <v>21</v>
      </c>
      <c r="L3395" s="1" t="s">
        <v>29</v>
      </c>
      <c r="M3395" s="1" t="s">
        <v>29</v>
      </c>
      <c r="N3395" s="1" t="s">
        <v>22</v>
      </c>
      <c r="O3395" s="1" t="str">
        <f t="shared" ca="1" si="27"/>
        <v>Please solve the LeetCode problem '3348. Smallest Divisible Digit Product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96" spans="1:15" x14ac:dyDescent="0.25">
      <c r="A3396" s="1">
        <v>3436</v>
      </c>
      <c r="B3396" s="2" t="str">
        <f>HYPERLINK("https://leetcode.com/problems/find-valid-emails/", "Find Valid Emails")</f>
        <v>Find Valid Emails</v>
      </c>
      <c r="C3396" s="1">
        <v>55</v>
      </c>
      <c r="D3396" s="1">
        <v>7</v>
      </c>
      <c r="E3396" s="3">
        <f t="shared" si="26"/>
        <v>0.88709677419354838</v>
      </c>
      <c r="F3396" s="1" t="s">
        <v>297</v>
      </c>
      <c r="G3396" s="1" t="s">
        <v>20</v>
      </c>
      <c r="H3396" s="1">
        <v>22654</v>
      </c>
      <c r="I3396" s="1">
        <v>50400</v>
      </c>
      <c r="J3396" s="7">
        <v>0.44900000000000001</v>
      </c>
      <c r="K3396" s="1" t="s">
        <v>21</v>
      </c>
      <c r="L3396" s="1" t="s">
        <v>29</v>
      </c>
      <c r="M3396" s="1" t="s">
        <v>29</v>
      </c>
      <c r="N3396" s="1" t="s">
        <v>297</v>
      </c>
      <c r="O3396" s="1" t="str">
        <f t="shared" ca="1" si="27"/>
        <v>Please solve the LeetCode problem '3436. Find Valid Emails'.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97" spans="1:15" x14ac:dyDescent="0.25">
      <c r="A3397" s="1">
        <v>3509</v>
      </c>
      <c r="B3397" s="2" t="str">
        <f>HYPERLINK("https://leetcode.com/problems/maximum-product-of-subsequences-with-an-alternating-sum-equal-to-k/", "Maximum Product of Subsequences With an Alternating Sum Equal to K")</f>
        <v>Maximum Product of Subsequences With an Alternating Sum Equal to K</v>
      </c>
      <c r="C3397" s="1">
        <v>55</v>
      </c>
      <c r="D3397" s="1">
        <v>6</v>
      </c>
      <c r="E3397" s="3">
        <f t="shared" si="26"/>
        <v>0.90163934426229508</v>
      </c>
      <c r="F3397" s="1" t="s">
        <v>174</v>
      </c>
      <c r="G3397" s="1" t="s">
        <v>28</v>
      </c>
      <c r="H3397" s="1">
        <v>5652</v>
      </c>
      <c r="I3397" s="1">
        <v>44413</v>
      </c>
      <c r="J3397" s="7">
        <v>0.127</v>
      </c>
      <c r="K3397" s="1" t="s">
        <v>21</v>
      </c>
      <c r="L3397" s="1" t="s">
        <v>29</v>
      </c>
      <c r="M3397" s="1" t="s">
        <v>29</v>
      </c>
      <c r="N3397" s="1" t="s">
        <v>22</v>
      </c>
      <c r="O3397" s="1" t="str">
        <f t="shared" ca="1" si="27"/>
        <v>Please solve the LeetCode problem '3509. Maximum Product of Subsequences With an Alternating Sum Equal to K'.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98" spans="1:15" x14ac:dyDescent="0.25">
      <c r="A3398" s="1">
        <v>3674</v>
      </c>
      <c r="B3398" s="2" t="str">
        <f>HYPERLINK("https://leetcode.com/problems/minimum-operations-to-equalize-array/", "Minimum Operations to Equalize Array")</f>
        <v>Minimum Operations to Equalize Array</v>
      </c>
      <c r="C3398" s="1">
        <v>55</v>
      </c>
      <c r="D3398" s="1">
        <v>12</v>
      </c>
      <c r="E3398" s="3">
        <f t="shared" si="26"/>
        <v>0.82089552238805974</v>
      </c>
      <c r="F3398" s="1" t="s">
        <v>634</v>
      </c>
      <c r="G3398" s="1" t="s">
        <v>20</v>
      </c>
      <c r="H3398" s="1">
        <v>49356</v>
      </c>
      <c r="I3398" s="1">
        <v>83655</v>
      </c>
      <c r="J3398" s="7">
        <v>0.59</v>
      </c>
      <c r="K3398" s="1" t="s">
        <v>21</v>
      </c>
      <c r="L3398" s="1" t="s">
        <v>29</v>
      </c>
      <c r="M3398" s="1" t="s">
        <v>29</v>
      </c>
      <c r="N3398" s="1" t="s">
        <v>22</v>
      </c>
      <c r="O3398" s="1" t="str">
        <f t="shared" ca="1" si="27"/>
        <v>Please solve the LeetCode problem '3674. Minimum Operations to Equalize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399" spans="1:15" x14ac:dyDescent="0.25">
      <c r="A3399" s="1">
        <v>3731</v>
      </c>
      <c r="B3399" s="2" t="str">
        <f>HYPERLINK("https://leetcode.com/problems/find-missing-elements/", "Find Missing Elements")</f>
        <v>Find Missing Elements</v>
      </c>
      <c r="C3399" s="1">
        <v>55</v>
      </c>
      <c r="D3399" s="1">
        <v>2</v>
      </c>
      <c r="E3399" s="3">
        <f t="shared" si="26"/>
        <v>0.96491228070175439</v>
      </c>
      <c r="F3399" s="1" t="s">
        <v>92</v>
      </c>
      <c r="G3399" s="1" t="s">
        <v>20</v>
      </c>
      <c r="H3399" s="1">
        <v>51896</v>
      </c>
      <c r="I3399" s="1">
        <v>63053</v>
      </c>
      <c r="J3399" s="7">
        <v>0.82299999999999995</v>
      </c>
      <c r="K3399" s="1" t="s">
        <v>21</v>
      </c>
      <c r="L3399" s="1" t="s">
        <v>29</v>
      </c>
      <c r="M3399" s="1" t="s">
        <v>29</v>
      </c>
      <c r="N3399" s="1" t="s">
        <v>22</v>
      </c>
      <c r="O3399" s="1" t="str">
        <f t="shared" ca="1" si="27"/>
        <v>Please solve the LeetCode problem '3731. Find Missing Elements'.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00" spans="1:15" x14ac:dyDescent="0.25">
      <c r="A3400" s="1">
        <v>3748</v>
      </c>
      <c r="B3400" s="2" t="str">
        <f>HYPERLINK("https://leetcode.com/problems/count-stable-subarrays/", "Count Stable Subarrays")</f>
        <v>Count Stable Subarrays</v>
      </c>
      <c r="C3400" s="1">
        <v>55</v>
      </c>
      <c r="D3400" s="1">
        <v>2</v>
      </c>
      <c r="E3400" s="3">
        <f t="shared" si="26"/>
        <v>0.96491228070175439</v>
      </c>
      <c r="F3400" s="1" t="s">
        <v>710</v>
      </c>
      <c r="G3400" s="1" t="s">
        <v>28</v>
      </c>
      <c r="H3400" s="1">
        <v>5596</v>
      </c>
      <c r="I3400" s="1">
        <v>17596</v>
      </c>
      <c r="J3400" s="7">
        <v>0.318</v>
      </c>
      <c r="K3400" s="1" t="s">
        <v>21</v>
      </c>
      <c r="L3400" s="1" t="s">
        <v>29</v>
      </c>
      <c r="M3400" s="1" t="s">
        <v>29</v>
      </c>
      <c r="N3400" s="1" t="s">
        <v>22</v>
      </c>
      <c r="O3400" s="1" t="str">
        <f t="shared" ca="1" si="27"/>
        <v>Please solve the LeetCode problem '3748. Count Stable Subarrays'.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01" spans="1:15" x14ac:dyDescent="0.25">
      <c r="A3401" s="1">
        <v>2123</v>
      </c>
      <c r="B3401" s="2" t="str">
        <f>HYPERLINK("https://leetcode.com/problems/minimum-operations-to-remove-adjacent-ones-in-matrix/", "Minimum Operations to Remove Adjacent Ones in Matrix")</f>
        <v>Minimum Operations to Remove Adjacent Ones in Matrix</v>
      </c>
      <c r="C3401" s="1">
        <v>54</v>
      </c>
      <c r="D3401" s="1">
        <v>13</v>
      </c>
      <c r="E3401" s="3">
        <f t="shared" si="26"/>
        <v>0.80597014925373134</v>
      </c>
      <c r="F3401" s="1" t="s">
        <v>1258</v>
      </c>
      <c r="G3401" s="1" t="s">
        <v>28</v>
      </c>
      <c r="H3401" s="1">
        <v>1265</v>
      </c>
      <c r="I3401" s="1">
        <v>2981</v>
      </c>
      <c r="J3401" s="7">
        <v>0.42399999999999999</v>
      </c>
      <c r="K3401" s="1" t="s">
        <v>29</v>
      </c>
      <c r="L3401" s="1" t="s">
        <v>29</v>
      </c>
      <c r="M3401" s="1" t="s">
        <v>29</v>
      </c>
      <c r="N3401" s="1" t="s">
        <v>22</v>
      </c>
      <c r="O3401" s="1" t="str">
        <f t="shared" ca="1" si="27"/>
        <v>Please solve the LeetCode problem '2123. Minimum Operations to Remove Adjacent Ones in Matrix'.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02" spans="1:15" x14ac:dyDescent="0.25">
      <c r="A3402" s="1">
        <v>2431</v>
      </c>
      <c r="B3402" s="2" t="str">
        <f>HYPERLINK("https://leetcode.com/problems/maximize-total-tastiness-of-purchased-fruits/", "Maximize Total Tastiness of Purchased Fruits")</f>
        <v>Maximize Total Tastiness of Purchased Fruits</v>
      </c>
      <c r="C3402" s="1">
        <v>54</v>
      </c>
      <c r="D3402" s="1">
        <v>2</v>
      </c>
      <c r="E3402" s="3">
        <f t="shared" si="26"/>
        <v>0.9642857142857143</v>
      </c>
      <c r="F3402" s="1" t="s">
        <v>30</v>
      </c>
      <c r="G3402" s="1" t="s">
        <v>24</v>
      </c>
      <c r="H3402" s="1">
        <v>3895</v>
      </c>
      <c r="I3402" s="1">
        <v>6023</v>
      </c>
      <c r="J3402" s="7">
        <v>0.64700000000000002</v>
      </c>
      <c r="K3402" s="1" t="s">
        <v>29</v>
      </c>
      <c r="L3402" s="1" t="s">
        <v>29</v>
      </c>
      <c r="M3402" s="1" t="s">
        <v>29</v>
      </c>
      <c r="N3402" s="1" t="s">
        <v>22</v>
      </c>
      <c r="O3402" s="1" t="str">
        <f t="shared" ca="1" si="27"/>
        <v>Please solve the LeetCode problem '2431. Maximize Total Tastiness of Purchased Fruits'.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03" spans="1:15" x14ac:dyDescent="0.25">
      <c r="A3403" s="1">
        <v>2494</v>
      </c>
      <c r="B3403" s="2" t="str">
        <f>HYPERLINK("https://leetcode.com/problems/merge-overlapping-events-in-the-same-hall/", "Merge Overlapping Events in the Same Hall")</f>
        <v>Merge Overlapping Events in the Same Hall</v>
      </c>
      <c r="C3403" s="1">
        <v>54</v>
      </c>
      <c r="D3403" s="1">
        <v>8</v>
      </c>
      <c r="E3403" s="3">
        <f t="shared" si="26"/>
        <v>0.87096774193548387</v>
      </c>
      <c r="F3403" s="1" t="s">
        <v>297</v>
      </c>
      <c r="G3403" s="1" t="s">
        <v>28</v>
      </c>
      <c r="H3403" s="1">
        <v>3028</v>
      </c>
      <c r="I3403" s="1">
        <v>8175</v>
      </c>
      <c r="J3403" s="7">
        <v>0.37</v>
      </c>
      <c r="K3403" s="1" t="s">
        <v>29</v>
      </c>
      <c r="L3403" s="1" t="s">
        <v>29</v>
      </c>
      <c r="M3403" s="1" t="s">
        <v>29</v>
      </c>
      <c r="N3403" s="1" t="s">
        <v>297</v>
      </c>
      <c r="O3403" s="1" t="str">
        <f t="shared" ca="1" si="27"/>
        <v>Please solve the LeetCode problem '2494. Merge Overlapping Events in the Same Hall'.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04" spans="1:15" x14ac:dyDescent="0.25">
      <c r="A3404" s="1">
        <v>3556</v>
      </c>
      <c r="B3404" s="2" t="str">
        <f>HYPERLINK("https://leetcode.com/problems/sum-of-largest-prime-substrings/", "Sum of Largest Prime Substrings")</f>
        <v>Sum of Largest Prime Substrings</v>
      </c>
      <c r="C3404" s="1">
        <v>54</v>
      </c>
      <c r="D3404" s="1">
        <v>9</v>
      </c>
      <c r="E3404" s="3">
        <f t="shared" si="26"/>
        <v>0.8571428571428571</v>
      </c>
      <c r="F3404" s="1" t="s">
        <v>1255</v>
      </c>
      <c r="G3404" s="1" t="s">
        <v>24</v>
      </c>
      <c r="H3404" s="1">
        <v>24124</v>
      </c>
      <c r="I3404" s="1">
        <v>64089</v>
      </c>
      <c r="J3404" s="7">
        <v>0.376</v>
      </c>
      <c r="K3404" s="1" t="s">
        <v>21</v>
      </c>
      <c r="L3404" s="1" t="s">
        <v>29</v>
      </c>
      <c r="M3404" s="1" t="s">
        <v>29</v>
      </c>
      <c r="N3404" s="1" t="s">
        <v>22</v>
      </c>
      <c r="O3404" s="1" t="str">
        <f t="shared" ca="1" si="27"/>
        <v>Please solve the LeetCode problem '3556. Sum of Largest Prime Substrings'.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05" spans="1:15" x14ac:dyDescent="0.25">
      <c r="A3405" s="1">
        <v>3609</v>
      </c>
      <c r="B3405" s="2" t="str">
        <f>HYPERLINK("https://leetcode.com/problems/minimum-moves-to-reach-target-in-grid/", "Minimum Moves to Reach Target in Grid")</f>
        <v>Minimum Moves to Reach Target in Grid</v>
      </c>
      <c r="C3405" s="1">
        <v>54</v>
      </c>
      <c r="D3405" s="1">
        <v>3</v>
      </c>
      <c r="E3405" s="3">
        <f t="shared" si="26"/>
        <v>0.94736842105263153</v>
      </c>
      <c r="F3405" s="1" t="s">
        <v>84</v>
      </c>
      <c r="G3405" s="1" t="s">
        <v>28</v>
      </c>
      <c r="H3405" s="1">
        <v>4975</v>
      </c>
      <c r="I3405" s="1">
        <v>33911</v>
      </c>
      <c r="J3405" s="7">
        <v>0.14699999999999999</v>
      </c>
      <c r="K3405" s="1" t="s">
        <v>21</v>
      </c>
      <c r="L3405" s="1" t="s">
        <v>29</v>
      </c>
      <c r="M3405" s="1" t="s">
        <v>29</v>
      </c>
      <c r="N3405" s="1" t="s">
        <v>22</v>
      </c>
      <c r="O3405" s="1" t="str">
        <f t="shared" ca="1" si="27"/>
        <v>Please solve the LeetCode problem '3609. Minimum Moves to Reach Target in Grid'.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06" spans="1:15" x14ac:dyDescent="0.25">
      <c r="A3406" s="1">
        <v>3740</v>
      </c>
      <c r="B3406" s="2" t="str">
        <f>HYPERLINK("https://leetcode.com/problems/minimum-distance-between-three-equal-elements-i/", "Minimum Distance Between Three Equal Elements I")</f>
        <v>Minimum Distance Between Three Equal Elements I</v>
      </c>
      <c r="C3406" s="1">
        <v>54</v>
      </c>
      <c r="D3406" s="1">
        <v>7</v>
      </c>
      <c r="E3406" s="3">
        <f t="shared" si="26"/>
        <v>0.88524590163934425</v>
      </c>
      <c r="F3406" s="1" t="s">
        <v>19</v>
      </c>
      <c r="G3406" s="1" t="s">
        <v>20</v>
      </c>
      <c r="H3406" s="1">
        <v>36528</v>
      </c>
      <c r="I3406" s="1">
        <v>60569</v>
      </c>
      <c r="J3406" s="7">
        <v>0.60299999999999998</v>
      </c>
      <c r="K3406" s="1" t="s">
        <v>21</v>
      </c>
      <c r="L3406" s="1" t="s">
        <v>29</v>
      </c>
      <c r="M3406" s="1" t="s">
        <v>29</v>
      </c>
      <c r="N3406" s="1" t="s">
        <v>22</v>
      </c>
      <c r="O3406" s="1" t="str">
        <f t="shared" ca="1" si="27"/>
        <v>Please solve the LeetCode problem '3740. Minimum Distance Between Three Equal Elements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07" spans="1:15" x14ac:dyDescent="0.25">
      <c r="A3407" s="1">
        <v>1500</v>
      </c>
      <c r="B3407" s="2" t="str">
        <f>HYPERLINK("https://leetcode.com/problems/design-a-file-sharing-system/", "Design a File Sharing System")</f>
        <v>Design a File Sharing System</v>
      </c>
      <c r="C3407" s="1">
        <v>53</v>
      </c>
      <c r="D3407" s="1">
        <v>132</v>
      </c>
      <c r="E3407" s="3">
        <f t="shared" si="26"/>
        <v>0.2864864864864865</v>
      </c>
      <c r="F3407" s="1" t="s">
        <v>1259</v>
      </c>
      <c r="G3407" s="1" t="s">
        <v>24</v>
      </c>
      <c r="H3407" s="1">
        <v>6416</v>
      </c>
      <c r="I3407" s="1">
        <v>15366</v>
      </c>
      <c r="J3407" s="7">
        <v>0.41799999999999998</v>
      </c>
      <c r="K3407" s="1" t="s">
        <v>29</v>
      </c>
      <c r="L3407" s="1" t="s">
        <v>29</v>
      </c>
      <c r="M3407" s="1" t="s">
        <v>29</v>
      </c>
      <c r="N3407" s="1" t="s">
        <v>22</v>
      </c>
      <c r="O3407" s="1" t="str">
        <f t="shared" ca="1" si="27"/>
        <v>Please solve the LeetCode problem '1500. Design a File Sharing System'.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08" spans="1:15" x14ac:dyDescent="0.25">
      <c r="A3408" s="1">
        <v>2298</v>
      </c>
      <c r="B3408" s="2" t="str">
        <f>HYPERLINK("https://leetcode.com/problems/tasks-count-in-the-weekend/", "Tasks Count in the Weekend")</f>
        <v>Tasks Count in the Weekend</v>
      </c>
      <c r="C3408" s="1">
        <v>53</v>
      </c>
      <c r="D3408" s="1">
        <v>10</v>
      </c>
      <c r="E3408" s="3">
        <f t="shared" si="26"/>
        <v>0.84126984126984128</v>
      </c>
      <c r="F3408" s="1" t="s">
        <v>297</v>
      </c>
      <c r="G3408" s="1" t="s">
        <v>24</v>
      </c>
      <c r="H3408" s="1">
        <v>8951</v>
      </c>
      <c r="I3408" s="1">
        <v>10944</v>
      </c>
      <c r="J3408" s="7">
        <v>0.81799999999999995</v>
      </c>
      <c r="K3408" s="1" t="s">
        <v>29</v>
      </c>
      <c r="L3408" s="1" t="s">
        <v>29</v>
      </c>
      <c r="M3408" s="1" t="s">
        <v>29</v>
      </c>
      <c r="N3408" s="1" t="s">
        <v>297</v>
      </c>
      <c r="O3408" s="1" t="str">
        <f t="shared" ca="1" si="27"/>
        <v>Please solve the LeetCode problem '2298. Tasks Count in the Weekend'.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09" spans="1:15" x14ac:dyDescent="0.25">
      <c r="A3409" s="1">
        <v>2495</v>
      </c>
      <c r="B3409" s="2" t="str">
        <f>HYPERLINK("https://leetcode.com/problems/number-of-subarrays-having-even-product/", "Number of Subarrays Having Even Product")</f>
        <v>Number of Subarrays Having Even Product</v>
      </c>
      <c r="C3409" s="1">
        <v>53</v>
      </c>
      <c r="D3409" s="1">
        <v>5</v>
      </c>
      <c r="E3409" s="3">
        <f t="shared" si="26"/>
        <v>0.91379310344827591</v>
      </c>
      <c r="F3409" s="1" t="s">
        <v>457</v>
      </c>
      <c r="G3409" s="1" t="s">
        <v>24</v>
      </c>
      <c r="H3409" s="1">
        <v>2699</v>
      </c>
      <c r="I3409" s="1">
        <v>4291</v>
      </c>
      <c r="J3409" s="7">
        <v>0.629</v>
      </c>
      <c r="K3409" s="1" t="s">
        <v>29</v>
      </c>
      <c r="L3409" s="1" t="s">
        <v>29</v>
      </c>
      <c r="M3409" s="1" t="s">
        <v>29</v>
      </c>
      <c r="N3409" s="1" t="s">
        <v>22</v>
      </c>
      <c r="O3409" s="1" t="str">
        <f t="shared" ca="1" si="27"/>
        <v>Please solve the LeetCode problem '2495. Number of Subarrays Having Even Product'.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10" spans="1:15" x14ac:dyDescent="0.25">
      <c r="A3410" s="1">
        <v>3482</v>
      </c>
      <c r="B3410" s="2" t="str">
        <f>HYPERLINK("https://leetcode.com/problems/analyze-organization-hierarchy/", "Analyze Organization Hierarchy")</f>
        <v>Analyze Organization Hierarchy</v>
      </c>
      <c r="C3410" s="1">
        <v>53</v>
      </c>
      <c r="D3410" s="1">
        <v>3</v>
      </c>
      <c r="E3410" s="3">
        <f t="shared" si="26"/>
        <v>0.9464285714285714</v>
      </c>
      <c r="F3410" s="1" t="s">
        <v>297</v>
      </c>
      <c r="G3410" s="1" t="s">
        <v>28</v>
      </c>
      <c r="H3410" s="1">
        <v>6857</v>
      </c>
      <c r="I3410" s="1">
        <v>11472</v>
      </c>
      <c r="J3410" s="7">
        <v>0.59799999999999998</v>
      </c>
      <c r="K3410" s="1" t="s">
        <v>21</v>
      </c>
      <c r="L3410" s="1" t="s">
        <v>29</v>
      </c>
      <c r="M3410" s="1" t="s">
        <v>29</v>
      </c>
      <c r="N3410" s="1" t="s">
        <v>297</v>
      </c>
      <c r="O3410" s="1" t="str">
        <f t="shared" ca="1" si="27"/>
        <v>Please solve the LeetCode problem '3482. Analyze Organization Hierarchy'.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11" spans="1:15" x14ac:dyDescent="0.25">
      <c r="A3411" s="1">
        <v>3612</v>
      </c>
      <c r="B3411" s="2" t="str">
        <f>HYPERLINK("https://leetcode.com/problems/process-string-with-special-operations-i/", "Process String with Special Operations I")</f>
        <v>Process String with Special Operations I</v>
      </c>
      <c r="C3411" s="1">
        <v>53</v>
      </c>
      <c r="D3411" s="1">
        <v>11</v>
      </c>
      <c r="E3411" s="3">
        <f t="shared" si="26"/>
        <v>0.828125</v>
      </c>
      <c r="F3411" s="1" t="s">
        <v>414</v>
      </c>
      <c r="G3411" s="1" t="s">
        <v>24</v>
      </c>
      <c r="H3411" s="1">
        <v>47381</v>
      </c>
      <c r="I3411" s="1">
        <v>73006</v>
      </c>
      <c r="J3411" s="7">
        <v>0.64900000000000002</v>
      </c>
      <c r="K3411" s="1" t="s">
        <v>21</v>
      </c>
      <c r="L3411" s="1" t="s">
        <v>29</v>
      </c>
      <c r="M3411" s="1" t="s">
        <v>29</v>
      </c>
      <c r="N3411" s="1" t="s">
        <v>22</v>
      </c>
      <c r="O3411" s="1" t="str">
        <f t="shared" ca="1" si="27"/>
        <v>Please solve the LeetCode problem '3612. Process String with Special Operations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12" spans="1:15" x14ac:dyDescent="0.25">
      <c r="A3412" s="1">
        <v>3695</v>
      </c>
      <c r="B3412" s="2" t="str">
        <f>HYPERLINK("https://leetcode.com/problems/maximize-alternating-sum-using-swaps/", "Maximize Alternating Sum Using Swaps")</f>
        <v>Maximize Alternating Sum Using Swaps</v>
      </c>
      <c r="C3412" s="1">
        <v>53</v>
      </c>
      <c r="D3412" s="1">
        <v>4</v>
      </c>
      <c r="E3412" s="3">
        <f t="shared" si="26"/>
        <v>0.92982456140350878</v>
      </c>
      <c r="F3412" s="1" t="s">
        <v>1256</v>
      </c>
      <c r="G3412" s="1" t="s">
        <v>28</v>
      </c>
      <c r="H3412" s="1">
        <v>8575</v>
      </c>
      <c r="I3412" s="1">
        <v>13410</v>
      </c>
      <c r="J3412" s="7">
        <v>0.63900000000000001</v>
      </c>
      <c r="K3412" s="1" t="s">
        <v>21</v>
      </c>
      <c r="L3412" s="1" t="s">
        <v>29</v>
      </c>
      <c r="M3412" s="1" t="s">
        <v>29</v>
      </c>
      <c r="N3412" s="1" t="s">
        <v>22</v>
      </c>
      <c r="O3412" s="1" t="str">
        <f t="shared" ca="1" si="27"/>
        <v>Please solve the LeetCode problem '3695. Maximize Alternating Sum Using Swaps'.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13" spans="1:15" x14ac:dyDescent="0.25">
      <c r="A3413" s="1">
        <v>3746</v>
      </c>
      <c r="B3413" s="2" t="str">
        <f>HYPERLINK("https://leetcode.com/problems/minimum-string-length-after-balanced-removals/", "Minimum String Length After Balanced Removals")</f>
        <v>Minimum String Length After Balanced Removals</v>
      </c>
      <c r="C3413" s="1">
        <v>53</v>
      </c>
      <c r="D3413" s="1">
        <v>6</v>
      </c>
      <c r="E3413" s="3">
        <f t="shared" si="26"/>
        <v>0.89830508474576276</v>
      </c>
      <c r="F3413" s="1" t="s">
        <v>1244</v>
      </c>
      <c r="G3413" s="1" t="s">
        <v>24</v>
      </c>
      <c r="H3413" s="1">
        <v>36886</v>
      </c>
      <c r="I3413" s="1">
        <v>47117</v>
      </c>
      <c r="J3413" s="7">
        <v>0.78300000000000003</v>
      </c>
      <c r="K3413" s="1" t="s">
        <v>21</v>
      </c>
      <c r="L3413" s="1" t="s">
        <v>29</v>
      </c>
      <c r="M3413" s="1" t="s">
        <v>29</v>
      </c>
      <c r="N3413" s="1" t="s">
        <v>22</v>
      </c>
      <c r="O3413" s="1" t="str">
        <f t="shared" ca="1" si="27"/>
        <v>Please solve the LeetCode problem '3746. Minimum String Length After Balanced Removals'.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14" spans="1:15" x14ac:dyDescent="0.25">
      <c r="A3414" s="1">
        <v>3519</v>
      </c>
      <c r="B3414" s="2" t="str">
        <f>HYPERLINK("https://leetcode.com/problems/count-numbers-with-non-decreasing-digits/", "Count Numbers with Non-Decreasing Digits ")</f>
        <v xml:space="preserve">Count Numbers with Non-Decreasing Digits </v>
      </c>
      <c r="C3414" s="1">
        <v>52</v>
      </c>
      <c r="D3414" s="1">
        <v>3</v>
      </c>
      <c r="E3414" s="3">
        <f t="shared" si="26"/>
        <v>0.94545454545454544</v>
      </c>
      <c r="F3414" s="1" t="s">
        <v>627</v>
      </c>
      <c r="G3414" s="1" t="s">
        <v>28</v>
      </c>
      <c r="H3414" s="1">
        <v>6477</v>
      </c>
      <c r="I3414" s="1">
        <v>16896</v>
      </c>
      <c r="J3414" s="7">
        <v>0.38300000000000001</v>
      </c>
      <c r="K3414" s="1" t="s">
        <v>21</v>
      </c>
      <c r="L3414" s="1" t="s">
        <v>29</v>
      </c>
      <c r="M3414" s="1" t="s">
        <v>29</v>
      </c>
      <c r="N3414" s="1" t="s">
        <v>22</v>
      </c>
      <c r="O3414" s="1" t="str">
        <f t="shared" ca="1" si="27"/>
        <v>Please solve the LeetCode problem '3519. Count Numbers with Non-Decreasing Digits 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15" spans="1:15" x14ac:dyDescent="0.25">
      <c r="A3415" s="1">
        <v>3534</v>
      </c>
      <c r="B3415" s="2" t="str">
        <f>HYPERLINK("https://leetcode.com/problems/path-existence-queries-in-a-graph-ii/", "Path Existence Queries in a Graph II")</f>
        <v>Path Existence Queries in a Graph II</v>
      </c>
      <c r="C3415" s="1">
        <v>52</v>
      </c>
      <c r="D3415" s="1">
        <v>1</v>
      </c>
      <c r="E3415" s="3">
        <f t="shared" si="26"/>
        <v>0.98113207547169812</v>
      </c>
      <c r="F3415" s="1" t="s">
        <v>1261</v>
      </c>
      <c r="G3415" s="1" t="s">
        <v>28</v>
      </c>
      <c r="H3415" s="1">
        <v>4067</v>
      </c>
      <c r="I3415" s="1">
        <v>15717</v>
      </c>
      <c r="J3415" s="7">
        <v>0.25900000000000001</v>
      </c>
      <c r="K3415" s="1" t="s">
        <v>21</v>
      </c>
      <c r="L3415" s="1" t="s">
        <v>29</v>
      </c>
      <c r="M3415" s="1" t="s">
        <v>29</v>
      </c>
      <c r="N3415" s="1" t="s">
        <v>22</v>
      </c>
      <c r="O3415" s="1" t="str">
        <f t="shared" ca="1" si="27"/>
        <v>Please solve the LeetCode problem '3534. Path Existence Queries in a Graph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16" spans="1:15" x14ac:dyDescent="0.25">
      <c r="A3416" s="1">
        <v>3618</v>
      </c>
      <c r="B3416" s="2" t="str">
        <f>HYPERLINK("https://leetcode.com/problems/split-array-by-prime-indices/", "Split Array by Prime Indices")</f>
        <v>Split Array by Prime Indices</v>
      </c>
      <c r="C3416" s="1">
        <v>52</v>
      </c>
      <c r="D3416" s="1">
        <v>3</v>
      </c>
      <c r="E3416" s="3">
        <f t="shared" si="26"/>
        <v>0.94545454545454544</v>
      </c>
      <c r="F3416" s="1" t="s">
        <v>640</v>
      </c>
      <c r="G3416" s="1" t="s">
        <v>24</v>
      </c>
      <c r="H3416" s="1">
        <v>36246</v>
      </c>
      <c r="I3416" s="1">
        <v>73638</v>
      </c>
      <c r="J3416" s="7">
        <v>0.49199999999999999</v>
      </c>
      <c r="K3416" s="1" t="s">
        <v>21</v>
      </c>
      <c r="L3416" s="1" t="s">
        <v>29</v>
      </c>
      <c r="M3416" s="1" t="s">
        <v>29</v>
      </c>
      <c r="N3416" s="1" t="s">
        <v>22</v>
      </c>
      <c r="O3416" s="1" t="str">
        <f t="shared" ca="1" si="27"/>
        <v>Please solve the LeetCode problem '3618. Split Array by Prime Indices'.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17" spans="1:15" x14ac:dyDescent="0.25">
      <c r="A3417" s="1">
        <v>3701</v>
      </c>
      <c r="B3417" s="2" t="str">
        <f>HYPERLINK("https://leetcode.com/problems/compute-alternating-sum/", "Compute Alternating Sum")</f>
        <v>Compute Alternating Sum</v>
      </c>
      <c r="C3417" s="1">
        <v>52</v>
      </c>
      <c r="D3417" s="1">
        <v>2</v>
      </c>
      <c r="E3417" s="3">
        <f t="shared" si="26"/>
        <v>0.96296296296296291</v>
      </c>
      <c r="F3417" s="1" t="s">
        <v>306</v>
      </c>
      <c r="G3417" s="1" t="s">
        <v>20</v>
      </c>
      <c r="H3417" s="1">
        <v>60290</v>
      </c>
      <c r="I3417" s="1">
        <v>67447</v>
      </c>
      <c r="J3417" s="7">
        <v>0.89400000000000002</v>
      </c>
      <c r="K3417" s="1" t="s">
        <v>21</v>
      </c>
      <c r="L3417" s="1" t="s">
        <v>29</v>
      </c>
      <c r="M3417" s="1" t="s">
        <v>29</v>
      </c>
      <c r="N3417" s="1" t="s">
        <v>22</v>
      </c>
      <c r="O3417" s="1" t="str">
        <f t="shared" ca="1" si="27"/>
        <v>Please solve the LeetCode problem '3701. Compute Alternating Sum'.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18" spans="1:15" x14ac:dyDescent="0.25">
      <c r="A3418" s="1">
        <v>3803</v>
      </c>
      <c r="B3418" s="2" t="str">
        <f>HYPERLINK("https://leetcode.com/problems/count-residue-prefixes/", "Count Residue Prefixes")</f>
        <v>Count Residue Prefixes</v>
      </c>
      <c r="C3418" s="1">
        <v>52</v>
      </c>
      <c r="D3418" s="1">
        <v>0</v>
      </c>
      <c r="E3418" s="3">
        <f t="shared" si="26"/>
        <v>1</v>
      </c>
      <c r="F3418" s="1" t="s">
        <v>131</v>
      </c>
      <c r="G3418" s="1" t="s">
        <v>20</v>
      </c>
      <c r="H3418" s="1">
        <v>40504</v>
      </c>
      <c r="I3418" s="1">
        <v>62338</v>
      </c>
      <c r="J3418" s="7">
        <v>0.65</v>
      </c>
      <c r="K3418" s="1" t="s">
        <v>21</v>
      </c>
      <c r="L3418" s="1" t="s">
        <v>29</v>
      </c>
      <c r="M3418" s="1" t="s">
        <v>29</v>
      </c>
      <c r="N3418" s="1" t="s">
        <v>22</v>
      </c>
      <c r="O3418" s="1" t="str">
        <f t="shared" ca="1" si="27"/>
        <v>Please solve the LeetCode problem '3803. Count Residue Prefixes'.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19" spans="1:15" x14ac:dyDescent="0.25">
      <c r="A3419" s="1">
        <v>2403</v>
      </c>
      <c r="B3419" s="2" t="str">
        <f>HYPERLINK("https://leetcode.com/problems/minimum-time-to-kill-all-monsters/", "Minimum Time to Kill All Monsters")</f>
        <v>Minimum Time to Kill All Monsters</v>
      </c>
      <c r="C3419" s="1">
        <v>51</v>
      </c>
      <c r="D3419" s="1">
        <v>5</v>
      </c>
      <c r="E3419" s="3">
        <f t="shared" si="26"/>
        <v>0.9107142857142857</v>
      </c>
      <c r="F3419" s="1" t="s">
        <v>1359</v>
      </c>
      <c r="G3419" s="1" t="s">
        <v>28</v>
      </c>
      <c r="H3419" s="1">
        <v>1820</v>
      </c>
      <c r="I3419" s="1">
        <v>3197</v>
      </c>
      <c r="J3419" s="7">
        <v>0.56899999999999995</v>
      </c>
      <c r="K3419" s="1" t="s">
        <v>29</v>
      </c>
      <c r="L3419" s="1" t="s">
        <v>29</v>
      </c>
      <c r="M3419" s="1" t="s">
        <v>29</v>
      </c>
      <c r="N3419" s="1" t="s">
        <v>22</v>
      </c>
      <c r="O3419" s="1" t="str">
        <f t="shared" ca="1" si="27"/>
        <v>Please solve the LeetCode problem '2403. Minimum Time to Kill All Monsters'.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20" spans="1:15" x14ac:dyDescent="0.25">
      <c r="A3420" s="1">
        <v>2701</v>
      </c>
      <c r="B3420" s="2" t="str">
        <f>HYPERLINK("https://leetcode.com/problems/consecutive-transactions-with-increasing-amounts/", "Consecutive Transactions with Increasing Amounts")</f>
        <v>Consecutive Transactions with Increasing Amounts</v>
      </c>
      <c r="C3420" s="1">
        <v>51</v>
      </c>
      <c r="D3420" s="1">
        <v>6</v>
      </c>
      <c r="E3420" s="3">
        <f t="shared" si="26"/>
        <v>0.89473684210526316</v>
      </c>
      <c r="F3420" s="1" t="s">
        <v>297</v>
      </c>
      <c r="G3420" s="1" t="s">
        <v>28</v>
      </c>
      <c r="H3420" s="1">
        <v>5296</v>
      </c>
      <c r="I3420" s="1">
        <v>15242</v>
      </c>
      <c r="J3420" s="7">
        <v>0.34699999999999998</v>
      </c>
      <c r="K3420" s="1" t="s">
        <v>29</v>
      </c>
      <c r="L3420" s="1" t="s">
        <v>21</v>
      </c>
      <c r="M3420" s="1" t="s">
        <v>29</v>
      </c>
      <c r="N3420" s="1" t="s">
        <v>297</v>
      </c>
      <c r="O3420" s="1" t="str">
        <f t="shared" ca="1" si="27"/>
        <v>Please solve the LeetCode problem '2701. Consecutive Transactions with Increasing Amounts'.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21" spans="1:15" x14ac:dyDescent="0.25">
      <c r="A3421" s="1">
        <v>3449</v>
      </c>
      <c r="B3421" s="2" t="str">
        <f>HYPERLINK("https://leetcode.com/problems/maximize-the-minimum-game-score/", "Maximize the Minimum Game Score")</f>
        <v>Maximize the Minimum Game Score</v>
      </c>
      <c r="C3421" s="1">
        <v>51</v>
      </c>
      <c r="D3421" s="1">
        <v>6</v>
      </c>
      <c r="E3421" s="3">
        <f t="shared" si="26"/>
        <v>0.89473684210526316</v>
      </c>
      <c r="F3421" s="1" t="s">
        <v>533</v>
      </c>
      <c r="G3421" s="1" t="s">
        <v>28</v>
      </c>
      <c r="H3421" s="1">
        <v>4003</v>
      </c>
      <c r="I3421" s="1">
        <v>15546</v>
      </c>
      <c r="J3421" s="7">
        <v>0.25700000000000001</v>
      </c>
      <c r="K3421" s="1" t="s">
        <v>21</v>
      </c>
      <c r="L3421" s="1" t="s">
        <v>29</v>
      </c>
      <c r="M3421" s="1" t="s">
        <v>29</v>
      </c>
      <c r="N3421" s="1" t="s">
        <v>22</v>
      </c>
      <c r="O3421" s="1" t="str">
        <f t="shared" ca="1" si="27"/>
        <v>Please solve the LeetCode problem '3449. Maximize the Minimum Game Score'.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22" spans="1:15" x14ac:dyDescent="0.25">
      <c r="A3422" s="1">
        <v>3497</v>
      </c>
      <c r="B3422" s="2" t="str">
        <f>HYPERLINK("https://leetcode.com/problems/analyze-subscription-conversion/", "Analyze Subscription Conversion ")</f>
        <v xml:space="preserve">Analyze Subscription Conversion </v>
      </c>
      <c r="C3422" s="1">
        <v>51</v>
      </c>
      <c r="D3422" s="1">
        <v>6</v>
      </c>
      <c r="E3422" s="3">
        <f t="shared" si="26"/>
        <v>0.89473684210526316</v>
      </c>
      <c r="F3422" s="1" t="s">
        <v>297</v>
      </c>
      <c r="G3422" s="1" t="s">
        <v>24</v>
      </c>
      <c r="H3422" s="1">
        <v>17407</v>
      </c>
      <c r="I3422" s="1">
        <v>23385</v>
      </c>
      <c r="J3422" s="7">
        <v>0.74399999999999999</v>
      </c>
      <c r="K3422" s="1" t="s">
        <v>21</v>
      </c>
      <c r="L3422" s="1" t="s">
        <v>29</v>
      </c>
      <c r="M3422" s="1" t="s">
        <v>29</v>
      </c>
      <c r="N3422" s="1" t="s">
        <v>297</v>
      </c>
      <c r="O3422" s="1" t="str">
        <f t="shared" ca="1" si="27"/>
        <v>Please solve the LeetCode problem '3497. Analyze Subscription Conversion 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23" spans="1:15" x14ac:dyDescent="0.25">
      <c r="A3423" s="1">
        <v>3563</v>
      </c>
      <c r="B3423" s="2" t="str">
        <f>HYPERLINK("https://leetcode.com/problems/lexicographically-smallest-string-after-adjacent-removals/", "Lexicographically Smallest String After Adjacent Removals")</f>
        <v>Lexicographically Smallest String After Adjacent Removals</v>
      </c>
      <c r="C3423" s="1">
        <v>51</v>
      </c>
      <c r="D3423" s="1">
        <v>4</v>
      </c>
      <c r="E3423" s="3">
        <f t="shared" si="26"/>
        <v>0.92727272727272725</v>
      </c>
      <c r="F3423" s="1" t="s">
        <v>82</v>
      </c>
      <c r="G3423" s="1" t="s">
        <v>28</v>
      </c>
      <c r="H3423" s="1">
        <v>3839</v>
      </c>
      <c r="I3423" s="1">
        <v>22796</v>
      </c>
      <c r="J3423" s="7">
        <v>0.16800000000000001</v>
      </c>
      <c r="K3423" s="1" t="s">
        <v>21</v>
      </c>
      <c r="L3423" s="1" t="s">
        <v>29</v>
      </c>
      <c r="M3423" s="1" t="s">
        <v>29</v>
      </c>
      <c r="N3423" s="1" t="s">
        <v>22</v>
      </c>
      <c r="O3423" s="1" t="str">
        <f t="shared" ca="1" si="27"/>
        <v>Please solve the LeetCode problem '3563. Lexicographically Smallest String After Adjacent Removals'.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24" spans="1:15" x14ac:dyDescent="0.25">
      <c r="A3424" s="1">
        <v>3564</v>
      </c>
      <c r="B3424" s="2" t="str">
        <f>HYPERLINK("https://leetcode.com/problems/seasonal-sales-analysis/", "Seasonal Sales Analysis")</f>
        <v>Seasonal Sales Analysis</v>
      </c>
      <c r="C3424" s="1">
        <v>51</v>
      </c>
      <c r="D3424" s="1">
        <v>3</v>
      </c>
      <c r="E3424" s="3">
        <f t="shared" si="26"/>
        <v>0.94444444444444442</v>
      </c>
      <c r="F3424" s="1" t="s">
        <v>297</v>
      </c>
      <c r="G3424" s="1" t="s">
        <v>24</v>
      </c>
      <c r="H3424" s="1">
        <v>10568</v>
      </c>
      <c r="I3424" s="1">
        <v>17133</v>
      </c>
      <c r="J3424" s="7">
        <v>0.61699999999999999</v>
      </c>
      <c r="K3424" s="1" t="s">
        <v>21</v>
      </c>
      <c r="L3424" s="1" t="s">
        <v>29</v>
      </c>
      <c r="M3424" s="1" t="s">
        <v>29</v>
      </c>
      <c r="N3424" s="1" t="s">
        <v>297</v>
      </c>
      <c r="O3424" s="1" t="str">
        <f t="shared" ca="1" si="27"/>
        <v>Please solve the LeetCode problem '3564. Seasonal Sales Analysis'.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25" spans="1:15" x14ac:dyDescent="0.25">
      <c r="A3425" s="1">
        <v>3588</v>
      </c>
      <c r="B3425" s="2" t="str">
        <f>HYPERLINK("https://leetcode.com/problems/find-maximum-area-of-a-triangle/", "Find Maximum Area of a Triangle")</f>
        <v>Find Maximum Area of a Triangle</v>
      </c>
      <c r="C3425" s="1">
        <v>51</v>
      </c>
      <c r="D3425" s="1">
        <v>10</v>
      </c>
      <c r="E3425" s="3">
        <f t="shared" si="26"/>
        <v>0.83606557377049184</v>
      </c>
      <c r="F3425" s="1" t="s">
        <v>1263</v>
      </c>
      <c r="G3425" s="1" t="s">
        <v>24</v>
      </c>
      <c r="H3425" s="1">
        <v>11492</v>
      </c>
      <c r="I3425" s="1">
        <v>40064</v>
      </c>
      <c r="J3425" s="7">
        <v>0.28699999999999998</v>
      </c>
      <c r="K3425" s="1" t="s">
        <v>21</v>
      </c>
      <c r="L3425" s="1" t="s">
        <v>29</v>
      </c>
      <c r="M3425" s="1" t="s">
        <v>29</v>
      </c>
      <c r="N3425" s="1" t="s">
        <v>22</v>
      </c>
      <c r="O3425" s="1" t="str">
        <f t="shared" ca="1" si="27"/>
        <v>Please solve the LeetCode problem '3588. Find Maximum Area of a Triangle'.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26" spans="1:15" x14ac:dyDescent="0.25">
      <c r="A3426" s="1">
        <v>3643</v>
      </c>
      <c r="B3426" s="2" t="str">
        <f>HYPERLINK("https://leetcode.com/problems/flip-square-submatrix-vertically/", "Flip Square Submatrix Vertically")</f>
        <v>Flip Square Submatrix Vertically</v>
      </c>
      <c r="C3426" s="1">
        <v>51</v>
      </c>
      <c r="D3426" s="1">
        <v>2</v>
      </c>
      <c r="E3426" s="3">
        <f t="shared" si="26"/>
        <v>0.96226415094339623</v>
      </c>
      <c r="F3426" s="1" t="s">
        <v>559</v>
      </c>
      <c r="G3426" s="1" t="s">
        <v>20</v>
      </c>
      <c r="H3426" s="1">
        <v>59455</v>
      </c>
      <c r="I3426" s="1">
        <v>82329</v>
      </c>
      <c r="J3426" s="7">
        <v>0.72199999999999998</v>
      </c>
      <c r="K3426" s="1" t="s">
        <v>21</v>
      </c>
      <c r="L3426" s="1" t="s">
        <v>29</v>
      </c>
      <c r="M3426" s="1" t="s">
        <v>29</v>
      </c>
      <c r="N3426" s="1" t="s">
        <v>22</v>
      </c>
      <c r="O3426" s="1" t="str">
        <f t="shared" ca="1" si="27"/>
        <v>Please solve the LeetCode problem '3643. Flip Square Submatrix Vertically'.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27" spans="1:15" x14ac:dyDescent="0.25">
      <c r="A3427" s="1">
        <v>3661</v>
      </c>
      <c r="B3427" s="2" t="str">
        <f>HYPERLINK("https://leetcode.com/problems/maximum-walls-destroyed-by-robots/", "Maximum Walls Destroyed by Robots")</f>
        <v>Maximum Walls Destroyed by Robots</v>
      </c>
      <c r="C3427" s="1">
        <v>51</v>
      </c>
      <c r="D3427" s="1">
        <v>7</v>
      </c>
      <c r="E3427" s="3">
        <f t="shared" si="26"/>
        <v>0.87931034482758619</v>
      </c>
      <c r="F3427" s="1" t="s">
        <v>188</v>
      </c>
      <c r="G3427" s="1" t="s">
        <v>28</v>
      </c>
      <c r="H3427" s="1">
        <v>5686</v>
      </c>
      <c r="I3427" s="1">
        <v>25706</v>
      </c>
      <c r="J3427" s="7">
        <v>0.221</v>
      </c>
      <c r="K3427" s="1" t="s">
        <v>21</v>
      </c>
      <c r="L3427" s="1" t="s">
        <v>29</v>
      </c>
      <c r="M3427" s="1" t="s">
        <v>29</v>
      </c>
      <c r="N3427" s="1" t="s">
        <v>22</v>
      </c>
      <c r="O3427" s="1" t="str">
        <f t="shared" ca="1" si="27"/>
        <v>Please solve the LeetCode problem '3661. Maximum Walls Destroyed by Robots'.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28" spans="1:15" x14ac:dyDescent="0.25">
      <c r="A3428" s="1">
        <v>3799</v>
      </c>
      <c r="B3428" s="2" t="str">
        <f>HYPERLINK("https://leetcode.com/problems/word-squares-ii/", "Word Squares II")</f>
        <v>Word Squares II</v>
      </c>
      <c r="C3428" s="1">
        <v>51</v>
      </c>
      <c r="D3428" s="1">
        <v>21</v>
      </c>
      <c r="E3428" s="3">
        <f t="shared" si="26"/>
        <v>0.70833333333333337</v>
      </c>
      <c r="F3428" s="1" t="s">
        <v>1257</v>
      </c>
      <c r="G3428" s="1" t="s">
        <v>24</v>
      </c>
      <c r="H3428" s="1">
        <v>17148</v>
      </c>
      <c r="I3428" s="1">
        <v>31234</v>
      </c>
      <c r="J3428" s="7">
        <v>0.54900000000000004</v>
      </c>
      <c r="K3428" s="1" t="s">
        <v>21</v>
      </c>
      <c r="L3428" s="1" t="s">
        <v>29</v>
      </c>
      <c r="M3428" s="1" t="s">
        <v>29</v>
      </c>
      <c r="N3428" s="1" t="s">
        <v>22</v>
      </c>
      <c r="O3428" s="1" t="str">
        <f t="shared" ca="1" si="27"/>
        <v>Please solve the LeetCode problem '3799. Word Squares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29" spans="1:15" x14ac:dyDescent="0.25">
      <c r="A3429" s="1">
        <v>2604</v>
      </c>
      <c r="B3429" s="2" t="str">
        <f>HYPERLINK("https://leetcode.com/problems/minimum-time-to-eat-all-grains/", "Minimum Time to Eat All Grains")</f>
        <v>Minimum Time to Eat All Grains</v>
      </c>
      <c r="C3429" s="1">
        <v>50</v>
      </c>
      <c r="D3429" s="1">
        <v>4</v>
      </c>
      <c r="E3429" s="3">
        <f t="shared" si="26"/>
        <v>0.92592592592592593</v>
      </c>
      <c r="F3429" s="1" t="s">
        <v>277</v>
      </c>
      <c r="G3429" s="1" t="s">
        <v>28</v>
      </c>
      <c r="H3429" s="1">
        <v>2120</v>
      </c>
      <c r="I3429" s="1">
        <v>5270</v>
      </c>
      <c r="J3429" s="7">
        <v>0.40200000000000002</v>
      </c>
      <c r="K3429" s="1" t="s">
        <v>29</v>
      </c>
      <c r="L3429" s="1" t="s">
        <v>29</v>
      </c>
      <c r="M3429" s="1" t="s">
        <v>29</v>
      </c>
      <c r="N3429" s="1" t="s">
        <v>22</v>
      </c>
      <c r="O3429" s="1" t="str">
        <f t="shared" ca="1" si="27"/>
        <v>Please solve the LeetCode problem '2604. Minimum Time to Eat All Grains'.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30" spans="1:15" x14ac:dyDescent="0.25">
      <c r="A3430" s="1">
        <v>3475</v>
      </c>
      <c r="B3430" s="2" t="str">
        <f>HYPERLINK("https://leetcode.com/problems/dna-pattern-recognition/", "DNA Pattern Recognition ")</f>
        <v xml:space="preserve">DNA Pattern Recognition </v>
      </c>
      <c r="C3430" s="1">
        <v>50</v>
      </c>
      <c r="D3430" s="1">
        <v>7</v>
      </c>
      <c r="E3430" s="3">
        <f t="shared" si="26"/>
        <v>0.8771929824561403</v>
      </c>
      <c r="F3430" s="1" t="s">
        <v>297</v>
      </c>
      <c r="G3430" s="1" t="s">
        <v>24</v>
      </c>
      <c r="H3430" s="1">
        <v>18568</v>
      </c>
      <c r="I3430" s="1">
        <v>21728</v>
      </c>
      <c r="J3430" s="7">
        <v>0.85499999999999998</v>
      </c>
      <c r="K3430" s="1" t="s">
        <v>21</v>
      </c>
      <c r="L3430" s="1" t="s">
        <v>29</v>
      </c>
      <c r="M3430" s="1" t="s">
        <v>29</v>
      </c>
      <c r="N3430" s="1" t="s">
        <v>297</v>
      </c>
      <c r="O3430" s="1" t="str">
        <f t="shared" ca="1" si="27"/>
        <v>Please solve the LeetCode problem '3475. DNA Pattern Recognition 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31" spans="1:15" x14ac:dyDescent="0.25">
      <c r="A3431" s="1">
        <v>3490</v>
      </c>
      <c r="B3431" s="2" t="str">
        <f>HYPERLINK("https://leetcode.com/problems/count-beautiful-numbers/", "Count Beautiful Numbers")</f>
        <v>Count Beautiful Numbers</v>
      </c>
      <c r="C3431" s="1">
        <v>50</v>
      </c>
      <c r="D3431" s="1">
        <v>3</v>
      </c>
      <c r="E3431" s="3">
        <f t="shared" si="26"/>
        <v>0.94339622641509435</v>
      </c>
      <c r="F3431" s="1" t="s">
        <v>251</v>
      </c>
      <c r="G3431" s="1" t="s">
        <v>28</v>
      </c>
      <c r="H3431" s="1">
        <v>5170</v>
      </c>
      <c r="I3431" s="1">
        <v>22428</v>
      </c>
      <c r="J3431" s="7">
        <v>0.23100000000000001</v>
      </c>
      <c r="K3431" s="1" t="s">
        <v>21</v>
      </c>
      <c r="L3431" s="1" t="s">
        <v>29</v>
      </c>
      <c r="M3431" s="1" t="s">
        <v>29</v>
      </c>
      <c r="N3431" s="1" t="s">
        <v>22</v>
      </c>
      <c r="O3431" s="1" t="str">
        <f t="shared" ca="1" si="27"/>
        <v>Please solve the LeetCode problem '3490. Count Beautiful Numbers'.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32" spans="1:15" x14ac:dyDescent="0.25">
      <c r="A3432" s="1">
        <v>3547</v>
      </c>
      <c r="B3432" s="2" t="str">
        <f>HYPERLINK("https://leetcode.com/problems/maximum-sum-of-edge-values-in-a-graph/", "Maximum Sum of Edge Values in a Graph")</f>
        <v>Maximum Sum of Edge Values in a Graph</v>
      </c>
      <c r="C3432" s="1">
        <v>50</v>
      </c>
      <c r="D3432" s="1">
        <v>30</v>
      </c>
      <c r="E3432" s="3">
        <f t="shared" si="26"/>
        <v>0.625</v>
      </c>
      <c r="F3432" s="1" t="s">
        <v>1267</v>
      </c>
      <c r="G3432" s="1" t="s">
        <v>28</v>
      </c>
      <c r="H3432" s="1">
        <v>6352</v>
      </c>
      <c r="I3432" s="1">
        <v>17919</v>
      </c>
      <c r="J3432" s="7">
        <v>0.35399999999999998</v>
      </c>
      <c r="K3432" s="1" t="s">
        <v>21</v>
      </c>
      <c r="L3432" s="1" t="s">
        <v>29</v>
      </c>
      <c r="M3432" s="1" t="s">
        <v>29</v>
      </c>
      <c r="N3432" s="1" t="s">
        <v>22</v>
      </c>
      <c r="O3432" s="1" t="str">
        <f t="shared" ca="1" si="27"/>
        <v>Please solve the LeetCode problem '3547. Maximum Sum of Edge Values in a Graph'.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33" spans="1:15" x14ac:dyDescent="0.25">
      <c r="A3433" s="1">
        <v>3648</v>
      </c>
      <c r="B3433" s="2" t="str">
        <f>HYPERLINK("https://leetcode.com/problems/minimum-sensors-to-cover-grid/", "Minimum Sensors to Cover Grid")</f>
        <v>Minimum Sensors to Cover Grid</v>
      </c>
      <c r="C3433" s="1">
        <v>50</v>
      </c>
      <c r="D3433" s="1">
        <v>9</v>
      </c>
      <c r="E3433" s="3">
        <f t="shared" si="26"/>
        <v>0.84745762711864403</v>
      </c>
      <c r="F3433" s="1" t="s">
        <v>84</v>
      </c>
      <c r="G3433" s="1" t="s">
        <v>24</v>
      </c>
      <c r="H3433" s="1">
        <v>28735</v>
      </c>
      <c r="I3433" s="1">
        <v>41854</v>
      </c>
      <c r="J3433" s="7">
        <v>0.68700000000000006</v>
      </c>
      <c r="K3433" s="1" t="s">
        <v>21</v>
      </c>
      <c r="L3433" s="1" t="s">
        <v>29</v>
      </c>
      <c r="M3433" s="1" t="s">
        <v>29</v>
      </c>
      <c r="N3433" s="1" t="s">
        <v>22</v>
      </c>
      <c r="O3433" s="1" t="str">
        <f t="shared" ca="1" si="27"/>
        <v>Please solve the LeetCode problem '3648. Minimum Sensors to Cover Grid'.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34" spans="1:15" x14ac:dyDescent="0.25">
      <c r="A3434" s="1">
        <v>3718</v>
      </c>
      <c r="B3434" s="2" t="str">
        <f>HYPERLINK("https://leetcode.com/problems/smallest-missing-multiple-of-k/", "Smallest Missing Multiple of K")</f>
        <v>Smallest Missing Multiple of K</v>
      </c>
      <c r="C3434" s="1">
        <v>50</v>
      </c>
      <c r="D3434" s="1">
        <v>2</v>
      </c>
      <c r="E3434" s="3">
        <f t="shared" si="26"/>
        <v>0.96153846153846156</v>
      </c>
      <c r="F3434" s="1" t="s">
        <v>19</v>
      </c>
      <c r="G3434" s="1" t="s">
        <v>20</v>
      </c>
      <c r="H3434" s="1">
        <v>44414</v>
      </c>
      <c r="I3434" s="1">
        <v>70490</v>
      </c>
      <c r="J3434" s="7">
        <v>0.63</v>
      </c>
      <c r="K3434" s="1" t="s">
        <v>21</v>
      </c>
      <c r="L3434" s="1" t="s">
        <v>29</v>
      </c>
      <c r="M3434" s="1" t="s">
        <v>29</v>
      </c>
      <c r="N3434" s="1" t="s">
        <v>22</v>
      </c>
      <c r="O3434" s="1" t="str">
        <f t="shared" ca="1" si="27"/>
        <v>Please solve the LeetCode problem '3718. Smallest Missing Multiple of K'.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35" spans="1:15" x14ac:dyDescent="0.25">
      <c r="A3435" s="1">
        <v>3766</v>
      </c>
      <c r="B3435" s="2" t="str">
        <f>HYPERLINK("https://leetcode.com/problems/minimum-operations-to-make-binary-palindrome/", "Minimum Operations to Make Binary Palindrome")</f>
        <v>Minimum Operations to Make Binary Palindrome</v>
      </c>
      <c r="C3435" s="1">
        <v>50</v>
      </c>
      <c r="D3435" s="1">
        <v>9</v>
      </c>
      <c r="E3435" s="3">
        <f t="shared" si="26"/>
        <v>0.84745762711864403</v>
      </c>
      <c r="F3435" s="1" t="s">
        <v>38</v>
      </c>
      <c r="G3435" s="1" t="s">
        <v>24</v>
      </c>
      <c r="H3435" s="1">
        <v>16018</v>
      </c>
      <c r="I3435" s="1">
        <v>31050</v>
      </c>
      <c r="J3435" s="7">
        <v>0.51600000000000001</v>
      </c>
      <c r="K3435" s="1" t="s">
        <v>21</v>
      </c>
      <c r="L3435" s="1" t="s">
        <v>29</v>
      </c>
      <c r="M3435" s="1" t="s">
        <v>29</v>
      </c>
      <c r="N3435" s="1" t="s">
        <v>22</v>
      </c>
      <c r="O3435" s="1" t="str">
        <f t="shared" ca="1" si="27"/>
        <v>Please solve the LeetCode problem '3766. Minimum Operations to Make Binary Palindrome'.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36" spans="1:15" x14ac:dyDescent="0.25">
      <c r="A3436" s="1">
        <v>3769</v>
      </c>
      <c r="B3436" s="2" t="str">
        <f>HYPERLINK("https://leetcode.com/problems/sort-integers-by-binary-reflection/", "Sort Integers by Binary Reflection")</f>
        <v>Sort Integers by Binary Reflection</v>
      </c>
      <c r="C3436" s="1">
        <v>50</v>
      </c>
      <c r="D3436" s="1">
        <v>3</v>
      </c>
      <c r="E3436" s="3">
        <f t="shared" si="26"/>
        <v>0.94339622641509435</v>
      </c>
      <c r="F3436" s="1" t="s">
        <v>42</v>
      </c>
      <c r="G3436" s="1" t="s">
        <v>20</v>
      </c>
      <c r="H3436" s="1">
        <v>28311</v>
      </c>
      <c r="I3436" s="1">
        <v>46780</v>
      </c>
      <c r="J3436" s="7">
        <v>0.60499999999999998</v>
      </c>
      <c r="K3436" s="1" t="s">
        <v>21</v>
      </c>
      <c r="L3436" s="1" t="s">
        <v>29</v>
      </c>
      <c r="M3436" s="1" t="s">
        <v>29</v>
      </c>
      <c r="N3436" s="1" t="s">
        <v>22</v>
      </c>
      <c r="O3436" s="1" t="str">
        <f t="shared" ca="1" si="27"/>
        <v>Please solve the LeetCode problem '3769. Sort Integers by Binary Reflection'.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37" spans="1:15" x14ac:dyDescent="0.25">
      <c r="A3437" s="1">
        <v>3775</v>
      </c>
      <c r="B3437" s="2" t="str">
        <f>HYPERLINK("https://leetcode.com/problems/reverse-words-with-same-vowel-count/", "Reverse Words With Same Vowel Count")</f>
        <v>Reverse Words With Same Vowel Count</v>
      </c>
      <c r="C3437" s="1">
        <v>50</v>
      </c>
      <c r="D3437" s="1">
        <v>4</v>
      </c>
      <c r="E3437" s="3">
        <f t="shared" si="26"/>
        <v>0.92592592592592593</v>
      </c>
      <c r="F3437" s="1" t="s">
        <v>1260</v>
      </c>
      <c r="G3437" s="1" t="s">
        <v>24</v>
      </c>
      <c r="H3437" s="1">
        <v>33013</v>
      </c>
      <c r="I3437" s="1">
        <v>49742</v>
      </c>
      <c r="J3437" s="7">
        <v>0.66400000000000003</v>
      </c>
      <c r="K3437" s="1" t="s">
        <v>21</v>
      </c>
      <c r="L3437" s="1" t="s">
        <v>29</v>
      </c>
      <c r="M3437" s="1" t="s">
        <v>29</v>
      </c>
      <c r="N3437" s="1" t="s">
        <v>22</v>
      </c>
      <c r="O3437" s="1" t="str">
        <f t="shared" ca="1" si="27"/>
        <v>Please solve the LeetCode problem '3775. Reverse Words With Same Vowel Count'.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38" spans="1:15" x14ac:dyDescent="0.25">
      <c r="A3438" s="1">
        <v>3780</v>
      </c>
      <c r="B3438" s="2" t="str">
        <f>HYPERLINK("https://leetcode.com/problems/maximum-sum-of-three-numbers-divisible-by-three/", "Maximum Sum of Three Numbers Divisible by Three")</f>
        <v>Maximum Sum of Three Numbers Divisible by Three</v>
      </c>
      <c r="C3438" s="1">
        <v>50</v>
      </c>
      <c r="D3438" s="1">
        <v>1</v>
      </c>
      <c r="E3438" s="3">
        <f t="shared" si="26"/>
        <v>0.98039215686274506</v>
      </c>
      <c r="F3438" s="1" t="s">
        <v>302</v>
      </c>
      <c r="G3438" s="1" t="s">
        <v>24</v>
      </c>
      <c r="H3438" s="1">
        <v>20904</v>
      </c>
      <c r="I3438" s="1">
        <v>43770</v>
      </c>
      <c r="J3438" s="7">
        <v>0.47799999999999998</v>
      </c>
      <c r="K3438" s="1" t="s">
        <v>21</v>
      </c>
      <c r="L3438" s="1" t="s">
        <v>29</v>
      </c>
      <c r="M3438" s="1" t="s">
        <v>29</v>
      </c>
      <c r="N3438" s="1" t="s">
        <v>22</v>
      </c>
      <c r="O3438" s="1" t="str">
        <f t="shared" ca="1" si="27"/>
        <v>Please solve the LeetCode problem '3780. Maximum Sum of Three Numbers Divisible by Three'.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39" spans="1:15" x14ac:dyDescent="0.25">
      <c r="A3439" s="1">
        <v>3798</v>
      </c>
      <c r="B3439" s="2" t="str">
        <f>HYPERLINK("https://leetcode.com/problems/largest-even-number/", "Largest Even Number")</f>
        <v>Largest Even Number</v>
      </c>
      <c r="C3439" s="1">
        <v>50</v>
      </c>
      <c r="D3439" s="1">
        <v>0</v>
      </c>
      <c r="E3439" s="3">
        <f t="shared" si="26"/>
        <v>1</v>
      </c>
      <c r="F3439" s="1" t="s">
        <v>146</v>
      </c>
      <c r="G3439" s="1" t="s">
        <v>20</v>
      </c>
      <c r="H3439" s="1">
        <v>38039</v>
      </c>
      <c r="I3439" s="1">
        <v>54867</v>
      </c>
      <c r="J3439" s="7">
        <v>0.69299999999999995</v>
      </c>
      <c r="K3439" s="1" t="s">
        <v>21</v>
      </c>
      <c r="L3439" s="1" t="s">
        <v>29</v>
      </c>
      <c r="M3439" s="1" t="s">
        <v>29</v>
      </c>
      <c r="N3439" s="1" t="s">
        <v>22</v>
      </c>
      <c r="O3439" s="1" t="str">
        <f t="shared" ca="1" si="27"/>
        <v>Please solve the LeetCode problem '3798. Largest Even Number'.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40" spans="1:15" x14ac:dyDescent="0.25">
      <c r="A3440" s="1">
        <v>2339</v>
      </c>
      <c r="B3440" s="2" t="str">
        <f>HYPERLINK("https://leetcode.com/problems/all-the-matches-of-the-league/", "All the Matches of the League")</f>
        <v>All the Matches of the League</v>
      </c>
      <c r="C3440" s="1">
        <v>49</v>
      </c>
      <c r="D3440" s="1">
        <v>4</v>
      </c>
      <c r="E3440" s="3">
        <f t="shared" si="26"/>
        <v>0.92452830188679247</v>
      </c>
      <c r="F3440" s="1" t="s">
        <v>297</v>
      </c>
      <c r="G3440" s="1" t="s">
        <v>20</v>
      </c>
      <c r="H3440" s="1">
        <v>11140</v>
      </c>
      <c r="I3440" s="1">
        <v>12590</v>
      </c>
      <c r="J3440" s="7">
        <v>0.88500000000000001</v>
      </c>
      <c r="K3440" s="1" t="s">
        <v>29</v>
      </c>
      <c r="L3440" s="1" t="s">
        <v>29</v>
      </c>
      <c r="M3440" s="1" t="s">
        <v>29</v>
      </c>
      <c r="N3440" s="1" t="s">
        <v>297</v>
      </c>
      <c r="O3440" s="1" t="str">
        <f t="shared" ca="1" si="27"/>
        <v>Please solve the LeetCode problem '2339. All the Matches of the League'.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41" spans="1:15" x14ac:dyDescent="0.25">
      <c r="A3441" s="1">
        <v>2702</v>
      </c>
      <c r="B3441" s="2" t="str">
        <f>HYPERLINK("https://leetcode.com/problems/minimum-operations-to-make-numbers-non-positive/", "Minimum Operations to Make Numbers Non-positive")</f>
        <v>Minimum Operations to Make Numbers Non-positive</v>
      </c>
      <c r="C3441" s="1">
        <v>49</v>
      </c>
      <c r="D3441" s="1">
        <v>5</v>
      </c>
      <c r="E3441" s="3">
        <f t="shared" si="26"/>
        <v>0.90740740740740744</v>
      </c>
      <c r="F3441" s="1" t="s">
        <v>35</v>
      </c>
      <c r="G3441" s="1" t="s">
        <v>28</v>
      </c>
      <c r="H3441" s="1">
        <v>5955</v>
      </c>
      <c r="I3441" s="1">
        <v>13631</v>
      </c>
      <c r="J3441" s="7">
        <v>0.437</v>
      </c>
      <c r="K3441" s="1" t="s">
        <v>29</v>
      </c>
      <c r="L3441" s="1" t="s">
        <v>29</v>
      </c>
      <c r="M3441" s="1" t="s">
        <v>29</v>
      </c>
      <c r="N3441" s="1" t="s">
        <v>22</v>
      </c>
      <c r="O3441" s="1" t="str">
        <f t="shared" ca="1" si="27"/>
        <v>Please solve the LeetCode problem '2702. Minimum Operations to Make Numbers Non-positive'.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42" spans="1:15" x14ac:dyDescent="0.25">
      <c r="A3442" s="1">
        <v>3063</v>
      </c>
      <c r="B3442" s="2" t="str">
        <f>HYPERLINK("https://leetcode.com/problems/linked-list-frequency/", "Linked List Frequency")</f>
        <v>Linked List Frequency</v>
      </c>
      <c r="C3442" s="1">
        <v>49</v>
      </c>
      <c r="D3442" s="1">
        <v>21</v>
      </c>
      <c r="E3442" s="3">
        <f t="shared" si="26"/>
        <v>0.7</v>
      </c>
      <c r="F3442" s="1" t="s">
        <v>1268</v>
      </c>
      <c r="G3442" s="1" t="s">
        <v>20</v>
      </c>
      <c r="H3442" s="1">
        <v>14585</v>
      </c>
      <c r="I3442" s="1">
        <v>17092</v>
      </c>
      <c r="J3442" s="7">
        <v>0.85299999999999998</v>
      </c>
      <c r="K3442" s="1" t="s">
        <v>29</v>
      </c>
      <c r="L3442" s="1" t="s">
        <v>21</v>
      </c>
      <c r="M3442" s="1" t="s">
        <v>29</v>
      </c>
      <c r="N3442" s="1" t="s">
        <v>22</v>
      </c>
      <c r="O3442" s="1" t="str">
        <f t="shared" ca="1" si="27"/>
        <v>Please solve the LeetCode problem '3063. Linked List Frequency'.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43" spans="1:15" x14ac:dyDescent="0.25">
      <c r="A3443" s="1">
        <v>3513</v>
      </c>
      <c r="B3443" s="2" t="str">
        <f>HYPERLINK("https://leetcode.com/problems/number-of-unique-xor-triplets-i/", "Number of Unique XOR Triplets I")</f>
        <v>Number of Unique XOR Triplets I</v>
      </c>
      <c r="C3443" s="1">
        <v>49</v>
      </c>
      <c r="D3443" s="1">
        <v>11</v>
      </c>
      <c r="E3443" s="3">
        <f t="shared" si="26"/>
        <v>0.81666666666666665</v>
      </c>
      <c r="F3443" s="1" t="s">
        <v>456</v>
      </c>
      <c r="G3443" s="1" t="s">
        <v>24</v>
      </c>
      <c r="H3443" s="1">
        <v>15707</v>
      </c>
      <c r="I3443" s="1">
        <v>59847</v>
      </c>
      <c r="J3443" s="7">
        <v>0.26200000000000001</v>
      </c>
      <c r="K3443" s="1" t="s">
        <v>21</v>
      </c>
      <c r="L3443" s="1" t="s">
        <v>29</v>
      </c>
      <c r="M3443" s="1" t="s">
        <v>29</v>
      </c>
      <c r="N3443" s="1" t="s">
        <v>22</v>
      </c>
      <c r="O3443" s="1" t="str">
        <f t="shared" ca="1" si="27"/>
        <v>Please solve the LeetCode problem '3513. Number of Unique XOR Triplets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44" spans="1:15" x14ac:dyDescent="0.25">
      <c r="A3444" s="1">
        <v>3575</v>
      </c>
      <c r="B3444" s="2" t="str">
        <f>HYPERLINK("https://leetcode.com/problems/maximum-good-subtree-score/", "Maximum Good Subtree Score")</f>
        <v>Maximum Good Subtree Score</v>
      </c>
      <c r="C3444" s="1">
        <v>49</v>
      </c>
      <c r="D3444" s="1">
        <v>8</v>
      </c>
      <c r="E3444" s="3">
        <f t="shared" si="26"/>
        <v>0.85964912280701755</v>
      </c>
      <c r="F3444" s="1" t="s">
        <v>1402</v>
      </c>
      <c r="G3444" s="1" t="s">
        <v>28</v>
      </c>
      <c r="H3444" s="1">
        <v>4470</v>
      </c>
      <c r="I3444" s="1">
        <v>9941</v>
      </c>
      <c r="J3444" s="7">
        <v>0.45</v>
      </c>
      <c r="K3444" s="1" t="s">
        <v>21</v>
      </c>
      <c r="L3444" s="1" t="s">
        <v>29</v>
      </c>
      <c r="M3444" s="1" t="s">
        <v>29</v>
      </c>
      <c r="N3444" s="1" t="s">
        <v>22</v>
      </c>
      <c r="O3444" s="1" t="str">
        <f t="shared" ca="1" si="27"/>
        <v>Please solve the LeetCode problem '3575. Maximum Good Subtree Score'.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45" spans="1:15" x14ac:dyDescent="0.25">
      <c r="A3445" s="1">
        <v>3621</v>
      </c>
      <c r="B3445" s="2" t="str">
        <f>HYPERLINK("https://leetcode.com/problems/number-of-integers-with-popcount-depth-equal-to-k-i/", "Number of Integers With Popcount-Depth Equal to K I")</f>
        <v>Number of Integers With Popcount-Depth Equal to K I</v>
      </c>
      <c r="C3445" s="1">
        <v>49</v>
      </c>
      <c r="D3445" s="1">
        <v>4</v>
      </c>
      <c r="E3445" s="3">
        <f t="shared" si="26"/>
        <v>0.92452830188679247</v>
      </c>
      <c r="F3445" s="1" t="s">
        <v>1264</v>
      </c>
      <c r="G3445" s="1" t="s">
        <v>28</v>
      </c>
      <c r="H3445" s="1">
        <v>4425</v>
      </c>
      <c r="I3445" s="1">
        <v>20148</v>
      </c>
      <c r="J3445" s="7">
        <v>0.22</v>
      </c>
      <c r="K3445" s="1" t="s">
        <v>21</v>
      </c>
      <c r="L3445" s="1" t="s">
        <v>29</v>
      </c>
      <c r="M3445" s="1" t="s">
        <v>29</v>
      </c>
      <c r="N3445" s="1" t="s">
        <v>22</v>
      </c>
      <c r="O3445" s="1" t="str">
        <f t="shared" ca="1" si="27"/>
        <v>Please solve the LeetCode problem '3621. Number of Integers With Popcount-Depth Equal to K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46" spans="1:15" x14ac:dyDescent="0.25">
      <c r="A3446" s="1">
        <v>3684</v>
      </c>
      <c r="B3446" s="2" t="str">
        <f>HYPERLINK("https://leetcode.com/problems/maximize-sum-of-at-most-k-distinct-elements/", "Maximize Sum of At Most K Distinct Elements")</f>
        <v>Maximize Sum of At Most K Distinct Elements</v>
      </c>
      <c r="C3446" s="1">
        <v>49</v>
      </c>
      <c r="D3446" s="1">
        <v>4</v>
      </c>
      <c r="E3446" s="3">
        <f t="shared" si="26"/>
        <v>0.92452830188679247</v>
      </c>
      <c r="F3446" s="1" t="s">
        <v>333</v>
      </c>
      <c r="G3446" s="1" t="s">
        <v>20</v>
      </c>
      <c r="H3446" s="1">
        <v>55667</v>
      </c>
      <c r="I3446" s="1">
        <v>73452</v>
      </c>
      <c r="J3446" s="7">
        <v>0.75800000000000001</v>
      </c>
      <c r="K3446" s="1" t="s">
        <v>21</v>
      </c>
      <c r="L3446" s="1" t="s">
        <v>29</v>
      </c>
      <c r="M3446" s="1" t="s">
        <v>29</v>
      </c>
      <c r="N3446" s="1" t="s">
        <v>22</v>
      </c>
      <c r="O3446" s="1" t="str">
        <f t="shared" ca="1" si="27"/>
        <v>Please solve the LeetCode problem '3684. Maximize Sum of At Most K Distinct Elements'.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47" spans="1:15" x14ac:dyDescent="0.25">
      <c r="A3447" s="1">
        <v>3689</v>
      </c>
      <c r="B3447" s="2" t="str">
        <f>HYPERLINK("https://leetcode.com/problems/maximum-total-subarray-value-i/", "Maximum Total Subarray Value I")</f>
        <v>Maximum Total Subarray Value I</v>
      </c>
      <c r="C3447" s="1">
        <v>49</v>
      </c>
      <c r="D3447" s="1">
        <v>20</v>
      </c>
      <c r="E3447" s="3">
        <f t="shared" si="26"/>
        <v>0.71014492753623193</v>
      </c>
      <c r="F3447" s="1" t="s">
        <v>96</v>
      </c>
      <c r="G3447" s="1" t="s">
        <v>24</v>
      </c>
      <c r="H3447" s="1">
        <v>48883</v>
      </c>
      <c r="I3447" s="1">
        <v>77124</v>
      </c>
      <c r="J3447" s="7">
        <v>0.63400000000000001</v>
      </c>
      <c r="K3447" s="1" t="s">
        <v>21</v>
      </c>
      <c r="L3447" s="1" t="s">
        <v>29</v>
      </c>
      <c r="M3447" s="1" t="s">
        <v>29</v>
      </c>
      <c r="N3447" s="1" t="s">
        <v>22</v>
      </c>
      <c r="O3447" s="1" t="str">
        <f t="shared" ca="1" si="27"/>
        <v>Please solve the LeetCode problem '3689. Maximum Total Subarray Value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48" spans="1:15" x14ac:dyDescent="0.25">
      <c r="A3448" s="1">
        <v>3704</v>
      </c>
      <c r="B3448" s="2" t="str">
        <f>HYPERLINK("https://leetcode.com/problems/count-no-zero-pairs-that-sum-to-n/", "Count No-Zero Pairs That Sum to N")</f>
        <v>Count No-Zero Pairs That Sum to N</v>
      </c>
      <c r="C3448" s="1">
        <v>49</v>
      </c>
      <c r="D3448" s="1">
        <v>3</v>
      </c>
      <c r="E3448" s="3">
        <f t="shared" si="26"/>
        <v>0.94230769230769229</v>
      </c>
      <c r="F3448" s="1" t="s">
        <v>250</v>
      </c>
      <c r="G3448" s="1" t="s">
        <v>28</v>
      </c>
      <c r="H3448" s="1">
        <v>4781</v>
      </c>
      <c r="I3448" s="1">
        <v>34865</v>
      </c>
      <c r="J3448" s="7">
        <v>0.13700000000000001</v>
      </c>
      <c r="K3448" s="1" t="s">
        <v>21</v>
      </c>
      <c r="L3448" s="1" t="s">
        <v>29</v>
      </c>
      <c r="M3448" s="1" t="s">
        <v>29</v>
      </c>
      <c r="N3448" s="1" t="s">
        <v>22</v>
      </c>
      <c r="O3448" s="1" t="str">
        <f t="shared" ca="1" si="27"/>
        <v>Please solve the LeetCode problem '3704. Count No-Zero Pairs That Sum to 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49" spans="1:15" x14ac:dyDescent="0.25">
      <c r="A3449" s="1">
        <v>3741</v>
      </c>
      <c r="B3449" s="2" t="str">
        <f>HYPERLINK("https://leetcode.com/problems/minimum-distance-between-three-equal-elements-ii/", "Minimum Distance Between Three Equal Elements II")</f>
        <v>Minimum Distance Between Three Equal Elements II</v>
      </c>
      <c r="C3449" s="1">
        <v>49</v>
      </c>
      <c r="D3449" s="1">
        <v>3</v>
      </c>
      <c r="E3449" s="3">
        <f t="shared" si="26"/>
        <v>0.94230769230769229</v>
      </c>
      <c r="F3449" s="1" t="s">
        <v>19</v>
      </c>
      <c r="G3449" s="1" t="s">
        <v>24</v>
      </c>
      <c r="H3449" s="1">
        <v>29606</v>
      </c>
      <c r="I3449" s="1">
        <v>45424</v>
      </c>
      <c r="J3449" s="7">
        <v>0.65200000000000002</v>
      </c>
      <c r="K3449" s="1" t="s">
        <v>21</v>
      </c>
      <c r="L3449" s="1" t="s">
        <v>29</v>
      </c>
      <c r="M3449" s="1" t="s">
        <v>29</v>
      </c>
      <c r="N3449" s="1" t="s">
        <v>22</v>
      </c>
      <c r="O3449" s="1" t="str">
        <f t="shared" ca="1" si="27"/>
        <v>Please solve the LeetCode problem '3741. Minimum Distance Between Three Equal Elements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50" spans="1:15" x14ac:dyDescent="0.25">
      <c r="A3450" s="1">
        <v>1794</v>
      </c>
      <c r="B3450" s="2" t="str">
        <f>HYPERLINK("https://leetcode.com/problems/count-pairs-of-equal-substrings-with-minimum-difference/", "Count Pairs of Equal Substrings With Minimum Difference")</f>
        <v>Count Pairs of Equal Substrings With Minimum Difference</v>
      </c>
      <c r="C3450" s="1">
        <v>48</v>
      </c>
      <c r="D3450" s="1">
        <v>62</v>
      </c>
      <c r="E3450" s="3">
        <f t="shared" si="26"/>
        <v>0.43636363636363634</v>
      </c>
      <c r="F3450" s="1" t="s">
        <v>217</v>
      </c>
      <c r="G3450" s="1" t="s">
        <v>24</v>
      </c>
      <c r="H3450" s="1">
        <v>2434</v>
      </c>
      <c r="I3450" s="1">
        <v>3803</v>
      </c>
      <c r="J3450" s="7">
        <v>0.64</v>
      </c>
      <c r="K3450" s="1" t="s">
        <v>29</v>
      </c>
      <c r="L3450" s="1" t="s">
        <v>29</v>
      </c>
      <c r="M3450" s="1" t="s">
        <v>29</v>
      </c>
      <c r="N3450" s="1" t="s">
        <v>22</v>
      </c>
      <c r="O3450" s="1" t="str">
        <f t="shared" ca="1" si="27"/>
        <v>Please solve the LeetCode problem '1794. Count Pairs of Equal Substrings With Minimum Difference'.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51" spans="1:15" x14ac:dyDescent="0.25">
      <c r="A3451" s="1">
        <v>2199</v>
      </c>
      <c r="B3451" s="2" t="str">
        <f>HYPERLINK("https://leetcode.com/problems/finding-the-topic-of-each-post/", "Finding the Topic of Each Post")</f>
        <v>Finding the Topic of Each Post</v>
      </c>
      <c r="C3451" s="1">
        <v>48</v>
      </c>
      <c r="D3451" s="1">
        <v>15</v>
      </c>
      <c r="E3451" s="3">
        <f t="shared" si="26"/>
        <v>0.76190476190476186</v>
      </c>
      <c r="F3451" s="1" t="s">
        <v>297</v>
      </c>
      <c r="G3451" s="1" t="s">
        <v>28</v>
      </c>
      <c r="H3451" s="1">
        <v>5215</v>
      </c>
      <c r="I3451" s="1">
        <v>10342</v>
      </c>
      <c r="J3451" s="7">
        <v>0.504</v>
      </c>
      <c r="K3451" s="1" t="s">
        <v>29</v>
      </c>
      <c r="L3451" s="1" t="s">
        <v>29</v>
      </c>
      <c r="M3451" s="1" t="s">
        <v>29</v>
      </c>
      <c r="N3451" s="1" t="s">
        <v>297</v>
      </c>
      <c r="O3451" s="1" t="str">
        <f t="shared" ca="1" si="27"/>
        <v>Please solve the LeetCode problem '2199. Finding the Topic of Each Post'.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52" spans="1:15" x14ac:dyDescent="0.25">
      <c r="A3452" s="1">
        <v>2590</v>
      </c>
      <c r="B3452" s="2" t="str">
        <f>HYPERLINK("https://leetcode.com/problems/design-a-todo-list/", "Design a Todo List")</f>
        <v>Design a Todo List</v>
      </c>
      <c r="C3452" s="1">
        <v>48</v>
      </c>
      <c r="D3452" s="1">
        <v>15</v>
      </c>
      <c r="E3452" s="3">
        <f t="shared" si="26"/>
        <v>0.76190476190476186</v>
      </c>
      <c r="F3452" s="1" t="s">
        <v>1271</v>
      </c>
      <c r="G3452" s="1" t="s">
        <v>24</v>
      </c>
      <c r="H3452" s="1">
        <v>4064</v>
      </c>
      <c r="I3452" s="1">
        <v>6809</v>
      </c>
      <c r="J3452" s="7">
        <v>0.59699999999999998</v>
      </c>
      <c r="K3452" s="1" t="s">
        <v>29</v>
      </c>
      <c r="L3452" s="1" t="s">
        <v>29</v>
      </c>
      <c r="M3452" s="1" t="s">
        <v>29</v>
      </c>
      <c r="N3452" s="1" t="s">
        <v>22</v>
      </c>
      <c r="O3452" s="1" t="str">
        <f t="shared" ca="1" si="27"/>
        <v>Please solve the LeetCode problem '2590. Design a Todo List'.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53" spans="1:15" x14ac:dyDescent="0.25">
      <c r="A3453" s="1">
        <v>3510</v>
      </c>
      <c r="B3453" s="2" t="str">
        <f>HYPERLINK("https://leetcode.com/problems/minimum-pair-removal-to-sort-array-ii/", "Minimum Pair Removal to Sort Array II")</f>
        <v>Minimum Pair Removal to Sort Array II</v>
      </c>
      <c r="C3453" s="1">
        <v>48</v>
      </c>
      <c r="D3453" s="1">
        <v>7</v>
      </c>
      <c r="E3453" s="3">
        <f t="shared" si="26"/>
        <v>0.87272727272727268</v>
      </c>
      <c r="F3453" s="1" t="s">
        <v>932</v>
      </c>
      <c r="G3453" s="1" t="s">
        <v>28</v>
      </c>
      <c r="H3453" s="1">
        <v>4246</v>
      </c>
      <c r="I3453" s="1">
        <v>27706</v>
      </c>
      <c r="J3453" s="7">
        <v>0.153</v>
      </c>
      <c r="K3453" s="1" t="s">
        <v>21</v>
      </c>
      <c r="L3453" s="1" t="s">
        <v>29</v>
      </c>
      <c r="M3453" s="1" t="s">
        <v>29</v>
      </c>
      <c r="N3453" s="1" t="s">
        <v>22</v>
      </c>
      <c r="O3453" s="1" t="str">
        <f t="shared" ca="1" si="27"/>
        <v>Please solve the LeetCode problem '3510. Minimum Pair Removal to Sort Array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54" spans="1:15" x14ac:dyDescent="0.25">
      <c r="A3454" s="1">
        <v>3553</v>
      </c>
      <c r="B3454" s="2" t="str">
        <f>HYPERLINK("https://leetcode.com/problems/minimum-weighted-subgraph-with-the-required-paths-ii/", "Minimum Weighted Subgraph With the Required Paths II")</f>
        <v>Minimum Weighted Subgraph With the Required Paths II</v>
      </c>
      <c r="C3454" s="1">
        <v>48</v>
      </c>
      <c r="D3454" s="1">
        <v>4</v>
      </c>
      <c r="E3454" s="3">
        <f t="shared" si="26"/>
        <v>0.92307692307692313</v>
      </c>
      <c r="F3454" s="1" t="s">
        <v>1073</v>
      </c>
      <c r="G3454" s="1" t="s">
        <v>28</v>
      </c>
      <c r="H3454" s="1">
        <v>4409</v>
      </c>
      <c r="I3454" s="1">
        <v>8887</v>
      </c>
      <c r="J3454" s="7">
        <v>0.496</v>
      </c>
      <c r="K3454" s="1" t="s">
        <v>21</v>
      </c>
      <c r="L3454" s="1" t="s">
        <v>29</v>
      </c>
      <c r="M3454" s="1" t="s">
        <v>29</v>
      </c>
      <c r="N3454" s="1" t="s">
        <v>22</v>
      </c>
      <c r="O3454" s="1" t="str">
        <f t="shared" ca="1" si="27"/>
        <v>Please solve the LeetCode problem '3553. Minimum Weighted Subgraph With the Required Paths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55" spans="1:15" x14ac:dyDescent="0.25">
      <c r="A3455" s="1">
        <v>3567</v>
      </c>
      <c r="B3455" s="2" t="str">
        <f>HYPERLINK("https://leetcode.com/problems/minimum-absolute-difference-in-sliding-submatrix/", "Minimum Absolute Difference in Sliding Submatrix")</f>
        <v>Minimum Absolute Difference in Sliding Submatrix</v>
      </c>
      <c r="C3455" s="1">
        <v>48</v>
      </c>
      <c r="D3455" s="1">
        <v>3</v>
      </c>
      <c r="E3455" s="3">
        <f t="shared" si="26"/>
        <v>0.94117647058823528</v>
      </c>
      <c r="F3455" s="1" t="s">
        <v>343</v>
      </c>
      <c r="G3455" s="1" t="s">
        <v>24</v>
      </c>
      <c r="H3455" s="1">
        <v>19720</v>
      </c>
      <c r="I3455" s="1">
        <v>28672</v>
      </c>
      <c r="J3455" s="7">
        <v>0.68799999999999994</v>
      </c>
      <c r="K3455" s="1" t="s">
        <v>21</v>
      </c>
      <c r="L3455" s="1" t="s">
        <v>29</v>
      </c>
      <c r="M3455" s="1" t="s">
        <v>29</v>
      </c>
      <c r="N3455" s="1" t="s">
        <v>22</v>
      </c>
      <c r="O3455" s="1" t="str">
        <f t="shared" ca="1" si="27"/>
        <v>Please solve the LeetCode problem '3567. Minimum Absolute Difference in Sliding Submatrix'.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56" spans="1:15" x14ac:dyDescent="0.25">
      <c r="A3456" s="1">
        <v>3762</v>
      </c>
      <c r="B3456" s="2" t="str">
        <f>HYPERLINK("https://leetcode.com/problems/minimum-operations-to-equalize-subarrays/", "Minimum Operations to Equalize Subarrays")</f>
        <v>Minimum Operations to Equalize Subarrays</v>
      </c>
      <c r="C3456" s="1">
        <v>48</v>
      </c>
      <c r="D3456" s="1">
        <v>3</v>
      </c>
      <c r="E3456" s="3">
        <f t="shared" si="26"/>
        <v>0.94117647058823528</v>
      </c>
      <c r="F3456" s="1" t="s">
        <v>1269</v>
      </c>
      <c r="G3456" s="1" t="s">
        <v>28</v>
      </c>
      <c r="H3456" s="1">
        <v>2681</v>
      </c>
      <c r="I3456" s="1">
        <v>14365</v>
      </c>
      <c r="J3456" s="7">
        <v>0.187</v>
      </c>
      <c r="K3456" s="1" t="s">
        <v>21</v>
      </c>
      <c r="L3456" s="1" t="s">
        <v>29</v>
      </c>
      <c r="M3456" s="1" t="s">
        <v>29</v>
      </c>
      <c r="N3456" s="1" t="s">
        <v>22</v>
      </c>
      <c r="O3456" s="1" t="str">
        <f t="shared" ca="1" si="27"/>
        <v>Please solve the LeetCode problem '3762. Minimum Operations to Equalize Subarrays'.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57" spans="1:15" x14ac:dyDescent="0.25">
      <c r="A3457" s="1">
        <v>3783</v>
      </c>
      <c r="B3457" s="2" t="str">
        <f>HYPERLINK("https://leetcode.com/problems/mirror-distance-of-an-integer/", "Mirror Distance of an Integer")</f>
        <v>Mirror Distance of an Integer</v>
      </c>
      <c r="C3457" s="1">
        <v>48</v>
      </c>
      <c r="D3457" s="1">
        <v>1</v>
      </c>
      <c r="E3457" s="3">
        <f t="shared" si="26"/>
        <v>0.97959183673469385</v>
      </c>
      <c r="F3457" s="1" t="s">
        <v>84</v>
      </c>
      <c r="G3457" s="1" t="s">
        <v>20</v>
      </c>
      <c r="H3457" s="1">
        <v>45923</v>
      </c>
      <c r="I3457" s="1">
        <v>52750</v>
      </c>
      <c r="J3457" s="7">
        <v>0.871</v>
      </c>
      <c r="K3457" s="1" t="s">
        <v>21</v>
      </c>
      <c r="L3457" s="1" t="s">
        <v>29</v>
      </c>
      <c r="M3457" s="1" t="s">
        <v>29</v>
      </c>
      <c r="N3457" s="1" t="s">
        <v>22</v>
      </c>
      <c r="O3457" s="1" t="str">
        <f t="shared" ca="1" si="27"/>
        <v>Please solve the LeetCode problem '3783. Mirror Distance of an Integer'.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58" spans="1:15" x14ac:dyDescent="0.25">
      <c r="A3458" s="1">
        <v>1118</v>
      </c>
      <c r="B3458" s="2" t="str">
        <f>HYPERLINK("https://leetcode.com/problems/number-of-days-in-a-month/", "Number of Days in a Month")</f>
        <v>Number of Days in a Month</v>
      </c>
      <c r="C3458" s="1">
        <v>47</v>
      </c>
      <c r="D3458" s="1">
        <v>180</v>
      </c>
      <c r="E3458" s="3">
        <f t="shared" si="26"/>
        <v>0.20704845814977973</v>
      </c>
      <c r="F3458" s="1" t="s">
        <v>84</v>
      </c>
      <c r="G3458" s="1" t="s">
        <v>20</v>
      </c>
      <c r="H3458" s="1">
        <v>9611</v>
      </c>
      <c r="I3458" s="1">
        <v>16222</v>
      </c>
      <c r="J3458" s="7">
        <v>0.59199999999999997</v>
      </c>
      <c r="K3458" s="1" t="s">
        <v>29</v>
      </c>
      <c r="L3458" s="1" t="s">
        <v>29</v>
      </c>
      <c r="M3458" s="1" t="s">
        <v>29</v>
      </c>
      <c r="N3458" s="1" t="s">
        <v>22</v>
      </c>
      <c r="O3458" s="1" t="str">
        <f t="shared" ca="1" si="27"/>
        <v>Please solve the LeetCode problem '1118. Number of Days in a Month'.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59" spans="1:15" x14ac:dyDescent="0.25">
      <c r="A3459" s="1">
        <v>2175</v>
      </c>
      <c r="B3459" s="2" t="str">
        <f>HYPERLINK("https://leetcode.com/problems/the-change-in-global-rankings/", "The Change in Global Rankings")</f>
        <v>The Change in Global Rankings</v>
      </c>
      <c r="C3459" s="1">
        <v>47</v>
      </c>
      <c r="D3459" s="1">
        <v>19</v>
      </c>
      <c r="E3459" s="3">
        <f t="shared" si="26"/>
        <v>0.71212121212121215</v>
      </c>
      <c r="F3459" s="1" t="s">
        <v>297</v>
      </c>
      <c r="G3459" s="1" t="s">
        <v>24</v>
      </c>
      <c r="H3459" s="1">
        <v>8661</v>
      </c>
      <c r="I3459" s="1">
        <v>14226</v>
      </c>
      <c r="J3459" s="7">
        <v>0.60899999999999999</v>
      </c>
      <c r="K3459" s="1" t="s">
        <v>29</v>
      </c>
      <c r="L3459" s="1" t="s">
        <v>29</v>
      </c>
      <c r="M3459" s="1" t="s">
        <v>29</v>
      </c>
      <c r="N3459" s="1" t="s">
        <v>297</v>
      </c>
      <c r="O3459" s="1" t="str">
        <f t="shared" ca="1" si="27"/>
        <v>Please solve the LeetCode problem '2175. The Change in Global Rankings'.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60" spans="1:15" x14ac:dyDescent="0.25">
      <c r="A3460" s="1">
        <v>3382</v>
      </c>
      <c r="B3460" s="2" t="str">
        <f>HYPERLINK("https://leetcode.com/problems/maximum-area-rectangle-with-point-constraints-ii/", "Maximum Area Rectangle With Point Constraints II")</f>
        <v>Maximum Area Rectangle With Point Constraints II</v>
      </c>
      <c r="C3460" s="1">
        <v>47</v>
      </c>
      <c r="D3460" s="1">
        <v>9</v>
      </c>
      <c r="E3460" s="3">
        <f t="shared" si="26"/>
        <v>0.8392857142857143</v>
      </c>
      <c r="F3460" s="1" t="s">
        <v>1274</v>
      </c>
      <c r="G3460" s="1" t="s">
        <v>28</v>
      </c>
      <c r="H3460" s="1">
        <v>2883</v>
      </c>
      <c r="I3460" s="1">
        <v>12496</v>
      </c>
      <c r="J3460" s="7">
        <v>0.23100000000000001</v>
      </c>
      <c r="K3460" s="1" t="s">
        <v>21</v>
      </c>
      <c r="L3460" s="1" t="s">
        <v>29</v>
      </c>
      <c r="M3460" s="1" t="s">
        <v>29</v>
      </c>
      <c r="N3460" s="1" t="s">
        <v>22</v>
      </c>
      <c r="O3460" s="1" t="str">
        <f t="shared" ca="1" si="27"/>
        <v>Please solve the LeetCode problem '3382. Maximum Area Rectangle With Point Constraints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61" spans="1:15" x14ac:dyDescent="0.25">
      <c r="A3461" s="1">
        <v>3533</v>
      </c>
      <c r="B3461" s="2" t="str">
        <f>HYPERLINK("https://leetcode.com/problems/concatenated-divisibility/", "Concatenated Divisibility")</f>
        <v>Concatenated Divisibility</v>
      </c>
      <c r="C3461" s="1">
        <v>47</v>
      </c>
      <c r="D3461" s="1">
        <v>7</v>
      </c>
      <c r="E3461" s="3">
        <f t="shared" si="26"/>
        <v>0.87037037037037035</v>
      </c>
      <c r="F3461" s="1" t="s">
        <v>1359</v>
      </c>
      <c r="G3461" s="1" t="s">
        <v>28</v>
      </c>
      <c r="H3461" s="1">
        <v>6006</v>
      </c>
      <c r="I3461" s="1">
        <v>19727</v>
      </c>
      <c r="J3461" s="7">
        <v>0.30399999999999999</v>
      </c>
      <c r="K3461" s="1" t="s">
        <v>21</v>
      </c>
      <c r="L3461" s="1" t="s">
        <v>29</v>
      </c>
      <c r="M3461" s="1" t="s">
        <v>29</v>
      </c>
      <c r="N3461" s="1" t="s">
        <v>22</v>
      </c>
      <c r="O3461" s="1" t="str">
        <f t="shared" ca="1" si="27"/>
        <v>Please solve the LeetCode problem '3533. Concatenated Divisibility'.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62" spans="1:15" x14ac:dyDescent="0.25">
      <c r="A3462" s="1">
        <v>3692</v>
      </c>
      <c r="B3462" s="2" t="str">
        <f>HYPERLINK("https://leetcode.com/problems/majority-frequency-characters/", "Majority Frequency Characters")</f>
        <v>Majority Frequency Characters</v>
      </c>
      <c r="C3462" s="1">
        <v>47</v>
      </c>
      <c r="D3462" s="1">
        <v>12</v>
      </c>
      <c r="E3462" s="3">
        <f t="shared" si="26"/>
        <v>0.79661016949152541</v>
      </c>
      <c r="F3462" s="1" t="s">
        <v>237</v>
      </c>
      <c r="G3462" s="1" t="s">
        <v>20</v>
      </c>
      <c r="H3462" s="1">
        <v>28717</v>
      </c>
      <c r="I3462" s="1">
        <v>42751</v>
      </c>
      <c r="J3462" s="7">
        <v>0.67200000000000004</v>
      </c>
      <c r="K3462" s="1" t="s">
        <v>21</v>
      </c>
      <c r="L3462" s="1" t="s">
        <v>29</v>
      </c>
      <c r="M3462" s="1" t="s">
        <v>29</v>
      </c>
      <c r="N3462" s="1" t="s">
        <v>22</v>
      </c>
      <c r="O3462" s="1" t="str">
        <f t="shared" ca="1" si="27"/>
        <v>Please solve the LeetCode problem '3692. Majority Frequency Characters'.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63" spans="1:15" x14ac:dyDescent="0.25">
      <c r="A3463" s="1">
        <v>3708</v>
      </c>
      <c r="B3463" s="2" t="str">
        <f>HYPERLINK("https://leetcode.com/problems/longest-fibonacci-subarray/", "Longest Fibonacci Subarray")</f>
        <v>Longest Fibonacci Subarray</v>
      </c>
      <c r="C3463" s="1">
        <v>47</v>
      </c>
      <c r="D3463" s="1">
        <v>2</v>
      </c>
      <c r="E3463" s="3">
        <f t="shared" si="26"/>
        <v>0.95918367346938771</v>
      </c>
      <c r="F3463" s="1" t="s">
        <v>113</v>
      </c>
      <c r="G3463" s="1" t="s">
        <v>24</v>
      </c>
      <c r="H3463" s="1">
        <v>30806</v>
      </c>
      <c r="I3463" s="1">
        <v>44426</v>
      </c>
      <c r="J3463" s="7">
        <v>0.69299999999999995</v>
      </c>
      <c r="K3463" s="1" t="s">
        <v>21</v>
      </c>
      <c r="L3463" s="1" t="s">
        <v>29</v>
      </c>
      <c r="M3463" s="1" t="s">
        <v>29</v>
      </c>
      <c r="N3463" s="1" t="s">
        <v>22</v>
      </c>
      <c r="O3463" s="1" t="str">
        <f t="shared" ca="1" si="27"/>
        <v>Please solve the LeetCode problem '3708. Longest Fibonacci Subarray'.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64" spans="1:15" x14ac:dyDescent="0.25">
      <c r="A3464" s="1">
        <v>3712</v>
      </c>
      <c r="B3464" s="2" t="str">
        <f>HYPERLINK("https://leetcode.com/problems/sum-of-elements-with-frequency-divisible-by-k/", "Sum of Elements With Frequency Divisible by K")</f>
        <v>Sum of Elements With Frequency Divisible by K</v>
      </c>
      <c r="C3464" s="1">
        <v>47</v>
      </c>
      <c r="D3464" s="1">
        <v>3</v>
      </c>
      <c r="E3464" s="3">
        <f t="shared" si="26"/>
        <v>0.94</v>
      </c>
      <c r="F3464" s="1" t="s">
        <v>294</v>
      </c>
      <c r="G3464" s="1" t="s">
        <v>20</v>
      </c>
      <c r="H3464" s="1">
        <v>48315</v>
      </c>
      <c r="I3464" s="1">
        <v>62572</v>
      </c>
      <c r="J3464" s="7">
        <v>0.77200000000000002</v>
      </c>
      <c r="K3464" s="1" t="s">
        <v>21</v>
      </c>
      <c r="L3464" s="1" t="s">
        <v>29</v>
      </c>
      <c r="M3464" s="1" t="s">
        <v>29</v>
      </c>
      <c r="N3464" s="1" t="s">
        <v>22</v>
      </c>
      <c r="O3464" s="1" t="str">
        <f t="shared" ca="1" si="27"/>
        <v>Please solve the LeetCode problem '3712. Sum of Elements With Frequency Divisible by K'.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65" spans="1:15" x14ac:dyDescent="0.25">
      <c r="A3465" s="1">
        <v>3721</v>
      </c>
      <c r="B3465" s="2" t="str">
        <f>HYPERLINK("https://leetcode.com/problems/longest-balanced-subarray-ii/", "Longest Balanced Subarray II")</f>
        <v>Longest Balanced Subarray II</v>
      </c>
      <c r="C3465" s="1">
        <v>47</v>
      </c>
      <c r="D3465" s="1">
        <v>4</v>
      </c>
      <c r="E3465" s="3">
        <f t="shared" si="26"/>
        <v>0.92156862745098034</v>
      </c>
      <c r="F3465" s="1" t="s">
        <v>940</v>
      </c>
      <c r="G3465" s="1" t="s">
        <v>28</v>
      </c>
      <c r="H3465" s="1">
        <v>3349</v>
      </c>
      <c r="I3465" s="1">
        <v>26834</v>
      </c>
      <c r="J3465" s="7">
        <v>0.125</v>
      </c>
      <c r="K3465" s="1" t="s">
        <v>21</v>
      </c>
      <c r="L3465" s="1" t="s">
        <v>29</v>
      </c>
      <c r="M3465" s="1" t="s">
        <v>29</v>
      </c>
      <c r="N3465" s="1" t="s">
        <v>22</v>
      </c>
      <c r="O3465" s="1" t="str">
        <f t="shared" ca="1" si="27"/>
        <v>Please solve the LeetCode problem '3721. Longest Balanced Subarray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66" spans="1:15" x14ac:dyDescent="0.25">
      <c r="A3466" s="1">
        <v>3745</v>
      </c>
      <c r="B3466" s="2" t="str">
        <f>HYPERLINK("https://leetcode.com/problems/maximize-expression-of-three-elements/", "Maximize Expression of Three Elements")</f>
        <v>Maximize Expression of Three Elements</v>
      </c>
      <c r="C3466" s="1">
        <v>47</v>
      </c>
      <c r="D3466" s="1">
        <v>1</v>
      </c>
      <c r="E3466" s="3">
        <f t="shared" si="26"/>
        <v>0.97916666666666663</v>
      </c>
      <c r="F3466" s="1" t="s">
        <v>1265</v>
      </c>
      <c r="G3466" s="1" t="s">
        <v>20</v>
      </c>
      <c r="H3466" s="1">
        <v>41526</v>
      </c>
      <c r="I3466" s="1">
        <v>57588</v>
      </c>
      <c r="J3466" s="7">
        <v>0.72099999999999997</v>
      </c>
      <c r="K3466" s="1" t="s">
        <v>21</v>
      </c>
      <c r="L3466" s="1" t="s">
        <v>29</v>
      </c>
      <c r="M3466" s="1" t="s">
        <v>29</v>
      </c>
      <c r="N3466" s="1" t="s">
        <v>22</v>
      </c>
      <c r="O3466" s="1" t="str">
        <f t="shared" ca="1" si="27"/>
        <v>Please solve the LeetCode problem '3745. Maximize Expression of Three Elements'.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67" spans="1:15" x14ac:dyDescent="0.25">
      <c r="A3467" s="1">
        <v>3760</v>
      </c>
      <c r="B3467" s="2" t="str">
        <f>HYPERLINK("https://leetcode.com/problems/maximum-substrings-with-distinct-start/", "Maximum Substrings With Distinct Start")</f>
        <v>Maximum Substrings With Distinct Start</v>
      </c>
      <c r="C3467" s="1">
        <v>47</v>
      </c>
      <c r="D3467" s="1">
        <v>16</v>
      </c>
      <c r="E3467" s="3">
        <f t="shared" si="26"/>
        <v>0.74603174603174605</v>
      </c>
      <c r="F3467" s="1" t="s">
        <v>131</v>
      </c>
      <c r="G3467" s="1" t="s">
        <v>24</v>
      </c>
      <c r="H3467" s="1">
        <v>38663</v>
      </c>
      <c r="I3467" s="1">
        <v>42325</v>
      </c>
      <c r="J3467" s="7">
        <v>0.91300000000000003</v>
      </c>
      <c r="K3467" s="1" t="s">
        <v>21</v>
      </c>
      <c r="L3467" s="1" t="s">
        <v>29</v>
      </c>
      <c r="M3467" s="1" t="s">
        <v>29</v>
      </c>
      <c r="N3467" s="1" t="s">
        <v>22</v>
      </c>
      <c r="O3467" s="1" t="str">
        <f t="shared" ca="1" si="27"/>
        <v>Please solve the LeetCode problem '3760. Maximum Substrings With Distinct Start'.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68" spans="1:15" x14ac:dyDescent="0.25">
      <c r="A3468" s="1">
        <v>3772</v>
      </c>
      <c r="B3468" s="2" t="str">
        <f>HYPERLINK("https://leetcode.com/problems/maximum-subgraph-score-in-a-tree/", "Maximum Subgraph Score in a Tree")</f>
        <v>Maximum Subgraph Score in a Tree</v>
      </c>
      <c r="C3468" s="1">
        <v>47</v>
      </c>
      <c r="D3468" s="1">
        <v>1</v>
      </c>
      <c r="E3468" s="3">
        <f t="shared" si="26"/>
        <v>0.97916666666666663</v>
      </c>
      <c r="F3468" s="1" t="s">
        <v>939</v>
      </c>
      <c r="G3468" s="1" t="s">
        <v>28</v>
      </c>
      <c r="H3468" s="1">
        <v>4858</v>
      </c>
      <c r="I3468" s="1">
        <v>6930</v>
      </c>
      <c r="J3468" s="7">
        <v>0.70099999999999996</v>
      </c>
      <c r="K3468" s="1" t="s">
        <v>21</v>
      </c>
      <c r="L3468" s="1" t="s">
        <v>29</v>
      </c>
      <c r="M3468" s="1" t="s">
        <v>29</v>
      </c>
      <c r="N3468" s="1" t="s">
        <v>22</v>
      </c>
      <c r="O3468" s="1" t="str">
        <f t="shared" ca="1" si="27"/>
        <v>Please solve the LeetCode problem '3772. Maximum Subgraph Score in a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69" spans="1:15" x14ac:dyDescent="0.25">
      <c r="A3469" s="1">
        <v>3777</v>
      </c>
      <c r="B3469" s="2" t="str">
        <f>HYPERLINK("https://leetcode.com/problems/minimum-deletions-to-make-alternating-substring/", "Minimum Deletions to Make Alternating Substring")</f>
        <v>Minimum Deletions to Make Alternating Substring</v>
      </c>
      <c r="C3469" s="1">
        <v>47</v>
      </c>
      <c r="D3469" s="1">
        <v>1</v>
      </c>
      <c r="E3469" s="3">
        <f t="shared" si="26"/>
        <v>0.97916666666666663</v>
      </c>
      <c r="F3469" s="1" t="s">
        <v>1275</v>
      </c>
      <c r="G3469" s="1" t="s">
        <v>28</v>
      </c>
      <c r="H3469" s="1">
        <v>5458</v>
      </c>
      <c r="I3469" s="1">
        <v>12295</v>
      </c>
      <c r="J3469" s="7">
        <v>0.44400000000000001</v>
      </c>
      <c r="K3469" s="1" t="s">
        <v>21</v>
      </c>
      <c r="L3469" s="1" t="s">
        <v>29</v>
      </c>
      <c r="M3469" s="1" t="s">
        <v>29</v>
      </c>
      <c r="N3469" s="1" t="s">
        <v>22</v>
      </c>
      <c r="O3469" s="1" t="str">
        <f t="shared" ca="1" si="27"/>
        <v>Please solve the LeetCode problem '3777. Minimum Deletions to Make Alternating Substring'.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70" spans="1:15" x14ac:dyDescent="0.25">
      <c r="A3470" s="1">
        <v>2474</v>
      </c>
      <c r="B3470" s="2" t="str">
        <f>HYPERLINK("https://leetcode.com/problems/customers-with-strictly-increasing-purchases/", "Customers With Strictly Increasing Purchases")</f>
        <v>Customers With Strictly Increasing Purchases</v>
      </c>
      <c r="C3470" s="1">
        <v>46</v>
      </c>
      <c r="D3470" s="1">
        <v>6</v>
      </c>
      <c r="E3470" s="3">
        <f t="shared" si="26"/>
        <v>0.88461538461538458</v>
      </c>
      <c r="F3470" s="1" t="s">
        <v>297</v>
      </c>
      <c r="G3470" s="1" t="s">
        <v>28</v>
      </c>
      <c r="H3470" s="1">
        <v>5557</v>
      </c>
      <c r="I3470" s="1">
        <v>11346</v>
      </c>
      <c r="J3470" s="7">
        <v>0.49</v>
      </c>
      <c r="K3470" s="1" t="s">
        <v>29</v>
      </c>
      <c r="L3470" s="1" t="s">
        <v>29</v>
      </c>
      <c r="M3470" s="1" t="s">
        <v>29</v>
      </c>
      <c r="N3470" s="1" t="s">
        <v>297</v>
      </c>
      <c r="O3470" s="1" t="str">
        <f t="shared" ca="1" si="27"/>
        <v>Please solve the LeetCode problem '2474. Customers With Strictly Increasing Purchases'.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71" spans="1:15" x14ac:dyDescent="0.25">
      <c r="A3471" s="1">
        <v>2674</v>
      </c>
      <c r="B3471" s="2" t="str">
        <f>HYPERLINK("https://leetcode.com/problems/split-a-circular-linked-list/", "Split a Circular Linked List")</f>
        <v>Split a Circular Linked List</v>
      </c>
      <c r="C3471" s="1">
        <v>46</v>
      </c>
      <c r="D3471" s="1">
        <v>6</v>
      </c>
      <c r="E3471" s="3">
        <f t="shared" si="26"/>
        <v>0.88461538461538458</v>
      </c>
      <c r="F3471" s="1" t="s">
        <v>53</v>
      </c>
      <c r="G3471" s="1" t="s">
        <v>24</v>
      </c>
      <c r="H3471" s="1">
        <v>3157</v>
      </c>
      <c r="I3471" s="1">
        <v>4066</v>
      </c>
      <c r="J3471" s="7">
        <v>0.77600000000000002</v>
      </c>
      <c r="K3471" s="1" t="s">
        <v>29</v>
      </c>
      <c r="L3471" s="1" t="s">
        <v>29</v>
      </c>
      <c r="M3471" s="1" t="s">
        <v>29</v>
      </c>
      <c r="N3471" s="1" t="s">
        <v>22</v>
      </c>
      <c r="O3471" s="1" t="str">
        <f t="shared" ca="1" si="27"/>
        <v>Please solve the LeetCode problem '2674. Split a Circular Linked List'.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72" spans="1:15" x14ac:dyDescent="0.25">
      <c r="A3472" s="1">
        <v>3570</v>
      </c>
      <c r="B3472" s="2" t="str">
        <f>HYPERLINK("https://leetcode.com/problems/find-books-with-no-available-copies/", "Find Books with No Available Copies")</f>
        <v>Find Books with No Available Copies</v>
      </c>
      <c r="C3472" s="1">
        <v>46</v>
      </c>
      <c r="D3472" s="1">
        <v>13</v>
      </c>
      <c r="E3472" s="3">
        <f t="shared" si="26"/>
        <v>0.77966101694915257</v>
      </c>
      <c r="F3472" s="1" t="s">
        <v>297</v>
      </c>
      <c r="G3472" s="1" t="s">
        <v>20</v>
      </c>
      <c r="H3472" s="1">
        <v>15187</v>
      </c>
      <c r="I3472" s="1">
        <v>28368</v>
      </c>
      <c r="J3472" s="7">
        <v>0.53500000000000003</v>
      </c>
      <c r="K3472" s="1" t="s">
        <v>21</v>
      </c>
      <c r="L3472" s="1" t="s">
        <v>29</v>
      </c>
      <c r="M3472" s="1" t="s">
        <v>29</v>
      </c>
      <c r="N3472" s="1" t="s">
        <v>297</v>
      </c>
      <c r="O3472" s="1" t="str">
        <f t="shared" ca="1" si="27"/>
        <v>Please solve the LeetCode problem '3570. Find Books with No Available Copies'.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73" spans="1:15" x14ac:dyDescent="0.25">
      <c r="A3473" s="1">
        <v>3574</v>
      </c>
      <c r="B3473" s="2" t="str">
        <f>HYPERLINK("https://leetcode.com/problems/maximize-subarray-gcd-score/", "Maximize Subarray GCD Score")</f>
        <v>Maximize Subarray GCD Score</v>
      </c>
      <c r="C3473" s="1">
        <v>46</v>
      </c>
      <c r="D3473" s="1">
        <v>4</v>
      </c>
      <c r="E3473" s="3">
        <f t="shared" si="26"/>
        <v>0.92</v>
      </c>
      <c r="F3473" s="1" t="s">
        <v>161</v>
      </c>
      <c r="G3473" s="1" t="s">
        <v>28</v>
      </c>
      <c r="H3473" s="1">
        <v>5895</v>
      </c>
      <c r="I3473" s="1">
        <v>24277</v>
      </c>
      <c r="J3473" s="7">
        <v>0.24299999999999999</v>
      </c>
      <c r="K3473" s="1" t="s">
        <v>21</v>
      </c>
      <c r="L3473" s="1" t="s">
        <v>29</v>
      </c>
      <c r="M3473" s="1" t="s">
        <v>29</v>
      </c>
      <c r="N3473" s="1" t="s">
        <v>22</v>
      </c>
      <c r="O3473" s="1" t="str">
        <f t="shared" ca="1" si="27"/>
        <v>Please solve the LeetCode problem '3574. Maximize Subarray GCD Score'.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74" spans="1:15" x14ac:dyDescent="0.25">
      <c r="A3474" s="1">
        <v>3622</v>
      </c>
      <c r="B3474" s="2" t="str">
        <f>HYPERLINK("https://leetcode.com/problems/check-divisibility-by-digit-sum-and-product/", "Check Divisibility by Digit Sum and Product")</f>
        <v>Check Divisibility by Digit Sum and Product</v>
      </c>
      <c r="C3474" s="1">
        <v>46</v>
      </c>
      <c r="D3474" s="1">
        <v>0</v>
      </c>
      <c r="E3474" s="3">
        <f t="shared" si="26"/>
        <v>1</v>
      </c>
      <c r="F3474" s="1" t="s">
        <v>84</v>
      </c>
      <c r="G3474" s="1" t="s">
        <v>20</v>
      </c>
      <c r="H3474" s="1">
        <v>65043</v>
      </c>
      <c r="I3474" s="1">
        <v>95126</v>
      </c>
      <c r="J3474" s="7">
        <v>0.68400000000000005</v>
      </c>
      <c r="K3474" s="1" t="s">
        <v>21</v>
      </c>
      <c r="L3474" s="1" t="s">
        <v>29</v>
      </c>
      <c r="M3474" s="1" t="s">
        <v>29</v>
      </c>
      <c r="N3474" s="1" t="s">
        <v>22</v>
      </c>
      <c r="O3474" s="1" t="str">
        <f t="shared" ca="1" si="27"/>
        <v>Please solve the LeetCode problem '3622. Check Divisibility by Digit Sum and Product'.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75" spans="1:15" x14ac:dyDescent="0.25">
      <c r="A3475" s="1">
        <v>3642</v>
      </c>
      <c r="B3475" s="2" t="str">
        <f>HYPERLINK("https://leetcode.com/problems/find-books-with-polarized-opinions/", "Find Books with Polarized Opinions")</f>
        <v>Find Books with Polarized Opinions</v>
      </c>
      <c r="C3475" s="1">
        <v>46</v>
      </c>
      <c r="D3475" s="1">
        <v>12</v>
      </c>
      <c r="E3475" s="3">
        <f t="shared" si="26"/>
        <v>0.7931034482758621</v>
      </c>
      <c r="G3475" s="1" t="s">
        <v>20</v>
      </c>
      <c r="H3475" s="1">
        <v>7221</v>
      </c>
      <c r="I3475" s="1">
        <v>17588</v>
      </c>
      <c r="J3475" s="7">
        <v>0.41099999999999998</v>
      </c>
      <c r="K3475" s="1" t="s">
        <v>21</v>
      </c>
      <c r="L3475" s="1" t="s">
        <v>29</v>
      </c>
      <c r="M3475" s="1" t="s">
        <v>29</v>
      </c>
      <c r="N3475" s="1" t="s">
        <v>297</v>
      </c>
      <c r="O3475" s="1" t="str">
        <f t="shared" ca="1" si="27"/>
        <v>Please solve the LeetCode problem '3642. Find Books with Polarized Opinions'.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76" spans="1:15" x14ac:dyDescent="0.25">
      <c r="A3476" s="1">
        <v>3680</v>
      </c>
      <c r="B3476" s="2" t="str">
        <f>HYPERLINK("https://leetcode.com/problems/generate-schedule/", "Generate Schedule")</f>
        <v>Generate Schedule</v>
      </c>
      <c r="C3476" s="1">
        <v>46</v>
      </c>
      <c r="D3476" s="1">
        <v>23</v>
      </c>
      <c r="E3476" s="3">
        <f t="shared" si="26"/>
        <v>0.66666666666666663</v>
      </c>
      <c r="F3476" s="1" t="s">
        <v>435</v>
      </c>
      <c r="G3476" s="1" t="s">
        <v>24</v>
      </c>
      <c r="H3476" s="1">
        <v>4360</v>
      </c>
      <c r="I3476" s="1">
        <v>18564</v>
      </c>
      <c r="J3476" s="7">
        <v>0.23499999999999999</v>
      </c>
      <c r="K3476" s="1" t="s">
        <v>21</v>
      </c>
      <c r="L3476" s="1" t="s">
        <v>29</v>
      </c>
      <c r="M3476" s="1" t="s">
        <v>29</v>
      </c>
      <c r="N3476" s="1" t="s">
        <v>22</v>
      </c>
      <c r="O3476" s="1" t="str">
        <f t="shared" ca="1" si="27"/>
        <v>Please solve the LeetCode problem '3680. Generate Schedule'.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77" spans="1:15" x14ac:dyDescent="0.25">
      <c r="A3477" s="1">
        <v>2052</v>
      </c>
      <c r="B3477" s="2" t="str">
        <f>HYPERLINK("https://leetcode.com/problems/minimum-cost-to-separate-sentence-into-rows/", "Minimum Cost to Separate Sentence Into Rows")</f>
        <v>Minimum Cost to Separate Sentence Into Rows</v>
      </c>
      <c r="C3477" s="1">
        <v>45</v>
      </c>
      <c r="D3477" s="1">
        <v>14</v>
      </c>
      <c r="E3477" s="3">
        <f t="shared" si="26"/>
        <v>0.76271186440677963</v>
      </c>
      <c r="F3477" s="1" t="s">
        <v>30</v>
      </c>
      <c r="G3477" s="1" t="s">
        <v>24</v>
      </c>
      <c r="H3477" s="1">
        <v>2417</v>
      </c>
      <c r="I3477" s="1">
        <v>4747</v>
      </c>
      <c r="J3477" s="7">
        <v>0.50900000000000001</v>
      </c>
      <c r="K3477" s="1" t="s">
        <v>29</v>
      </c>
      <c r="L3477" s="1" t="s">
        <v>29</v>
      </c>
      <c r="M3477" s="1" t="s">
        <v>29</v>
      </c>
      <c r="N3477" s="1" t="s">
        <v>22</v>
      </c>
      <c r="O3477" s="1" t="str">
        <f t="shared" ca="1" si="27"/>
        <v>Please solve the LeetCode problem '2052. Minimum Cost to Separate Sentence Into Rows'.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78" spans="1:15" x14ac:dyDescent="0.25">
      <c r="A3478" s="1">
        <v>3455</v>
      </c>
      <c r="B3478" s="2" t="str">
        <f>HYPERLINK("https://leetcode.com/problems/shortest-matching-substring/", "Shortest Matching Substring")</f>
        <v>Shortest Matching Substring</v>
      </c>
      <c r="C3478" s="1">
        <v>45</v>
      </c>
      <c r="D3478" s="1">
        <v>3</v>
      </c>
      <c r="E3478" s="3">
        <f t="shared" si="26"/>
        <v>0.9375</v>
      </c>
      <c r="F3478" s="1" t="s">
        <v>1276</v>
      </c>
      <c r="G3478" s="1" t="s">
        <v>28</v>
      </c>
      <c r="H3478" s="1">
        <v>6196</v>
      </c>
      <c r="I3478" s="1">
        <v>26336</v>
      </c>
      <c r="J3478" s="7">
        <v>0.23499999999999999</v>
      </c>
      <c r="K3478" s="1" t="s">
        <v>21</v>
      </c>
      <c r="L3478" s="1" t="s">
        <v>29</v>
      </c>
      <c r="M3478" s="1" t="s">
        <v>29</v>
      </c>
      <c r="N3478" s="1" t="s">
        <v>22</v>
      </c>
      <c r="O3478" s="1" t="str">
        <f t="shared" ca="1" si="27"/>
        <v>Please solve the LeetCode problem '3455. Shortest Matching Substring'.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79" spans="1:15" x14ac:dyDescent="0.25">
      <c r="A3479" s="1">
        <v>3544</v>
      </c>
      <c r="B3479" s="2" t="str">
        <f>HYPERLINK("https://leetcode.com/problems/subtree-inversion-sum/", "Subtree Inversion Sum")</f>
        <v>Subtree Inversion Sum</v>
      </c>
      <c r="C3479" s="1">
        <v>45</v>
      </c>
      <c r="D3479" s="1">
        <v>7</v>
      </c>
      <c r="E3479" s="3">
        <f t="shared" si="26"/>
        <v>0.86538461538461542</v>
      </c>
      <c r="F3479" s="1" t="s">
        <v>939</v>
      </c>
      <c r="G3479" s="1" t="s">
        <v>28</v>
      </c>
      <c r="H3479" s="1">
        <v>4144</v>
      </c>
      <c r="I3479" s="1">
        <v>9326</v>
      </c>
      <c r="J3479" s="7">
        <v>0.44400000000000001</v>
      </c>
      <c r="K3479" s="1" t="s">
        <v>21</v>
      </c>
      <c r="L3479" s="1" t="s">
        <v>29</v>
      </c>
      <c r="M3479" s="1" t="s">
        <v>29</v>
      </c>
      <c r="N3479" s="1" t="s">
        <v>22</v>
      </c>
      <c r="O3479" s="1" t="str">
        <f t="shared" ca="1" si="27"/>
        <v>Please solve the LeetCode problem '3544. Subtree Inversion Sum'.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80" spans="1:15" x14ac:dyDescent="0.25">
      <c r="A3480" s="1">
        <v>3602</v>
      </c>
      <c r="B3480" s="2" t="str">
        <f>HYPERLINK("https://leetcode.com/problems/hexadecimal-and-hexatrigesimal-conversion/", "Hexadecimal and Hexatrigesimal Conversion")</f>
        <v>Hexadecimal and Hexatrigesimal Conversion</v>
      </c>
      <c r="C3480" s="1">
        <v>45</v>
      </c>
      <c r="D3480" s="1">
        <v>0</v>
      </c>
      <c r="E3480" s="3">
        <f t="shared" si="26"/>
        <v>1</v>
      </c>
      <c r="F3480" s="1" t="s">
        <v>228</v>
      </c>
      <c r="G3480" s="1" t="s">
        <v>20</v>
      </c>
      <c r="H3480" s="1">
        <v>29558</v>
      </c>
      <c r="I3480" s="1">
        <v>36709</v>
      </c>
      <c r="J3480" s="7">
        <v>0.80500000000000005</v>
      </c>
      <c r="K3480" s="1" t="s">
        <v>21</v>
      </c>
      <c r="L3480" s="1" t="s">
        <v>29</v>
      </c>
      <c r="M3480" s="1" t="s">
        <v>29</v>
      </c>
      <c r="N3480" s="1" t="s">
        <v>22</v>
      </c>
      <c r="O3480" s="1" t="str">
        <f t="shared" ca="1" si="27"/>
        <v>Please solve the LeetCode problem '3602. Hexadecimal and Hexatrigesimal Conversion'.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81" spans="1:15" x14ac:dyDescent="0.25">
      <c r="A3481" s="1">
        <v>3737</v>
      </c>
      <c r="B3481" s="2" t="str">
        <f>HYPERLINK("https://leetcode.com/problems/count-subarrays-with-majority-element-i/", "Count Subarrays With Majority Element I")</f>
        <v>Count Subarrays With Majority Element I</v>
      </c>
      <c r="C3481" s="1">
        <v>45</v>
      </c>
      <c r="D3481" s="1">
        <v>4</v>
      </c>
      <c r="E3481" s="3">
        <f t="shared" si="26"/>
        <v>0.91836734693877553</v>
      </c>
      <c r="F3481" s="1" t="s">
        <v>1272</v>
      </c>
      <c r="G3481" s="1" t="s">
        <v>24</v>
      </c>
      <c r="H3481" s="1">
        <v>24545</v>
      </c>
      <c r="I3481" s="1">
        <v>37816</v>
      </c>
      <c r="J3481" s="7">
        <v>0.64900000000000002</v>
      </c>
      <c r="K3481" s="1" t="s">
        <v>21</v>
      </c>
      <c r="L3481" s="1" t="s">
        <v>29</v>
      </c>
      <c r="M3481" s="1" t="s">
        <v>29</v>
      </c>
      <c r="N3481" s="1" t="s">
        <v>22</v>
      </c>
      <c r="O3481" s="1" t="str">
        <f t="shared" ca="1" si="27"/>
        <v>Please solve the LeetCode problem '3737. Count Subarrays With Majority Element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82" spans="1:15" x14ac:dyDescent="0.25">
      <c r="A3482" s="1">
        <v>2436</v>
      </c>
      <c r="B3482" s="2" t="str">
        <f>HYPERLINK("https://leetcode.com/problems/minimum-split-into-subarrays-with-gcd-greater-than-one/", "Minimum Split Into Subarrays With GCD Greater Than One")</f>
        <v>Minimum Split Into Subarrays With GCD Greater Than One</v>
      </c>
      <c r="C3482" s="1">
        <v>44</v>
      </c>
      <c r="D3482" s="1">
        <v>11</v>
      </c>
      <c r="E3482" s="3">
        <f t="shared" si="26"/>
        <v>0.8</v>
      </c>
      <c r="F3482" s="1" t="s">
        <v>1277</v>
      </c>
      <c r="G3482" s="1" t="s">
        <v>24</v>
      </c>
      <c r="H3482" s="1">
        <v>2858</v>
      </c>
      <c r="I3482" s="1">
        <v>4076</v>
      </c>
      <c r="J3482" s="7">
        <v>0.70099999999999996</v>
      </c>
      <c r="K3482" s="1" t="s">
        <v>29</v>
      </c>
      <c r="L3482" s="1" t="s">
        <v>29</v>
      </c>
      <c r="M3482" s="1" t="s">
        <v>29</v>
      </c>
      <c r="N3482" s="1" t="s">
        <v>22</v>
      </c>
      <c r="O3482" s="1" t="str">
        <f t="shared" ca="1" si="27"/>
        <v>Please solve the LeetCode problem '2436. Minimum Split Into Subarrays With GCD Greater Than One'.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83" spans="1:15" x14ac:dyDescent="0.25">
      <c r="A3483" s="1">
        <v>3399</v>
      </c>
      <c r="B3483" s="2" t="str">
        <f>HYPERLINK("https://leetcode.com/problems/smallest-substring-with-identical-characters-ii/", "Smallest Substring With Identical Characters II")</f>
        <v>Smallest Substring With Identical Characters II</v>
      </c>
      <c r="C3483" s="1">
        <v>44</v>
      </c>
      <c r="D3483" s="1">
        <v>3</v>
      </c>
      <c r="E3483" s="3">
        <f t="shared" si="26"/>
        <v>0.93617021276595747</v>
      </c>
      <c r="F3483" s="1" t="s">
        <v>1279</v>
      </c>
      <c r="G3483" s="1" t="s">
        <v>28</v>
      </c>
      <c r="H3483" s="1">
        <v>6695</v>
      </c>
      <c r="I3483" s="1">
        <v>16713</v>
      </c>
      <c r="J3483" s="7">
        <v>0.40100000000000002</v>
      </c>
      <c r="K3483" s="1" t="s">
        <v>21</v>
      </c>
      <c r="L3483" s="1" t="s">
        <v>29</v>
      </c>
      <c r="M3483" s="1" t="s">
        <v>29</v>
      </c>
      <c r="N3483" s="1" t="s">
        <v>22</v>
      </c>
      <c r="O3483" s="1" t="str">
        <f t="shared" ca="1" si="27"/>
        <v>Please solve the LeetCode problem '3399. Smallest Substring With Identical Characters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84" spans="1:15" x14ac:dyDescent="0.25">
      <c r="A3484" s="1">
        <v>3522</v>
      </c>
      <c r="B3484" s="2" t="str">
        <f>HYPERLINK("https://leetcode.com/problems/calculate-score-after-performing-instructions/", "Calculate Score After Performing Instructions")</f>
        <v>Calculate Score After Performing Instructions</v>
      </c>
      <c r="C3484" s="1">
        <v>44</v>
      </c>
      <c r="D3484" s="1">
        <v>9</v>
      </c>
      <c r="E3484" s="3">
        <f t="shared" si="26"/>
        <v>0.83018867924528306</v>
      </c>
      <c r="F3484" s="1" t="s">
        <v>944</v>
      </c>
      <c r="G3484" s="1" t="s">
        <v>24</v>
      </c>
      <c r="H3484" s="1">
        <v>39462</v>
      </c>
      <c r="I3484" s="1">
        <v>69579</v>
      </c>
      <c r="J3484" s="7">
        <v>0.56699999999999995</v>
      </c>
      <c r="K3484" s="1" t="s">
        <v>21</v>
      </c>
      <c r="L3484" s="1" t="s">
        <v>29</v>
      </c>
      <c r="M3484" s="1" t="s">
        <v>29</v>
      </c>
      <c r="N3484" s="1" t="s">
        <v>22</v>
      </c>
      <c r="O3484" s="1" t="str">
        <f t="shared" ca="1" si="27"/>
        <v>Please solve the LeetCode problem '3522. Calculate Score After Performing Instructions'.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85" spans="1:15" x14ac:dyDescent="0.25">
      <c r="A3485" s="1">
        <v>3743</v>
      </c>
      <c r="B3485" s="2" t="str">
        <f>HYPERLINK("https://leetcode.com/problems/maximize-cyclic-partition-score/", "Maximize Cyclic Partition Score")</f>
        <v>Maximize Cyclic Partition Score</v>
      </c>
      <c r="C3485" s="1">
        <v>44</v>
      </c>
      <c r="D3485" s="1">
        <v>6</v>
      </c>
      <c r="E3485" s="3">
        <f t="shared" si="26"/>
        <v>0.88</v>
      </c>
      <c r="F3485" s="1" t="s">
        <v>30</v>
      </c>
      <c r="G3485" s="1" t="s">
        <v>28</v>
      </c>
      <c r="H3485" s="1">
        <v>2223</v>
      </c>
      <c r="I3485" s="1">
        <v>19304</v>
      </c>
      <c r="J3485" s="7">
        <v>0.115</v>
      </c>
      <c r="K3485" s="1" t="s">
        <v>21</v>
      </c>
      <c r="L3485" s="1" t="s">
        <v>29</v>
      </c>
      <c r="M3485" s="1" t="s">
        <v>29</v>
      </c>
      <c r="N3485" s="1" t="s">
        <v>22</v>
      </c>
      <c r="O3485" s="1" t="str">
        <f t="shared" ca="1" si="27"/>
        <v>Please solve the LeetCode problem '3743. Maximize Cyclic Partition Score'.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86" spans="1:15" x14ac:dyDescent="0.25">
      <c r="A3486" s="1">
        <v>3765</v>
      </c>
      <c r="B3486" s="2" t="str">
        <f>HYPERLINK("https://leetcode.com/problems/complete-prime-number/", "Complete Prime Number")</f>
        <v>Complete Prime Number</v>
      </c>
      <c r="C3486" s="1">
        <v>44</v>
      </c>
      <c r="D3486" s="1">
        <v>3</v>
      </c>
      <c r="E3486" s="3">
        <f t="shared" si="26"/>
        <v>0.93617021276595747</v>
      </c>
      <c r="F3486" s="1" t="s">
        <v>812</v>
      </c>
      <c r="G3486" s="1" t="s">
        <v>24</v>
      </c>
      <c r="H3486" s="1">
        <v>25220</v>
      </c>
      <c r="I3486" s="1">
        <v>67555</v>
      </c>
      <c r="J3486" s="7">
        <v>0.373</v>
      </c>
      <c r="K3486" s="1" t="s">
        <v>21</v>
      </c>
      <c r="L3486" s="1" t="s">
        <v>29</v>
      </c>
      <c r="M3486" s="1" t="s">
        <v>29</v>
      </c>
      <c r="N3486" s="1" t="s">
        <v>22</v>
      </c>
      <c r="O3486" s="1" t="str">
        <f t="shared" ca="1" si="27"/>
        <v>Please solve the LeetCode problem '3765. Complete Prime Number'.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87" spans="1:15" x14ac:dyDescent="0.25">
      <c r="A3487" s="1">
        <v>3768</v>
      </c>
      <c r="B3487" s="2" t="str">
        <f>HYPERLINK("https://leetcode.com/problems/minimum-inversion-count-in-subarrays-of-fixed-length/", "Minimum Inversion Count in Subarrays of Fixed Length")</f>
        <v>Minimum Inversion Count in Subarrays of Fixed Length</v>
      </c>
      <c r="C3487" s="1">
        <v>44</v>
      </c>
      <c r="D3487" s="1">
        <v>4</v>
      </c>
      <c r="E3487" s="3">
        <f t="shared" si="26"/>
        <v>0.91666666666666663</v>
      </c>
      <c r="F3487" s="1" t="s">
        <v>1273</v>
      </c>
      <c r="G3487" s="1" t="s">
        <v>28</v>
      </c>
      <c r="H3487" s="1">
        <v>4390</v>
      </c>
      <c r="I3487" s="1">
        <v>10515</v>
      </c>
      <c r="J3487" s="7">
        <v>0.41699999999999998</v>
      </c>
      <c r="K3487" s="1" t="s">
        <v>21</v>
      </c>
      <c r="L3487" s="1" t="s">
        <v>29</v>
      </c>
      <c r="M3487" s="1" t="s">
        <v>29</v>
      </c>
      <c r="N3487" s="1" t="s">
        <v>22</v>
      </c>
      <c r="O3487" s="1" t="str">
        <f t="shared" ca="1" si="27"/>
        <v>Please solve the LeetCode problem '3768. Minimum Inversion Count in Subarrays of Fixed Length'.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88" spans="1:15" x14ac:dyDescent="0.25">
      <c r="A3488" s="1">
        <v>3514</v>
      </c>
      <c r="B3488" s="2" t="str">
        <f>HYPERLINK("https://leetcode.com/problems/number-of-unique-xor-triplets-ii/", "Number of Unique XOR Triplets II")</f>
        <v>Number of Unique XOR Triplets II</v>
      </c>
      <c r="C3488" s="1">
        <v>43</v>
      </c>
      <c r="D3488" s="1">
        <v>9</v>
      </c>
      <c r="E3488" s="3">
        <f t="shared" si="26"/>
        <v>0.82692307692307687</v>
      </c>
      <c r="F3488" s="1" t="s">
        <v>1281</v>
      </c>
      <c r="G3488" s="1" t="s">
        <v>24</v>
      </c>
      <c r="H3488" s="1">
        <v>14093</v>
      </c>
      <c r="I3488" s="1">
        <v>43739</v>
      </c>
      <c r="J3488" s="7">
        <v>0.32200000000000001</v>
      </c>
      <c r="K3488" s="1" t="s">
        <v>21</v>
      </c>
      <c r="L3488" s="1" t="s">
        <v>29</v>
      </c>
      <c r="M3488" s="1" t="s">
        <v>29</v>
      </c>
      <c r="N3488" s="1" t="s">
        <v>22</v>
      </c>
      <c r="O3488" s="1" t="str">
        <f t="shared" ca="1" si="27"/>
        <v>Please solve the LeetCode problem '3514. Number of Unique XOR Triplets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89" spans="1:15" x14ac:dyDescent="0.25">
      <c r="A3489" s="1">
        <v>3586</v>
      </c>
      <c r="B3489" s="2" t="str">
        <f>HYPERLINK("https://leetcode.com/problems/find-covid-recovery-patients/", "Find COVID Recovery Patients")</f>
        <v>Find COVID Recovery Patients</v>
      </c>
      <c r="C3489" s="1">
        <v>43</v>
      </c>
      <c r="D3489" s="1">
        <v>7</v>
      </c>
      <c r="E3489" s="3">
        <f t="shared" si="26"/>
        <v>0.86</v>
      </c>
      <c r="F3489" s="1" t="s">
        <v>297</v>
      </c>
      <c r="G3489" s="1" t="s">
        <v>24</v>
      </c>
      <c r="H3489" s="1">
        <v>9103</v>
      </c>
      <c r="I3489" s="1">
        <v>22036</v>
      </c>
      <c r="J3489" s="7">
        <v>0.41299999999999998</v>
      </c>
      <c r="K3489" s="1" t="s">
        <v>21</v>
      </c>
      <c r="L3489" s="1" t="s">
        <v>29</v>
      </c>
      <c r="M3489" s="1" t="s">
        <v>29</v>
      </c>
      <c r="N3489" s="1" t="s">
        <v>297</v>
      </c>
      <c r="O3489" s="1" t="str">
        <f t="shared" ca="1" si="27"/>
        <v>Please solve the LeetCode problem '3586. Find COVID Recovery Patients'.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90" spans="1:15" x14ac:dyDescent="0.25">
      <c r="A3490" s="1">
        <v>3640</v>
      </c>
      <c r="B3490" s="2" t="str">
        <f>HYPERLINK("https://leetcode.com/problems/trionic-array-ii/", "Trionic Array II")</f>
        <v>Trionic Array II</v>
      </c>
      <c r="C3490" s="1">
        <v>43</v>
      </c>
      <c r="D3490" s="1">
        <v>3</v>
      </c>
      <c r="E3490" s="3">
        <f t="shared" si="26"/>
        <v>0.93478260869565222</v>
      </c>
      <c r="F3490" s="1" t="s">
        <v>30</v>
      </c>
      <c r="G3490" s="1" t="s">
        <v>28</v>
      </c>
      <c r="H3490" s="1">
        <v>12318</v>
      </c>
      <c r="I3490" s="1">
        <v>44805</v>
      </c>
      <c r="J3490" s="7">
        <v>0.27500000000000002</v>
      </c>
      <c r="K3490" s="1" t="s">
        <v>21</v>
      </c>
      <c r="L3490" s="1" t="s">
        <v>29</v>
      </c>
      <c r="M3490" s="1" t="s">
        <v>29</v>
      </c>
      <c r="N3490" s="1" t="s">
        <v>22</v>
      </c>
      <c r="O3490" s="1" t="str">
        <f t="shared" ca="1" si="27"/>
        <v>Please solve the LeetCode problem '3640. Trionic Array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91" spans="1:15" x14ac:dyDescent="0.25">
      <c r="A3491" s="1">
        <v>3663</v>
      </c>
      <c r="B3491" s="2" t="str">
        <f>HYPERLINK("https://leetcode.com/problems/find-the-least-frequent-digit/", "Find The Least Frequent Digit")</f>
        <v>Find The Least Frequent Digit</v>
      </c>
      <c r="C3491" s="1">
        <v>43</v>
      </c>
      <c r="D3491" s="1">
        <v>2</v>
      </c>
      <c r="E3491" s="3">
        <f t="shared" si="26"/>
        <v>0.9555555555555556</v>
      </c>
      <c r="F3491" s="1" t="s">
        <v>233</v>
      </c>
      <c r="G3491" s="1" t="s">
        <v>20</v>
      </c>
      <c r="H3491" s="1">
        <v>40139</v>
      </c>
      <c r="I3491" s="1">
        <v>57554</v>
      </c>
      <c r="J3491" s="7">
        <v>0.69699999999999995</v>
      </c>
      <c r="K3491" s="1" t="s">
        <v>21</v>
      </c>
      <c r="L3491" s="1" t="s">
        <v>29</v>
      </c>
      <c r="M3491" s="1" t="s">
        <v>29</v>
      </c>
      <c r="N3491" s="1" t="s">
        <v>22</v>
      </c>
      <c r="O3491" s="1" t="str">
        <f t="shared" ca="1" si="27"/>
        <v>Please solve the LeetCode problem '3663. Find The Least Frequent Digit'.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92" spans="1:15" x14ac:dyDescent="0.25">
      <c r="A3492" s="1">
        <v>2548</v>
      </c>
      <c r="B3492" s="2" t="str">
        <f>HYPERLINK("https://leetcode.com/problems/maximum-price-to-fill-a-bag/", "Maximum Price to Fill a Bag")</f>
        <v>Maximum Price to Fill a Bag</v>
      </c>
      <c r="C3492" s="1">
        <v>42</v>
      </c>
      <c r="D3492" s="1">
        <v>9</v>
      </c>
      <c r="E3492" s="3">
        <f t="shared" si="26"/>
        <v>0.82352941176470584</v>
      </c>
      <c r="F3492" s="1" t="s">
        <v>169</v>
      </c>
      <c r="G3492" s="1" t="s">
        <v>24</v>
      </c>
      <c r="H3492" s="1">
        <v>1894</v>
      </c>
      <c r="I3492" s="1">
        <v>2953</v>
      </c>
      <c r="J3492" s="7">
        <v>0.64100000000000001</v>
      </c>
      <c r="K3492" s="1" t="s">
        <v>29</v>
      </c>
      <c r="L3492" s="1" t="s">
        <v>29</v>
      </c>
      <c r="M3492" s="1" t="s">
        <v>29</v>
      </c>
      <c r="N3492" s="1" t="s">
        <v>22</v>
      </c>
      <c r="O3492" s="1" t="str">
        <f t="shared" ca="1" si="27"/>
        <v>Please solve the LeetCode problem '2548. Maximum Price to Fill a Bag'.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93" spans="1:15" x14ac:dyDescent="0.25">
      <c r="A3493" s="1">
        <v>2557</v>
      </c>
      <c r="B3493" s="2" t="str">
        <f>HYPERLINK("https://leetcode.com/problems/maximum-number-of-integers-to-choose-from-a-range-ii/", "Maximum Number of Integers to Choose From a Range II")</f>
        <v>Maximum Number of Integers to Choose From a Range II</v>
      </c>
      <c r="C3493" s="1">
        <v>42</v>
      </c>
      <c r="D3493" s="1">
        <v>26</v>
      </c>
      <c r="E3493" s="3">
        <f t="shared" si="26"/>
        <v>0.61764705882352944</v>
      </c>
      <c r="F3493" s="1" t="s">
        <v>440</v>
      </c>
      <c r="G3493" s="1" t="s">
        <v>24</v>
      </c>
      <c r="H3493" s="1">
        <v>2792</v>
      </c>
      <c r="I3493" s="1">
        <v>8019</v>
      </c>
      <c r="J3493" s="7">
        <v>0.34799999999999998</v>
      </c>
      <c r="K3493" s="1" t="s">
        <v>29</v>
      </c>
      <c r="L3493" s="1" t="s">
        <v>29</v>
      </c>
      <c r="M3493" s="1" t="s">
        <v>29</v>
      </c>
      <c r="N3493" s="1" t="s">
        <v>22</v>
      </c>
      <c r="O3493" s="1" t="str">
        <f t="shared" ca="1" si="27"/>
        <v>Please solve the LeetCode problem '2557. Maximum Number of Integers to Choose From a Range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94" spans="1:15" x14ac:dyDescent="0.25">
      <c r="A3494" s="1">
        <v>3579</v>
      </c>
      <c r="B3494" s="2" t="str">
        <f>HYPERLINK("https://leetcode.com/problems/minimum-steps-to-convert-string-with-operations/", "Minimum Steps to Convert String with Operations")</f>
        <v>Minimum Steps to Convert String with Operations</v>
      </c>
      <c r="C3494" s="1">
        <v>42</v>
      </c>
      <c r="D3494" s="1">
        <v>3</v>
      </c>
      <c r="E3494" s="3">
        <f t="shared" si="26"/>
        <v>0.93333333333333335</v>
      </c>
      <c r="F3494" s="1" t="s">
        <v>861</v>
      </c>
      <c r="G3494" s="1" t="s">
        <v>28</v>
      </c>
      <c r="H3494" s="1">
        <v>4082</v>
      </c>
      <c r="I3494" s="1">
        <v>9613</v>
      </c>
      <c r="J3494" s="7">
        <v>0.42499999999999999</v>
      </c>
      <c r="K3494" s="1" t="s">
        <v>21</v>
      </c>
      <c r="L3494" s="1" t="s">
        <v>29</v>
      </c>
      <c r="M3494" s="1" t="s">
        <v>29</v>
      </c>
      <c r="N3494" s="1" t="s">
        <v>22</v>
      </c>
      <c r="O3494" s="1" t="str">
        <f t="shared" ca="1" si="27"/>
        <v>Please solve the LeetCode problem '3579. Minimum Steps to Convert String with Operations'.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95" spans="1:15" x14ac:dyDescent="0.25">
      <c r="A3495" s="1">
        <v>3683</v>
      </c>
      <c r="B3495" s="2" t="str">
        <f>HYPERLINK("https://leetcode.com/problems/earliest-time-to-finish-one-task/", "Earliest Time to Finish One Task")</f>
        <v>Earliest Time to Finish One Task</v>
      </c>
      <c r="C3495" s="1">
        <v>42</v>
      </c>
      <c r="D3495" s="1">
        <v>2</v>
      </c>
      <c r="E3495" s="3">
        <f t="shared" si="26"/>
        <v>0.95454545454545459</v>
      </c>
      <c r="F3495" s="1" t="s">
        <v>113</v>
      </c>
      <c r="G3495" s="1" t="s">
        <v>20</v>
      </c>
      <c r="H3495" s="1">
        <v>63259</v>
      </c>
      <c r="I3495" s="1">
        <v>75077</v>
      </c>
      <c r="J3495" s="7">
        <v>0.84299999999999997</v>
      </c>
      <c r="K3495" s="1" t="s">
        <v>21</v>
      </c>
      <c r="L3495" s="1" t="s">
        <v>29</v>
      </c>
      <c r="M3495" s="1" t="s">
        <v>29</v>
      </c>
      <c r="N3495" s="1" t="s">
        <v>22</v>
      </c>
      <c r="O3495" s="1" t="str">
        <f t="shared" ca="1" si="27"/>
        <v>Please solve the LeetCode problem '3683. Earliest Time to Finish One Task'.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96" spans="1:15" x14ac:dyDescent="0.25">
      <c r="A3496" s="1">
        <v>3697</v>
      </c>
      <c r="B3496" s="2" t="str">
        <f>HYPERLINK("https://leetcode.com/problems/compute-decimal-representation/", "Compute Decimal Representation")</f>
        <v>Compute Decimal Representation</v>
      </c>
      <c r="C3496" s="1">
        <v>42</v>
      </c>
      <c r="D3496" s="1">
        <v>1</v>
      </c>
      <c r="E3496" s="3">
        <f t="shared" si="26"/>
        <v>0.97674418604651159</v>
      </c>
      <c r="F3496" s="1" t="s">
        <v>115</v>
      </c>
      <c r="G3496" s="1" t="s">
        <v>20</v>
      </c>
      <c r="H3496" s="1">
        <v>55300</v>
      </c>
      <c r="I3496" s="1">
        <v>86902</v>
      </c>
      <c r="J3496" s="7">
        <v>0.63600000000000001</v>
      </c>
      <c r="K3496" s="1" t="s">
        <v>21</v>
      </c>
      <c r="L3496" s="1" t="s">
        <v>29</v>
      </c>
      <c r="M3496" s="1" t="s">
        <v>29</v>
      </c>
      <c r="N3496" s="1" t="s">
        <v>22</v>
      </c>
      <c r="O3496" s="1" t="str">
        <f t="shared" ca="1" si="27"/>
        <v>Please solve the LeetCode problem '3697. Compute Decimal Representation'.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97" spans="1:15" x14ac:dyDescent="0.25">
      <c r="A3497" s="1">
        <v>2010</v>
      </c>
      <c r="B3497" s="2" t="str">
        <f>HYPERLINK("https://leetcode.com/problems/the-number-of-seniors-and-juniors-to-join-the-company-ii/", "The Number of Seniors and Juniors to Join the Company II")</f>
        <v>The Number of Seniors and Juniors to Join the Company II</v>
      </c>
      <c r="C3497" s="1">
        <v>41</v>
      </c>
      <c r="D3497" s="1">
        <v>10</v>
      </c>
      <c r="E3497" s="3">
        <f t="shared" si="26"/>
        <v>0.80392156862745101</v>
      </c>
      <c r="F3497" s="1" t="s">
        <v>297</v>
      </c>
      <c r="G3497" s="1" t="s">
        <v>28</v>
      </c>
      <c r="H3497" s="1">
        <v>7185</v>
      </c>
      <c r="I3497" s="1">
        <v>10963</v>
      </c>
      <c r="J3497" s="7">
        <v>0.65500000000000003</v>
      </c>
      <c r="K3497" s="1" t="s">
        <v>29</v>
      </c>
      <c r="L3497" s="1" t="s">
        <v>29</v>
      </c>
      <c r="M3497" s="1" t="s">
        <v>29</v>
      </c>
      <c r="N3497" s="1" t="s">
        <v>297</v>
      </c>
      <c r="O3497" s="1" t="str">
        <f t="shared" ca="1" si="27"/>
        <v>Please solve the LeetCode problem '2010. The Number of Seniors and Juniors to Join the Company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98" spans="1:15" x14ac:dyDescent="0.25">
      <c r="A3498" s="1">
        <v>2689</v>
      </c>
      <c r="B3498" s="2" t="str">
        <f>HYPERLINK("https://leetcode.com/problems/extract-kth-character-from-the-rope-tree/", "Extract Kth Character From The Rope Tree")</f>
        <v>Extract Kth Character From The Rope Tree</v>
      </c>
      <c r="C3498" s="1">
        <v>41</v>
      </c>
      <c r="D3498" s="1">
        <v>29</v>
      </c>
      <c r="E3498" s="3">
        <f t="shared" si="26"/>
        <v>0.58571428571428574</v>
      </c>
      <c r="F3498" s="1" t="s">
        <v>67</v>
      </c>
      <c r="G3498" s="1" t="s">
        <v>20</v>
      </c>
      <c r="H3498" s="1">
        <v>4660</v>
      </c>
      <c r="I3498" s="1">
        <v>6332</v>
      </c>
      <c r="J3498" s="7">
        <v>0.73599999999999999</v>
      </c>
      <c r="K3498" s="1" t="s">
        <v>29</v>
      </c>
      <c r="L3498" s="1" t="s">
        <v>29</v>
      </c>
      <c r="M3498" s="1" t="s">
        <v>29</v>
      </c>
      <c r="N3498" s="1" t="s">
        <v>22</v>
      </c>
      <c r="O3498" s="1" t="str">
        <f t="shared" ca="1" si="27"/>
        <v>Please solve the LeetCode problem '2689. Extract Kth Character From The Rope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499" spans="1:15" x14ac:dyDescent="0.25">
      <c r="A3499" s="1">
        <v>3426</v>
      </c>
      <c r="B3499" s="2" t="str">
        <f>HYPERLINK("https://leetcode.com/problems/manhattan-distances-of-all-arrangements-of-pieces/", "Manhattan Distances of All Arrangements of Pieces")</f>
        <v>Manhattan Distances of All Arrangements of Pieces</v>
      </c>
      <c r="C3499" s="1">
        <v>41</v>
      </c>
      <c r="D3499" s="1">
        <v>10</v>
      </c>
      <c r="E3499" s="3">
        <f t="shared" si="26"/>
        <v>0.80392156862745101</v>
      </c>
      <c r="F3499" s="1" t="s">
        <v>960</v>
      </c>
      <c r="G3499" s="1" t="s">
        <v>28</v>
      </c>
      <c r="H3499" s="1">
        <v>3742</v>
      </c>
      <c r="I3499" s="1">
        <v>10743</v>
      </c>
      <c r="J3499" s="7">
        <v>0.34799999999999998</v>
      </c>
      <c r="K3499" s="1" t="s">
        <v>21</v>
      </c>
      <c r="L3499" s="1" t="s">
        <v>29</v>
      </c>
      <c r="M3499" s="1" t="s">
        <v>29</v>
      </c>
      <c r="N3499" s="1" t="s">
        <v>22</v>
      </c>
      <c r="O3499" s="1" t="str">
        <f t="shared" ca="1" si="27"/>
        <v>Please solve the LeetCode problem '3426. Manhattan Distances of All Arrangements of Pieces'.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00" spans="1:15" x14ac:dyDescent="0.25">
      <c r="A3500" s="1">
        <v>3594</v>
      </c>
      <c r="B3500" s="2" t="str">
        <f>HYPERLINK("https://leetcode.com/problems/minimum-time-to-transport-all-individuals/", "Minimum Time to Transport All Individuals")</f>
        <v>Minimum Time to Transport All Individuals</v>
      </c>
      <c r="C3500" s="1">
        <v>41</v>
      </c>
      <c r="D3500" s="1">
        <v>5</v>
      </c>
      <c r="E3500" s="3">
        <f t="shared" si="26"/>
        <v>0.89130434782608692</v>
      </c>
      <c r="F3500" s="1" t="s">
        <v>1403</v>
      </c>
      <c r="G3500" s="1" t="s">
        <v>28</v>
      </c>
      <c r="H3500" s="1">
        <v>3251</v>
      </c>
      <c r="I3500" s="1">
        <v>11726</v>
      </c>
      <c r="J3500" s="7">
        <v>0.27700000000000002</v>
      </c>
      <c r="K3500" s="1" t="s">
        <v>21</v>
      </c>
      <c r="L3500" s="1" t="s">
        <v>29</v>
      </c>
      <c r="M3500" s="1" t="s">
        <v>29</v>
      </c>
      <c r="N3500" s="1" t="s">
        <v>22</v>
      </c>
      <c r="O3500" s="1" t="str">
        <f t="shared" ca="1" si="27"/>
        <v>Please solve the LeetCode problem '3594. Minimum Time to Transport All Individuals'.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01" spans="1:15" x14ac:dyDescent="0.25">
      <c r="A3501" s="1">
        <v>3605</v>
      </c>
      <c r="B3501" s="2" t="str">
        <f>HYPERLINK("https://leetcode.com/problems/minimum-stability-factor-of-array/", "Minimum Stability Factor of Array")</f>
        <v>Minimum Stability Factor of Array</v>
      </c>
      <c r="C3501" s="1">
        <v>41</v>
      </c>
      <c r="D3501" s="1">
        <v>2</v>
      </c>
      <c r="E3501" s="3">
        <f t="shared" si="26"/>
        <v>0.95348837209302328</v>
      </c>
      <c r="F3501" s="1" t="s">
        <v>1285</v>
      </c>
      <c r="G3501" s="1" t="s">
        <v>28</v>
      </c>
      <c r="H3501" s="1">
        <v>3825</v>
      </c>
      <c r="I3501" s="1">
        <v>19205</v>
      </c>
      <c r="J3501" s="7">
        <v>0.19900000000000001</v>
      </c>
      <c r="K3501" s="1" t="s">
        <v>21</v>
      </c>
      <c r="L3501" s="1" t="s">
        <v>29</v>
      </c>
      <c r="M3501" s="1" t="s">
        <v>29</v>
      </c>
      <c r="N3501" s="1" t="s">
        <v>22</v>
      </c>
      <c r="O3501" s="1" t="str">
        <f t="shared" ca="1" si="27"/>
        <v>Please solve the LeetCode problem '3605. Minimum Stability Factor of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02" spans="1:15" x14ac:dyDescent="0.25">
      <c r="A3502" s="1">
        <v>1677</v>
      </c>
      <c r="B3502" s="2" t="str">
        <f>HYPERLINK("https://leetcode.com/problems/products-worth-over-invoices/", "Product's Worth Over Invoices")</f>
        <v>Product's Worth Over Invoices</v>
      </c>
      <c r="C3502" s="1">
        <v>40</v>
      </c>
      <c r="D3502" s="1">
        <v>136</v>
      </c>
      <c r="E3502" s="3">
        <f t="shared" si="26"/>
        <v>0.22727272727272727</v>
      </c>
      <c r="F3502" s="1" t="s">
        <v>297</v>
      </c>
      <c r="G3502" s="1" t="s">
        <v>20</v>
      </c>
      <c r="H3502" s="1">
        <v>20081</v>
      </c>
      <c r="I3502" s="1">
        <v>52151</v>
      </c>
      <c r="J3502" s="7">
        <v>0.38500000000000001</v>
      </c>
      <c r="K3502" s="1" t="s">
        <v>29</v>
      </c>
      <c r="L3502" s="1" t="s">
        <v>29</v>
      </c>
      <c r="M3502" s="1" t="s">
        <v>29</v>
      </c>
      <c r="N3502" s="1" t="s">
        <v>297</v>
      </c>
      <c r="O3502" s="1" t="str">
        <f t="shared" ca="1" si="27"/>
        <v>Please solve the LeetCode problem '1677. Product's Worth Over Invoices'.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03" spans="1:15" x14ac:dyDescent="0.25">
      <c r="A3503" s="1">
        <v>2143</v>
      </c>
      <c r="B3503" s="2" t="str">
        <f>HYPERLINK("https://leetcode.com/problems/choose-numbers-from-two-arrays-in-range/", "Choose Numbers From Two Arrays in Range")</f>
        <v>Choose Numbers From Two Arrays in Range</v>
      </c>
      <c r="C3503" s="1">
        <v>40</v>
      </c>
      <c r="D3503" s="1">
        <v>5</v>
      </c>
      <c r="E3503" s="3">
        <f t="shared" si="26"/>
        <v>0.88888888888888884</v>
      </c>
      <c r="F3503" s="1" t="s">
        <v>30</v>
      </c>
      <c r="G3503" s="1" t="s">
        <v>28</v>
      </c>
      <c r="H3503" s="1">
        <v>1337</v>
      </c>
      <c r="I3503" s="1">
        <v>2538</v>
      </c>
      <c r="J3503" s="7">
        <v>0.52700000000000002</v>
      </c>
      <c r="K3503" s="1" t="s">
        <v>29</v>
      </c>
      <c r="L3503" s="1" t="s">
        <v>29</v>
      </c>
      <c r="M3503" s="1" t="s">
        <v>29</v>
      </c>
      <c r="N3503" s="1" t="s">
        <v>22</v>
      </c>
      <c r="O3503" s="1" t="str">
        <f t="shared" ca="1" si="27"/>
        <v>Please solve the LeetCode problem '2143. Choose Numbers From Two Arrays in Range'.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04" spans="1:15" x14ac:dyDescent="0.25">
      <c r="A3504" s="1">
        <v>2372</v>
      </c>
      <c r="B3504" s="2" t="str">
        <f>HYPERLINK("https://leetcode.com/problems/calculate-the-influence-of-each-salesperson/", "Calculate the Influence of Each Salesperson")</f>
        <v>Calculate the Influence of Each Salesperson</v>
      </c>
      <c r="C3504" s="1">
        <v>40</v>
      </c>
      <c r="D3504" s="1">
        <v>4</v>
      </c>
      <c r="E3504" s="3">
        <f t="shared" si="26"/>
        <v>0.90909090909090906</v>
      </c>
      <c r="F3504" s="1" t="s">
        <v>297</v>
      </c>
      <c r="G3504" s="1" t="s">
        <v>24</v>
      </c>
      <c r="H3504" s="1">
        <v>7799</v>
      </c>
      <c r="I3504" s="1">
        <v>9264</v>
      </c>
      <c r="J3504" s="7">
        <v>0.84199999999999997</v>
      </c>
      <c r="K3504" s="1" t="s">
        <v>29</v>
      </c>
      <c r="L3504" s="1" t="s">
        <v>29</v>
      </c>
      <c r="M3504" s="1" t="s">
        <v>29</v>
      </c>
      <c r="N3504" s="1" t="s">
        <v>297</v>
      </c>
      <c r="O3504" s="1" t="str">
        <f t="shared" ca="1" si="27"/>
        <v>Please solve the LeetCode problem '2372. Calculate the Influence of Each Salesperson'.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05" spans="1:15" x14ac:dyDescent="0.25">
      <c r="A3505" s="1">
        <v>2377</v>
      </c>
      <c r="B3505" s="2" t="str">
        <f>HYPERLINK("https://leetcode.com/problems/sort-the-olympic-table/", "Sort the Olympic Table")</f>
        <v>Sort the Olympic Table</v>
      </c>
      <c r="C3505" s="1">
        <v>40</v>
      </c>
      <c r="D3505" s="1">
        <v>4</v>
      </c>
      <c r="E3505" s="3">
        <f t="shared" si="26"/>
        <v>0.90909090909090906</v>
      </c>
      <c r="F3505" s="1" t="s">
        <v>297</v>
      </c>
      <c r="G3505" s="1" t="s">
        <v>20</v>
      </c>
      <c r="H3505" s="1">
        <v>8687</v>
      </c>
      <c r="I3505" s="1">
        <v>10953</v>
      </c>
      <c r="J3505" s="7">
        <v>0.79300000000000004</v>
      </c>
      <c r="K3505" s="1" t="s">
        <v>29</v>
      </c>
      <c r="L3505" s="1" t="s">
        <v>29</v>
      </c>
      <c r="M3505" s="1" t="s">
        <v>29</v>
      </c>
      <c r="N3505" s="1" t="s">
        <v>297</v>
      </c>
      <c r="O3505" s="1" t="str">
        <f t="shared" ca="1" si="27"/>
        <v>Please solve the LeetCode problem '2377. Sort the Olympic Table'.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06" spans="1:15" x14ac:dyDescent="0.25">
      <c r="A3506" s="1">
        <v>2464</v>
      </c>
      <c r="B3506" s="2" t="str">
        <f>HYPERLINK("https://leetcode.com/problems/minimum-subarrays-in-a-valid-split/", "Minimum Subarrays in a Valid Split")</f>
        <v>Minimum Subarrays in a Valid Split</v>
      </c>
      <c r="C3506" s="1">
        <v>40</v>
      </c>
      <c r="D3506" s="1">
        <v>9</v>
      </c>
      <c r="E3506" s="3">
        <f t="shared" si="26"/>
        <v>0.81632653061224492</v>
      </c>
      <c r="F3506" s="1" t="s">
        <v>1193</v>
      </c>
      <c r="G3506" s="1" t="s">
        <v>24</v>
      </c>
      <c r="H3506" s="1">
        <v>3473</v>
      </c>
      <c r="I3506" s="1">
        <v>5374</v>
      </c>
      <c r="J3506" s="7">
        <v>0.64600000000000002</v>
      </c>
      <c r="K3506" s="1" t="s">
        <v>29</v>
      </c>
      <c r="L3506" s="1" t="s">
        <v>21</v>
      </c>
      <c r="M3506" s="1" t="s">
        <v>29</v>
      </c>
      <c r="N3506" s="1" t="s">
        <v>22</v>
      </c>
      <c r="O3506" s="1" t="str">
        <f t="shared" ca="1" si="27"/>
        <v>Please solve the LeetCode problem '2464. Minimum Subarrays in a Valid Split'.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07" spans="1:15" x14ac:dyDescent="0.25">
      <c r="A3507" s="1">
        <v>2714</v>
      </c>
      <c r="B3507" s="2" t="str">
        <f>HYPERLINK("https://leetcode.com/problems/find-shortest-path-with-k-hops/", "Find Shortest Path with K Hops")</f>
        <v>Find Shortest Path with K Hops</v>
      </c>
      <c r="C3507" s="1">
        <v>40</v>
      </c>
      <c r="D3507" s="1">
        <v>0</v>
      </c>
      <c r="E3507" s="3">
        <f t="shared" si="26"/>
        <v>1</v>
      </c>
      <c r="F3507" s="1" t="s">
        <v>737</v>
      </c>
      <c r="G3507" s="1" t="s">
        <v>28</v>
      </c>
      <c r="H3507" s="1">
        <v>2300</v>
      </c>
      <c r="I3507" s="1">
        <v>3336</v>
      </c>
      <c r="J3507" s="7">
        <v>0.68899999999999995</v>
      </c>
      <c r="K3507" s="1" t="s">
        <v>29</v>
      </c>
      <c r="L3507" s="1" t="s">
        <v>29</v>
      </c>
      <c r="M3507" s="1" t="s">
        <v>29</v>
      </c>
      <c r="N3507" s="1" t="s">
        <v>22</v>
      </c>
      <c r="O3507" s="1" t="str">
        <f t="shared" ca="1" si="27"/>
        <v>Please solve the LeetCode problem '2714. Find Shortest Path with K Hops'.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08" spans="1:15" x14ac:dyDescent="0.25">
      <c r="A3508" s="1">
        <v>3441</v>
      </c>
      <c r="B3508" s="2" t="str">
        <f>HYPERLINK("https://leetcode.com/problems/minimum-cost-good-caption/", "Minimum Cost Good Caption")</f>
        <v>Minimum Cost Good Caption</v>
      </c>
      <c r="C3508" s="1">
        <v>40</v>
      </c>
      <c r="D3508" s="1">
        <v>6</v>
      </c>
      <c r="E3508" s="3">
        <f t="shared" si="26"/>
        <v>0.86956521739130432</v>
      </c>
      <c r="F3508" s="1" t="s">
        <v>82</v>
      </c>
      <c r="G3508" s="1" t="s">
        <v>28</v>
      </c>
      <c r="H3508" s="1">
        <v>3641</v>
      </c>
      <c r="I3508" s="1">
        <v>17882</v>
      </c>
      <c r="J3508" s="7">
        <v>0.20399999999999999</v>
      </c>
      <c r="K3508" s="1" t="s">
        <v>21</v>
      </c>
      <c r="L3508" s="1" t="s">
        <v>29</v>
      </c>
      <c r="M3508" s="1" t="s">
        <v>29</v>
      </c>
      <c r="N3508" s="1" t="s">
        <v>22</v>
      </c>
      <c r="O3508" s="1" t="str">
        <f t="shared" ca="1" si="27"/>
        <v>Please solve the LeetCode problem '3441. Minimum Cost Good Caption'.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09" spans="1:15" x14ac:dyDescent="0.25">
      <c r="A3509" s="1">
        <v>3464</v>
      </c>
      <c r="B3509" s="2" t="str">
        <f>HYPERLINK("https://leetcode.com/problems/maximize-the-distance-between-points-on-a-square/", "Maximize the Distance Between Points on a Square")</f>
        <v>Maximize the Distance Between Points on a Square</v>
      </c>
      <c r="C3509" s="1">
        <v>40</v>
      </c>
      <c r="D3509" s="1">
        <v>8</v>
      </c>
      <c r="E3509" s="3">
        <f t="shared" si="26"/>
        <v>0.83333333333333337</v>
      </c>
      <c r="F3509" s="1" t="s">
        <v>533</v>
      </c>
      <c r="G3509" s="1" t="s">
        <v>28</v>
      </c>
      <c r="H3509" s="1">
        <v>4274</v>
      </c>
      <c r="I3509" s="1">
        <v>18264</v>
      </c>
      <c r="J3509" s="7">
        <v>0.23400000000000001</v>
      </c>
      <c r="K3509" s="1" t="s">
        <v>21</v>
      </c>
      <c r="L3509" s="1" t="s">
        <v>29</v>
      </c>
      <c r="M3509" s="1" t="s">
        <v>29</v>
      </c>
      <c r="N3509" s="1" t="s">
        <v>22</v>
      </c>
      <c r="O3509" s="1" t="str">
        <f t="shared" ca="1" si="27"/>
        <v>Please solve the LeetCode problem '3464. Maximize the Distance Between Points on a Square'.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10" spans="1:15" x14ac:dyDescent="0.25">
      <c r="A3510" s="1">
        <v>3465</v>
      </c>
      <c r="B3510" s="2" t="str">
        <f>HYPERLINK("https://leetcode.com/problems/find-products-with-valid-serial-numbers/", "Find Products with Valid Serial Numbers")</f>
        <v>Find Products with Valid Serial Numbers</v>
      </c>
      <c r="C3510" s="1">
        <v>40</v>
      </c>
      <c r="D3510" s="1">
        <v>19</v>
      </c>
      <c r="E3510" s="3">
        <f t="shared" si="26"/>
        <v>0.67796610169491522</v>
      </c>
      <c r="F3510" s="1" t="s">
        <v>297</v>
      </c>
      <c r="G3510" s="1" t="s">
        <v>20</v>
      </c>
      <c r="H3510" s="1">
        <v>16340</v>
      </c>
      <c r="I3510" s="1">
        <v>49820</v>
      </c>
      <c r="J3510" s="7">
        <v>0.32800000000000001</v>
      </c>
      <c r="K3510" s="1" t="s">
        <v>21</v>
      </c>
      <c r="L3510" s="1" t="s">
        <v>29</v>
      </c>
      <c r="M3510" s="1" t="s">
        <v>29</v>
      </c>
      <c r="N3510" s="1" t="s">
        <v>297</v>
      </c>
      <c r="O3510" s="1" t="str">
        <f t="shared" ca="1" si="27"/>
        <v>Please solve the LeetCode problem '3465. Find Products with Valid Serial Numbers'.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11" spans="1:15" x14ac:dyDescent="0.25">
      <c r="A3511" s="1">
        <v>3528</v>
      </c>
      <c r="B3511" s="2" t="str">
        <f>HYPERLINK("https://leetcode.com/problems/unit-conversion-i/", "Unit Conversion I")</f>
        <v>Unit Conversion I</v>
      </c>
      <c r="C3511" s="1">
        <v>40</v>
      </c>
      <c r="D3511" s="1">
        <v>19</v>
      </c>
      <c r="E3511" s="3">
        <f t="shared" si="26"/>
        <v>0.67796610169491522</v>
      </c>
      <c r="F3511" s="1" t="s">
        <v>212</v>
      </c>
      <c r="G3511" s="1" t="s">
        <v>24</v>
      </c>
      <c r="H3511" s="1">
        <v>19154</v>
      </c>
      <c r="I3511" s="1">
        <v>35151</v>
      </c>
      <c r="J3511" s="7">
        <v>0.54500000000000004</v>
      </c>
      <c r="K3511" s="1" t="s">
        <v>21</v>
      </c>
      <c r="L3511" s="1" t="s">
        <v>29</v>
      </c>
      <c r="M3511" s="1" t="s">
        <v>29</v>
      </c>
      <c r="N3511" s="1" t="s">
        <v>22</v>
      </c>
      <c r="O3511" s="1" t="str">
        <f t="shared" ca="1" si="27"/>
        <v>Please solve the LeetCode problem '3528. Unit Conversion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12" spans="1:15" x14ac:dyDescent="0.25">
      <c r="A3512" s="1">
        <v>2450</v>
      </c>
      <c r="B3512" s="2" t="str">
        <f>HYPERLINK("https://leetcode.com/problems/number-of-distinct-binary-strings-after-applying-operations/", "Number of Distinct Binary Strings After Applying Operations")</f>
        <v>Number of Distinct Binary Strings After Applying Operations</v>
      </c>
      <c r="C3512" s="1">
        <v>39</v>
      </c>
      <c r="D3512" s="1">
        <v>9</v>
      </c>
      <c r="E3512" s="3">
        <f t="shared" si="26"/>
        <v>0.8125</v>
      </c>
      <c r="F3512" s="1" t="s">
        <v>228</v>
      </c>
      <c r="G3512" s="1" t="s">
        <v>24</v>
      </c>
      <c r="H3512" s="1">
        <v>1340</v>
      </c>
      <c r="I3512" s="1">
        <v>2103</v>
      </c>
      <c r="J3512" s="7">
        <v>0.63700000000000001</v>
      </c>
      <c r="K3512" s="1" t="s">
        <v>29</v>
      </c>
      <c r="L3512" s="1" t="s">
        <v>29</v>
      </c>
      <c r="M3512" s="1" t="s">
        <v>29</v>
      </c>
      <c r="N3512" s="1" t="s">
        <v>22</v>
      </c>
      <c r="O3512" s="1" t="str">
        <f t="shared" ca="1" si="27"/>
        <v>Please solve the LeetCode problem '2450. Number of Distinct Binary Strings After Applying Operations'.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13" spans="1:15" x14ac:dyDescent="0.25">
      <c r="A3513" s="1">
        <v>2539</v>
      </c>
      <c r="B3513" s="2" t="str">
        <f>HYPERLINK("https://leetcode.com/problems/count-the-number-of-good-subsequences/", "Count the Number of Good Subsequences")</f>
        <v>Count the Number of Good Subsequences</v>
      </c>
      <c r="C3513" s="1">
        <v>39</v>
      </c>
      <c r="D3513" s="1">
        <v>82</v>
      </c>
      <c r="E3513" s="3">
        <f t="shared" si="26"/>
        <v>0.32231404958677684</v>
      </c>
      <c r="F3513" s="1" t="s">
        <v>941</v>
      </c>
      <c r="G3513" s="1" t="s">
        <v>24</v>
      </c>
      <c r="H3513" s="1">
        <v>3923</v>
      </c>
      <c r="I3513" s="1">
        <v>8061</v>
      </c>
      <c r="J3513" s="7">
        <v>0.48699999999999999</v>
      </c>
      <c r="K3513" s="1" t="s">
        <v>29</v>
      </c>
      <c r="L3513" s="1" t="s">
        <v>29</v>
      </c>
      <c r="M3513" s="1" t="s">
        <v>29</v>
      </c>
      <c r="N3513" s="1" t="s">
        <v>22</v>
      </c>
      <c r="O3513" s="1" t="str">
        <f t="shared" ca="1" si="27"/>
        <v>Please solve the LeetCode problem '2539. Count the Number of Good Subsequences'.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14" spans="1:15" x14ac:dyDescent="0.25">
      <c r="A3514" s="1">
        <v>3548</v>
      </c>
      <c r="B3514" s="2" t="str">
        <f>HYPERLINK("https://leetcode.com/problems/equal-sum-grid-partition-ii/", "Equal Sum Grid Partition II")</f>
        <v>Equal Sum Grid Partition II</v>
      </c>
      <c r="C3514" s="1">
        <v>39</v>
      </c>
      <c r="D3514" s="1">
        <v>15</v>
      </c>
      <c r="E3514" s="3">
        <f t="shared" si="26"/>
        <v>0.72222222222222221</v>
      </c>
      <c r="F3514" s="1" t="s">
        <v>1289</v>
      </c>
      <c r="G3514" s="1" t="s">
        <v>28</v>
      </c>
      <c r="H3514" s="1">
        <v>6170</v>
      </c>
      <c r="I3514" s="1">
        <v>28563</v>
      </c>
      <c r="J3514" s="7">
        <v>0.216</v>
      </c>
      <c r="K3514" s="1" t="s">
        <v>21</v>
      </c>
      <c r="L3514" s="1" t="s">
        <v>29</v>
      </c>
      <c r="M3514" s="1" t="s">
        <v>29</v>
      </c>
      <c r="N3514" s="1" t="s">
        <v>22</v>
      </c>
      <c r="O3514" s="1" t="str">
        <f t="shared" ca="1" si="27"/>
        <v>Please solve the LeetCode problem '3548. Equal Sum Grid Partition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15" spans="1:15" x14ac:dyDescent="0.25">
      <c r="A3515" s="1">
        <v>3580</v>
      </c>
      <c r="B3515" s="2" t="str">
        <f>HYPERLINK("https://leetcode.com/problems/find-consistently-improving-employees/", "Find Consistently Improving Employees")</f>
        <v>Find Consistently Improving Employees</v>
      </c>
      <c r="C3515" s="1">
        <v>39</v>
      </c>
      <c r="D3515" s="1">
        <v>1</v>
      </c>
      <c r="E3515" s="3">
        <f t="shared" si="26"/>
        <v>0.97499999999999998</v>
      </c>
      <c r="F3515" s="1" t="s">
        <v>297</v>
      </c>
      <c r="G3515" s="1" t="s">
        <v>24</v>
      </c>
      <c r="H3515" s="1">
        <v>8930</v>
      </c>
      <c r="I3515" s="1">
        <v>15918</v>
      </c>
      <c r="J3515" s="7">
        <v>0.56100000000000005</v>
      </c>
      <c r="K3515" s="1" t="s">
        <v>21</v>
      </c>
      <c r="L3515" s="1" t="s">
        <v>29</v>
      </c>
      <c r="M3515" s="1" t="s">
        <v>29</v>
      </c>
      <c r="N3515" s="1" t="s">
        <v>297</v>
      </c>
      <c r="O3515" s="1" t="str">
        <f t="shared" ca="1" si="27"/>
        <v>Please solve the LeetCode problem '3580. Find Consistently Improving Employees'.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16" spans="1:15" x14ac:dyDescent="0.25">
      <c r="A3516" s="1">
        <v>3657</v>
      </c>
      <c r="B3516" s="2" t="str">
        <f>HYPERLINK("https://leetcode.com/problems/find-loyal-customers/", "Find Loyal Customers")</f>
        <v>Find Loyal Customers</v>
      </c>
      <c r="C3516" s="1">
        <v>39</v>
      </c>
      <c r="D3516" s="1">
        <v>1</v>
      </c>
      <c r="E3516" s="3">
        <f t="shared" si="26"/>
        <v>0.97499999999999998</v>
      </c>
      <c r="G3516" s="1" t="s">
        <v>24</v>
      </c>
      <c r="H3516" s="1">
        <v>6980</v>
      </c>
      <c r="I3516" s="1">
        <v>11312</v>
      </c>
      <c r="J3516" s="7">
        <v>0.61699999999999999</v>
      </c>
      <c r="K3516" s="1" t="s">
        <v>21</v>
      </c>
      <c r="L3516" s="1" t="s">
        <v>29</v>
      </c>
      <c r="M3516" s="1" t="s">
        <v>29</v>
      </c>
      <c r="N3516" s="1" t="s">
        <v>297</v>
      </c>
      <c r="O3516" s="1" t="str">
        <f t="shared" ca="1" si="27"/>
        <v>Please solve the LeetCode problem '3657. Find Loyal Customers'.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17" spans="1:15" x14ac:dyDescent="0.25">
      <c r="A3517" s="1">
        <v>3751</v>
      </c>
      <c r="B3517" s="2" t="str">
        <f>HYPERLINK("https://leetcode.com/problems/total-waviness-of-numbers-in-range-i/", "Total Waviness of Numbers in Range I")</f>
        <v>Total Waviness of Numbers in Range I</v>
      </c>
      <c r="C3517" s="1">
        <v>39</v>
      </c>
      <c r="D3517" s="1">
        <v>3</v>
      </c>
      <c r="E3517" s="3">
        <f t="shared" si="26"/>
        <v>0.9285714285714286</v>
      </c>
      <c r="F3517" s="1" t="s">
        <v>1280</v>
      </c>
      <c r="G3517" s="1" t="s">
        <v>24</v>
      </c>
      <c r="H3517" s="1">
        <v>24271</v>
      </c>
      <c r="I3517" s="1">
        <v>30255</v>
      </c>
      <c r="J3517" s="7">
        <v>0.80200000000000005</v>
      </c>
      <c r="K3517" s="1" t="s">
        <v>21</v>
      </c>
      <c r="L3517" s="1" t="s">
        <v>29</v>
      </c>
      <c r="M3517" s="1" t="s">
        <v>29</v>
      </c>
      <c r="N3517" s="1" t="s">
        <v>22</v>
      </c>
      <c r="O3517" s="1" t="str">
        <f t="shared" ca="1" si="27"/>
        <v>Please solve the LeetCode problem '3751. Total Waviness of Numbers in Range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18" spans="1:15" x14ac:dyDescent="0.25">
      <c r="A3518" s="1">
        <v>3779</v>
      </c>
      <c r="B3518" s="2" t="str">
        <f>HYPERLINK("https://leetcode.com/problems/minimum-number-of-operations-to-have-distinct-elements/", "Minimum Number of Operations to Have Distinct Elements")</f>
        <v>Minimum Number of Operations to Have Distinct Elements</v>
      </c>
      <c r="C3518" s="1">
        <v>39</v>
      </c>
      <c r="D3518" s="1">
        <v>2</v>
      </c>
      <c r="E3518" s="3">
        <f t="shared" si="26"/>
        <v>0.95121951219512191</v>
      </c>
      <c r="F3518" s="1" t="s">
        <v>19</v>
      </c>
      <c r="G3518" s="1" t="s">
        <v>24</v>
      </c>
      <c r="H3518" s="1">
        <v>26041</v>
      </c>
      <c r="I3518" s="1">
        <v>62400</v>
      </c>
      <c r="J3518" s="7">
        <v>0.41699999999999998</v>
      </c>
      <c r="K3518" s="1" t="s">
        <v>21</v>
      </c>
      <c r="L3518" s="1" t="s">
        <v>29</v>
      </c>
      <c r="M3518" s="1" t="s">
        <v>29</v>
      </c>
      <c r="N3518" s="1" t="s">
        <v>22</v>
      </c>
      <c r="O3518" s="1" t="str">
        <f t="shared" ca="1" si="27"/>
        <v>Please solve the LeetCode problem '3779. Minimum Number of Operations to Have Distinct Elements'.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19" spans="1:15" x14ac:dyDescent="0.25">
      <c r="A3519" s="1">
        <v>3791</v>
      </c>
      <c r="B3519" s="2" t="str">
        <f>HYPERLINK("https://leetcode.com/problems/number-of-balanced-integers-in-a-range/", "Number of Balanced Integers in a Range")</f>
        <v>Number of Balanced Integers in a Range</v>
      </c>
      <c r="C3519" s="1">
        <v>39</v>
      </c>
      <c r="D3519" s="1">
        <v>3</v>
      </c>
      <c r="E3519" s="3">
        <f t="shared" si="26"/>
        <v>0.9285714285714286</v>
      </c>
      <c r="F3519" s="1" t="s">
        <v>251</v>
      </c>
      <c r="G3519" s="1" t="s">
        <v>28</v>
      </c>
      <c r="H3519" s="1">
        <v>6899</v>
      </c>
      <c r="I3519" s="1">
        <v>20080</v>
      </c>
      <c r="J3519" s="7">
        <v>0.34399999999999997</v>
      </c>
      <c r="K3519" s="1" t="s">
        <v>21</v>
      </c>
      <c r="L3519" s="1" t="s">
        <v>29</v>
      </c>
      <c r="M3519" s="1" t="s">
        <v>29</v>
      </c>
      <c r="N3519" s="1" t="s">
        <v>22</v>
      </c>
      <c r="O3519" s="1" t="str">
        <f t="shared" ca="1" si="27"/>
        <v>Please solve the LeetCode problem '3791. Number of Balanced Integers in a Range'.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20" spans="1:15" x14ac:dyDescent="0.25">
      <c r="A3520" s="1">
        <v>3726</v>
      </c>
      <c r="B3520" s="2" t="str">
        <f>HYPERLINK("https://leetcode.com/problems/remove-zeros-in-decimal-representation/", "Remove Zeros in Decimal Representation")</f>
        <v>Remove Zeros in Decimal Representation</v>
      </c>
      <c r="C3520" s="1">
        <v>38</v>
      </c>
      <c r="D3520" s="1">
        <v>2</v>
      </c>
      <c r="E3520" s="3">
        <f t="shared" si="26"/>
        <v>0.95</v>
      </c>
      <c r="F3520" s="1" t="s">
        <v>465</v>
      </c>
      <c r="G3520" s="1" t="s">
        <v>20</v>
      </c>
      <c r="H3520" s="1">
        <v>47042</v>
      </c>
      <c r="I3520" s="1">
        <v>61760</v>
      </c>
      <c r="J3520" s="7">
        <v>0.76200000000000001</v>
      </c>
      <c r="K3520" s="1" t="s">
        <v>21</v>
      </c>
      <c r="L3520" s="1" t="s">
        <v>29</v>
      </c>
      <c r="M3520" s="1" t="s">
        <v>29</v>
      </c>
      <c r="N3520" s="1" t="s">
        <v>22</v>
      </c>
      <c r="O3520" s="1" t="str">
        <f t="shared" ca="1" si="27"/>
        <v>Please solve the LeetCode problem '3726. Remove Zeros in Decimal Representation'.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21" spans="1:15" x14ac:dyDescent="0.25">
      <c r="A3521" s="1">
        <v>3666</v>
      </c>
      <c r="B3521" s="2" t="str">
        <f>HYPERLINK("https://leetcode.com/problems/minimum-operations-to-equalize-binary-string/", "Minimum Operations to Equalize Binary String")</f>
        <v>Minimum Operations to Equalize Binary String</v>
      </c>
      <c r="C3521" s="1">
        <v>37</v>
      </c>
      <c r="D3521" s="1">
        <v>8</v>
      </c>
      <c r="E3521" s="3">
        <f t="shared" si="26"/>
        <v>0.82222222222222219</v>
      </c>
      <c r="F3521" s="1" t="s">
        <v>1290</v>
      </c>
      <c r="G3521" s="1" t="s">
        <v>28</v>
      </c>
      <c r="H3521" s="1">
        <v>3074</v>
      </c>
      <c r="I3521" s="1">
        <v>15294</v>
      </c>
      <c r="J3521" s="7">
        <v>0.20100000000000001</v>
      </c>
      <c r="K3521" s="1" t="s">
        <v>21</v>
      </c>
      <c r="L3521" s="1" t="s">
        <v>29</v>
      </c>
      <c r="M3521" s="1" t="s">
        <v>29</v>
      </c>
      <c r="N3521" s="1" t="s">
        <v>22</v>
      </c>
      <c r="O3521" s="1" t="str">
        <f t="shared" ca="1" si="27"/>
        <v>Please solve the LeetCode problem '3666. Minimum Operations to Equalize Binary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22" spans="1:15" x14ac:dyDescent="0.25">
      <c r="A3522" s="1">
        <v>3734</v>
      </c>
      <c r="B3522" s="2" t="str">
        <f>HYPERLINK("https://leetcode.com/problems/lexicographically-smallest-palindromic-permutation-greater-than-target/", "Lexicographically Smallest Palindromic Permutation Greater Than Target")</f>
        <v>Lexicographically Smallest Palindromic Permutation Greater Than Target</v>
      </c>
      <c r="C3522" s="1">
        <v>37</v>
      </c>
      <c r="D3522" s="1">
        <v>4</v>
      </c>
      <c r="E3522" s="3">
        <f t="shared" si="26"/>
        <v>0.90243902439024393</v>
      </c>
      <c r="F3522" s="1" t="s">
        <v>931</v>
      </c>
      <c r="G3522" s="1" t="s">
        <v>28</v>
      </c>
      <c r="H3522" s="1">
        <v>4765</v>
      </c>
      <c r="I3522" s="1">
        <v>19476</v>
      </c>
      <c r="J3522" s="7">
        <v>0.245</v>
      </c>
      <c r="K3522" s="1" t="s">
        <v>21</v>
      </c>
      <c r="L3522" s="1" t="s">
        <v>29</v>
      </c>
      <c r="M3522" s="1" t="s">
        <v>29</v>
      </c>
      <c r="N3522" s="1" t="s">
        <v>22</v>
      </c>
      <c r="O3522" s="1" t="str">
        <f t="shared" ca="1" si="27"/>
        <v>Please solve the LeetCode problem '3734. Lexicographically Smallest Palindromic Permutation Greater Than Target'.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23" spans="1:15" x14ac:dyDescent="0.25">
      <c r="A3523" s="1">
        <v>3626</v>
      </c>
      <c r="B3523" s="2" t="str">
        <f>HYPERLINK("https://leetcode.com/problems/find-stores-with-inventory-imbalance/", "Find Stores with Inventory Imbalance")</f>
        <v>Find Stores with Inventory Imbalance</v>
      </c>
      <c r="C3523" s="1">
        <v>36</v>
      </c>
      <c r="D3523" s="1">
        <v>7</v>
      </c>
      <c r="E3523" s="3">
        <f t="shared" si="26"/>
        <v>0.83720930232558144</v>
      </c>
      <c r="G3523" s="1" t="s">
        <v>24</v>
      </c>
      <c r="H3523" s="1">
        <v>5567</v>
      </c>
      <c r="I3523" s="1">
        <v>11372</v>
      </c>
      <c r="J3523" s="7">
        <v>0.49</v>
      </c>
      <c r="K3523" s="1" t="s">
        <v>21</v>
      </c>
      <c r="L3523" s="1" t="s">
        <v>29</v>
      </c>
      <c r="M3523" s="1" t="s">
        <v>29</v>
      </c>
      <c r="N3523" s="1" t="s">
        <v>297</v>
      </c>
      <c r="O3523" s="1" t="str">
        <f t="shared" ca="1" si="27"/>
        <v>Please solve the LeetCode problem '3626. Find Stores with Inventory Imbalance'.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24" spans="1:15" x14ac:dyDescent="0.25">
      <c r="A3524" s="1">
        <v>3753</v>
      </c>
      <c r="B3524" s="2" t="str">
        <f>HYPERLINK("https://leetcode.com/problems/total-waviness-of-numbers-in-range-ii/", "Total Waviness of Numbers in Range II")</f>
        <v>Total Waviness of Numbers in Range II</v>
      </c>
      <c r="C3524" s="1">
        <v>36</v>
      </c>
      <c r="D3524" s="1">
        <v>1</v>
      </c>
      <c r="E3524" s="3">
        <f t="shared" si="26"/>
        <v>0.97297297297297303</v>
      </c>
      <c r="F3524" s="1" t="s">
        <v>250</v>
      </c>
      <c r="G3524" s="1" t="s">
        <v>28</v>
      </c>
      <c r="H3524" s="1">
        <v>3524</v>
      </c>
      <c r="I3524" s="1">
        <v>14635</v>
      </c>
      <c r="J3524" s="7">
        <v>0.24099999999999999</v>
      </c>
      <c r="K3524" s="1" t="s">
        <v>21</v>
      </c>
      <c r="L3524" s="1" t="s">
        <v>29</v>
      </c>
      <c r="M3524" s="1" t="s">
        <v>29</v>
      </c>
      <c r="N3524" s="1" t="s">
        <v>22</v>
      </c>
      <c r="O3524" s="1" t="str">
        <f t="shared" ca="1" si="27"/>
        <v>Please solve the LeetCode problem '3753. Total Waviness of Numbers in Range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25" spans="1:15" x14ac:dyDescent="0.25">
      <c r="A3525" s="1">
        <v>2329</v>
      </c>
      <c r="B3525" s="2" t="str">
        <f>HYPERLINK("https://leetcode.com/problems/product-sales-analysis-v/", "Product Sales Analysis V")</f>
        <v>Product Sales Analysis V</v>
      </c>
      <c r="C3525" s="1">
        <v>35</v>
      </c>
      <c r="D3525" s="1">
        <v>7</v>
      </c>
      <c r="E3525" s="3">
        <f t="shared" si="26"/>
        <v>0.83333333333333337</v>
      </c>
      <c r="F3525" s="1" t="s">
        <v>297</v>
      </c>
      <c r="G3525" s="1" t="s">
        <v>20</v>
      </c>
      <c r="H3525" s="1">
        <v>10329</v>
      </c>
      <c r="I3525" s="1">
        <v>14602</v>
      </c>
      <c r="J3525" s="7">
        <v>0.70699999999999996</v>
      </c>
      <c r="K3525" s="1" t="s">
        <v>29</v>
      </c>
      <c r="L3525" s="1" t="s">
        <v>29</v>
      </c>
      <c r="M3525" s="1" t="s">
        <v>29</v>
      </c>
      <c r="N3525" s="1" t="s">
        <v>297</v>
      </c>
      <c r="O3525" s="1" t="str">
        <f t="shared" ca="1" si="27"/>
        <v>Please solve the LeetCode problem '2329. Product Sales Analysis V'.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26" spans="1:15" x14ac:dyDescent="0.25">
      <c r="A3526" s="1">
        <v>2764</v>
      </c>
      <c r="B3526" s="2" t="str">
        <f>HYPERLINK("https://leetcode.com/problems/is-array-a-preorder-of-some-binary-tree/", "Is Array a Preorder of Some ‌Binary Tree")</f>
        <v>Is Array a Preorder of Some ‌Binary Tree</v>
      </c>
      <c r="C3526" s="1">
        <v>35</v>
      </c>
      <c r="D3526" s="1">
        <v>5</v>
      </c>
      <c r="E3526" s="3">
        <f t="shared" si="26"/>
        <v>0.875</v>
      </c>
      <c r="F3526" s="1" t="s">
        <v>87</v>
      </c>
      <c r="G3526" s="1" t="s">
        <v>24</v>
      </c>
      <c r="H3526" s="1">
        <v>1867</v>
      </c>
      <c r="I3526" s="1">
        <v>2772</v>
      </c>
      <c r="J3526" s="7">
        <v>0.67400000000000004</v>
      </c>
      <c r="K3526" s="1" t="s">
        <v>29</v>
      </c>
      <c r="L3526" s="1" t="s">
        <v>29</v>
      </c>
      <c r="M3526" s="1" t="s">
        <v>29</v>
      </c>
      <c r="N3526" s="1" t="s">
        <v>22</v>
      </c>
      <c r="O3526" s="1" t="str">
        <f t="shared" ca="1" si="27"/>
        <v>Please solve the LeetCode problem '2764. Is Array a Preorder of Some ‌Binary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27" spans="1:15" x14ac:dyDescent="0.25">
      <c r="A3527" s="1">
        <v>2782</v>
      </c>
      <c r="B3527" s="2" t="str">
        <f>HYPERLINK("https://leetcode.com/problems/number-of-unique-categories/", "Number of Unique Categories")</f>
        <v>Number of Unique Categories</v>
      </c>
      <c r="C3527" s="1">
        <v>35</v>
      </c>
      <c r="D3527" s="1">
        <v>3</v>
      </c>
      <c r="E3527" s="3">
        <f t="shared" si="26"/>
        <v>0.92105263157894735</v>
      </c>
      <c r="F3527" s="1" t="s">
        <v>1293</v>
      </c>
      <c r="G3527" s="1" t="s">
        <v>24</v>
      </c>
      <c r="H3527" s="1">
        <v>3360</v>
      </c>
      <c r="I3527" s="1">
        <v>4029</v>
      </c>
      <c r="J3527" s="7">
        <v>0.83399999999999996</v>
      </c>
      <c r="K3527" s="1" t="s">
        <v>29</v>
      </c>
      <c r="L3527" s="1" t="s">
        <v>21</v>
      </c>
      <c r="M3527" s="1" t="s">
        <v>29</v>
      </c>
      <c r="N3527" s="1" t="s">
        <v>22</v>
      </c>
      <c r="O3527" s="1" t="str">
        <f t="shared" ca="1" si="27"/>
        <v>Please solve the LeetCode problem '2782. Number of Unique Categories'.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28" spans="1:15" x14ac:dyDescent="0.25">
      <c r="A3528" s="1">
        <v>3032</v>
      </c>
      <c r="B3528" s="2" t="str">
        <f>HYPERLINK("https://leetcode.com/problems/count-numbers-with-unique-digits-ii/", "Count Numbers With Unique Digits II")</f>
        <v>Count Numbers With Unique Digits II</v>
      </c>
      <c r="C3528" s="1">
        <v>35</v>
      </c>
      <c r="D3528" s="1">
        <v>4</v>
      </c>
      <c r="E3528" s="3">
        <f t="shared" si="26"/>
        <v>0.89743589743589747</v>
      </c>
      <c r="F3528" s="1" t="s">
        <v>1294</v>
      </c>
      <c r="G3528" s="1" t="s">
        <v>20</v>
      </c>
      <c r="H3528" s="1">
        <v>8093</v>
      </c>
      <c r="I3528" s="1">
        <v>9309</v>
      </c>
      <c r="J3528" s="7">
        <v>0.86899999999999999</v>
      </c>
      <c r="K3528" s="1" t="s">
        <v>29</v>
      </c>
      <c r="L3528" s="1" t="s">
        <v>29</v>
      </c>
      <c r="M3528" s="1" t="s">
        <v>29</v>
      </c>
      <c r="N3528" s="1" t="s">
        <v>22</v>
      </c>
      <c r="O3528" s="1" t="str">
        <f t="shared" ca="1" si="27"/>
        <v>Please solve the LeetCode problem '3032. Count Numbers With Unique Digits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29" spans="1:15" x14ac:dyDescent="0.25">
      <c r="A3529" s="1">
        <v>3636</v>
      </c>
      <c r="B3529" s="2" t="str">
        <f>HYPERLINK("https://leetcode.com/problems/threshold-majority-queries/", "Threshold Majority Queries")</f>
        <v>Threshold Majority Queries</v>
      </c>
      <c r="C3529" s="1">
        <v>35</v>
      </c>
      <c r="D3529" s="1">
        <v>10</v>
      </c>
      <c r="E3529" s="3">
        <f t="shared" si="26"/>
        <v>0.77777777777777779</v>
      </c>
      <c r="F3529" s="1" t="s">
        <v>1291</v>
      </c>
      <c r="G3529" s="1" t="s">
        <v>28</v>
      </c>
      <c r="H3529" s="1">
        <v>4440</v>
      </c>
      <c r="I3529" s="1">
        <v>20624</v>
      </c>
      <c r="J3529" s="7">
        <v>0.215</v>
      </c>
      <c r="K3529" s="1" t="s">
        <v>21</v>
      </c>
      <c r="L3529" s="1" t="s">
        <v>29</v>
      </c>
      <c r="M3529" s="1" t="s">
        <v>29</v>
      </c>
      <c r="N3529" s="1" t="s">
        <v>22</v>
      </c>
      <c r="O3529" s="1" t="str">
        <f t="shared" ca="1" si="27"/>
        <v>Please solve the LeetCode problem '3636. Threshold Majority Queries'.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30" spans="1:15" x14ac:dyDescent="0.25">
      <c r="A3530" s="1">
        <v>3707</v>
      </c>
      <c r="B3530" s="2" t="str">
        <f>HYPERLINK("https://leetcode.com/problems/equal-score-substrings/", "Equal Score Substrings")</f>
        <v>Equal Score Substrings</v>
      </c>
      <c r="C3530" s="1">
        <v>35</v>
      </c>
      <c r="D3530" s="1">
        <v>2</v>
      </c>
      <c r="E3530" s="3">
        <f t="shared" si="26"/>
        <v>0.94594594594594594</v>
      </c>
      <c r="F3530" s="1" t="s">
        <v>438</v>
      </c>
      <c r="G3530" s="1" t="s">
        <v>20</v>
      </c>
      <c r="H3530" s="1">
        <v>34781</v>
      </c>
      <c r="I3530" s="1">
        <v>61290</v>
      </c>
      <c r="J3530" s="7">
        <v>0.56699999999999995</v>
      </c>
      <c r="K3530" s="1" t="s">
        <v>21</v>
      </c>
      <c r="L3530" s="1" t="s">
        <v>29</v>
      </c>
      <c r="M3530" s="1" t="s">
        <v>29</v>
      </c>
      <c r="N3530" s="1" t="s">
        <v>22</v>
      </c>
      <c r="O3530" s="1" t="str">
        <f t="shared" ca="1" si="27"/>
        <v>Please solve the LeetCode problem '3707. Equal Score Substrings'.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31" spans="1:15" x14ac:dyDescent="0.25">
      <c r="A3531" s="1">
        <v>3722</v>
      </c>
      <c r="B3531" s="2" t="str">
        <f>HYPERLINK("https://leetcode.com/problems/lexicographically-smallest-string-after-reverse/", "Lexicographically Smallest String After Reverse")</f>
        <v>Lexicographically Smallest String After Reverse</v>
      </c>
      <c r="C3531" s="1">
        <v>35</v>
      </c>
      <c r="D3531" s="1">
        <v>5</v>
      </c>
      <c r="E3531" s="3">
        <f t="shared" si="26"/>
        <v>0.875</v>
      </c>
      <c r="F3531" s="1" t="s">
        <v>1292</v>
      </c>
      <c r="G3531" s="1" t="s">
        <v>24</v>
      </c>
      <c r="H3531" s="1">
        <v>24096</v>
      </c>
      <c r="I3531" s="1">
        <v>44151</v>
      </c>
      <c r="J3531" s="7">
        <v>0.54600000000000004</v>
      </c>
      <c r="K3531" s="1" t="s">
        <v>21</v>
      </c>
      <c r="L3531" s="1" t="s">
        <v>29</v>
      </c>
      <c r="M3531" s="1" t="s">
        <v>29</v>
      </c>
      <c r="N3531" s="1" t="s">
        <v>22</v>
      </c>
      <c r="O3531" s="1" t="str">
        <f t="shared" ca="1" si="27"/>
        <v>Please solve the LeetCode problem '3722. Lexicographically Smallest String After Reverse'.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32" spans="1:15" x14ac:dyDescent="0.25">
      <c r="A3532" s="1">
        <v>3782</v>
      </c>
      <c r="B3532" s="2" t="str">
        <f>HYPERLINK("https://leetcode.com/problems/last-remaining-integer-after-alternating-deletion-operations/", "Last Remaining Integer After Alternating Deletion Operations")</f>
        <v>Last Remaining Integer After Alternating Deletion Operations</v>
      </c>
      <c r="C3532" s="1">
        <v>35</v>
      </c>
      <c r="D3532" s="1">
        <v>3</v>
      </c>
      <c r="E3532" s="3">
        <f t="shared" si="26"/>
        <v>0.92105263157894735</v>
      </c>
      <c r="F3532" s="1" t="s">
        <v>116</v>
      </c>
      <c r="G3532" s="1" t="s">
        <v>28</v>
      </c>
      <c r="H3532" s="1">
        <v>6997</v>
      </c>
      <c r="I3532" s="1">
        <v>14523</v>
      </c>
      <c r="J3532" s="7">
        <v>0.48199999999999998</v>
      </c>
      <c r="K3532" s="1" t="s">
        <v>21</v>
      </c>
      <c r="L3532" s="1" t="s">
        <v>29</v>
      </c>
      <c r="M3532" s="1" t="s">
        <v>29</v>
      </c>
      <c r="N3532" s="1" t="s">
        <v>22</v>
      </c>
      <c r="O3532" s="1" t="str">
        <f t="shared" ca="1" si="27"/>
        <v>Please solve the LeetCode problem '3782. Last Remaining Integer After Alternating Deletion Operations'.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33" spans="1:15" x14ac:dyDescent="0.25">
      <c r="A3533" s="1">
        <v>1516</v>
      </c>
      <c r="B3533" s="2" t="str">
        <f>HYPERLINK("https://leetcode.com/problems/move-sub-tree-of-n-ary-tree/", "Move Sub-Tree of N-Ary Tree")</f>
        <v>Move Sub-Tree of N-Ary Tree</v>
      </c>
      <c r="C3533" s="1">
        <v>34</v>
      </c>
      <c r="D3533" s="1">
        <v>67</v>
      </c>
      <c r="E3533" s="3">
        <f t="shared" si="26"/>
        <v>0.33663366336633666</v>
      </c>
      <c r="F3533" s="1" t="s">
        <v>726</v>
      </c>
      <c r="G3533" s="1" t="s">
        <v>28</v>
      </c>
      <c r="H3533" s="1">
        <v>2624</v>
      </c>
      <c r="I3533" s="1">
        <v>4413</v>
      </c>
      <c r="J3533" s="7">
        <v>0.59499999999999997</v>
      </c>
      <c r="K3533" s="1" t="s">
        <v>29</v>
      </c>
      <c r="L3533" s="1" t="s">
        <v>29</v>
      </c>
      <c r="M3533" s="1" t="s">
        <v>29</v>
      </c>
      <c r="N3533" s="1" t="s">
        <v>22</v>
      </c>
      <c r="O3533" s="1" t="str">
        <f t="shared" ca="1" si="27"/>
        <v>Please solve the LeetCode problem '1516. Move Sub-Tree of N-Ary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34" spans="1:15" x14ac:dyDescent="0.25">
      <c r="A3534" s="1">
        <v>1651</v>
      </c>
      <c r="B3534" s="2" t="str">
        <f>HYPERLINK("https://leetcode.com/problems/hopper-company-queries-iii/", "Hopper Company Queries III")</f>
        <v>Hopper Company Queries III</v>
      </c>
      <c r="C3534" s="1">
        <v>34</v>
      </c>
      <c r="D3534" s="1">
        <v>63</v>
      </c>
      <c r="E3534" s="3">
        <f t="shared" si="26"/>
        <v>0.35051546391752575</v>
      </c>
      <c r="F3534" s="1" t="s">
        <v>297</v>
      </c>
      <c r="G3534" s="1" t="s">
        <v>28</v>
      </c>
      <c r="H3534" s="1">
        <v>8521</v>
      </c>
      <c r="I3534" s="1">
        <v>12961</v>
      </c>
      <c r="J3534" s="7">
        <v>0.65700000000000003</v>
      </c>
      <c r="K3534" s="1" t="s">
        <v>29</v>
      </c>
      <c r="L3534" s="1" t="s">
        <v>29</v>
      </c>
      <c r="M3534" s="1" t="s">
        <v>29</v>
      </c>
      <c r="N3534" s="1" t="s">
        <v>297</v>
      </c>
      <c r="O3534" s="1" t="str">
        <f t="shared" ca="1" si="27"/>
        <v>Please solve the LeetCode problem '1651. Hopper Company Queries III'.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35" spans="1:15" x14ac:dyDescent="0.25">
      <c r="A3535" s="1">
        <v>1714</v>
      </c>
      <c r="B3535" s="2" t="str">
        <f>HYPERLINK("https://leetcode.com/problems/sum-of-special-evenly-spaced-elements-in-array/", "Sum Of Special Evenly-Spaced Elements In Array")</f>
        <v>Sum Of Special Evenly-Spaced Elements In Array</v>
      </c>
      <c r="C3535" s="1">
        <v>34</v>
      </c>
      <c r="D3535" s="1">
        <v>27</v>
      </c>
      <c r="E3535" s="3">
        <f t="shared" si="26"/>
        <v>0.55737704918032782</v>
      </c>
      <c r="F3535" s="1" t="s">
        <v>30</v>
      </c>
      <c r="G3535" s="1" t="s">
        <v>28</v>
      </c>
      <c r="H3535" s="1">
        <v>1699</v>
      </c>
      <c r="I3535" s="1">
        <v>3408</v>
      </c>
      <c r="J3535" s="7">
        <v>0.499</v>
      </c>
      <c r="K3535" s="1" t="s">
        <v>29</v>
      </c>
      <c r="L3535" s="1" t="s">
        <v>29</v>
      </c>
      <c r="M3535" s="1" t="s">
        <v>29</v>
      </c>
      <c r="N3535" s="1" t="s">
        <v>22</v>
      </c>
      <c r="O3535" s="1" t="str">
        <f t="shared" ca="1" si="27"/>
        <v>Please solve the LeetCode problem '1714. Sum Of Special Evenly-Spaced Elements In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36" spans="1:15" x14ac:dyDescent="0.25">
      <c r="A3536" s="1">
        <v>2252</v>
      </c>
      <c r="B3536" s="2" t="str">
        <f>HYPERLINK("https://leetcode.com/problems/dynamic-pivoting-of-a-table/", "Dynamic Pivoting of a Table")</f>
        <v>Dynamic Pivoting of a Table</v>
      </c>
      <c r="C3536" s="1">
        <v>34</v>
      </c>
      <c r="D3536" s="1">
        <v>10</v>
      </c>
      <c r="E3536" s="3">
        <f t="shared" si="26"/>
        <v>0.77272727272727271</v>
      </c>
      <c r="F3536" s="1" t="s">
        <v>297</v>
      </c>
      <c r="G3536" s="1" t="s">
        <v>28</v>
      </c>
      <c r="H3536" s="1">
        <v>2134</v>
      </c>
      <c r="I3536" s="1">
        <v>3724</v>
      </c>
      <c r="J3536" s="7">
        <v>0.57299999999999995</v>
      </c>
      <c r="K3536" s="1" t="s">
        <v>29</v>
      </c>
      <c r="L3536" s="1" t="s">
        <v>29</v>
      </c>
      <c r="M3536" s="1" t="s">
        <v>29</v>
      </c>
      <c r="N3536" s="1" t="s">
        <v>297</v>
      </c>
      <c r="O3536" s="1" t="str">
        <f t="shared" ca="1" si="27"/>
        <v>Please solve the LeetCode problem '2252. Dynamic Pivoting of a Table'.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37" spans="1:15" x14ac:dyDescent="0.25">
      <c r="A3537" s="1">
        <v>2362</v>
      </c>
      <c r="B3537" s="2" t="str">
        <f>HYPERLINK("https://leetcode.com/problems/generate-the-invoice/", "Generate the Invoice")</f>
        <v>Generate the Invoice</v>
      </c>
      <c r="C3537" s="1">
        <v>34</v>
      </c>
      <c r="D3537" s="1">
        <v>29</v>
      </c>
      <c r="E3537" s="3">
        <f t="shared" si="26"/>
        <v>0.53968253968253965</v>
      </c>
      <c r="F3537" s="1" t="s">
        <v>297</v>
      </c>
      <c r="G3537" s="1" t="s">
        <v>28</v>
      </c>
      <c r="H3537" s="1">
        <v>5359</v>
      </c>
      <c r="I3537" s="1">
        <v>7095</v>
      </c>
      <c r="J3537" s="7">
        <v>0.755</v>
      </c>
      <c r="K3537" s="1" t="s">
        <v>29</v>
      </c>
      <c r="L3537" s="1" t="s">
        <v>29</v>
      </c>
      <c r="M3537" s="1" t="s">
        <v>29</v>
      </c>
      <c r="N3537" s="1" t="s">
        <v>297</v>
      </c>
      <c r="O3537" s="1" t="str">
        <f t="shared" ca="1" si="27"/>
        <v>Please solve the LeetCode problem '2362. Generate the Invoice'.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38" spans="1:15" x14ac:dyDescent="0.25">
      <c r="A3538" s="1">
        <v>3750</v>
      </c>
      <c r="B3538" s="2" t="str">
        <f>HYPERLINK("https://leetcode.com/problems/minimum-number-of-flips-to-reverse-binary-string/", "Minimum Number of Flips to Reverse Binary String")</f>
        <v>Minimum Number of Flips to Reverse Binary String</v>
      </c>
      <c r="C3538" s="1">
        <v>34</v>
      </c>
      <c r="D3538" s="1">
        <v>0</v>
      </c>
      <c r="E3538" s="3">
        <f t="shared" si="26"/>
        <v>1</v>
      </c>
      <c r="F3538" s="1" t="s">
        <v>1296</v>
      </c>
      <c r="G3538" s="1" t="s">
        <v>20</v>
      </c>
      <c r="H3538" s="1">
        <v>28838</v>
      </c>
      <c r="I3538" s="1">
        <v>38221</v>
      </c>
      <c r="J3538" s="7">
        <v>0.755</v>
      </c>
      <c r="K3538" s="1" t="s">
        <v>21</v>
      </c>
      <c r="L3538" s="1" t="s">
        <v>29</v>
      </c>
      <c r="M3538" s="1" t="s">
        <v>29</v>
      </c>
      <c r="N3538" s="1" t="s">
        <v>22</v>
      </c>
      <c r="O3538" s="1" t="str">
        <f t="shared" ca="1" si="27"/>
        <v>Please solve the LeetCode problem '3750. Minimum Number of Flips to Reverse Binary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39" spans="1:15" x14ac:dyDescent="0.25">
      <c r="A3539" s="1">
        <v>2655</v>
      </c>
      <c r="B3539" s="2" t="str">
        <f>HYPERLINK("https://leetcode.com/problems/find-maximal-uncovered-ranges/", "Find Maximal Uncovered Ranges")</f>
        <v>Find Maximal Uncovered Ranges</v>
      </c>
      <c r="C3539" s="1">
        <v>33</v>
      </c>
      <c r="D3539" s="1">
        <v>3</v>
      </c>
      <c r="E3539" s="3">
        <f t="shared" si="26"/>
        <v>0.91666666666666663</v>
      </c>
      <c r="F3539" s="1" t="s">
        <v>42</v>
      </c>
      <c r="G3539" s="1" t="s">
        <v>24</v>
      </c>
      <c r="H3539" s="1">
        <v>2145</v>
      </c>
      <c r="I3539" s="1">
        <v>4365</v>
      </c>
      <c r="J3539" s="7">
        <v>0.49099999999999999</v>
      </c>
      <c r="K3539" s="1" t="s">
        <v>29</v>
      </c>
      <c r="L3539" s="1" t="s">
        <v>29</v>
      </c>
      <c r="M3539" s="1" t="s">
        <v>29</v>
      </c>
      <c r="N3539" s="1" t="s">
        <v>22</v>
      </c>
      <c r="O3539" s="1" t="str">
        <f t="shared" ca="1" si="27"/>
        <v>Please solve the LeetCode problem '2655. Find Maximal Uncovered Ranges'.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40" spans="1:15" x14ac:dyDescent="0.25">
      <c r="A3540" s="1">
        <v>3624</v>
      </c>
      <c r="B3540" s="2" t="str">
        <f>HYPERLINK("https://leetcode.com/problems/number-of-integers-with-popcount-depth-equal-to-k-ii/", "Number of Integers With Popcount-Depth Equal to K II")</f>
        <v>Number of Integers With Popcount-Depth Equal to K II</v>
      </c>
      <c r="C3540" s="1">
        <v>33</v>
      </c>
      <c r="D3540" s="1">
        <v>9</v>
      </c>
      <c r="E3540" s="3">
        <f t="shared" si="26"/>
        <v>0.7857142857142857</v>
      </c>
      <c r="F3540" s="1" t="s">
        <v>1297</v>
      </c>
      <c r="G3540" s="1" t="s">
        <v>28</v>
      </c>
      <c r="H3540" s="1">
        <v>16548</v>
      </c>
      <c r="I3540" s="1">
        <v>29015</v>
      </c>
      <c r="J3540" s="7">
        <v>0.56999999999999995</v>
      </c>
      <c r="K3540" s="1" t="s">
        <v>21</v>
      </c>
      <c r="L3540" s="1" t="s">
        <v>29</v>
      </c>
      <c r="M3540" s="1" t="s">
        <v>29</v>
      </c>
      <c r="N3540" s="1" t="s">
        <v>22</v>
      </c>
      <c r="O3540" s="1" t="str">
        <f t="shared" ca="1" si="27"/>
        <v>Please solve the LeetCode problem '3624. Number of Integers With Popcount-Depth Equal to K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41" spans="1:15" x14ac:dyDescent="0.25">
      <c r="A3541" s="1">
        <v>3655</v>
      </c>
      <c r="B3541" s="2" t="str">
        <f>HYPERLINK("https://leetcode.com/problems/xor-after-range-multiplication-queries-ii/", "XOR After Range Multiplication Queries II")</f>
        <v>XOR After Range Multiplication Queries II</v>
      </c>
      <c r="C3541" s="1">
        <v>33</v>
      </c>
      <c r="D3541" s="1">
        <v>4</v>
      </c>
      <c r="E3541" s="3">
        <f t="shared" si="26"/>
        <v>0.89189189189189189</v>
      </c>
      <c r="F3541" s="1" t="s">
        <v>830</v>
      </c>
      <c r="G3541" s="1" t="s">
        <v>28</v>
      </c>
      <c r="H3541" s="1">
        <v>11920</v>
      </c>
      <c r="I3541" s="1">
        <v>34965</v>
      </c>
      <c r="J3541" s="7">
        <v>0.34100000000000003</v>
      </c>
      <c r="K3541" s="1" t="s">
        <v>21</v>
      </c>
      <c r="L3541" s="1" t="s">
        <v>29</v>
      </c>
      <c r="M3541" s="1" t="s">
        <v>29</v>
      </c>
      <c r="N3541" s="1" t="s">
        <v>22</v>
      </c>
      <c r="O3541" s="1" t="str">
        <f t="shared" ca="1" si="27"/>
        <v>Please solve the LeetCode problem '3655. XOR After Range Multiplication Queries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42" spans="1:15" x14ac:dyDescent="0.25">
      <c r="A3542" s="1">
        <v>3671</v>
      </c>
      <c r="B3542" s="2" t="str">
        <f>HYPERLINK("https://leetcode.com/problems/sum-of-beautiful-subsequences/", "Sum of Beautiful Subsequences")</f>
        <v>Sum of Beautiful Subsequences</v>
      </c>
      <c r="C3542" s="1">
        <v>33</v>
      </c>
      <c r="D3542" s="1">
        <v>3</v>
      </c>
      <c r="E3542" s="3">
        <f t="shared" si="26"/>
        <v>0.91666666666666663</v>
      </c>
      <c r="F3542" s="1" t="s">
        <v>1404</v>
      </c>
      <c r="G3542" s="1" t="s">
        <v>28</v>
      </c>
      <c r="H3542" s="1">
        <v>5927</v>
      </c>
      <c r="I3542" s="1">
        <v>23694</v>
      </c>
      <c r="J3542" s="7">
        <v>0.25</v>
      </c>
      <c r="K3542" s="1" t="s">
        <v>21</v>
      </c>
      <c r="L3542" s="1" t="s">
        <v>29</v>
      </c>
      <c r="M3542" s="1" t="s">
        <v>29</v>
      </c>
      <c r="N3542" s="1" t="s">
        <v>22</v>
      </c>
      <c r="O3542" s="1" t="str">
        <f t="shared" ca="1" si="27"/>
        <v>Please solve the LeetCode problem '3671. Sum of Beautiful Subsequences'.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43" spans="1:15" x14ac:dyDescent="0.25">
      <c r="A3543" s="1">
        <v>3774</v>
      </c>
      <c r="B3543" s="2" t="str">
        <f>HYPERLINK("https://leetcode.com/problems/absolute-difference-between-maximum-and-minimum-k-elements/", "Absolute Difference Between Maximum and Minimum K Elements")</f>
        <v>Absolute Difference Between Maximum and Minimum K Elements</v>
      </c>
      <c r="C3543" s="1">
        <v>33</v>
      </c>
      <c r="D3543" s="1">
        <v>2</v>
      </c>
      <c r="E3543" s="3">
        <f t="shared" si="26"/>
        <v>0.94285714285714284</v>
      </c>
      <c r="F3543" s="1" t="s">
        <v>42</v>
      </c>
      <c r="G3543" s="1" t="s">
        <v>20</v>
      </c>
      <c r="H3543" s="1">
        <v>41297</v>
      </c>
      <c r="I3543" s="1">
        <v>54883</v>
      </c>
      <c r="J3543" s="7">
        <v>0.752</v>
      </c>
      <c r="K3543" s="1" t="s">
        <v>21</v>
      </c>
      <c r="L3543" s="1" t="s">
        <v>29</v>
      </c>
      <c r="M3543" s="1" t="s">
        <v>29</v>
      </c>
      <c r="N3543" s="1" t="s">
        <v>22</v>
      </c>
      <c r="O3543" s="1" t="str">
        <f t="shared" ca="1" si="27"/>
        <v>Please solve the LeetCode problem '3774. Absolute Difference Between Maximum and Minimum K Elements'.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44" spans="1:15" x14ac:dyDescent="0.25">
      <c r="A3544" s="1">
        <v>3801</v>
      </c>
      <c r="B3544" s="2" t="str">
        <f>HYPERLINK("https://leetcode.com/problems/minimum-cost-to-merge-sorted-lists/", "Minimum Cost to Merge Sorted Lists")</f>
        <v>Minimum Cost to Merge Sorted Lists</v>
      </c>
      <c r="C3544" s="1">
        <v>33</v>
      </c>
      <c r="D3544" s="1">
        <v>3</v>
      </c>
      <c r="E3544" s="3">
        <f t="shared" si="26"/>
        <v>0.91666666666666663</v>
      </c>
      <c r="F3544" s="1" t="s">
        <v>1286</v>
      </c>
      <c r="G3544" s="1" t="s">
        <v>28</v>
      </c>
      <c r="H3544" s="1">
        <v>3274</v>
      </c>
      <c r="I3544" s="1">
        <v>9942</v>
      </c>
      <c r="J3544" s="7">
        <v>0.32900000000000001</v>
      </c>
      <c r="K3544" s="1" t="s">
        <v>21</v>
      </c>
      <c r="L3544" s="1" t="s">
        <v>29</v>
      </c>
      <c r="M3544" s="1" t="s">
        <v>29</v>
      </c>
      <c r="N3544" s="1" t="s">
        <v>22</v>
      </c>
      <c r="O3544" s="1" t="str">
        <f t="shared" ca="1" si="27"/>
        <v>Please solve the LeetCode problem '3801. Minimum Cost to Merge Sorted Lists'.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45" spans="1:15" x14ac:dyDescent="0.25">
      <c r="A3545" s="1">
        <v>1956</v>
      </c>
      <c r="B3545" s="2" t="str">
        <f>HYPERLINK("https://leetcode.com/problems/minimum-time-for-k-virus-variants-to-spread/", "Minimum Time For K Virus Variants to Spread")</f>
        <v>Minimum Time For K Virus Variants to Spread</v>
      </c>
      <c r="C3545" s="1">
        <v>32</v>
      </c>
      <c r="D3545" s="1">
        <v>7</v>
      </c>
      <c r="E3545" s="3">
        <f t="shared" si="26"/>
        <v>0.82051282051282048</v>
      </c>
      <c r="F3545" s="1" t="s">
        <v>1299</v>
      </c>
      <c r="G3545" s="1" t="s">
        <v>28</v>
      </c>
      <c r="H3545" s="1">
        <v>1322</v>
      </c>
      <c r="I3545" s="1">
        <v>2609</v>
      </c>
      <c r="J3545" s="7">
        <v>0.50700000000000001</v>
      </c>
      <c r="K3545" s="1" t="s">
        <v>29</v>
      </c>
      <c r="L3545" s="1" t="s">
        <v>29</v>
      </c>
      <c r="M3545" s="1" t="s">
        <v>29</v>
      </c>
      <c r="N3545" s="1" t="s">
        <v>22</v>
      </c>
      <c r="O3545" s="1" t="str">
        <f t="shared" ca="1" si="27"/>
        <v>Please solve the LeetCode problem '1956. Minimum Time For K Virus Variants to Spread'.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46" spans="1:15" x14ac:dyDescent="0.25">
      <c r="A3546" s="1">
        <v>2205</v>
      </c>
      <c r="B3546" s="2" t="str">
        <f>HYPERLINK("https://leetcode.com/problems/the-number-of-users-that-are-eligible-for-discount/", "The Number of Users That Are Eligible for Discount")</f>
        <v>The Number of Users That Are Eligible for Discount</v>
      </c>
      <c r="C3546" s="1">
        <v>32</v>
      </c>
      <c r="D3546" s="1">
        <v>77</v>
      </c>
      <c r="E3546" s="3">
        <f t="shared" si="26"/>
        <v>0.29357798165137616</v>
      </c>
      <c r="F3546" s="1" t="s">
        <v>297</v>
      </c>
      <c r="G3546" s="1" t="s">
        <v>20</v>
      </c>
      <c r="H3546" s="1">
        <v>8248</v>
      </c>
      <c r="I3546" s="1">
        <v>16284</v>
      </c>
      <c r="J3546" s="7">
        <v>0.50700000000000001</v>
      </c>
      <c r="K3546" s="1" t="s">
        <v>29</v>
      </c>
      <c r="L3546" s="1" t="s">
        <v>29</v>
      </c>
      <c r="M3546" s="1" t="s">
        <v>29</v>
      </c>
      <c r="N3546" s="1" t="s">
        <v>297</v>
      </c>
      <c r="O3546" s="1" t="str">
        <f t="shared" ca="1" si="27"/>
        <v>Please solve the LeetCode problem '2205. The Number of Users That Are Eligible for Discount'.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47" spans="1:15" x14ac:dyDescent="0.25">
      <c r="A3547" s="1">
        <v>2479</v>
      </c>
      <c r="B3547" s="2" t="str">
        <f>HYPERLINK("https://leetcode.com/problems/maximum-xor-of-two-non-overlapping-subtrees/", "Maximum XOR of Two Non-Overlapping Subtrees")</f>
        <v>Maximum XOR of Two Non-Overlapping Subtrees</v>
      </c>
      <c r="C3547" s="1">
        <v>32</v>
      </c>
      <c r="D3547" s="1">
        <v>5</v>
      </c>
      <c r="E3547" s="3">
        <f t="shared" si="26"/>
        <v>0.86486486486486491</v>
      </c>
      <c r="F3547" s="1" t="s">
        <v>1300</v>
      </c>
      <c r="G3547" s="1" t="s">
        <v>28</v>
      </c>
      <c r="H3547" s="1">
        <v>925</v>
      </c>
      <c r="I3547" s="1">
        <v>1795</v>
      </c>
      <c r="J3547" s="7">
        <v>0.51500000000000001</v>
      </c>
      <c r="K3547" s="1" t="s">
        <v>29</v>
      </c>
      <c r="L3547" s="1" t="s">
        <v>29</v>
      </c>
      <c r="M3547" s="1" t="s">
        <v>29</v>
      </c>
      <c r="N3547" s="1" t="s">
        <v>22</v>
      </c>
      <c r="O3547" s="1" t="str">
        <f t="shared" ca="1" si="27"/>
        <v>Please solve the LeetCode problem '2479. Maximum XOR of Two Non-Overlapping Subtrees'.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48" spans="1:15" x14ac:dyDescent="0.25">
      <c r="A3548" s="1">
        <v>2504</v>
      </c>
      <c r="B3548" s="2" t="str">
        <f>HYPERLINK("https://leetcode.com/problems/concatenate-the-name-and-the-profession/", "Concatenate the Name and the Profession")</f>
        <v>Concatenate the Name and the Profession</v>
      </c>
      <c r="C3548" s="1">
        <v>32</v>
      </c>
      <c r="D3548" s="1">
        <v>4</v>
      </c>
      <c r="E3548" s="3">
        <f t="shared" si="26"/>
        <v>0.88888888888888884</v>
      </c>
      <c r="F3548" s="1" t="s">
        <v>297</v>
      </c>
      <c r="G3548" s="1" t="s">
        <v>20</v>
      </c>
      <c r="H3548" s="1">
        <v>6765</v>
      </c>
      <c r="I3548" s="1">
        <v>8470</v>
      </c>
      <c r="J3548" s="7">
        <v>0.79900000000000004</v>
      </c>
      <c r="K3548" s="1" t="s">
        <v>29</v>
      </c>
      <c r="L3548" s="1" t="s">
        <v>29</v>
      </c>
      <c r="M3548" s="1" t="s">
        <v>29</v>
      </c>
      <c r="N3548" s="1" t="s">
        <v>297</v>
      </c>
      <c r="O3548" s="1" t="str">
        <f t="shared" ca="1" si="27"/>
        <v>Please solve the LeetCode problem '2504. Concatenate the Name and the Profession'.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49" spans="1:15" x14ac:dyDescent="0.25">
      <c r="A3549" s="1">
        <v>2690</v>
      </c>
      <c r="B3549" s="2" t="str">
        <f>HYPERLINK("https://leetcode.com/problems/infinite-method-object/", "Infinite Method Object")</f>
        <v>Infinite Method Object</v>
      </c>
      <c r="C3549" s="1">
        <v>32</v>
      </c>
      <c r="D3549" s="1">
        <v>9</v>
      </c>
      <c r="E3549" s="3">
        <f t="shared" si="26"/>
        <v>0.78048780487804881</v>
      </c>
      <c r="G3549" s="1" t="s">
        <v>20</v>
      </c>
      <c r="H3549" s="1">
        <v>2030</v>
      </c>
      <c r="I3549" s="1">
        <v>2177</v>
      </c>
      <c r="J3549" s="7">
        <v>0.93200000000000005</v>
      </c>
      <c r="K3549" s="1" t="s">
        <v>29</v>
      </c>
      <c r="L3549" s="1" t="s">
        <v>21</v>
      </c>
      <c r="M3549" s="1" t="s">
        <v>29</v>
      </c>
      <c r="N3549" s="1" t="s">
        <v>555</v>
      </c>
      <c r="O3549" s="1" t="str">
        <f t="shared" ca="1" si="27"/>
        <v>Please solve the LeetCode problem '2690. Infinite Method Object'.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50" spans="1:15" x14ac:dyDescent="0.25">
      <c r="A3550" s="1">
        <v>2964</v>
      </c>
      <c r="B3550" s="2" t="str">
        <f>HYPERLINK("https://leetcode.com/problems/number-of-divisible-triplet-sums/", "Number of Divisible Triplet Sums")</f>
        <v>Number of Divisible Triplet Sums</v>
      </c>
      <c r="C3550" s="1">
        <v>32</v>
      </c>
      <c r="D3550" s="1">
        <v>5</v>
      </c>
      <c r="E3550" s="3">
        <f t="shared" si="26"/>
        <v>0.86486486486486491</v>
      </c>
      <c r="F3550" s="1" t="s">
        <v>19</v>
      </c>
      <c r="G3550" s="1" t="s">
        <v>24</v>
      </c>
      <c r="H3550" s="1">
        <v>8575</v>
      </c>
      <c r="I3550" s="1">
        <v>12679</v>
      </c>
      <c r="J3550" s="7">
        <v>0.67600000000000005</v>
      </c>
      <c r="K3550" s="1" t="s">
        <v>29</v>
      </c>
      <c r="L3550" s="1" t="s">
        <v>29</v>
      </c>
      <c r="M3550" s="1" t="s">
        <v>29</v>
      </c>
      <c r="N3550" s="1" t="s">
        <v>22</v>
      </c>
      <c r="O3550" s="1" t="str">
        <f t="shared" ca="1" si="27"/>
        <v>Please solve the LeetCode problem '2964. Number of Divisible Triplet Sums'.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51" spans="1:15" x14ac:dyDescent="0.25">
      <c r="A3551" s="1">
        <v>3062</v>
      </c>
      <c r="B3551" s="2" t="str">
        <f>HYPERLINK("https://leetcode.com/problems/winner-of-the-linked-list-game/", "Winner of the Linked List Game")</f>
        <v>Winner of the Linked List Game</v>
      </c>
      <c r="C3551" s="1">
        <v>32</v>
      </c>
      <c r="D3551" s="1">
        <v>5</v>
      </c>
      <c r="E3551" s="3">
        <f t="shared" si="26"/>
        <v>0.86486486486486491</v>
      </c>
      <c r="F3551" s="1" t="s">
        <v>104</v>
      </c>
      <c r="G3551" s="1" t="s">
        <v>20</v>
      </c>
      <c r="H3551" s="1">
        <v>11757</v>
      </c>
      <c r="I3551" s="1">
        <v>15118</v>
      </c>
      <c r="J3551" s="7">
        <v>0.77800000000000002</v>
      </c>
      <c r="K3551" s="1" t="s">
        <v>29</v>
      </c>
      <c r="L3551" s="1" t="s">
        <v>21</v>
      </c>
      <c r="M3551" s="1" t="s">
        <v>29</v>
      </c>
      <c r="N3551" s="1" t="s">
        <v>22</v>
      </c>
      <c r="O3551" s="1" t="str">
        <f t="shared" ca="1" si="27"/>
        <v>Please solve the LeetCode problem '3062. Winner of the Linked List Game'.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52" spans="1:15" x14ac:dyDescent="0.25">
      <c r="A3552" s="1">
        <v>3451</v>
      </c>
      <c r="B3552" s="2" t="str">
        <f>HYPERLINK("https://leetcode.com/problems/find-invalid-ip-addresses/", "Find Invalid IP Addresses")</f>
        <v>Find Invalid IP Addresses</v>
      </c>
      <c r="C3552" s="1">
        <v>32</v>
      </c>
      <c r="D3552" s="1">
        <v>8</v>
      </c>
      <c r="E3552" s="3">
        <f t="shared" si="26"/>
        <v>0.8</v>
      </c>
      <c r="F3552" s="1" t="s">
        <v>297</v>
      </c>
      <c r="G3552" s="1" t="s">
        <v>28</v>
      </c>
      <c r="H3552" s="1">
        <v>9322</v>
      </c>
      <c r="I3552" s="1">
        <v>17770</v>
      </c>
      <c r="J3552" s="7">
        <v>0.52500000000000002</v>
      </c>
      <c r="K3552" s="1" t="s">
        <v>21</v>
      </c>
      <c r="L3552" s="1" t="s">
        <v>29</v>
      </c>
      <c r="M3552" s="1" t="s">
        <v>29</v>
      </c>
      <c r="N3552" s="1" t="s">
        <v>297</v>
      </c>
      <c r="O3552" s="1" t="str">
        <f t="shared" ca="1" si="27"/>
        <v>Please solve the LeetCode problem '3451. Find Invalid IP Addresses'.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53" spans="1:15" x14ac:dyDescent="0.25">
      <c r="A3553" s="1">
        <v>3601</v>
      </c>
      <c r="B3553" s="2" t="str">
        <f>HYPERLINK("https://leetcode.com/problems/find-drivers-with-improved-fuel-efficiency/", "Find Drivers with Improved Fuel Efficiency")</f>
        <v>Find Drivers with Improved Fuel Efficiency</v>
      </c>
      <c r="C3553" s="1">
        <v>32</v>
      </c>
      <c r="D3553" s="1">
        <v>5</v>
      </c>
      <c r="E3553" s="3">
        <f t="shared" si="26"/>
        <v>0.86486486486486491</v>
      </c>
      <c r="F3553" s="1" t="s">
        <v>297</v>
      </c>
      <c r="G3553" s="1" t="s">
        <v>24</v>
      </c>
      <c r="H3553" s="1">
        <v>7157</v>
      </c>
      <c r="I3553" s="1">
        <v>15098</v>
      </c>
      <c r="J3553" s="7">
        <v>0.47399999999999998</v>
      </c>
      <c r="K3553" s="1" t="s">
        <v>21</v>
      </c>
      <c r="L3553" s="1" t="s">
        <v>29</v>
      </c>
      <c r="M3553" s="1" t="s">
        <v>29</v>
      </c>
      <c r="N3553" s="1" t="s">
        <v>297</v>
      </c>
      <c r="O3553" s="1" t="str">
        <f t="shared" ca="1" si="27"/>
        <v>Please solve the LeetCode problem '3601. Find Drivers with Improved Fuel Efficiency'.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54" spans="1:15" x14ac:dyDescent="0.25">
      <c r="A3554" s="1">
        <v>3611</v>
      </c>
      <c r="B3554" s="2" t="str">
        <f>HYPERLINK("https://leetcode.com/problems/find-overbooked-employees/", "Find Overbooked Employees")</f>
        <v>Find Overbooked Employees</v>
      </c>
      <c r="C3554" s="1">
        <v>32</v>
      </c>
      <c r="D3554" s="1">
        <v>10</v>
      </c>
      <c r="E3554" s="3">
        <f t="shared" si="26"/>
        <v>0.76190476190476186</v>
      </c>
      <c r="F3554" s="1" t="s">
        <v>297</v>
      </c>
      <c r="G3554" s="1" t="s">
        <v>24</v>
      </c>
      <c r="H3554" s="1">
        <v>7211</v>
      </c>
      <c r="I3554" s="1">
        <v>16023</v>
      </c>
      <c r="J3554" s="7">
        <v>0.45</v>
      </c>
      <c r="K3554" s="1" t="s">
        <v>21</v>
      </c>
      <c r="L3554" s="1" t="s">
        <v>29</v>
      </c>
      <c r="M3554" s="1" t="s">
        <v>29</v>
      </c>
      <c r="N3554" s="1" t="s">
        <v>297</v>
      </c>
      <c r="O3554" s="1" t="str">
        <f t="shared" ca="1" si="27"/>
        <v>Please solve the LeetCode problem '3611. Find Overbooked Employees'.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55" spans="1:15" x14ac:dyDescent="0.25">
      <c r="A3555" s="1">
        <v>3688</v>
      </c>
      <c r="B3555" s="2" t="str">
        <f>HYPERLINK("https://leetcode.com/problems/bitwise-or-of-even-numbers-in-an-array/", "Bitwise OR of Even Numbers in an Array")</f>
        <v>Bitwise OR of Even Numbers in an Array</v>
      </c>
      <c r="C3555" s="1">
        <v>32</v>
      </c>
      <c r="D3555" s="1">
        <v>4</v>
      </c>
      <c r="E3555" s="3">
        <f t="shared" si="26"/>
        <v>0.88888888888888884</v>
      </c>
      <c r="F3555" s="1" t="s">
        <v>1298</v>
      </c>
      <c r="G3555" s="1" t="s">
        <v>20</v>
      </c>
      <c r="H3555" s="1">
        <v>63701</v>
      </c>
      <c r="I3555" s="1">
        <v>76186</v>
      </c>
      <c r="J3555" s="7">
        <v>0.83599999999999997</v>
      </c>
      <c r="K3555" s="1" t="s">
        <v>21</v>
      </c>
      <c r="L3555" s="1" t="s">
        <v>29</v>
      </c>
      <c r="M3555" s="1" t="s">
        <v>29</v>
      </c>
      <c r="N3555" s="1" t="s">
        <v>22</v>
      </c>
      <c r="O3555" s="1" t="str">
        <f t="shared" ca="1" si="27"/>
        <v>Please solve the LeetCode problem '3688. Bitwise OR of Even Numbers in an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56" spans="1:15" x14ac:dyDescent="0.25">
      <c r="A3556" s="1">
        <v>1999</v>
      </c>
      <c r="B3556" s="2" t="str">
        <f>HYPERLINK("https://leetcode.com/problems/smallest-greater-multiple-made-of-two-digits/", "Smallest Greater Multiple Made of Two Digits")</f>
        <v>Smallest Greater Multiple Made of Two Digits</v>
      </c>
      <c r="C3556" s="1">
        <v>31</v>
      </c>
      <c r="D3556" s="1">
        <v>11</v>
      </c>
      <c r="E3556" s="3">
        <f t="shared" si="26"/>
        <v>0.73809523809523814</v>
      </c>
      <c r="F3556" s="1" t="s">
        <v>602</v>
      </c>
      <c r="G3556" s="1" t="s">
        <v>24</v>
      </c>
      <c r="H3556" s="1">
        <v>2583</v>
      </c>
      <c r="I3556" s="1">
        <v>5341</v>
      </c>
      <c r="J3556" s="7">
        <v>0.48399999999999999</v>
      </c>
      <c r="K3556" s="1" t="s">
        <v>29</v>
      </c>
      <c r="L3556" s="1" t="s">
        <v>29</v>
      </c>
      <c r="M3556" s="1" t="s">
        <v>29</v>
      </c>
      <c r="N3556" s="1" t="s">
        <v>22</v>
      </c>
      <c r="O3556" s="1" t="str">
        <f t="shared" ca="1" si="27"/>
        <v>Please solve the LeetCode problem '1999. Smallest Greater Multiple Made of Two Digits'.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57" spans="1:15" x14ac:dyDescent="0.25">
      <c r="A3557" s="1">
        <v>2346</v>
      </c>
      <c r="B3557" s="2" t="str">
        <f>HYPERLINK("https://leetcode.com/problems/compute-the-rank-as-a-percentage/", "Compute the Rank as a Percentage")</f>
        <v>Compute the Rank as a Percentage</v>
      </c>
      <c r="C3557" s="1">
        <v>31</v>
      </c>
      <c r="D3557" s="1">
        <v>79</v>
      </c>
      <c r="E3557" s="3">
        <f t="shared" si="26"/>
        <v>0.2818181818181818</v>
      </c>
      <c r="F3557" s="1" t="s">
        <v>297</v>
      </c>
      <c r="G3557" s="1" t="s">
        <v>24</v>
      </c>
      <c r="H3557" s="1">
        <v>7193</v>
      </c>
      <c r="I3557" s="1">
        <v>21217</v>
      </c>
      <c r="J3557" s="7">
        <v>0.33900000000000002</v>
      </c>
      <c r="K3557" s="1" t="s">
        <v>29</v>
      </c>
      <c r="L3557" s="1" t="s">
        <v>29</v>
      </c>
      <c r="M3557" s="1" t="s">
        <v>29</v>
      </c>
      <c r="N3557" s="1" t="s">
        <v>297</v>
      </c>
      <c r="O3557" s="1" t="str">
        <f t="shared" ca="1" si="27"/>
        <v>Please solve the LeetCode problem '2346. Compute the Rank as a Percentage'.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58" spans="1:15" x14ac:dyDescent="0.25">
      <c r="A3558" s="1">
        <v>2394</v>
      </c>
      <c r="B3558" s="2" t="str">
        <f>HYPERLINK("https://leetcode.com/problems/employees-with-deductions/", "Employees With Deductions")</f>
        <v>Employees With Deductions</v>
      </c>
      <c r="C3558" s="1">
        <v>31</v>
      </c>
      <c r="D3558" s="1">
        <v>39</v>
      </c>
      <c r="E3558" s="3">
        <f t="shared" si="26"/>
        <v>0.44285714285714284</v>
      </c>
      <c r="F3558" s="1" t="s">
        <v>297</v>
      </c>
      <c r="G3558" s="1" t="s">
        <v>24</v>
      </c>
      <c r="H3558" s="1">
        <v>7079</v>
      </c>
      <c r="I3558" s="1">
        <v>16755</v>
      </c>
      <c r="J3558" s="7">
        <v>0.42299999999999999</v>
      </c>
      <c r="K3558" s="1" t="s">
        <v>29</v>
      </c>
      <c r="L3558" s="1" t="s">
        <v>29</v>
      </c>
      <c r="M3558" s="1" t="s">
        <v>29</v>
      </c>
      <c r="N3558" s="1" t="s">
        <v>297</v>
      </c>
      <c r="O3558" s="1" t="str">
        <f t="shared" ca="1" si="27"/>
        <v>Please solve the LeetCode problem '2394. Employees With Deductions'.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59" spans="1:15" x14ac:dyDescent="0.25">
      <c r="A3559" s="1">
        <v>2480</v>
      </c>
      <c r="B3559" s="2" t="str">
        <f>HYPERLINK("https://leetcode.com/problems/form-a-chemical-bond/", "Form a Chemical Bond")</f>
        <v>Form a Chemical Bond</v>
      </c>
      <c r="C3559" s="1">
        <v>31</v>
      </c>
      <c r="D3559" s="1">
        <v>11</v>
      </c>
      <c r="E3559" s="3">
        <f t="shared" si="26"/>
        <v>0.73809523809523814</v>
      </c>
      <c r="F3559" s="1" t="s">
        <v>297</v>
      </c>
      <c r="G3559" s="1" t="s">
        <v>20</v>
      </c>
      <c r="H3559" s="1">
        <v>7070</v>
      </c>
      <c r="I3559" s="1">
        <v>8863</v>
      </c>
      <c r="J3559" s="7">
        <v>0.79800000000000004</v>
      </c>
      <c r="K3559" s="1" t="s">
        <v>29</v>
      </c>
      <c r="L3559" s="1" t="s">
        <v>29</v>
      </c>
      <c r="M3559" s="1" t="s">
        <v>29</v>
      </c>
      <c r="N3559" s="1" t="s">
        <v>297</v>
      </c>
      <c r="O3559" s="1" t="str">
        <f t="shared" ca="1" si="27"/>
        <v>Please solve the LeetCode problem '2480. Form a Chemical Bond'.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60" spans="1:15" x14ac:dyDescent="0.25">
      <c r="A3560" s="1">
        <v>2950</v>
      </c>
      <c r="B3560" s="2" t="str">
        <f>HYPERLINK("https://leetcode.com/problems/number-of-divisible-substrings/", "Number of Divisible Substrings")</f>
        <v>Number of Divisible Substrings</v>
      </c>
      <c r="C3560" s="1">
        <v>31</v>
      </c>
      <c r="D3560" s="1">
        <v>6</v>
      </c>
      <c r="E3560" s="3">
        <f t="shared" si="26"/>
        <v>0.83783783783783783</v>
      </c>
      <c r="F3560" s="1" t="s">
        <v>1029</v>
      </c>
      <c r="G3560" s="1" t="s">
        <v>24</v>
      </c>
      <c r="H3560" s="1">
        <v>3445</v>
      </c>
      <c r="I3560" s="1">
        <v>4658</v>
      </c>
      <c r="J3560" s="7">
        <v>0.74</v>
      </c>
      <c r="K3560" s="1" t="s">
        <v>29</v>
      </c>
      <c r="L3560" s="1" t="s">
        <v>29</v>
      </c>
      <c r="M3560" s="1" t="s">
        <v>29</v>
      </c>
      <c r="N3560" s="1" t="s">
        <v>22</v>
      </c>
      <c r="O3560" s="1" t="str">
        <f t="shared" ca="1" si="27"/>
        <v>Please solve the LeetCode problem '2950. Number of Divisible Substrings'.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61" spans="1:15" x14ac:dyDescent="0.25">
      <c r="A3561" s="1">
        <v>3474</v>
      </c>
      <c r="B3561" s="2" t="str">
        <f>HYPERLINK("https://leetcode.com/problems/lexicographically-smallest-generated-string/", "Lexicographically Smallest Generated String")</f>
        <v>Lexicographically Smallest Generated String</v>
      </c>
      <c r="C3561" s="1">
        <v>31</v>
      </c>
      <c r="D3561" s="1">
        <v>8</v>
      </c>
      <c r="E3561" s="3">
        <f t="shared" si="26"/>
        <v>0.79487179487179482</v>
      </c>
      <c r="F3561" s="1" t="s">
        <v>1301</v>
      </c>
      <c r="G3561" s="1" t="s">
        <v>28</v>
      </c>
      <c r="H3561" s="1">
        <v>5422</v>
      </c>
      <c r="I3561" s="1">
        <v>17282</v>
      </c>
      <c r="J3561" s="7">
        <v>0.314</v>
      </c>
      <c r="K3561" s="1" t="s">
        <v>21</v>
      </c>
      <c r="L3561" s="1" t="s">
        <v>29</v>
      </c>
      <c r="M3561" s="1" t="s">
        <v>29</v>
      </c>
      <c r="N3561" s="1" t="s">
        <v>22</v>
      </c>
      <c r="O3561" s="1" t="str">
        <f t="shared" ca="1" si="27"/>
        <v>Please solve the LeetCode problem '3474. Lexicographically Smallest Generated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62" spans="1:15" x14ac:dyDescent="0.25">
      <c r="A3562" s="1">
        <v>3486</v>
      </c>
      <c r="B3562" s="2" t="str">
        <f>HYPERLINK("https://leetcode.com/problems/longest-special-path-ii/", "Longest Special Path II")</f>
        <v>Longest Special Path II</v>
      </c>
      <c r="C3562" s="1">
        <v>31</v>
      </c>
      <c r="D3562" s="1">
        <v>6</v>
      </c>
      <c r="E3562" s="3">
        <f t="shared" si="26"/>
        <v>0.83783783783783783</v>
      </c>
      <c r="F3562" s="1" t="s">
        <v>1159</v>
      </c>
      <c r="G3562" s="1" t="s">
        <v>28</v>
      </c>
      <c r="H3562" s="1">
        <v>2338</v>
      </c>
      <c r="I3562" s="1">
        <v>12961</v>
      </c>
      <c r="J3562" s="7">
        <v>0.18</v>
      </c>
      <c r="K3562" s="1" t="s">
        <v>21</v>
      </c>
      <c r="L3562" s="1" t="s">
        <v>29</v>
      </c>
      <c r="M3562" s="1" t="s">
        <v>29</v>
      </c>
      <c r="N3562" s="1" t="s">
        <v>22</v>
      </c>
      <c r="O3562" s="1" t="str">
        <f t="shared" ca="1" si="27"/>
        <v>Please solve the LeetCode problem '3486. Longest Special Path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63" spans="1:15" x14ac:dyDescent="0.25">
      <c r="A3563" s="1">
        <v>3754</v>
      </c>
      <c r="B3563" s="2" t="str">
        <f>HYPERLINK("https://leetcode.com/problems/concatenate-non-zero-digits-and-multiply-by-sum-i/", "Concatenate Non-Zero Digits and Multiply by Sum I")</f>
        <v>Concatenate Non-Zero Digits and Multiply by Sum I</v>
      </c>
      <c r="C3563" s="1">
        <v>31</v>
      </c>
      <c r="D3563" s="1">
        <v>0</v>
      </c>
      <c r="E3563" s="3">
        <f t="shared" si="26"/>
        <v>1</v>
      </c>
      <c r="F3563" s="1" t="s">
        <v>84</v>
      </c>
      <c r="G3563" s="1" t="s">
        <v>20</v>
      </c>
      <c r="H3563" s="1">
        <v>36937</v>
      </c>
      <c r="I3563" s="1">
        <v>66497</v>
      </c>
      <c r="J3563" s="7">
        <v>0.55500000000000005</v>
      </c>
      <c r="K3563" s="1" t="s">
        <v>21</v>
      </c>
      <c r="L3563" s="1" t="s">
        <v>29</v>
      </c>
      <c r="M3563" s="1" t="s">
        <v>29</v>
      </c>
      <c r="N3563" s="1" t="s">
        <v>22</v>
      </c>
      <c r="O3563" s="1" t="str">
        <f t="shared" ca="1" si="27"/>
        <v>Please solve the LeetCode problem '3754. Concatenate Non-Zero Digits and Multiply by Sum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64" spans="1:15" x14ac:dyDescent="0.25">
      <c r="A3564" s="1">
        <v>3525</v>
      </c>
      <c r="B3564" s="2" t="str">
        <f>HYPERLINK("https://leetcode.com/problems/find-x-value-of-array-ii/", "Find X Value of Array II")</f>
        <v>Find X Value of Array II</v>
      </c>
      <c r="C3564" s="1">
        <v>30</v>
      </c>
      <c r="D3564" s="1">
        <v>8</v>
      </c>
      <c r="E3564" s="3">
        <f t="shared" si="26"/>
        <v>0.78947368421052633</v>
      </c>
      <c r="F3564" s="1" t="s">
        <v>1303</v>
      </c>
      <c r="G3564" s="1" t="s">
        <v>28</v>
      </c>
      <c r="H3564" s="1">
        <v>3345</v>
      </c>
      <c r="I3564" s="1">
        <v>11100</v>
      </c>
      <c r="J3564" s="7">
        <v>0.30099999999999999</v>
      </c>
      <c r="K3564" s="1" t="s">
        <v>21</v>
      </c>
      <c r="L3564" s="1" t="s">
        <v>29</v>
      </c>
      <c r="M3564" s="1" t="s">
        <v>29</v>
      </c>
      <c r="N3564" s="1" t="s">
        <v>22</v>
      </c>
      <c r="O3564" s="1" t="str">
        <f t="shared" ca="1" si="27"/>
        <v>Please solve the LeetCode problem '3525. Find X Value of Array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65" spans="1:15" x14ac:dyDescent="0.25">
      <c r="A3565" s="1">
        <v>3554</v>
      </c>
      <c r="B3565" s="2" t="str">
        <f>HYPERLINK("https://leetcode.com/problems/find-category-recommendation-pairs/", "Find Category Recommendation Pairs")</f>
        <v>Find Category Recommendation Pairs</v>
      </c>
      <c r="C3565" s="1">
        <v>30</v>
      </c>
      <c r="D3565" s="1">
        <v>5</v>
      </c>
      <c r="E3565" s="3">
        <f t="shared" si="26"/>
        <v>0.8571428571428571</v>
      </c>
      <c r="F3565" s="1" t="s">
        <v>297</v>
      </c>
      <c r="G3565" s="1" t="s">
        <v>28</v>
      </c>
      <c r="H3565" s="1">
        <v>7472</v>
      </c>
      <c r="I3565" s="1">
        <v>11705</v>
      </c>
      <c r="J3565" s="7">
        <v>0.63800000000000001</v>
      </c>
      <c r="K3565" s="1" t="s">
        <v>21</v>
      </c>
      <c r="L3565" s="1" t="s">
        <v>29</v>
      </c>
      <c r="M3565" s="1" t="s">
        <v>29</v>
      </c>
      <c r="N3565" s="1" t="s">
        <v>297</v>
      </c>
      <c r="O3565" s="1" t="str">
        <f t="shared" ca="1" si="27"/>
        <v>Please solve the LeetCode problem '3554. Find Category Recommendation Pairs'.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66" spans="1:15" x14ac:dyDescent="0.25">
      <c r="A3566" s="1">
        <v>3653</v>
      </c>
      <c r="B3566" s="2" t="str">
        <f>HYPERLINK("https://leetcode.com/problems/xor-after-range-multiplication-queries-i/", "XOR After Range Multiplication Queries I")</f>
        <v>XOR After Range Multiplication Queries I</v>
      </c>
      <c r="C3566" s="1">
        <v>30</v>
      </c>
      <c r="D3566" s="1">
        <v>13</v>
      </c>
      <c r="E3566" s="3">
        <f t="shared" si="26"/>
        <v>0.69767441860465118</v>
      </c>
      <c r="F3566" s="1" t="s">
        <v>1302</v>
      </c>
      <c r="G3566" s="1" t="s">
        <v>24</v>
      </c>
      <c r="H3566" s="1">
        <v>42647</v>
      </c>
      <c r="I3566" s="1">
        <v>58677</v>
      </c>
      <c r="J3566" s="7">
        <v>0.72699999999999998</v>
      </c>
      <c r="K3566" s="1" t="s">
        <v>21</v>
      </c>
      <c r="L3566" s="1" t="s">
        <v>29</v>
      </c>
      <c r="M3566" s="1" t="s">
        <v>29</v>
      </c>
      <c r="N3566" s="1" t="s">
        <v>22</v>
      </c>
      <c r="O3566" s="1" t="str">
        <f t="shared" ca="1" si="27"/>
        <v>Please solve the LeetCode problem '3653. XOR After Range Multiplication Queries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67" spans="1:15" x14ac:dyDescent="0.25">
      <c r="A3567" s="1">
        <v>3797</v>
      </c>
      <c r="B3567" s="2" t="str">
        <f>HYPERLINK("https://leetcode.com/problems/count-routes-to-climb-a-rectangular-grid/", "Count Routes to Climb a Rectangular Grid")</f>
        <v>Count Routes to Climb a Rectangular Grid</v>
      </c>
      <c r="C3567" s="1">
        <v>30</v>
      </c>
      <c r="D3567" s="1">
        <v>1</v>
      </c>
      <c r="E3567" s="3">
        <f t="shared" si="26"/>
        <v>0.967741935483871</v>
      </c>
      <c r="F3567" s="1" t="s">
        <v>1203</v>
      </c>
      <c r="G3567" s="1" t="s">
        <v>28</v>
      </c>
      <c r="H3567" s="1">
        <v>3038</v>
      </c>
      <c r="I3567" s="1">
        <v>13419</v>
      </c>
      <c r="J3567" s="7">
        <v>0.22600000000000001</v>
      </c>
      <c r="K3567" s="1" t="s">
        <v>21</v>
      </c>
      <c r="L3567" s="1" t="s">
        <v>29</v>
      </c>
      <c r="M3567" s="1" t="s">
        <v>29</v>
      </c>
      <c r="N3567" s="1" t="s">
        <v>22</v>
      </c>
      <c r="O3567" s="1" t="str">
        <f t="shared" ca="1" si="27"/>
        <v>Please solve the LeetCode problem '3797. Count Routes to Climb a Rectangular Grid'.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68" spans="1:15" x14ac:dyDescent="0.25">
      <c r="A3568" s="1">
        <v>2020</v>
      </c>
      <c r="B3568" s="2" t="str">
        <f>HYPERLINK("https://leetcode.com/problems/number-of-accounts-that-did-not-stream/", "Number of Accounts That Did Not Stream")</f>
        <v>Number of Accounts That Did Not Stream</v>
      </c>
      <c r="C3568" s="1">
        <v>29</v>
      </c>
      <c r="D3568" s="1">
        <v>230</v>
      </c>
      <c r="E3568" s="3">
        <f t="shared" si="26"/>
        <v>0.11196911196911197</v>
      </c>
      <c r="F3568" s="1" t="s">
        <v>297</v>
      </c>
      <c r="G3568" s="1" t="s">
        <v>24</v>
      </c>
      <c r="H3568" s="1">
        <v>13625</v>
      </c>
      <c r="I3568" s="1">
        <v>18905</v>
      </c>
      <c r="J3568" s="7">
        <v>0.72099999999999997</v>
      </c>
      <c r="K3568" s="1" t="s">
        <v>29</v>
      </c>
      <c r="L3568" s="1" t="s">
        <v>29</v>
      </c>
      <c r="M3568" s="1" t="s">
        <v>29</v>
      </c>
      <c r="N3568" s="1" t="s">
        <v>297</v>
      </c>
      <c r="O3568" s="1" t="str">
        <f t="shared" ca="1" si="27"/>
        <v>Please solve the LeetCode problem '2020. Number of Accounts That Did Not Stream'.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69" spans="1:15" x14ac:dyDescent="0.25">
      <c r="A3569" s="1">
        <v>2417</v>
      </c>
      <c r="B3569" s="2" t="str">
        <f>HYPERLINK("https://leetcode.com/problems/closest-fair-integer/", "Closest Fair Integer")</f>
        <v>Closest Fair Integer</v>
      </c>
      <c r="C3569" s="1">
        <v>29</v>
      </c>
      <c r="D3569" s="1">
        <v>13</v>
      </c>
      <c r="E3569" s="3">
        <f t="shared" si="26"/>
        <v>0.69047619047619047</v>
      </c>
      <c r="F3569" s="1" t="s">
        <v>602</v>
      </c>
      <c r="G3569" s="1" t="s">
        <v>24</v>
      </c>
      <c r="H3569" s="1">
        <v>1397</v>
      </c>
      <c r="I3569" s="1">
        <v>3124</v>
      </c>
      <c r="J3569" s="7">
        <v>0.44700000000000001</v>
      </c>
      <c r="K3569" s="1" t="s">
        <v>29</v>
      </c>
      <c r="L3569" s="1" t="s">
        <v>29</v>
      </c>
      <c r="M3569" s="1" t="s">
        <v>29</v>
      </c>
      <c r="N3569" s="1" t="s">
        <v>22</v>
      </c>
      <c r="O3569" s="1" t="str">
        <f t="shared" ca="1" si="27"/>
        <v>Please solve the LeetCode problem '2417. Closest Fair Integer'.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70" spans="1:15" x14ac:dyDescent="0.25">
      <c r="A3570" s="1">
        <v>2892</v>
      </c>
      <c r="B3570" s="2" t="str">
        <f>HYPERLINK("https://leetcode.com/problems/minimizing-array-after-replacing-pairs-with-their-product/", "Minimizing Array After Replacing Pairs With Their Product")</f>
        <v>Minimizing Array After Replacing Pairs With Their Product</v>
      </c>
      <c r="C3570" s="1">
        <v>29</v>
      </c>
      <c r="D3570" s="1">
        <v>1</v>
      </c>
      <c r="E3570" s="3">
        <f t="shared" si="26"/>
        <v>0.96666666666666667</v>
      </c>
      <c r="F3570" s="1" t="s">
        <v>50</v>
      </c>
      <c r="G3570" s="1" t="s">
        <v>24</v>
      </c>
      <c r="H3570" s="1">
        <v>1711</v>
      </c>
      <c r="I3570" s="1">
        <v>4213</v>
      </c>
      <c r="J3570" s="7">
        <v>0.40600000000000003</v>
      </c>
      <c r="K3570" s="1" t="s">
        <v>29</v>
      </c>
      <c r="L3570" s="1" t="s">
        <v>29</v>
      </c>
      <c r="M3570" s="1" t="s">
        <v>29</v>
      </c>
      <c r="N3570" s="1" t="s">
        <v>22</v>
      </c>
      <c r="O3570" s="1" t="str">
        <f t="shared" ca="1" si="27"/>
        <v>Please solve the LeetCode problem '2892. Minimizing Array After Replacing Pairs With Their Product'.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71" spans="1:15" x14ac:dyDescent="0.25">
      <c r="A3571" s="1">
        <v>3009</v>
      </c>
      <c r="B3571" s="2" t="str">
        <f>HYPERLINK("https://leetcode.com/problems/maximum-number-of-intersections-on-the-chart/", "Maximum Number of Intersections on the Chart")</f>
        <v>Maximum Number of Intersections on the Chart</v>
      </c>
      <c r="C3571" s="1">
        <v>29</v>
      </c>
      <c r="D3571" s="1">
        <v>4</v>
      </c>
      <c r="E3571" s="3">
        <f t="shared" si="26"/>
        <v>0.87878787878787878</v>
      </c>
      <c r="F3571" s="1" t="s">
        <v>1306</v>
      </c>
      <c r="G3571" s="1" t="s">
        <v>28</v>
      </c>
      <c r="H3571" s="1">
        <v>4327</v>
      </c>
      <c r="I3571" s="1">
        <v>9606</v>
      </c>
      <c r="J3571" s="7">
        <v>0.45</v>
      </c>
      <c r="K3571" s="1" t="s">
        <v>29</v>
      </c>
      <c r="L3571" s="1" t="s">
        <v>29</v>
      </c>
      <c r="M3571" s="1" t="s">
        <v>29</v>
      </c>
      <c r="N3571" s="1" t="s">
        <v>22</v>
      </c>
      <c r="O3571" s="1" t="str">
        <f t="shared" ca="1" si="27"/>
        <v>Please solve the LeetCode problem '3009. Maximum Number of Intersections on the Chart'.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72" spans="1:15" x14ac:dyDescent="0.25">
      <c r="A3572" s="1">
        <v>3617</v>
      </c>
      <c r="B3572" s="2" t="str">
        <f>HYPERLINK("https://leetcode.com/problems/find-students-with-study-spiral-pattern/", "Find Students with Study Spiral Pattern")</f>
        <v>Find Students with Study Spiral Pattern</v>
      </c>
      <c r="C3572" s="1">
        <v>29</v>
      </c>
      <c r="D3572" s="1">
        <v>10</v>
      </c>
      <c r="E3572" s="3">
        <f t="shared" si="26"/>
        <v>0.74358974358974361</v>
      </c>
      <c r="G3572" s="1" t="s">
        <v>28</v>
      </c>
      <c r="H3572" s="1">
        <v>2284</v>
      </c>
      <c r="I3572" s="1">
        <v>8302</v>
      </c>
      <c r="J3572" s="7">
        <v>0.27500000000000002</v>
      </c>
      <c r="K3572" s="1" t="s">
        <v>21</v>
      </c>
      <c r="L3572" s="1" t="s">
        <v>29</v>
      </c>
      <c r="M3572" s="1" t="s">
        <v>29</v>
      </c>
      <c r="N3572" s="1" t="s">
        <v>297</v>
      </c>
      <c r="O3572" s="1" t="str">
        <f t="shared" ca="1" si="27"/>
        <v>Please solve the LeetCode problem '3617. Find Students with Study Spiral Pattern'.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73" spans="1:15" x14ac:dyDescent="0.25">
      <c r="A3573" s="1">
        <v>2198</v>
      </c>
      <c r="B3573" s="2" t="str">
        <f>HYPERLINK("https://leetcode.com/problems/number-of-single-divisor-triplets/", "Number of Single Divisor Triplets")</f>
        <v>Number of Single Divisor Triplets</v>
      </c>
      <c r="C3573" s="1">
        <v>28</v>
      </c>
      <c r="D3573" s="1">
        <v>12</v>
      </c>
      <c r="E3573" s="3">
        <f t="shared" si="26"/>
        <v>0.7</v>
      </c>
      <c r="F3573" s="1" t="s">
        <v>84</v>
      </c>
      <c r="G3573" s="1" t="s">
        <v>24</v>
      </c>
      <c r="H3573" s="1">
        <v>1531</v>
      </c>
      <c r="I3573" s="1">
        <v>2799</v>
      </c>
      <c r="J3573" s="7">
        <v>0.54700000000000004</v>
      </c>
      <c r="K3573" s="1" t="s">
        <v>29</v>
      </c>
      <c r="L3573" s="1" t="s">
        <v>29</v>
      </c>
      <c r="M3573" s="1" t="s">
        <v>29</v>
      </c>
      <c r="N3573" s="1" t="s">
        <v>22</v>
      </c>
      <c r="O3573" s="1" t="str">
        <f t="shared" ca="1" si="27"/>
        <v>Please solve the LeetCode problem '2198. Number of Single Divisor Triplets'.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74" spans="1:15" x14ac:dyDescent="0.25">
      <c r="A3574" s="1">
        <v>2854</v>
      </c>
      <c r="B3574" s="2" t="str">
        <f>HYPERLINK("https://leetcode.com/problems/rolling-average-steps/", "Rolling Average Steps")</f>
        <v>Rolling Average Steps</v>
      </c>
      <c r="C3574" s="1">
        <v>28</v>
      </c>
      <c r="D3574" s="1">
        <v>3</v>
      </c>
      <c r="E3574" s="3">
        <f t="shared" ref="E3574:E3815" si="28">IF(INDEX(C:C, ROW())+INDEX(D:D, ROW())=0, 0, INDEX(C:C, ROW())/(INDEX(C:C, ROW())+INDEX(D:D, ROW())))</f>
        <v>0.90322580645161288</v>
      </c>
      <c r="F3574" s="1" t="s">
        <v>297</v>
      </c>
      <c r="G3574" s="1" t="s">
        <v>24</v>
      </c>
      <c r="H3574" s="1">
        <v>5049</v>
      </c>
      <c r="I3574" s="1">
        <v>7282</v>
      </c>
      <c r="J3574" s="7">
        <v>0.69299999999999995</v>
      </c>
      <c r="K3574" s="1" t="s">
        <v>29</v>
      </c>
      <c r="L3574" s="1" t="s">
        <v>29</v>
      </c>
      <c r="M3574" s="1" t="s">
        <v>29</v>
      </c>
      <c r="N3574" s="1" t="s">
        <v>297</v>
      </c>
      <c r="O3574" s="1" t="str">
        <f t="shared" ref="O3574:O3815" ca="1" si="29"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>Please solve the LeetCode problem '2854. Rolling Average Steps'.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75" spans="1:15" x14ac:dyDescent="0.25">
      <c r="A3575" s="1">
        <v>3435</v>
      </c>
      <c r="B3575" s="2" t="str">
        <f>HYPERLINK("https://leetcode.com/problems/frequencies-of-shortest-supersequences/", "Frequencies of Shortest Supersequences")</f>
        <v>Frequencies of Shortest Supersequences</v>
      </c>
      <c r="C3575" s="1">
        <v>28</v>
      </c>
      <c r="D3575" s="1">
        <v>8</v>
      </c>
      <c r="E3575" s="3">
        <f t="shared" si="28"/>
        <v>0.77777777777777779</v>
      </c>
      <c r="F3575" s="1" t="s">
        <v>1308</v>
      </c>
      <c r="G3575" s="1" t="s">
        <v>28</v>
      </c>
      <c r="H3575" s="1">
        <v>2763</v>
      </c>
      <c r="I3575" s="1">
        <v>12723</v>
      </c>
      <c r="J3575" s="7">
        <v>0.217</v>
      </c>
      <c r="K3575" s="1" t="s">
        <v>21</v>
      </c>
      <c r="L3575" s="1" t="s">
        <v>29</v>
      </c>
      <c r="M3575" s="1" t="s">
        <v>29</v>
      </c>
      <c r="N3575" s="1" t="s">
        <v>22</v>
      </c>
      <c r="O3575" s="1" t="str">
        <f t="shared" ca="1" si="29"/>
        <v>Please solve the LeetCode problem '3435. Frequencies of Shortest Supersequences'.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76" spans="1:15" x14ac:dyDescent="0.25">
      <c r="A3576" s="1">
        <v>3470</v>
      </c>
      <c r="B3576" s="2" t="str">
        <f>HYPERLINK("https://leetcode.com/problems/permutations-iv/", "Permutations IV")</f>
        <v>Permutations IV</v>
      </c>
      <c r="C3576" s="1">
        <v>28</v>
      </c>
      <c r="D3576" s="1">
        <v>3</v>
      </c>
      <c r="E3576" s="3">
        <f t="shared" si="28"/>
        <v>0.90322580645161288</v>
      </c>
      <c r="F3576" s="1" t="s">
        <v>1309</v>
      </c>
      <c r="G3576" s="1" t="s">
        <v>28</v>
      </c>
      <c r="H3576" s="1">
        <v>4123</v>
      </c>
      <c r="I3576" s="1">
        <v>12280</v>
      </c>
      <c r="J3576" s="7">
        <v>0.33600000000000002</v>
      </c>
      <c r="K3576" s="1" t="s">
        <v>21</v>
      </c>
      <c r="L3576" s="1" t="s">
        <v>29</v>
      </c>
      <c r="M3576" s="1" t="s">
        <v>29</v>
      </c>
      <c r="N3576" s="1" t="s">
        <v>22</v>
      </c>
      <c r="O3576" s="1" t="str">
        <f t="shared" ca="1" si="29"/>
        <v>Please solve the LeetCode problem '3470. Permutations IV'.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77" spans="1:15" x14ac:dyDescent="0.25">
      <c r="A3577" s="1">
        <v>3630</v>
      </c>
      <c r="B3577" s="2" t="str">
        <f>HYPERLINK("https://leetcode.com/problems/partition-array-for-maximum-xor-and-and/", "Partition Array for Maximum XOR and AND")</f>
        <v>Partition Array for Maximum XOR and AND</v>
      </c>
      <c r="C3577" s="1">
        <v>28</v>
      </c>
      <c r="D3577" s="1">
        <v>7</v>
      </c>
      <c r="E3577" s="3">
        <f t="shared" si="28"/>
        <v>0.8</v>
      </c>
      <c r="F3577" s="1" t="s">
        <v>1304</v>
      </c>
      <c r="G3577" s="1" t="s">
        <v>28</v>
      </c>
      <c r="H3577" s="1">
        <v>5511</v>
      </c>
      <c r="I3577" s="1">
        <v>36683</v>
      </c>
      <c r="J3577" s="7">
        <v>0.15</v>
      </c>
      <c r="K3577" s="1" t="s">
        <v>21</v>
      </c>
      <c r="L3577" s="1" t="s">
        <v>29</v>
      </c>
      <c r="M3577" s="1" t="s">
        <v>29</v>
      </c>
      <c r="N3577" s="1" t="s">
        <v>22</v>
      </c>
      <c r="O3577" s="1" t="str">
        <f t="shared" ca="1" si="29"/>
        <v>Please solve the LeetCode problem '3630. Partition Array for Maximum XOR and AND'.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78" spans="1:15" x14ac:dyDescent="0.25">
      <c r="A3578" s="1">
        <v>3705</v>
      </c>
      <c r="B3578" s="2" t="str">
        <f>HYPERLINK("https://leetcode.com/problems/find-golden-hour-customers/", "Find Golden Hour Customers")</f>
        <v>Find Golden Hour Customers</v>
      </c>
      <c r="C3578" s="1">
        <v>28</v>
      </c>
      <c r="D3578" s="1">
        <v>3</v>
      </c>
      <c r="E3578" s="3">
        <f t="shared" si="28"/>
        <v>0.90322580645161288</v>
      </c>
      <c r="G3578" s="1" t="s">
        <v>24</v>
      </c>
      <c r="H3578" s="1">
        <v>3785</v>
      </c>
      <c r="I3578" s="1">
        <v>10510</v>
      </c>
      <c r="J3578" s="7">
        <v>0.36</v>
      </c>
      <c r="K3578" s="1" t="s">
        <v>21</v>
      </c>
      <c r="L3578" s="1" t="s">
        <v>29</v>
      </c>
      <c r="M3578" s="1" t="s">
        <v>29</v>
      </c>
      <c r="N3578" s="1" t="s">
        <v>297</v>
      </c>
      <c r="O3578" s="1" t="str">
        <f t="shared" ca="1" si="29"/>
        <v>Please solve the LeetCode problem '3705. Find Golden Hour Customers'.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79" spans="1:15" x14ac:dyDescent="0.25">
      <c r="A3579" s="1">
        <v>2738</v>
      </c>
      <c r="B3579" s="2" t="str">
        <f>HYPERLINK("https://leetcode.com/problems/count-occurrences-in-text/", "Count Occurrences in Text")</f>
        <v>Count Occurrences in Text</v>
      </c>
      <c r="C3579" s="1">
        <v>27</v>
      </c>
      <c r="D3579" s="1">
        <v>48</v>
      </c>
      <c r="E3579" s="3">
        <f t="shared" si="28"/>
        <v>0.36</v>
      </c>
      <c r="F3579" s="1" t="s">
        <v>297</v>
      </c>
      <c r="G3579" s="1" t="s">
        <v>24</v>
      </c>
      <c r="H3579" s="1">
        <v>10993</v>
      </c>
      <c r="I3579" s="1">
        <v>20088</v>
      </c>
      <c r="J3579" s="7">
        <v>0.54700000000000004</v>
      </c>
      <c r="K3579" s="1" t="s">
        <v>29</v>
      </c>
      <c r="L3579" s="1" t="s">
        <v>21</v>
      </c>
      <c r="M3579" s="1" t="s">
        <v>29</v>
      </c>
      <c r="N3579" s="1" t="s">
        <v>297</v>
      </c>
      <c r="O3579" s="1" t="str">
        <f t="shared" ca="1" si="29"/>
        <v>Please solve the LeetCode problem '2738. Count Occurrences in Text'.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80" spans="1:15" x14ac:dyDescent="0.25">
      <c r="A3580" s="1">
        <v>2753</v>
      </c>
      <c r="B3580" s="2" t="str">
        <f>HYPERLINK("https://leetcode.com/problems/count-houses-in-a-circular-street-ii/", "Count Houses in a Circular Street II")</f>
        <v>Count Houses in a Circular Street II</v>
      </c>
      <c r="C3580" s="1">
        <v>27</v>
      </c>
      <c r="D3580" s="1">
        <v>3</v>
      </c>
      <c r="E3580" s="3">
        <f t="shared" si="28"/>
        <v>0.9</v>
      </c>
      <c r="G3580" s="1" t="s">
        <v>28</v>
      </c>
      <c r="H3580" s="1">
        <v>900</v>
      </c>
      <c r="I3580" s="1">
        <v>1466</v>
      </c>
      <c r="J3580" s="7">
        <v>0.61399999999999999</v>
      </c>
      <c r="K3580" s="1" t="s">
        <v>29</v>
      </c>
      <c r="L3580" s="1" t="s">
        <v>21</v>
      </c>
      <c r="M3580" s="1" t="s">
        <v>29</v>
      </c>
      <c r="N3580" s="1" t="s">
        <v>22</v>
      </c>
      <c r="O3580" s="1" t="str">
        <f t="shared" ca="1" si="29"/>
        <v>Please solve the LeetCode problem '2753. Count Houses in a Circular Street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81" spans="1:15" x14ac:dyDescent="0.25">
      <c r="A3581" s="1">
        <v>2820</v>
      </c>
      <c r="B3581" s="2" t="str">
        <f>HYPERLINK("https://leetcode.com/problems/election-results/", "Election Results")</f>
        <v>Election Results</v>
      </c>
      <c r="C3581" s="1">
        <v>27</v>
      </c>
      <c r="D3581" s="1">
        <v>3</v>
      </c>
      <c r="E3581" s="3">
        <f t="shared" si="28"/>
        <v>0.9</v>
      </c>
      <c r="G3581" s="1" t="s">
        <v>24</v>
      </c>
      <c r="H3581" s="1">
        <v>4090</v>
      </c>
      <c r="I3581" s="1">
        <v>6114</v>
      </c>
      <c r="J3581" s="7">
        <v>0.66900000000000004</v>
      </c>
      <c r="K3581" s="1" t="s">
        <v>29</v>
      </c>
      <c r="L3581" s="1" t="s">
        <v>29</v>
      </c>
      <c r="M3581" s="1" t="s">
        <v>29</v>
      </c>
      <c r="N3581" s="1" t="s">
        <v>297</v>
      </c>
      <c r="O3581" s="1" t="str">
        <f t="shared" ca="1" si="29"/>
        <v>Please solve the LeetCode problem '2820. Election Results'.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82" spans="1:15" x14ac:dyDescent="0.25">
      <c r="A3582" s="1">
        <v>3205</v>
      </c>
      <c r="B3582" s="2" t="str">
        <f>HYPERLINK("https://leetcode.com/problems/maximum-array-hopping-score-i/", "Maximum Array Hopping Score I")</f>
        <v>Maximum Array Hopping Score I</v>
      </c>
      <c r="C3582" s="1">
        <v>27</v>
      </c>
      <c r="D3582" s="1">
        <v>1</v>
      </c>
      <c r="E3582" s="3">
        <f t="shared" si="28"/>
        <v>0.9642857142857143</v>
      </c>
      <c r="F3582" s="1" t="s">
        <v>289</v>
      </c>
      <c r="G3582" s="1" t="s">
        <v>24</v>
      </c>
      <c r="H3582" s="1">
        <v>2438</v>
      </c>
      <c r="I3582" s="1">
        <v>3158</v>
      </c>
      <c r="J3582" s="7">
        <v>0.77200000000000002</v>
      </c>
      <c r="K3582" s="1" t="s">
        <v>29</v>
      </c>
      <c r="L3582" s="1" t="s">
        <v>29</v>
      </c>
      <c r="M3582" s="1" t="s">
        <v>29</v>
      </c>
      <c r="N3582" s="1" t="s">
        <v>22</v>
      </c>
      <c r="O3582" s="1" t="str">
        <f t="shared" ca="1" si="29"/>
        <v>Please solve the LeetCode problem '3205. Maximum Array Hopping Score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83" spans="1:15" x14ac:dyDescent="0.25">
      <c r="A3583" s="1">
        <v>3590</v>
      </c>
      <c r="B3583" s="2" t="str">
        <f>HYPERLINK("https://leetcode.com/problems/kth-smallest-path-xor-sum/", "Kth Smallest Path XOR Sum")</f>
        <v>Kth Smallest Path XOR Sum</v>
      </c>
      <c r="C3583" s="1">
        <v>27</v>
      </c>
      <c r="D3583" s="1">
        <v>11</v>
      </c>
      <c r="E3583" s="3">
        <f t="shared" si="28"/>
        <v>0.71052631578947367</v>
      </c>
      <c r="F3583" s="1" t="s">
        <v>1310</v>
      </c>
      <c r="G3583" s="1" t="s">
        <v>28</v>
      </c>
      <c r="H3583" s="1">
        <v>2543</v>
      </c>
      <c r="I3583" s="1">
        <v>8974</v>
      </c>
      <c r="J3583" s="7">
        <v>0.28299999999999997</v>
      </c>
      <c r="K3583" s="1" t="s">
        <v>21</v>
      </c>
      <c r="L3583" s="1" t="s">
        <v>29</v>
      </c>
      <c r="M3583" s="1" t="s">
        <v>29</v>
      </c>
      <c r="N3583" s="1" t="s">
        <v>22</v>
      </c>
      <c r="O3583" s="1" t="str">
        <f t="shared" ca="1" si="29"/>
        <v>Please solve the LeetCode problem '3590. Kth Smallest Path XOR Sum'.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84" spans="1:15" x14ac:dyDescent="0.25">
      <c r="A3584" s="1">
        <v>3716</v>
      </c>
      <c r="B3584" s="2" t="str">
        <f>HYPERLINK("https://leetcode.com/problems/find-churn-risk-customers/", "Find Churn Risk Customers")</f>
        <v>Find Churn Risk Customers</v>
      </c>
      <c r="C3584" s="1">
        <v>27</v>
      </c>
      <c r="D3584" s="1">
        <v>0</v>
      </c>
      <c r="E3584" s="3">
        <f t="shared" si="28"/>
        <v>1</v>
      </c>
      <c r="G3584" s="1" t="s">
        <v>24</v>
      </c>
      <c r="H3584" s="1">
        <v>3636</v>
      </c>
      <c r="I3584" s="1">
        <v>7305</v>
      </c>
      <c r="J3584" s="7">
        <v>0.498</v>
      </c>
      <c r="K3584" s="1" t="s">
        <v>21</v>
      </c>
      <c r="L3584" s="1" t="s">
        <v>29</v>
      </c>
      <c r="M3584" s="1" t="s">
        <v>29</v>
      </c>
      <c r="N3584" s="1" t="s">
        <v>297</v>
      </c>
      <c r="O3584" s="1" t="str">
        <f t="shared" ca="1" si="29"/>
        <v>Please solve the LeetCode problem '3716. Find Churn Risk Customers'.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85" spans="1:15" x14ac:dyDescent="0.25">
      <c r="A3585" s="1">
        <v>3736</v>
      </c>
      <c r="B3585" s="2" t="str">
        <f>HYPERLINK("https://leetcode.com/problems/minimum-moves-to-equal-array-elements-iii/", "Minimum Moves to Equal Array Elements III")</f>
        <v>Minimum Moves to Equal Array Elements III</v>
      </c>
      <c r="C3585" s="1">
        <v>27</v>
      </c>
      <c r="D3585" s="1">
        <v>2</v>
      </c>
      <c r="E3585" s="3">
        <f t="shared" si="28"/>
        <v>0.93103448275862066</v>
      </c>
      <c r="F3585" s="1" t="s">
        <v>115</v>
      </c>
      <c r="G3585" s="1" t="s">
        <v>20</v>
      </c>
      <c r="H3585" s="1">
        <v>33577</v>
      </c>
      <c r="I3585" s="1">
        <v>41588</v>
      </c>
      <c r="J3585" s="7">
        <v>0.80700000000000005</v>
      </c>
      <c r="K3585" s="1" t="s">
        <v>21</v>
      </c>
      <c r="L3585" s="1" t="s">
        <v>29</v>
      </c>
      <c r="M3585" s="1" t="s">
        <v>29</v>
      </c>
      <c r="N3585" s="1" t="s">
        <v>22</v>
      </c>
      <c r="O3585" s="1" t="str">
        <f t="shared" ca="1" si="29"/>
        <v>Please solve the LeetCode problem '3736. Minimum Moves to Equal Array Elements III'.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86" spans="1:15" x14ac:dyDescent="0.25">
      <c r="A3586" s="1">
        <v>3757</v>
      </c>
      <c r="B3586" s="2" t="str">
        <f>HYPERLINK("https://leetcode.com/problems/number-of-effective-subsequences/", "Number of Effective Subsequences")</f>
        <v>Number of Effective Subsequences</v>
      </c>
      <c r="C3586" s="1">
        <v>27</v>
      </c>
      <c r="D3586" s="1">
        <v>2</v>
      </c>
      <c r="E3586" s="3">
        <f t="shared" si="28"/>
        <v>0.93103448275862066</v>
      </c>
      <c r="F3586" s="1" t="s">
        <v>1305</v>
      </c>
      <c r="G3586" s="1" t="s">
        <v>28</v>
      </c>
      <c r="H3586" s="1">
        <v>2474</v>
      </c>
      <c r="I3586" s="1">
        <v>8321</v>
      </c>
      <c r="J3586" s="7">
        <v>0.29699999999999999</v>
      </c>
      <c r="K3586" s="1" t="s">
        <v>21</v>
      </c>
      <c r="L3586" s="1" t="s">
        <v>29</v>
      </c>
      <c r="M3586" s="1" t="s">
        <v>29</v>
      </c>
      <c r="N3586" s="1" t="s">
        <v>22</v>
      </c>
      <c r="O3586" s="1" t="str">
        <f t="shared" ca="1" si="29"/>
        <v>Please solve the LeetCode problem '3757. Number of Effective Subsequences'.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87" spans="1:15" x14ac:dyDescent="0.25">
      <c r="A3587" s="1">
        <v>1990</v>
      </c>
      <c r="B3587" s="2" t="str">
        <f>HYPERLINK("https://leetcode.com/problems/count-the-number-of-experiments/", "Count the Number of Experiments")</f>
        <v>Count the Number of Experiments</v>
      </c>
      <c r="C3587" s="1">
        <v>26</v>
      </c>
      <c r="D3587" s="1">
        <v>201</v>
      </c>
      <c r="E3587" s="3">
        <f t="shared" si="28"/>
        <v>0.11453744493392071</v>
      </c>
      <c r="F3587" s="1" t="s">
        <v>297</v>
      </c>
      <c r="G3587" s="1" t="s">
        <v>24</v>
      </c>
      <c r="H3587" s="1">
        <v>9567</v>
      </c>
      <c r="I3587" s="1">
        <v>19627</v>
      </c>
      <c r="J3587" s="7">
        <v>0.48699999999999999</v>
      </c>
      <c r="K3587" s="1" t="s">
        <v>29</v>
      </c>
      <c r="L3587" s="1" t="s">
        <v>29</v>
      </c>
      <c r="M3587" s="1" t="s">
        <v>29</v>
      </c>
      <c r="N3587" s="1" t="s">
        <v>297</v>
      </c>
      <c r="O3587" s="1" t="str">
        <f t="shared" ca="1" si="29"/>
        <v>Please solve the LeetCode problem '1990. Count the Number of Experiments'.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88" spans="1:15" x14ac:dyDescent="0.25">
      <c r="A3588" s="1">
        <v>2688</v>
      </c>
      <c r="B3588" s="2" t="str">
        <f>HYPERLINK("https://leetcode.com/problems/find-active-users/", "Find Active Users")</f>
        <v>Find Active Users</v>
      </c>
      <c r="C3588" s="1">
        <v>26</v>
      </c>
      <c r="D3588" s="1">
        <v>8</v>
      </c>
      <c r="E3588" s="3">
        <f t="shared" si="28"/>
        <v>0.76470588235294112</v>
      </c>
      <c r="F3588" s="1" t="s">
        <v>297</v>
      </c>
      <c r="G3588" s="1" t="s">
        <v>24</v>
      </c>
      <c r="H3588" s="1">
        <v>5719</v>
      </c>
      <c r="I3588" s="1">
        <v>12740</v>
      </c>
      <c r="J3588" s="7">
        <v>0.44900000000000001</v>
      </c>
      <c r="K3588" s="1" t="s">
        <v>29</v>
      </c>
      <c r="L3588" s="1" t="s">
        <v>29</v>
      </c>
      <c r="M3588" s="1" t="s">
        <v>29</v>
      </c>
      <c r="N3588" s="1" t="s">
        <v>297</v>
      </c>
      <c r="O3588" s="1" t="str">
        <f t="shared" ca="1" si="29"/>
        <v>Please solve the LeetCode problem '2688. Find Active Users'.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89" spans="1:15" x14ac:dyDescent="0.25">
      <c r="A3589" s="1">
        <v>3374</v>
      </c>
      <c r="B3589" s="2" t="str">
        <f>HYPERLINK("https://leetcode.com/problems/first-letter-capitalization-ii/", "First Letter Capitalization II")</f>
        <v>First Letter Capitalization II</v>
      </c>
      <c r="C3589" s="1">
        <v>26</v>
      </c>
      <c r="D3589" s="1">
        <v>12</v>
      </c>
      <c r="E3589" s="3">
        <f t="shared" si="28"/>
        <v>0.68421052631578949</v>
      </c>
      <c r="F3589" s="1" t="s">
        <v>297</v>
      </c>
      <c r="G3589" s="1" t="s">
        <v>28</v>
      </c>
      <c r="H3589" s="1">
        <v>8529</v>
      </c>
      <c r="I3589" s="1">
        <v>14429</v>
      </c>
      <c r="J3589" s="7">
        <v>0.59099999999999997</v>
      </c>
      <c r="K3589" s="1" t="s">
        <v>21</v>
      </c>
      <c r="L3589" s="1" t="s">
        <v>29</v>
      </c>
      <c r="M3589" s="1" t="s">
        <v>29</v>
      </c>
      <c r="N3589" s="1" t="s">
        <v>297</v>
      </c>
      <c r="O3589" s="1" t="str">
        <f t="shared" ca="1" si="29"/>
        <v>Please solve the LeetCode problem '3374. First Letter Capitalization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90" spans="1:15" x14ac:dyDescent="0.25">
      <c r="A3590" s="1">
        <v>3700</v>
      </c>
      <c r="B3590" s="2" t="str">
        <f>HYPERLINK("https://leetcode.com/problems/number-of-zigzag-arrays-ii/", "Number of ZigZag Arrays II")</f>
        <v>Number of ZigZag Arrays II</v>
      </c>
      <c r="C3590" s="1">
        <v>26</v>
      </c>
      <c r="D3590" s="1">
        <v>4</v>
      </c>
      <c r="E3590" s="3">
        <f t="shared" si="28"/>
        <v>0.8666666666666667</v>
      </c>
      <c r="F3590" s="1" t="s">
        <v>250</v>
      </c>
      <c r="G3590" s="1" t="s">
        <v>28</v>
      </c>
      <c r="H3590" s="1">
        <v>11250</v>
      </c>
      <c r="I3590" s="1">
        <v>20711</v>
      </c>
      <c r="J3590" s="7">
        <v>0.54300000000000004</v>
      </c>
      <c r="K3590" s="1" t="s">
        <v>21</v>
      </c>
      <c r="L3590" s="1" t="s">
        <v>29</v>
      </c>
      <c r="M3590" s="1" t="s">
        <v>29</v>
      </c>
      <c r="N3590" s="1" t="s">
        <v>22</v>
      </c>
      <c r="O3590" s="1" t="str">
        <f t="shared" ca="1" si="29"/>
        <v>Please solve the LeetCode problem '3700. Number of ZigZag Arrays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91" spans="1:15" x14ac:dyDescent="0.25">
      <c r="A3591" s="1">
        <v>2230</v>
      </c>
      <c r="B3591" s="2" t="str">
        <f>HYPERLINK("https://leetcode.com/problems/the-users-that-are-eligible-for-discount/", "The Users That Are Eligible for Discount")</f>
        <v>The Users That Are Eligible for Discount</v>
      </c>
      <c r="C3591" s="1">
        <v>25</v>
      </c>
      <c r="D3591" s="1">
        <v>45</v>
      </c>
      <c r="E3591" s="3">
        <f t="shared" si="28"/>
        <v>0.35714285714285715</v>
      </c>
      <c r="F3591" s="1" t="s">
        <v>297</v>
      </c>
      <c r="G3591" s="1" t="s">
        <v>20</v>
      </c>
      <c r="H3591" s="1">
        <v>7259</v>
      </c>
      <c r="I3591" s="1">
        <v>14347</v>
      </c>
      <c r="J3591" s="7">
        <v>0.50600000000000001</v>
      </c>
      <c r="K3591" s="1" t="s">
        <v>29</v>
      </c>
      <c r="L3591" s="1" t="s">
        <v>29</v>
      </c>
      <c r="M3591" s="1" t="s">
        <v>29</v>
      </c>
      <c r="N3591" s="1" t="s">
        <v>297</v>
      </c>
      <c r="O3591" s="1" t="str">
        <f t="shared" ca="1" si="29"/>
        <v>Please solve the LeetCode problem '2230. The Users That Are Eligible for Discount'.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92" spans="1:15" x14ac:dyDescent="0.25">
      <c r="A3592" s="1">
        <v>2524</v>
      </c>
      <c r="B3592" s="2" t="str">
        <f>HYPERLINK("https://leetcode.com/problems/maximum-frequency-score-of-a-subarray/", "Maximum Frequency Score of a Subarray")</f>
        <v>Maximum Frequency Score of a Subarray</v>
      </c>
      <c r="C3592" s="1">
        <v>25</v>
      </c>
      <c r="D3592" s="1">
        <v>7</v>
      </c>
      <c r="E3592" s="3">
        <f t="shared" si="28"/>
        <v>0.78125</v>
      </c>
      <c r="F3592" s="1" t="s">
        <v>1311</v>
      </c>
      <c r="G3592" s="1" t="s">
        <v>28</v>
      </c>
      <c r="H3592" s="1">
        <v>1612</v>
      </c>
      <c r="I3592" s="1">
        <v>4438</v>
      </c>
      <c r="J3592" s="7">
        <v>0.36299999999999999</v>
      </c>
      <c r="K3592" s="1" t="s">
        <v>29</v>
      </c>
      <c r="L3592" s="1" t="s">
        <v>29</v>
      </c>
      <c r="M3592" s="1" t="s">
        <v>29</v>
      </c>
      <c r="N3592" s="1" t="s">
        <v>22</v>
      </c>
      <c r="O3592" s="1" t="str">
        <f t="shared" ca="1" si="29"/>
        <v>Please solve the LeetCode problem '2524. Maximum Frequency Score of a Subarray'.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93" spans="1:15" x14ac:dyDescent="0.25">
      <c r="A3593" s="1">
        <v>2796</v>
      </c>
      <c r="B3593" s="2" t="str">
        <f>HYPERLINK("https://leetcode.com/problems/repeat-string/", "Repeat String")</f>
        <v>Repeat String</v>
      </c>
      <c r="C3593" s="1">
        <v>25</v>
      </c>
      <c r="D3593" s="1">
        <v>2</v>
      </c>
      <c r="E3593" s="3">
        <f t="shared" si="28"/>
        <v>0.92592592592592593</v>
      </c>
      <c r="G3593" s="1" t="s">
        <v>20</v>
      </c>
      <c r="H3593" s="1">
        <v>3750</v>
      </c>
      <c r="I3593" s="1">
        <v>4029</v>
      </c>
      <c r="J3593" s="7">
        <v>0.93100000000000005</v>
      </c>
      <c r="K3593" s="1" t="s">
        <v>29</v>
      </c>
      <c r="L3593" s="1" t="s">
        <v>21</v>
      </c>
      <c r="M3593" s="1" t="s">
        <v>29</v>
      </c>
      <c r="N3593" s="1" t="s">
        <v>555</v>
      </c>
      <c r="O3593" s="1" t="str">
        <f t="shared" ca="1" si="29"/>
        <v>Please solve the LeetCode problem '2796. Repeat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94" spans="1:15" x14ac:dyDescent="0.25">
      <c r="A3594" s="1">
        <v>2814</v>
      </c>
      <c r="B3594" s="2" t="str">
        <f>HYPERLINK("https://leetcode.com/problems/minimum-time-takes-to-reach-destination-without-drowning/", "Minimum Time Takes to Reach Destination Without Drowning")</f>
        <v>Minimum Time Takes to Reach Destination Without Drowning</v>
      </c>
      <c r="C3594" s="1">
        <v>25</v>
      </c>
      <c r="D3594" s="1">
        <v>2</v>
      </c>
      <c r="E3594" s="3">
        <f t="shared" si="28"/>
        <v>0.92592592592592593</v>
      </c>
      <c r="F3594" s="1" t="s">
        <v>86</v>
      </c>
      <c r="G3594" s="1" t="s">
        <v>28</v>
      </c>
      <c r="H3594" s="1">
        <v>1537</v>
      </c>
      <c r="I3594" s="1">
        <v>2833</v>
      </c>
      <c r="J3594" s="7">
        <v>0.54300000000000004</v>
      </c>
      <c r="K3594" s="1" t="s">
        <v>29</v>
      </c>
      <c r="L3594" s="1" t="s">
        <v>29</v>
      </c>
      <c r="M3594" s="1" t="s">
        <v>29</v>
      </c>
      <c r="N3594" s="1" t="s">
        <v>22</v>
      </c>
      <c r="O3594" s="1" t="str">
        <f t="shared" ca="1" si="29"/>
        <v>Please solve the LeetCode problem '2814. Minimum Time Takes to Reach Destination Without Drowning'.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95" spans="1:15" x14ac:dyDescent="0.25">
      <c r="A3595" s="1">
        <v>2927</v>
      </c>
      <c r="B3595" s="2" t="str">
        <f>HYPERLINK("https://leetcode.com/problems/distribute-candies-among-children-iii/", "Distribute Candies Among Children III")</f>
        <v>Distribute Candies Among Children III</v>
      </c>
      <c r="C3595" s="1">
        <v>25</v>
      </c>
      <c r="D3595" s="1">
        <v>7</v>
      </c>
      <c r="E3595" s="3">
        <f t="shared" si="28"/>
        <v>0.78125</v>
      </c>
      <c r="F3595" s="1" t="s">
        <v>960</v>
      </c>
      <c r="G3595" s="1" t="s">
        <v>28</v>
      </c>
      <c r="H3595" s="1">
        <v>2971</v>
      </c>
      <c r="I3595" s="1">
        <v>5201</v>
      </c>
      <c r="J3595" s="7">
        <v>0.57099999999999995</v>
      </c>
      <c r="K3595" s="1" t="s">
        <v>29</v>
      </c>
      <c r="L3595" s="1" t="s">
        <v>21</v>
      </c>
      <c r="M3595" s="1" t="s">
        <v>29</v>
      </c>
      <c r="N3595" s="1" t="s">
        <v>22</v>
      </c>
      <c r="O3595" s="1" t="str">
        <f t="shared" ca="1" si="29"/>
        <v>Please solve the LeetCode problem '2927. Distribute Candies Among Children III'.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96" spans="1:15" x14ac:dyDescent="0.25">
      <c r="A3596" s="1">
        <v>3673</v>
      </c>
      <c r="B3596" s="2" t="str">
        <f>HYPERLINK("https://leetcode.com/problems/find-zombie-sessions/", "Find Zombie Sessions")</f>
        <v>Find Zombie Sessions</v>
      </c>
      <c r="C3596" s="1">
        <v>25</v>
      </c>
      <c r="D3596" s="1">
        <v>2</v>
      </c>
      <c r="E3596" s="3">
        <f t="shared" si="28"/>
        <v>0.92592592592592593</v>
      </c>
      <c r="G3596" s="1" t="s">
        <v>28</v>
      </c>
      <c r="H3596" s="1">
        <v>3967</v>
      </c>
      <c r="I3596" s="1">
        <v>8028</v>
      </c>
      <c r="J3596" s="7">
        <v>0.49399999999999999</v>
      </c>
      <c r="K3596" s="1" t="s">
        <v>21</v>
      </c>
      <c r="L3596" s="1" t="s">
        <v>29</v>
      </c>
      <c r="M3596" s="1" t="s">
        <v>29</v>
      </c>
      <c r="N3596" s="1" t="s">
        <v>297</v>
      </c>
      <c r="O3596" s="1" t="str">
        <f t="shared" ca="1" si="29"/>
        <v>Please solve the LeetCode problem '3673. Find Zombie Sessions'.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97" spans="1:15" x14ac:dyDescent="0.25">
      <c r="A3597" s="1">
        <v>2118</v>
      </c>
      <c r="B3597" s="2" t="str">
        <f>HYPERLINK("https://leetcode.com/problems/build-the-equation/", "Build the Equation")</f>
        <v>Build the Equation</v>
      </c>
      <c r="C3597" s="1">
        <v>24</v>
      </c>
      <c r="D3597" s="1">
        <v>38</v>
      </c>
      <c r="E3597" s="3">
        <f t="shared" si="28"/>
        <v>0.38709677419354838</v>
      </c>
      <c r="F3597" s="1" t="s">
        <v>297</v>
      </c>
      <c r="G3597" s="1" t="s">
        <v>28</v>
      </c>
      <c r="H3597" s="1">
        <v>3652</v>
      </c>
      <c r="I3597" s="1">
        <v>6438</v>
      </c>
      <c r="J3597" s="7">
        <v>0.56699999999999995</v>
      </c>
      <c r="K3597" s="1" t="s">
        <v>29</v>
      </c>
      <c r="L3597" s="1" t="s">
        <v>29</v>
      </c>
      <c r="M3597" s="1" t="s">
        <v>29</v>
      </c>
      <c r="N3597" s="1" t="s">
        <v>297</v>
      </c>
      <c r="O3597" s="1" t="str">
        <f t="shared" ca="1" si="29"/>
        <v>Please solve the LeetCode problem '2118. Build the Equation'.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98" spans="1:15" x14ac:dyDescent="0.25">
      <c r="A3598" s="1">
        <v>2792</v>
      </c>
      <c r="B3598" s="2" t="str">
        <f>HYPERLINK("https://leetcode.com/problems/count-nodes-that-are-great-enough/", "Count Nodes That Are Great Enough")</f>
        <v>Count Nodes That Are Great Enough</v>
      </c>
      <c r="C3598" s="1">
        <v>24</v>
      </c>
      <c r="D3598" s="1">
        <v>0</v>
      </c>
      <c r="E3598" s="3">
        <f t="shared" si="28"/>
        <v>1</v>
      </c>
      <c r="F3598" s="1" t="s">
        <v>1312</v>
      </c>
      <c r="G3598" s="1" t="s">
        <v>28</v>
      </c>
      <c r="H3598" s="1">
        <v>1354</v>
      </c>
      <c r="I3598" s="1">
        <v>2392</v>
      </c>
      <c r="J3598" s="7">
        <v>0.56599999999999995</v>
      </c>
      <c r="K3598" s="1" t="s">
        <v>29</v>
      </c>
      <c r="L3598" s="1" t="s">
        <v>29</v>
      </c>
      <c r="M3598" s="1" t="s">
        <v>29</v>
      </c>
      <c r="N3598" s="1" t="s">
        <v>22</v>
      </c>
      <c r="O3598" s="1" t="str">
        <f t="shared" ca="1" si="29"/>
        <v>Please solve the LeetCode problem '2792. Count Nodes That Are Great Enough'.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599" spans="1:15" x14ac:dyDescent="0.25">
      <c r="A3599" s="1">
        <v>2936</v>
      </c>
      <c r="B3599" s="2" t="str">
        <f>HYPERLINK("https://leetcode.com/problems/number-of-equal-numbers-blocks/", "Number of Equal Numbers Blocks")</f>
        <v>Number of Equal Numbers Blocks</v>
      </c>
      <c r="C3599" s="1">
        <v>24</v>
      </c>
      <c r="D3599" s="1">
        <v>8</v>
      </c>
      <c r="E3599" s="3">
        <f t="shared" si="28"/>
        <v>0.75</v>
      </c>
      <c r="F3599" s="1" t="s">
        <v>341</v>
      </c>
      <c r="G3599" s="1" t="s">
        <v>24</v>
      </c>
      <c r="H3599" s="1">
        <v>2363</v>
      </c>
      <c r="I3599" s="1">
        <v>3791</v>
      </c>
      <c r="J3599" s="7">
        <v>0.623</v>
      </c>
      <c r="K3599" s="1" t="s">
        <v>29</v>
      </c>
      <c r="L3599" s="1" t="s">
        <v>29</v>
      </c>
      <c r="M3599" s="1" t="s">
        <v>29</v>
      </c>
      <c r="N3599" s="1" t="s">
        <v>22</v>
      </c>
      <c r="O3599" s="1" t="str">
        <f t="shared" ca="1" si="29"/>
        <v>Please solve the LeetCode problem '2936. Number of Equal Numbers Blocks'.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00" spans="1:15" x14ac:dyDescent="0.25">
      <c r="A3600" s="1">
        <v>3004</v>
      </c>
      <c r="B3600" s="2" t="str">
        <f>HYPERLINK("https://leetcode.com/problems/maximum-subtree-of-the-same-color/", "Maximum Subtree of the Same Color")</f>
        <v>Maximum Subtree of the Same Color</v>
      </c>
      <c r="C3600" s="1">
        <v>24</v>
      </c>
      <c r="D3600" s="1">
        <v>0</v>
      </c>
      <c r="E3600" s="3">
        <f t="shared" si="28"/>
        <v>1</v>
      </c>
      <c r="F3600" s="1" t="s">
        <v>939</v>
      </c>
      <c r="G3600" s="1" t="s">
        <v>24</v>
      </c>
      <c r="H3600" s="1">
        <v>2290</v>
      </c>
      <c r="I3600" s="1">
        <v>3951</v>
      </c>
      <c r="J3600" s="7">
        <v>0.57999999999999996</v>
      </c>
      <c r="K3600" s="1" t="s">
        <v>29</v>
      </c>
      <c r="L3600" s="1" t="s">
        <v>29</v>
      </c>
      <c r="M3600" s="1" t="s">
        <v>29</v>
      </c>
      <c r="N3600" s="1" t="s">
        <v>22</v>
      </c>
      <c r="O3600" s="1" t="str">
        <f t="shared" ca="1" si="29"/>
        <v>Please solve the LeetCode problem '3004. Maximum Subtree of the Same Color'.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01" spans="1:15" x14ac:dyDescent="0.25">
      <c r="A3601" s="1">
        <v>3173</v>
      </c>
      <c r="B3601" s="2" t="str">
        <f>HYPERLINK("https://leetcode.com/problems/bitwise-or-of-adjacent-elements/", "Bitwise OR of Adjacent Elements")</f>
        <v>Bitwise OR of Adjacent Elements</v>
      </c>
      <c r="C3601" s="1">
        <v>24</v>
      </c>
      <c r="D3601" s="1">
        <v>2</v>
      </c>
      <c r="E3601" s="3">
        <f t="shared" si="28"/>
        <v>0.92307692307692313</v>
      </c>
      <c r="F3601" s="1" t="s">
        <v>65</v>
      </c>
      <c r="G3601" s="1" t="s">
        <v>20</v>
      </c>
      <c r="H3601" s="1">
        <v>6231</v>
      </c>
      <c r="I3601" s="1">
        <v>6572</v>
      </c>
      <c r="J3601" s="7">
        <v>0.94799999999999995</v>
      </c>
      <c r="K3601" s="1" t="s">
        <v>29</v>
      </c>
      <c r="L3601" s="1" t="s">
        <v>29</v>
      </c>
      <c r="M3601" s="1" t="s">
        <v>29</v>
      </c>
      <c r="N3601" s="1" t="s">
        <v>22</v>
      </c>
      <c r="O3601" s="1" t="str">
        <f t="shared" ca="1" si="29"/>
        <v>Please solve the LeetCode problem '3173. Bitwise OR of Adjacent Elements'.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02" spans="1:15" x14ac:dyDescent="0.25">
      <c r="A3602" s="1">
        <v>3395</v>
      </c>
      <c r="B3602" s="2" t="str">
        <f>HYPERLINK("https://leetcode.com/problems/subsequences-with-a-unique-middle-mode-i/", "Subsequences with a Unique Middle Mode I")</f>
        <v>Subsequences with a Unique Middle Mode I</v>
      </c>
      <c r="C3602" s="1">
        <v>24</v>
      </c>
      <c r="D3602" s="1">
        <v>25</v>
      </c>
      <c r="E3602" s="3">
        <f t="shared" si="28"/>
        <v>0.48979591836734693</v>
      </c>
      <c r="F3602" s="1" t="s">
        <v>1041</v>
      </c>
      <c r="G3602" s="1" t="s">
        <v>28</v>
      </c>
      <c r="H3602" s="1">
        <v>2558</v>
      </c>
      <c r="I3602" s="1">
        <v>12494</v>
      </c>
      <c r="J3602" s="7">
        <v>0.20499999999999999</v>
      </c>
      <c r="K3602" s="1" t="s">
        <v>21</v>
      </c>
      <c r="L3602" s="1" t="s">
        <v>29</v>
      </c>
      <c r="M3602" s="1" t="s">
        <v>29</v>
      </c>
      <c r="N3602" s="1" t="s">
        <v>22</v>
      </c>
      <c r="O3602" s="1" t="str">
        <f t="shared" ca="1" si="29"/>
        <v>Please solve the LeetCode problem '3395. Subsequences with a Unique Middle Mode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03" spans="1:15" x14ac:dyDescent="0.25">
      <c r="A3603" s="1">
        <v>3764</v>
      </c>
      <c r="B3603" s="2" t="str">
        <f>HYPERLINK("https://leetcode.com/problems/most-common-course-pairs/", "Most Common Course Pairs")</f>
        <v>Most Common Course Pairs</v>
      </c>
      <c r="C3603" s="1">
        <v>24</v>
      </c>
      <c r="D3603" s="1">
        <v>1</v>
      </c>
      <c r="E3603" s="3">
        <f t="shared" si="28"/>
        <v>0.96</v>
      </c>
      <c r="G3603" s="1" t="s">
        <v>28</v>
      </c>
      <c r="H3603" s="1">
        <v>1474</v>
      </c>
      <c r="I3603" s="1">
        <v>2785</v>
      </c>
      <c r="J3603" s="7">
        <v>0.52900000000000003</v>
      </c>
      <c r="K3603" s="1" t="s">
        <v>21</v>
      </c>
      <c r="L3603" s="1" t="s">
        <v>29</v>
      </c>
      <c r="M3603" s="1" t="s">
        <v>29</v>
      </c>
      <c r="N3603" s="1" t="s">
        <v>297</v>
      </c>
      <c r="O3603" s="1" t="str">
        <f t="shared" ca="1" si="29"/>
        <v>Please solve the LeetCode problem '3764. Most Common Course Pairs'.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04" spans="1:15" x14ac:dyDescent="0.25">
      <c r="A3604" s="1">
        <v>3794</v>
      </c>
      <c r="B3604" s="2" t="str">
        <f>HYPERLINK("https://leetcode.com/problems/reverse-string-prefix/", "Reverse String Prefix")</f>
        <v>Reverse String Prefix</v>
      </c>
      <c r="C3604" s="1">
        <v>24</v>
      </c>
      <c r="D3604" s="1">
        <v>1</v>
      </c>
      <c r="E3604" s="3">
        <f t="shared" si="28"/>
        <v>0.96</v>
      </c>
      <c r="F3604" s="1" t="s">
        <v>117</v>
      </c>
      <c r="G3604" s="1" t="s">
        <v>20</v>
      </c>
      <c r="H3604" s="1">
        <v>42962</v>
      </c>
      <c r="I3604" s="1">
        <v>48104</v>
      </c>
      <c r="J3604" s="7">
        <v>0.89300000000000002</v>
      </c>
      <c r="K3604" s="1" t="s">
        <v>21</v>
      </c>
      <c r="L3604" s="1" t="s">
        <v>29</v>
      </c>
      <c r="M3604" s="1" t="s">
        <v>29</v>
      </c>
      <c r="N3604" s="1" t="s">
        <v>22</v>
      </c>
      <c r="O3604" s="1" t="str">
        <f t="shared" ca="1" si="29"/>
        <v>Please solve the LeetCode problem '3794. Reverse String Prefix'.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05" spans="1:15" x14ac:dyDescent="0.25">
      <c r="A3605" s="1">
        <v>2687</v>
      </c>
      <c r="B3605" s="2" t="str">
        <f>HYPERLINK("https://leetcode.com/problems/bikes-last-time-used/", "Bikes Last Time Used ")</f>
        <v xml:space="preserve">Bikes Last Time Used </v>
      </c>
      <c r="C3605" s="1">
        <v>23</v>
      </c>
      <c r="D3605" s="1">
        <v>3</v>
      </c>
      <c r="E3605" s="3">
        <f t="shared" si="28"/>
        <v>0.88461538461538458</v>
      </c>
      <c r="F3605" s="1" t="s">
        <v>297</v>
      </c>
      <c r="G3605" s="1" t="s">
        <v>20</v>
      </c>
      <c r="H3605" s="1">
        <v>6152</v>
      </c>
      <c r="I3605" s="1">
        <v>7632</v>
      </c>
      <c r="J3605" s="7">
        <v>0.80600000000000005</v>
      </c>
      <c r="K3605" s="1" t="s">
        <v>29</v>
      </c>
      <c r="L3605" s="1" t="s">
        <v>29</v>
      </c>
      <c r="M3605" s="1" t="s">
        <v>29</v>
      </c>
      <c r="N3605" s="1" t="s">
        <v>297</v>
      </c>
      <c r="O3605" s="1" t="str">
        <f t="shared" ca="1" si="29"/>
        <v>Please solve the LeetCode problem '2687. Bikes Last Time Used 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06" spans="1:15" x14ac:dyDescent="0.25">
      <c r="A3606" s="1">
        <v>2893</v>
      </c>
      <c r="B3606" s="2" t="str">
        <f>HYPERLINK("https://leetcode.com/problems/calculate-orders-within-each-interval/", "Calculate Orders Within Each Interval")</f>
        <v>Calculate Orders Within Each Interval</v>
      </c>
      <c r="C3606" s="1">
        <v>23</v>
      </c>
      <c r="D3606" s="1">
        <v>3</v>
      </c>
      <c r="E3606" s="3">
        <f t="shared" si="28"/>
        <v>0.88461538461538458</v>
      </c>
      <c r="F3606" s="1" t="s">
        <v>297</v>
      </c>
      <c r="G3606" s="1" t="s">
        <v>24</v>
      </c>
      <c r="H3606" s="1">
        <v>4023</v>
      </c>
      <c r="I3606" s="1">
        <v>5973</v>
      </c>
      <c r="J3606" s="7">
        <v>0.67400000000000004</v>
      </c>
      <c r="K3606" s="1" t="s">
        <v>29</v>
      </c>
      <c r="L3606" s="1" t="s">
        <v>29</v>
      </c>
      <c r="M3606" s="1" t="s">
        <v>29</v>
      </c>
      <c r="N3606" s="1" t="s">
        <v>297</v>
      </c>
      <c r="O3606" s="1" t="str">
        <f t="shared" ca="1" si="29"/>
        <v>Please solve the LeetCode problem '2893. Calculate Orders Within Each Interval'.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07" spans="1:15" x14ac:dyDescent="0.25">
      <c r="A3607" s="1">
        <v>2898</v>
      </c>
      <c r="B3607" s="2" t="str">
        <f>HYPERLINK("https://leetcode.com/problems/maximum-linear-stock-score/", "Maximum Linear Stock Score")</f>
        <v>Maximum Linear Stock Score</v>
      </c>
      <c r="C3607" s="1">
        <v>23</v>
      </c>
      <c r="D3607" s="1">
        <v>4</v>
      </c>
      <c r="E3607" s="3">
        <f t="shared" si="28"/>
        <v>0.85185185185185186</v>
      </c>
      <c r="F3607" s="1" t="s">
        <v>19</v>
      </c>
      <c r="G3607" s="1" t="s">
        <v>24</v>
      </c>
      <c r="H3607" s="1">
        <v>1276</v>
      </c>
      <c r="I3607" s="1">
        <v>2100</v>
      </c>
      <c r="J3607" s="7">
        <v>0.60799999999999998</v>
      </c>
      <c r="K3607" s="1" t="s">
        <v>29</v>
      </c>
      <c r="L3607" s="1" t="s">
        <v>29</v>
      </c>
      <c r="M3607" s="1" t="s">
        <v>29</v>
      </c>
      <c r="N3607" s="1" t="s">
        <v>22</v>
      </c>
      <c r="O3607" s="1" t="str">
        <f t="shared" ca="1" si="29"/>
        <v>Please solve the LeetCode problem '2898. Maximum Linear Stock Score'.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08" spans="1:15" x14ac:dyDescent="0.25">
      <c r="A3608" s="1">
        <v>3501</v>
      </c>
      <c r="B3608" s="2" t="str">
        <f>HYPERLINK("https://leetcode.com/problems/maximize-active-section-with-trade-ii/", "Maximize Active Section with Trade II")</f>
        <v>Maximize Active Section with Trade II</v>
      </c>
      <c r="C3608" s="1">
        <v>23</v>
      </c>
      <c r="D3608" s="1">
        <v>8</v>
      </c>
      <c r="E3608" s="3">
        <f t="shared" si="28"/>
        <v>0.74193548387096775</v>
      </c>
      <c r="F3608" s="1" t="s">
        <v>1313</v>
      </c>
      <c r="G3608" s="1" t="s">
        <v>28</v>
      </c>
      <c r="H3608" s="1">
        <v>1638</v>
      </c>
      <c r="I3608" s="1">
        <v>8183</v>
      </c>
      <c r="J3608" s="7">
        <v>0.2</v>
      </c>
      <c r="K3608" s="1" t="s">
        <v>21</v>
      </c>
      <c r="L3608" s="1" t="s">
        <v>29</v>
      </c>
      <c r="M3608" s="1" t="s">
        <v>29</v>
      </c>
      <c r="N3608" s="1" t="s">
        <v>22</v>
      </c>
      <c r="O3608" s="1" t="str">
        <f t="shared" ca="1" si="29"/>
        <v>Please solve the LeetCode problem '3501. Maximize Active Section with Trade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09" spans="1:15" x14ac:dyDescent="0.25">
      <c r="A3609" s="1">
        <v>2774</v>
      </c>
      <c r="B3609" s="2" t="str">
        <f>HYPERLINK("https://leetcode.com/problems/array-upper-bound/", "Array Upper Bound")</f>
        <v>Array Upper Bound</v>
      </c>
      <c r="C3609" s="1">
        <v>22</v>
      </c>
      <c r="D3609" s="1">
        <v>2</v>
      </c>
      <c r="E3609" s="3">
        <f t="shared" si="28"/>
        <v>0.91666666666666663</v>
      </c>
      <c r="G3609" s="1" t="s">
        <v>20</v>
      </c>
      <c r="H3609" s="1">
        <v>2221</v>
      </c>
      <c r="I3609" s="1">
        <v>2710</v>
      </c>
      <c r="J3609" s="7">
        <v>0.82</v>
      </c>
      <c r="K3609" s="1" t="s">
        <v>29</v>
      </c>
      <c r="L3609" s="1" t="s">
        <v>21</v>
      </c>
      <c r="M3609" s="1" t="s">
        <v>29</v>
      </c>
      <c r="N3609" s="1" t="s">
        <v>555</v>
      </c>
      <c r="O3609" s="1" t="str">
        <f t="shared" ca="1" si="29"/>
        <v>Please solve the LeetCode problem '2774. Array Upper Bound'.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10" spans="1:15" x14ac:dyDescent="0.25">
      <c r="A3610" s="1">
        <v>2979</v>
      </c>
      <c r="B3610" s="2" t="str">
        <f>HYPERLINK("https://leetcode.com/problems/most-expensive-item-that-can-not-be-bought/", "Most Expensive Item That Can Not Be Bought")</f>
        <v>Most Expensive Item That Can Not Be Bought</v>
      </c>
      <c r="C3610" s="1">
        <v>22</v>
      </c>
      <c r="D3610" s="1">
        <v>27</v>
      </c>
      <c r="E3610" s="3">
        <f t="shared" si="28"/>
        <v>0.44897959183673469</v>
      </c>
      <c r="F3610" s="1" t="s">
        <v>1314</v>
      </c>
      <c r="G3610" s="1" t="s">
        <v>24</v>
      </c>
      <c r="H3610" s="1">
        <v>6335</v>
      </c>
      <c r="I3610" s="1">
        <v>7887</v>
      </c>
      <c r="J3610" s="7">
        <v>0.80300000000000005</v>
      </c>
      <c r="K3610" s="1" t="s">
        <v>29</v>
      </c>
      <c r="L3610" s="1" t="s">
        <v>29</v>
      </c>
      <c r="M3610" s="1" t="s">
        <v>29</v>
      </c>
      <c r="N3610" s="1" t="s">
        <v>22</v>
      </c>
      <c r="O3610" s="1" t="str">
        <f t="shared" ca="1" si="29"/>
        <v>Please solve the LeetCode problem '2979. Most Expensive Item That Can Not Be Bought'.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11" spans="1:15" x14ac:dyDescent="0.25">
      <c r="A3611" s="1">
        <v>3073</v>
      </c>
      <c r="B3611" s="2" t="str">
        <f>HYPERLINK("https://leetcode.com/problems/maximum-increasing-triplet-value/", "Maximum Increasing Triplet Value")</f>
        <v>Maximum Increasing Triplet Value</v>
      </c>
      <c r="C3611" s="1">
        <v>22</v>
      </c>
      <c r="D3611" s="1">
        <v>7</v>
      </c>
      <c r="E3611" s="3">
        <f t="shared" si="28"/>
        <v>0.75862068965517238</v>
      </c>
      <c r="F3611" s="1" t="s">
        <v>1315</v>
      </c>
      <c r="G3611" s="1" t="s">
        <v>24</v>
      </c>
      <c r="H3611" s="1">
        <v>1303</v>
      </c>
      <c r="I3611" s="1">
        <v>3658</v>
      </c>
      <c r="J3611" s="7">
        <v>0.35599999999999998</v>
      </c>
      <c r="K3611" s="1" t="s">
        <v>29</v>
      </c>
      <c r="L3611" s="1" t="s">
        <v>29</v>
      </c>
      <c r="M3611" s="1" t="s">
        <v>29</v>
      </c>
      <c r="N3611" s="1" t="s">
        <v>22</v>
      </c>
      <c r="O3611" s="1" t="str">
        <f t="shared" ca="1" si="29"/>
        <v>Please solve the LeetCode problem '3073. Maximum Increasing Triplet Value'.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12" spans="1:15" x14ac:dyDescent="0.25">
      <c r="A3612" s="1">
        <v>3569</v>
      </c>
      <c r="B3612" s="2" t="str">
        <f>HYPERLINK("https://leetcode.com/problems/maximize-count-of-distinct-primes-after-split/", "Maximize Count of Distinct Primes After Split")</f>
        <v>Maximize Count of Distinct Primes After Split</v>
      </c>
      <c r="C3612" s="1">
        <v>22</v>
      </c>
      <c r="D3612" s="1">
        <v>5</v>
      </c>
      <c r="E3612" s="3">
        <f t="shared" si="28"/>
        <v>0.81481481481481477</v>
      </c>
      <c r="F3612" s="1" t="s">
        <v>1316</v>
      </c>
      <c r="G3612" s="1" t="s">
        <v>28</v>
      </c>
      <c r="H3612" s="1">
        <v>2668</v>
      </c>
      <c r="I3612" s="1">
        <v>15022</v>
      </c>
      <c r="J3612" s="7">
        <v>0.17799999999999999</v>
      </c>
      <c r="K3612" s="1" t="s">
        <v>21</v>
      </c>
      <c r="L3612" s="1" t="s">
        <v>29</v>
      </c>
      <c r="M3612" s="1" t="s">
        <v>29</v>
      </c>
      <c r="N3612" s="1" t="s">
        <v>22</v>
      </c>
      <c r="O3612" s="1" t="str">
        <f t="shared" ca="1" si="29"/>
        <v>Please solve the LeetCode problem '3569. Maximize Count of Distinct Primes After Split'.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13" spans="1:15" x14ac:dyDescent="0.25">
      <c r="A3613" s="1">
        <v>2847</v>
      </c>
      <c r="B3613" s="2" t="str">
        <f>HYPERLINK("https://leetcode.com/problems/smallest-number-with-given-digit-product/", "Smallest Number With Given Digit Product")</f>
        <v>Smallest Number With Given Digit Product</v>
      </c>
      <c r="C3613" s="1">
        <v>21</v>
      </c>
      <c r="D3613" s="1">
        <v>1</v>
      </c>
      <c r="E3613" s="3">
        <f t="shared" si="28"/>
        <v>0.95454545454545459</v>
      </c>
      <c r="F3613" s="1" t="s">
        <v>296</v>
      </c>
      <c r="G3613" s="1" t="s">
        <v>24</v>
      </c>
      <c r="H3613" s="1">
        <v>1347</v>
      </c>
      <c r="I3613" s="1">
        <v>3113</v>
      </c>
      <c r="J3613" s="7">
        <v>0.433</v>
      </c>
      <c r="K3613" s="1" t="s">
        <v>29</v>
      </c>
      <c r="L3613" s="1" t="s">
        <v>29</v>
      </c>
      <c r="M3613" s="1" t="s">
        <v>29</v>
      </c>
      <c r="N3613" s="1" t="s">
        <v>22</v>
      </c>
      <c r="O3613" s="1" t="str">
        <f t="shared" ca="1" si="29"/>
        <v>Please solve the LeetCode problem '2847. Smallest Number With Given Digit Product'.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14" spans="1:15" x14ac:dyDescent="0.25">
      <c r="A3614" s="1">
        <v>2969</v>
      </c>
      <c r="B3614" s="2" t="str">
        <f>HYPERLINK("https://leetcode.com/problems/minimum-number-of-coins-for-fruits-ii/", "Minimum Number of Coins for Fruits II")</f>
        <v>Minimum Number of Coins for Fruits II</v>
      </c>
      <c r="C3614" s="1">
        <v>21</v>
      </c>
      <c r="D3614" s="1">
        <v>0</v>
      </c>
      <c r="E3614" s="3">
        <f t="shared" si="28"/>
        <v>1</v>
      </c>
      <c r="F3614" s="1" t="s">
        <v>345</v>
      </c>
      <c r="G3614" s="1" t="s">
        <v>28</v>
      </c>
      <c r="H3614" s="1">
        <v>937</v>
      </c>
      <c r="I3614" s="1">
        <v>2003</v>
      </c>
      <c r="J3614" s="7">
        <v>0.46800000000000003</v>
      </c>
      <c r="K3614" s="1" t="s">
        <v>29</v>
      </c>
      <c r="L3614" s="1" t="s">
        <v>29</v>
      </c>
      <c r="M3614" s="1" t="s">
        <v>29</v>
      </c>
      <c r="N3614" s="1" t="s">
        <v>22</v>
      </c>
      <c r="O3614" s="1" t="str">
        <f t="shared" ca="1" si="29"/>
        <v>Please solve the LeetCode problem '2969. Minimum Number of Coins for Fruits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15" spans="1:15" x14ac:dyDescent="0.25">
      <c r="A3615" s="1">
        <v>2992</v>
      </c>
      <c r="B3615" s="2" t="str">
        <f>HYPERLINK("https://leetcode.com/problems/number-of-self-divisible-permutations/", "Number of Self-Divisible Permutations")</f>
        <v>Number of Self-Divisible Permutations</v>
      </c>
      <c r="C3615" s="1">
        <v>21</v>
      </c>
      <c r="D3615" s="1">
        <v>0</v>
      </c>
      <c r="E3615" s="3">
        <f t="shared" si="28"/>
        <v>1</v>
      </c>
      <c r="F3615" s="1" t="s">
        <v>1361</v>
      </c>
      <c r="G3615" s="1" t="s">
        <v>24</v>
      </c>
      <c r="H3615" s="1">
        <v>2139</v>
      </c>
      <c r="I3615" s="1">
        <v>2988</v>
      </c>
      <c r="J3615" s="7">
        <v>0.71599999999999997</v>
      </c>
      <c r="K3615" s="1" t="s">
        <v>29</v>
      </c>
      <c r="L3615" s="1" t="s">
        <v>29</v>
      </c>
      <c r="M3615" s="1" t="s">
        <v>29</v>
      </c>
      <c r="N3615" s="1" t="s">
        <v>22</v>
      </c>
      <c r="O3615" s="1" t="str">
        <f t="shared" ca="1" si="29"/>
        <v>Please solve the LeetCode problem '2992. Number of Self-Divisible Permutations'.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16" spans="1:15" x14ac:dyDescent="0.25">
      <c r="A3616" s="1">
        <v>2668</v>
      </c>
      <c r="B3616" s="2" t="str">
        <f>HYPERLINK("https://leetcode.com/problems/find-latest-salaries/", "Find Latest Salaries")</f>
        <v>Find Latest Salaries</v>
      </c>
      <c r="C3616" s="1">
        <v>20</v>
      </c>
      <c r="D3616" s="1">
        <v>18</v>
      </c>
      <c r="E3616" s="3">
        <f t="shared" si="28"/>
        <v>0.52631578947368418</v>
      </c>
      <c r="F3616" s="1" t="s">
        <v>297</v>
      </c>
      <c r="G3616" s="1" t="s">
        <v>20</v>
      </c>
      <c r="H3616" s="1">
        <v>6467</v>
      </c>
      <c r="I3616" s="1">
        <v>8623</v>
      </c>
      <c r="J3616" s="7">
        <v>0.75</v>
      </c>
      <c r="K3616" s="1" t="s">
        <v>29</v>
      </c>
      <c r="L3616" s="1" t="s">
        <v>21</v>
      </c>
      <c r="M3616" s="1" t="s">
        <v>29</v>
      </c>
      <c r="N3616" s="1" t="s">
        <v>297</v>
      </c>
      <c r="O3616" s="1" t="str">
        <f t="shared" ca="1" si="29"/>
        <v>Please solve the LeetCode problem '2668. Find Latest Salaries'.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17" spans="1:15" x14ac:dyDescent="0.25">
      <c r="A3617" s="1">
        <v>2783</v>
      </c>
      <c r="B3617" s="2" t="str">
        <f>HYPERLINK("https://leetcode.com/problems/flight-occupancy-and-waitlist-analysis/", "Flight Occupancy and Waitlist Analysis")</f>
        <v>Flight Occupancy and Waitlist Analysis</v>
      </c>
      <c r="C3617" s="1">
        <v>20</v>
      </c>
      <c r="D3617" s="1">
        <v>8</v>
      </c>
      <c r="E3617" s="3">
        <f t="shared" si="28"/>
        <v>0.7142857142857143</v>
      </c>
      <c r="F3617" s="1" t="s">
        <v>297</v>
      </c>
      <c r="G3617" s="1" t="s">
        <v>24</v>
      </c>
      <c r="H3617" s="1">
        <v>4765</v>
      </c>
      <c r="I3617" s="1">
        <v>12334</v>
      </c>
      <c r="J3617" s="7">
        <v>0.38600000000000001</v>
      </c>
      <c r="K3617" s="1" t="s">
        <v>29</v>
      </c>
      <c r="L3617" s="1" t="s">
        <v>21</v>
      </c>
      <c r="M3617" s="1" t="s">
        <v>29</v>
      </c>
      <c r="N3617" s="1" t="s">
        <v>297</v>
      </c>
      <c r="O3617" s="1" t="str">
        <f t="shared" ca="1" si="29"/>
        <v>Please solve the LeetCode problem '2783. Flight Occupancy and Waitlist Analysis'.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18" spans="1:15" x14ac:dyDescent="0.25">
      <c r="A3618" s="1">
        <v>2803</v>
      </c>
      <c r="B3618" s="2" t="str">
        <f>HYPERLINK("https://leetcode.com/problems/factorial-generator/", "Factorial Generator")</f>
        <v>Factorial Generator</v>
      </c>
      <c r="C3618" s="1">
        <v>20</v>
      </c>
      <c r="D3618" s="1">
        <v>1</v>
      </c>
      <c r="E3618" s="3">
        <f t="shared" si="28"/>
        <v>0.95238095238095233</v>
      </c>
      <c r="G3618" s="1" t="s">
        <v>20</v>
      </c>
      <c r="H3618" s="1">
        <v>1528</v>
      </c>
      <c r="I3618" s="1">
        <v>1772</v>
      </c>
      <c r="J3618" s="7">
        <v>0.86199999999999999</v>
      </c>
      <c r="K3618" s="1" t="s">
        <v>29</v>
      </c>
      <c r="L3618" s="1" t="s">
        <v>21</v>
      </c>
      <c r="M3618" s="1" t="s">
        <v>29</v>
      </c>
      <c r="N3618" s="1" t="s">
        <v>555</v>
      </c>
      <c r="O3618" s="1" t="str">
        <f t="shared" ca="1" si="29"/>
        <v>Please solve the LeetCode problem '2803. Factorial Generator'.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19" spans="1:15" x14ac:dyDescent="0.25">
      <c r="A3619" s="1">
        <v>2907</v>
      </c>
      <c r="B3619" s="2" t="str">
        <f>HYPERLINK("https://leetcode.com/problems/maximum-profitable-triplets-with-increasing-prices-i/", "Maximum Profitable Triplets With Increasing Prices I")</f>
        <v>Maximum Profitable Triplets With Increasing Prices I</v>
      </c>
      <c r="C3619" s="1">
        <v>20</v>
      </c>
      <c r="D3619" s="1">
        <v>1</v>
      </c>
      <c r="E3619" s="3">
        <f t="shared" si="28"/>
        <v>0.95238095238095233</v>
      </c>
      <c r="F3619" s="1" t="s">
        <v>1145</v>
      </c>
      <c r="G3619" s="1" t="s">
        <v>24</v>
      </c>
      <c r="H3619" s="1">
        <v>1786</v>
      </c>
      <c r="I3619" s="1">
        <v>3246</v>
      </c>
      <c r="J3619" s="7">
        <v>0.55000000000000004</v>
      </c>
      <c r="K3619" s="1" t="s">
        <v>29</v>
      </c>
      <c r="L3619" s="1" t="s">
        <v>29</v>
      </c>
      <c r="M3619" s="1" t="s">
        <v>29</v>
      </c>
      <c r="N3619" s="1" t="s">
        <v>22</v>
      </c>
      <c r="O3619" s="1" t="str">
        <f t="shared" ca="1" si="29"/>
        <v>Please solve the LeetCode problem '2907. Maximum Profitable Triplets With Increasing Prices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20" spans="1:15" x14ac:dyDescent="0.25">
      <c r="A3620" s="1">
        <v>2922</v>
      </c>
      <c r="B3620" s="2" t="str">
        <f>HYPERLINK("https://leetcode.com/problems/market-analysis-iii/", "Market Analysis III")</f>
        <v>Market Analysis III</v>
      </c>
      <c r="C3620" s="1">
        <v>20</v>
      </c>
      <c r="D3620" s="1">
        <v>5</v>
      </c>
      <c r="E3620" s="3">
        <f t="shared" si="28"/>
        <v>0.8</v>
      </c>
      <c r="F3620" s="1" t="s">
        <v>297</v>
      </c>
      <c r="G3620" s="1" t="s">
        <v>24</v>
      </c>
      <c r="H3620" s="1">
        <v>3834</v>
      </c>
      <c r="I3620" s="1">
        <v>9181</v>
      </c>
      <c r="J3620" s="7">
        <v>0.41799999999999998</v>
      </c>
      <c r="K3620" s="1" t="s">
        <v>29</v>
      </c>
      <c r="L3620" s="1" t="s">
        <v>29</v>
      </c>
      <c r="M3620" s="1" t="s">
        <v>29</v>
      </c>
      <c r="N3620" s="1" t="s">
        <v>297</v>
      </c>
      <c r="O3620" s="1" t="str">
        <f t="shared" ca="1" si="29"/>
        <v>Please solve the LeetCode problem '2922. Market Analysis III'.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21" spans="1:15" x14ac:dyDescent="0.25">
      <c r="A3621" s="1">
        <v>3119</v>
      </c>
      <c r="B3621" s="2" t="str">
        <f>HYPERLINK("https://leetcode.com/problems/maximum-number-of-potholes-that-can-be-fixed/", "Maximum Number of Potholes That Can Be Fixed")</f>
        <v>Maximum Number of Potholes That Can Be Fixed</v>
      </c>
      <c r="C3621" s="1">
        <v>20</v>
      </c>
      <c r="D3621" s="1">
        <v>2</v>
      </c>
      <c r="E3621" s="3">
        <f t="shared" si="28"/>
        <v>0.90909090909090906</v>
      </c>
      <c r="F3621" s="1" t="s">
        <v>771</v>
      </c>
      <c r="G3621" s="1" t="s">
        <v>24</v>
      </c>
      <c r="H3621" s="1">
        <v>3781</v>
      </c>
      <c r="I3621" s="1">
        <v>7100</v>
      </c>
      <c r="J3621" s="7">
        <v>0.53300000000000003</v>
      </c>
      <c r="K3621" s="1" t="s">
        <v>29</v>
      </c>
      <c r="L3621" s="1" t="s">
        <v>29</v>
      </c>
      <c r="M3621" s="1" t="s">
        <v>29</v>
      </c>
      <c r="N3621" s="1" t="s">
        <v>22</v>
      </c>
      <c r="O3621" s="1" t="str">
        <f t="shared" ca="1" si="29"/>
        <v>Please solve the LeetCode problem '3119. Maximum Number of Potholes That Can Be Fixed'.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22" spans="1:15" x14ac:dyDescent="0.25">
      <c r="A3622" s="1">
        <v>3155</v>
      </c>
      <c r="B3622" s="2" t="str">
        <f>HYPERLINK("https://leetcode.com/problems/maximum-number-of-upgradable-servers/", "Maximum Number of Upgradable Servers")</f>
        <v>Maximum Number of Upgradable Servers</v>
      </c>
      <c r="C3622" s="1">
        <v>20</v>
      </c>
      <c r="D3622" s="1">
        <v>2</v>
      </c>
      <c r="E3622" s="3">
        <f t="shared" si="28"/>
        <v>0.90909090909090906</v>
      </c>
      <c r="F3622" s="1" t="s">
        <v>1318</v>
      </c>
      <c r="G3622" s="1" t="s">
        <v>24</v>
      </c>
      <c r="H3622" s="1">
        <v>3093</v>
      </c>
      <c r="I3622" s="1">
        <v>7244</v>
      </c>
      <c r="J3622" s="7">
        <v>0.42699999999999999</v>
      </c>
      <c r="K3622" s="1" t="s">
        <v>29</v>
      </c>
      <c r="L3622" s="1" t="s">
        <v>29</v>
      </c>
      <c r="M3622" s="1" t="s">
        <v>29</v>
      </c>
      <c r="N3622" s="1" t="s">
        <v>22</v>
      </c>
      <c r="O3622" s="1" t="str">
        <f t="shared" ca="1" si="29"/>
        <v>Please solve the LeetCode problem '3155. Maximum Number of Upgradable Servers'.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23" spans="1:15" x14ac:dyDescent="0.25">
      <c r="A3623" s="1">
        <v>3263</v>
      </c>
      <c r="B3623" s="2" t="str">
        <f>HYPERLINK("https://leetcode.com/problems/convert-doubly-linked-list-to-array-i/", "Convert Doubly Linked List to Array I")</f>
        <v>Convert Doubly Linked List to Array I</v>
      </c>
      <c r="C3623" s="1">
        <v>20</v>
      </c>
      <c r="D3623" s="1">
        <v>5</v>
      </c>
      <c r="E3623" s="3">
        <f t="shared" si="28"/>
        <v>0.8</v>
      </c>
      <c r="F3623" s="1" t="s">
        <v>1317</v>
      </c>
      <c r="G3623" s="1" t="s">
        <v>20</v>
      </c>
      <c r="H3623" s="1">
        <v>8389</v>
      </c>
      <c r="I3623" s="1">
        <v>8845</v>
      </c>
      <c r="J3623" s="7">
        <v>0.94799999999999995</v>
      </c>
      <c r="K3623" s="1" t="s">
        <v>29</v>
      </c>
      <c r="L3623" s="1" t="s">
        <v>29</v>
      </c>
      <c r="M3623" s="1" t="s">
        <v>29</v>
      </c>
      <c r="N3623" s="1" t="s">
        <v>22</v>
      </c>
      <c r="O3623" s="1" t="str">
        <f t="shared" ca="1" si="29"/>
        <v>Please solve the LeetCode problem '3263. Convert Doubly Linked List to Array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24" spans="1:15" x14ac:dyDescent="0.25">
      <c r="A3624" s="1">
        <v>2253</v>
      </c>
      <c r="B3624" s="2" t="str">
        <f>HYPERLINK("https://leetcode.com/problems/dynamic-unpivoting-of-a-table/", "Dynamic Unpivoting of a Table")</f>
        <v>Dynamic Unpivoting of a Table</v>
      </c>
      <c r="C3624" s="1">
        <v>19</v>
      </c>
      <c r="D3624" s="1">
        <v>13</v>
      </c>
      <c r="E3624" s="3">
        <f t="shared" si="28"/>
        <v>0.59375</v>
      </c>
      <c r="F3624" s="1" t="s">
        <v>297</v>
      </c>
      <c r="G3624" s="1" t="s">
        <v>28</v>
      </c>
      <c r="H3624" s="1">
        <v>1402</v>
      </c>
      <c r="I3624" s="1">
        <v>2023</v>
      </c>
      <c r="J3624" s="7">
        <v>0.69299999999999995</v>
      </c>
      <c r="K3624" s="1" t="s">
        <v>29</v>
      </c>
      <c r="L3624" s="1" t="s">
        <v>29</v>
      </c>
      <c r="M3624" s="1" t="s">
        <v>29</v>
      </c>
      <c r="N3624" s="1" t="s">
        <v>297</v>
      </c>
      <c r="O3624" s="1" t="str">
        <f t="shared" ca="1" si="29"/>
        <v>Please solve the LeetCode problem '2253. Dynamic Unpivoting of a Table'.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25" spans="1:15" x14ac:dyDescent="0.25">
      <c r="A3625" s="1">
        <v>2776</v>
      </c>
      <c r="B3625" s="2" t="str">
        <f>HYPERLINK("https://leetcode.com/problems/convert-callback-based-function-to-promise-based-function/", "Convert Callback Based Function to Promise Based Function")</f>
        <v>Convert Callback Based Function to Promise Based Function</v>
      </c>
      <c r="C3625" s="1">
        <v>19</v>
      </c>
      <c r="D3625" s="1">
        <v>12</v>
      </c>
      <c r="E3625" s="3">
        <f t="shared" si="28"/>
        <v>0.61290322580645162</v>
      </c>
      <c r="G3625" s="1" t="s">
        <v>24</v>
      </c>
      <c r="H3625" s="1">
        <v>1220</v>
      </c>
      <c r="I3625" s="1">
        <v>1346</v>
      </c>
      <c r="J3625" s="7">
        <v>0.90600000000000003</v>
      </c>
      <c r="K3625" s="1" t="s">
        <v>29</v>
      </c>
      <c r="L3625" s="1" t="s">
        <v>21</v>
      </c>
      <c r="M3625" s="1" t="s">
        <v>29</v>
      </c>
      <c r="N3625" s="1" t="s">
        <v>555</v>
      </c>
      <c r="O3625" s="1" t="str">
        <f t="shared" ca="1" si="29"/>
        <v>Please solve the LeetCode problem '2776. Convert Callback Based Function to Promise Based Function'.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26" spans="1:15" x14ac:dyDescent="0.25">
      <c r="A3626" s="1">
        <v>2853</v>
      </c>
      <c r="B3626" s="2" t="str">
        <f>HYPERLINK("https://leetcode.com/problems/highest-salaries-difference/", "Highest Salaries Difference")</f>
        <v>Highest Salaries Difference</v>
      </c>
      <c r="C3626" s="1">
        <v>19</v>
      </c>
      <c r="D3626" s="1">
        <v>1</v>
      </c>
      <c r="E3626" s="3">
        <f t="shared" si="28"/>
        <v>0.95</v>
      </c>
      <c r="F3626" s="1" t="s">
        <v>297</v>
      </c>
      <c r="G3626" s="1" t="s">
        <v>20</v>
      </c>
      <c r="H3626" s="1">
        <v>5752</v>
      </c>
      <c r="I3626" s="1">
        <v>7869</v>
      </c>
      <c r="J3626" s="7">
        <v>0.73099999999999998</v>
      </c>
      <c r="K3626" s="1" t="s">
        <v>29</v>
      </c>
      <c r="L3626" s="1" t="s">
        <v>29</v>
      </c>
      <c r="M3626" s="1" t="s">
        <v>29</v>
      </c>
      <c r="N3626" s="1" t="s">
        <v>297</v>
      </c>
      <c r="O3626" s="1" t="str">
        <f t="shared" ca="1" si="29"/>
        <v>Please solve the LeetCode problem '2853. Highest Salaries Difference'.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27" spans="1:15" x14ac:dyDescent="0.25">
      <c r="A3627" s="1">
        <v>2990</v>
      </c>
      <c r="B3627" s="2" t="str">
        <f>HYPERLINK("https://leetcode.com/problems/loan-types/", "Loan Types")</f>
        <v>Loan Types</v>
      </c>
      <c r="C3627" s="1">
        <v>19</v>
      </c>
      <c r="D3627" s="1">
        <v>8</v>
      </c>
      <c r="E3627" s="3">
        <f t="shared" si="28"/>
        <v>0.70370370370370372</v>
      </c>
      <c r="F3627" s="1" t="s">
        <v>297</v>
      </c>
      <c r="G3627" s="1" t="s">
        <v>20</v>
      </c>
      <c r="H3627" s="1">
        <v>5758</v>
      </c>
      <c r="I3627" s="1">
        <v>9046</v>
      </c>
      <c r="J3627" s="7">
        <v>0.63700000000000001</v>
      </c>
      <c r="K3627" s="1" t="s">
        <v>29</v>
      </c>
      <c r="L3627" s="1" t="s">
        <v>29</v>
      </c>
      <c r="M3627" s="1" t="s">
        <v>29</v>
      </c>
      <c r="N3627" s="1" t="s">
        <v>297</v>
      </c>
      <c r="O3627" s="1" t="str">
        <f t="shared" ca="1" si="29"/>
        <v>Please solve the LeetCode problem '2990. Loan Types'.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28" spans="1:15" x14ac:dyDescent="0.25">
      <c r="A3628" s="1">
        <v>3058</v>
      </c>
      <c r="B3628" s="2" t="str">
        <f>HYPERLINK("https://leetcode.com/problems/friends-with-no-mutual-friends/", "Friends With No Mutual Friends")</f>
        <v>Friends With No Mutual Friends</v>
      </c>
      <c r="C3628" s="1">
        <v>19</v>
      </c>
      <c r="D3628" s="1">
        <v>3</v>
      </c>
      <c r="E3628" s="3">
        <f t="shared" si="28"/>
        <v>0.86363636363636365</v>
      </c>
      <c r="F3628" s="1" t="s">
        <v>297</v>
      </c>
      <c r="G3628" s="1" t="s">
        <v>24</v>
      </c>
      <c r="H3628" s="1">
        <v>2867</v>
      </c>
      <c r="I3628" s="1">
        <v>5899</v>
      </c>
      <c r="J3628" s="7">
        <v>0.48599999999999999</v>
      </c>
      <c r="K3628" s="1" t="s">
        <v>29</v>
      </c>
      <c r="L3628" s="1" t="s">
        <v>29</v>
      </c>
      <c r="M3628" s="1" t="s">
        <v>29</v>
      </c>
      <c r="N3628" s="1" t="s">
        <v>297</v>
      </c>
      <c r="O3628" s="1" t="str">
        <f t="shared" ca="1" si="29"/>
        <v>Please solve the LeetCode problem '3058. Friends With No Mutual Friends'.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29" spans="1:15" x14ac:dyDescent="0.25">
      <c r="A3629" s="1">
        <v>3104</v>
      </c>
      <c r="B3629" s="2" t="str">
        <f>HYPERLINK("https://leetcode.com/problems/find-longest-self-contained-substring/", "Find Longest Self-Contained Substring")</f>
        <v>Find Longest Self-Contained Substring</v>
      </c>
      <c r="C3629" s="1">
        <v>19</v>
      </c>
      <c r="D3629" s="1">
        <v>6</v>
      </c>
      <c r="E3629" s="3">
        <f t="shared" si="28"/>
        <v>0.76</v>
      </c>
      <c r="F3629" s="1" t="s">
        <v>1405</v>
      </c>
      <c r="G3629" s="1" t="s">
        <v>28</v>
      </c>
      <c r="H3629" s="1">
        <v>2904</v>
      </c>
      <c r="I3629" s="1">
        <v>4945</v>
      </c>
      <c r="J3629" s="7">
        <v>0.58699999999999997</v>
      </c>
      <c r="K3629" s="1" t="s">
        <v>29</v>
      </c>
      <c r="L3629" s="1" t="s">
        <v>29</v>
      </c>
      <c r="M3629" s="1" t="s">
        <v>29</v>
      </c>
      <c r="N3629" s="1" t="s">
        <v>22</v>
      </c>
      <c r="O3629" s="1" t="str">
        <f t="shared" ca="1" si="29"/>
        <v>Please solve the LeetCode problem '3104. Find Longest Self-Contained Substring'.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30" spans="1:15" x14ac:dyDescent="0.25">
      <c r="A3630" s="1">
        <v>3157</v>
      </c>
      <c r="B3630" s="2" t="str">
        <f>HYPERLINK("https://leetcode.com/problems/find-the-level-of-tree-with-minimum-sum/", "Find the Level of Tree with Minimum Sum")</f>
        <v>Find the Level of Tree with Minimum Sum</v>
      </c>
      <c r="C3630" s="1">
        <v>19</v>
      </c>
      <c r="D3630" s="1">
        <v>3</v>
      </c>
      <c r="E3630" s="3">
        <f t="shared" si="28"/>
        <v>0.86363636363636365</v>
      </c>
      <c r="F3630" s="1" t="s">
        <v>80</v>
      </c>
      <c r="G3630" s="1" t="s">
        <v>24</v>
      </c>
      <c r="H3630" s="1">
        <v>3055</v>
      </c>
      <c r="I3630" s="1">
        <v>4413</v>
      </c>
      <c r="J3630" s="7">
        <v>0.69199999999999995</v>
      </c>
      <c r="K3630" s="1" t="s">
        <v>29</v>
      </c>
      <c r="L3630" s="1" t="s">
        <v>29</v>
      </c>
      <c r="M3630" s="1" t="s">
        <v>29</v>
      </c>
      <c r="N3630" s="1" t="s">
        <v>22</v>
      </c>
      <c r="O3630" s="1" t="str">
        <f t="shared" ca="1" si="29"/>
        <v>Please solve the LeetCode problem '3157. Find the Level of Tree with Minimum Sum'.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31" spans="1:15" x14ac:dyDescent="0.25">
      <c r="A3631" s="1">
        <v>2613</v>
      </c>
      <c r="B3631" s="2" t="str">
        <f>HYPERLINK("https://leetcode.com/problems/beautiful-pairs/", "Beautiful Pairs")</f>
        <v>Beautiful Pairs</v>
      </c>
      <c r="C3631" s="1">
        <v>18</v>
      </c>
      <c r="D3631" s="1">
        <v>3</v>
      </c>
      <c r="E3631" s="3">
        <f t="shared" si="28"/>
        <v>0.8571428571428571</v>
      </c>
      <c r="F3631" s="1" t="s">
        <v>1319</v>
      </c>
      <c r="G3631" s="1" t="s">
        <v>28</v>
      </c>
      <c r="H3631" s="1">
        <v>1066</v>
      </c>
      <c r="I3631" s="1">
        <v>2156</v>
      </c>
      <c r="J3631" s="7">
        <v>0.49399999999999999</v>
      </c>
      <c r="K3631" s="1" t="s">
        <v>29</v>
      </c>
      <c r="L3631" s="1" t="s">
        <v>29</v>
      </c>
      <c r="M3631" s="1" t="s">
        <v>29</v>
      </c>
      <c r="N3631" s="1" t="s">
        <v>22</v>
      </c>
      <c r="O3631" s="1" t="str">
        <f t="shared" ca="1" si="29"/>
        <v>Please solve the LeetCode problem '2613. Beautiful Pairs'.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32" spans="1:15" x14ac:dyDescent="0.25">
      <c r="A3632" s="1">
        <v>2773</v>
      </c>
      <c r="B3632" s="2" t="str">
        <f>HYPERLINK("https://leetcode.com/problems/height-of-special-binary-tree/", "Height of Special Binary Tree")</f>
        <v>Height of Special Binary Tree</v>
      </c>
      <c r="C3632" s="1">
        <v>18</v>
      </c>
      <c r="D3632" s="1">
        <v>43</v>
      </c>
      <c r="E3632" s="3">
        <f t="shared" si="28"/>
        <v>0.29508196721311475</v>
      </c>
      <c r="F3632" s="1" t="s">
        <v>80</v>
      </c>
      <c r="G3632" s="1" t="s">
        <v>24</v>
      </c>
      <c r="H3632" s="1">
        <v>1370</v>
      </c>
      <c r="I3632" s="1">
        <v>1849</v>
      </c>
      <c r="J3632" s="7">
        <v>0.74099999999999999</v>
      </c>
      <c r="K3632" s="1" t="s">
        <v>29</v>
      </c>
      <c r="L3632" s="1" t="s">
        <v>29</v>
      </c>
      <c r="M3632" s="1" t="s">
        <v>29</v>
      </c>
      <c r="N3632" s="1" t="s">
        <v>22</v>
      </c>
      <c r="O3632" s="1" t="str">
        <f t="shared" ca="1" si="29"/>
        <v>Please solve the LeetCode problem '2773. Height of Special Binary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33" spans="1:15" x14ac:dyDescent="0.25">
      <c r="A3633" s="1">
        <v>2821</v>
      </c>
      <c r="B3633" s="2" t="str">
        <f>HYPERLINK("https://leetcode.com/problems/delay-the-resolution-of-each-promise/", "Delay the Resolution of Each Promise")</f>
        <v>Delay the Resolution of Each Promise</v>
      </c>
      <c r="C3633" s="1">
        <v>18</v>
      </c>
      <c r="D3633" s="1">
        <v>5</v>
      </c>
      <c r="E3633" s="3">
        <f t="shared" si="28"/>
        <v>0.78260869565217395</v>
      </c>
      <c r="G3633" s="1" t="s">
        <v>24</v>
      </c>
      <c r="H3633" s="1">
        <v>977</v>
      </c>
      <c r="I3633" s="1">
        <v>1336</v>
      </c>
      <c r="J3633" s="7">
        <v>0.73099999999999998</v>
      </c>
      <c r="K3633" s="1" t="s">
        <v>29</v>
      </c>
      <c r="L3633" s="1" t="s">
        <v>21</v>
      </c>
      <c r="M3633" s="1" t="s">
        <v>29</v>
      </c>
      <c r="N3633" s="1" t="s">
        <v>555</v>
      </c>
      <c r="O3633" s="1" t="str">
        <f t="shared" ca="1" si="29"/>
        <v>Please solve the LeetCode problem '2821. Delay the Resolution of Each Promise'.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34" spans="1:15" x14ac:dyDescent="0.25">
      <c r="A3634" s="1">
        <v>2837</v>
      </c>
      <c r="B3634" s="2" t="str">
        <f>HYPERLINK("https://leetcode.com/problems/total-traveled-distance/", "Total Traveled Distance")</f>
        <v>Total Traveled Distance</v>
      </c>
      <c r="C3634" s="1">
        <v>18</v>
      </c>
      <c r="D3634" s="1">
        <v>4</v>
      </c>
      <c r="E3634" s="3">
        <f t="shared" si="28"/>
        <v>0.81818181818181823</v>
      </c>
      <c r="F3634" s="1" t="s">
        <v>297</v>
      </c>
      <c r="G3634" s="1" t="s">
        <v>20</v>
      </c>
      <c r="H3634" s="1">
        <v>5419</v>
      </c>
      <c r="I3634" s="1">
        <v>7049</v>
      </c>
      <c r="J3634" s="7">
        <v>0.76900000000000002</v>
      </c>
      <c r="K3634" s="1" t="s">
        <v>29</v>
      </c>
      <c r="L3634" s="1" t="s">
        <v>21</v>
      </c>
      <c r="M3634" s="1" t="s">
        <v>29</v>
      </c>
      <c r="N3634" s="1" t="s">
        <v>297</v>
      </c>
      <c r="O3634" s="1" t="str">
        <f t="shared" ca="1" si="29"/>
        <v>Please solve the LeetCode problem '2837. Total Traveled Distance'.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35" spans="1:15" x14ac:dyDescent="0.25">
      <c r="A3635" s="1">
        <v>2912</v>
      </c>
      <c r="B3635" s="2" t="str">
        <f>HYPERLINK("https://leetcode.com/problems/number-of-ways-to-reach-destination-in-the-grid/", "Number of Ways to Reach Destination in the Grid")</f>
        <v>Number of Ways to Reach Destination in the Grid</v>
      </c>
      <c r="C3635" s="1">
        <v>18</v>
      </c>
      <c r="D3635" s="1">
        <v>5</v>
      </c>
      <c r="E3635" s="3">
        <f t="shared" si="28"/>
        <v>0.78260869565217395</v>
      </c>
      <c r="F3635" s="1" t="s">
        <v>70</v>
      </c>
      <c r="G3635" s="1" t="s">
        <v>28</v>
      </c>
      <c r="H3635" s="1">
        <v>1146</v>
      </c>
      <c r="I3635" s="1">
        <v>1968</v>
      </c>
      <c r="J3635" s="7">
        <v>0.58199999999999996</v>
      </c>
      <c r="K3635" s="1" t="s">
        <v>29</v>
      </c>
      <c r="L3635" s="1" t="s">
        <v>29</v>
      </c>
      <c r="M3635" s="1" t="s">
        <v>29</v>
      </c>
      <c r="N3635" s="1" t="s">
        <v>22</v>
      </c>
      <c r="O3635" s="1" t="str">
        <f t="shared" ca="1" si="29"/>
        <v>Please solve the LeetCode problem '2912. Number of Ways to Reach Destination in the Grid'.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36" spans="1:15" x14ac:dyDescent="0.25">
      <c r="A3636" s="1">
        <v>3054</v>
      </c>
      <c r="B3636" s="2" t="str">
        <f>HYPERLINK("https://leetcode.com/problems/binary-tree-nodes/", "Binary Tree Nodes")</f>
        <v>Binary Tree Nodes</v>
      </c>
      <c r="C3636" s="1">
        <v>18</v>
      </c>
      <c r="D3636" s="1">
        <v>2</v>
      </c>
      <c r="E3636" s="3">
        <f t="shared" si="28"/>
        <v>0.9</v>
      </c>
      <c r="F3636" s="1" t="s">
        <v>297</v>
      </c>
      <c r="G3636" s="1" t="s">
        <v>24</v>
      </c>
      <c r="H3636" s="1">
        <v>3615</v>
      </c>
      <c r="I3636" s="1">
        <v>4605</v>
      </c>
      <c r="J3636" s="7">
        <v>0.78500000000000003</v>
      </c>
      <c r="K3636" s="1" t="s">
        <v>29</v>
      </c>
      <c r="L3636" s="1" t="s">
        <v>21</v>
      </c>
      <c r="M3636" s="1" t="s">
        <v>29</v>
      </c>
      <c r="N3636" s="1" t="s">
        <v>297</v>
      </c>
      <c r="O3636" s="1" t="str">
        <f t="shared" ca="1" si="29"/>
        <v>Please solve the LeetCode problem '3054. Binary Tree Nodes'.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37" spans="1:15" x14ac:dyDescent="0.25">
      <c r="A3637" s="1">
        <v>3150</v>
      </c>
      <c r="B3637" s="2" t="str">
        <f>HYPERLINK("https://leetcode.com/problems/invalid-tweets-ii/", "Invalid Tweets II")</f>
        <v>Invalid Tweets II</v>
      </c>
      <c r="C3637" s="1">
        <v>18</v>
      </c>
      <c r="D3637" s="1">
        <v>3</v>
      </c>
      <c r="E3637" s="3">
        <f t="shared" si="28"/>
        <v>0.8571428571428571</v>
      </c>
      <c r="F3637" s="1" t="s">
        <v>297</v>
      </c>
      <c r="G3637" s="1" t="s">
        <v>20</v>
      </c>
      <c r="H3637" s="1">
        <v>3682</v>
      </c>
      <c r="I3637" s="1">
        <v>4343</v>
      </c>
      <c r="J3637" s="7">
        <v>0.84799999999999998</v>
      </c>
      <c r="K3637" s="1" t="s">
        <v>29</v>
      </c>
      <c r="L3637" s="1" t="s">
        <v>29</v>
      </c>
      <c r="M3637" s="1" t="s">
        <v>29</v>
      </c>
      <c r="N3637" s="1" t="s">
        <v>297</v>
      </c>
      <c r="O3637" s="1" t="str">
        <f t="shared" ca="1" si="29"/>
        <v>Please solve the LeetCode problem '3150. Invalid Tweets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38" spans="1:15" x14ac:dyDescent="0.25">
      <c r="A3638" s="1">
        <v>3167</v>
      </c>
      <c r="B3638" s="2" t="str">
        <f>HYPERLINK("https://leetcode.com/problems/better-compression-of-string/", "Better Compression of String")</f>
        <v>Better Compression of String</v>
      </c>
      <c r="C3638" s="1">
        <v>18</v>
      </c>
      <c r="D3638" s="1">
        <v>4</v>
      </c>
      <c r="E3638" s="3">
        <f t="shared" si="28"/>
        <v>0.81818181818181823</v>
      </c>
      <c r="F3638" s="1" t="s">
        <v>305</v>
      </c>
      <c r="G3638" s="1" t="s">
        <v>24</v>
      </c>
      <c r="H3638" s="1">
        <v>5617</v>
      </c>
      <c r="I3638" s="1">
        <v>7420</v>
      </c>
      <c r="J3638" s="7">
        <v>0.75700000000000001</v>
      </c>
      <c r="K3638" s="1" t="s">
        <v>29</v>
      </c>
      <c r="L3638" s="1" t="s">
        <v>29</v>
      </c>
      <c r="M3638" s="1" t="s">
        <v>29</v>
      </c>
      <c r="N3638" s="1" t="s">
        <v>22</v>
      </c>
      <c r="O3638" s="1" t="str">
        <f t="shared" ca="1" si="29"/>
        <v>Please solve the LeetCode problem '3167. Better Compression of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39" spans="1:15" x14ac:dyDescent="0.25">
      <c r="A3639" s="1">
        <v>3183</v>
      </c>
      <c r="B3639" s="2" t="str">
        <f>HYPERLINK("https://leetcode.com/problems/the-number-of-ways-to-make-the-sum/", "The Number of Ways to Make the Sum")</f>
        <v>The Number of Ways to Make the Sum</v>
      </c>
      <c r="C3639" s="1">
        <v>18</v>
      </c>
      <c r="D3639" s="1">
        <v>1</v>
      </c>
      <c r="E3639" s="3">
        <f t="shared" si="28"/>
        <v>0.94736842105263153</v>
      </c>
      <c r="F3639" s="1" t="s">
        <v>30</v>
      </c>
      <c r="G3639" s="1" t="s">
        <v>24</v>
      </c>
      <c r="H3639" s="1">
        <v>1835</v>
      </c>
      <c r="I3639" s="1">
        <v>3594</v>
      </c>
      <c r="J3639" s="7">
        <v>0.51100000000000001</v>
      </c>
      <c r="K3639" s="1" t="s">
        <v>29</v>
      </c>
      <c r="L3639" s="1" t="s">
        <v>29</v>
      </c>
      <c r="M3639" s="1" t="s">
        <v>29</v>
      </c>
      <c r="N3639" s="1" t="s">
        <v>22</v>
      </c>
      <c r="O3639" s="1" t="str">
        <f t="shared" ca="1" si="29"/>
        <v>Please solve the LeetCode problem '3183. The Number of Ways to Make the Sum'.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40" spans="1:15" x14ac:dyDescent="0.25">
      <c r="A3640" s="1">
        <v>3793</v>
      </c>
      <c r="B3640" s="2" t="str">
        <f>HYPERLINK("https://leetcode.com/problems/find-users-with-high-token-usage/", "Find Users with High Token Usage")</f>
        <v>Find Users with High Token Usage</v>
      </c>
      <c r="C3640" s="1">
        <v>18</v>
      </c>
      <c r="D3640" s="1">
        <v>1</v>
      </c>
      <c r="E3640" s="3">
        <f t="shared" si="28"/>
        <v>0.94736842105263153</v>
      </c>
      <c r="G3640" s="1" t="s">
        <v>20</v>
      </c>
      <c r="H3640" s="1">
        <v>2298</v>
      </c>
      <c r="I3640" s="1">
        <v>3627</v>
      </c>
      <c r="J3640" s="7">
        <v>0.63400000000000001</v>
      </c>
      <c r="K3640" s="1" t="s">
        <v>21</v>
      </c>
      <c r="L3640" s="1" t="s">
        <v>29</v>
      </c>
      <c r="M3640" s="1" t="s">
        <v>29</v>
      </c>
      <c r="N3640" s="1" t="s">
        <v>297</v>
      </c>
      <c r="O3640" s="1" t="str">
        <f t="shared" ca="1" si="29"/>
        <v>Please solve the LeetCode problem '3793. Find Users with High Token Usage'.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41" spans="1:15" x14ac:dyDescent="0.25">
      <c r="A3641" s="1">
        <v>2669</v>
      </c>
      <c r="B3641" s="2" t="str">
        <f>HYPERLINK("https://leetcode.com/problems/count-artist-occurrences-on-spotify-ranking-list/", "Count Artist Occurrences On Spotify Ranking List")</f>
        <v>Count Artist Occurrences On Spotify Ranking List</v>
      </c>
      <c r="C3641" s="1">
        <v>17</v>
      </c>
      <c r="D3641" s="1">
        <v>2</v>
      </c>
      <c r="E3641" s="3">
        <f t="shared" si="28"/>
        <v>0.89473684210526316</v>
      </c>
      <c r="F3641" s="1" t="s">
        <v>297</v>
      </c>
      <c r="G3641" s="1" t="s">
        <v>20</v>
      </c>
      <c r="H3641" s="1">
        <v>5744</v>
      </c>
      <c r="I3641" s="1">
        <v>7748</v>
      </c>
      <c r="J3641" s="7">
        <v>0.74099999999999999</v>
      </c>
      <c r="K3641" s="1" t="s">
        <v>29</v>
      </c>
      <c r="L3641" s="1" t="s">
        <v>29</v>
      </c>
      <c r="M3641" s="1" t="s">
        <v>29</v>
      </c>
      <c r="N3641" s="1" t="s">
        <v>297</v>
      </c>
      <c r="O3641" s="1" t="str">
        <f t="shared" ca="1" si="29"/>
        <v>Please solve the LeetCode problem '2669. Count Artist Occurrences On Spotify Ranking List'.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42" spans="1:15" x14ac:dyDescent="0.25">
      <c r="A3642" s="1">
        <v>2692</v>
      </c>
      <c r="B3642" s="2" t="str">
        <f>HYPERLINK("https://leetcode.com/problems/make-object-immutable/", "Make Object Immutable")</f>
        <v>Make Object Immutable</v>
      </c>
      <c r="C3642" s="1">
        <v>17</v>
      </c>
      <c r="D3642" s="1">
        <v>0</v>
      </c>
      <c r="E3642" s="3">
        <f t="shared" si="28"/>
        <v>1</v>
      </c>
      <c r="G3642" s="1" t="s">
        <v>24</v>
      </c>
      <c r="H3642" s="1">
        <v>678</v>
      </c>
      <c r="I3642" s="1">
        <v>1090</v>
      </c>
      <c r="J3642" s="7">
        <v>0.622</v>
      </c>
      <c r="K3642" s="1" t="s">
        <v>29</v>
      </c>
      <c r="L3642" s="1" t="s">
        <v>21</v>
      </c>
      <c r="M3642" s="1" t="s">
        <v>29</v>
      </c>
      <c r="N3642" s="1" t="s">
        <v>555</v>
      </c>
      <c r="O3642" s="1" t="str">
        <f t="shared" ca="1" si="29"/>
        <v>Please solve the LeetCode problem '2692. Make Object Immutable'.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43" spans="1:15" x14ac:dyDescent="0.25">
      <c r="A3643" s="1">
        <v>2754</v>
      </c>
      <c r="B3643" s="2" t="str">
        <f>HYPERLINK("https://leetcode.com/problems/bind-function-to-context/", "Bind Function to Context")</f>
        <v>Bind Function to Context</v>
      </c>
      <c r="C3643" s="1">
        <v>17</v>
      </c>
      <c r="D3643" s="1">
        <v>0</v>
      </c>
      <c r="E3643" s="3">
        <f t="shared" si="28"/>
        <v>1</v>
      </c>
      <c r="G3643" s="1" t="s">
        <v>24</v>
      </c>
      <c r="H3643" s="1">
        <v>1029</v>
      </c>
      <c r="I3643" s="1">
        <v>1184</v>
      </c>
      <c r="J3643" s="7">
        <v>0.86899999999999999</v>
      </c>
      <c r="K3643" s="1" t="s">
        <v>29</v>
      </c>
      <c r="L3643" s="1" t="s">
        <v>21</v>
      </c>
      <c r="M3643" s="1" t="s">
        <v>29</v>
      </c>
      <c r="N3643" s="1" t="s">
        <v>555</v>
      </c>
      <c r="O3643" s="1" t="str">
        <f t="shared" ca="1" si="29"/>
        <v>Please solve the LeetCode problem '2754. Bind Function to Context'.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44" spans="1:15" x14ac:dyDescent="0.25">
      <c r="A3644" s="1">
        <v>2759</v>
      </c>
      <c r="B3644" s="2" t="str">
        <f>HYPERLINK("https://leetcode.com/problems/convert-json-string-to-object/", "Convert JSON String to Object")</f>
        <v>Convert JSON String to Object</v>
      </c>
      <c r="C3644" s="1">
        <v>17</v>
      </c>
      <c r="D3644" s="1">
        <v>3</v>
      </c>
      <c r="E3644" s="3">
        <f t="shared" si="28"/>
        <v>0.85</v>
      </c>
      <c r="G3644" s="1" t="s">
        <v>28</v>
      </c>
      <c r="H3644" s="1">
        <v>864</v>
      </c>
      <c r="I3644" s="1">
        <v>1417</v>
      </c>
      <c r="J3644" s="7">
        <v>0.61</v>
      </c>
      <c r="K3644" s="1" t="s">
        <v>29</v>
      </c>
      <c r="L3644" s="1" t="s">
        <v>21</v>
      </c>
      <c r="M3644" s="1" t="s">
        <v>29</v>
      </c>
      <c r="N3644" s="1" t="s">
        <v>555</v>
      </c>
      <c r="O3644" s="1" t="str">
        <f t="shared" ca="1" si="29"/>
        <v>Please solve the LeetCode problem '2759. Convert JSON String to Object'.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45" spans="1:15" x14ac:dyDescent="0.25">
      <c r="A3645" s="1">
        <v>2805</v>
      </c>
      <c r="B3645" s="2" t="str">
        <f>HYPERLINK("https://leetcode.com/problems/custom-interval/", "Custom Interval")</f>
        <v>Custom Interval</v>
      </c>
      <c r="C3645" s="1">
        <v>17</v>
      </c>
      <c r="D3645" s="1">
        <v>8</v>
      </c>
      <c r="E3645" s="3">
        <f t="shared" si="28"/>
        <v>0.68</v>
      </c>
      <c r="G3645" s="1" t="s">
        <v>24</v>
      </c>
      <c r="H3645" s="1">
        <v>695</v>
      </c>
      <c r="I3645" s="1">
        <v>829</v>
      </c>
      <c r="J3645" s="7">
        <v>0.83799999999999997</v>
      </c>
      <c r="K3645" s="1" t="s">
        <v>29</v>
      </c>
      <c r="L3645" s="1" t="s">
        <v>21</v>
      </c>
      <c r="M3645" s="1" t="s">
        <v>29</v>
      </c>
      <c r="N3645" s="1" t="s">
        <v>555</v>
      </c>
      <c r="O3645" s="1" t="str">
        <f t="shared" ca="1" si="29"/>
        <v>Please solve the LeetCode problem '2805. Custom Interval'.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46" spans="1:15" x14ac:dyDescent="0.25">
      <c r="A3646" s="1">
        <v>2819</v>
      </c>
      <c r="B3646" s="2" t="str">
        <f>HYPERLINK("https://leetcode.com/problems/minimum-relative-loss-after-buying-chocolates/", "Minimum Relative Loss After Buying Chocolates")</f>
        <v>Minimum Relative Loss After Buying Chocolates</v>
      </c>
      <c r="C3646" s="1">
        <v>17</v>
      </c>
      <c r="D3646" s="1">
        <v>3</v>
      </c>
      <c r="E3646" s="3">
        <f t="shared" si="28"/>
        <v>0.85</v>
      </c>
      <c r="F3646" s="1" t="s">
        <v>750</v>
      </c>
      <c r="G3646" s="1" t="s">
        <v>28</v>
      </c>
      <c r="H3646" s="1">
        <v>664</v>
      </c>
      <c r="I3646" s="1">
        <v>1443</v>
      </c>
      <c r="J3646" s="7">
        <v>0.46</v>
      </c>
      <c r="K3646" s="1" t="s">
        <v>29</v>
      </c>
      <c r="L3646" s="1" t="s">
        <v>29</v>
      </c>
      <c r="M3646" s="1" t="s">
        <v>29</v>
      </c>
      <c r="N3646" s="1" t="s">
        <v>22</v>
      </c>
      <c r="O3646" s="1" t="str">
        <f t="shared" ca="1" si="29"/>
        <v>Please solve the LeetCode problem '2819. Minimum Relative Loss After Buying Chocolates'.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47" spans="1:15" x14ac:dyDescent="0.25">
      <c r="A3647" s="1">
        <v>2822</v>
      </c>
      <c r="B3647" s="2" t="str">
        <f>HYPERLINK("https://leetcode.com/problems/inversion-of-object/", "Inversion of Object")</f>
        <v>Inversion of Object</v>
      </c>
      <c r="C3647" s="1">
        <v>17</v>
      </c>
      <c r="D3647" s="1">
        <v>1</v>
      </c>
      <c r="E3647" s="3">
        <f t="shared" si="28"/>
        <v>0.94444444444444442</v>
      </c>
      <c r="G3647" s="1" t="s">
        <v>20</v>
      </c>
      <c r="H3647" s="1">
        <v>1359</v>
      </c>
      <c r="I3647" s="1">
        <v>2274</v>
      </c>
      <c r="J3647" s="7">
        <v>0.59799999999999998</v>
      </c>
      <c r="K3647" s="1" t="s">
        <v>29</v>
      </c>
      <c r="L3647" s="1" t="s">
        <v>29</v>
      </c>
      <c r="M3647" s="1" t="s">
        <v>29</v>
      </c>
      <c r="N3647" s="1" t="s">
        <v>555</v>
      </c>
      <c r="O3647" s="1" t="str">
        <f t="shared" ca="1" si="29"/>
        <v>Please solve the LeetCode problem '2822. Inversion of Object'.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48" spans="1:15" x14ac:dyDescent="0.25">
      <c r="A3648" s="1">
        <v>2823</v>
      </c>
      <c r="B3648" s="2" t="str">
        <f>HYPERLINK("https://leetcode.com/problems/deep-object-filter/", "Deep Object Filter")</f>
        <v>Deep Object Filter</v>
      </c>
      <c r="C3648" s="1">
        <v>17</v>
      </c>
      <c r="D3648" s="1">
        <v>3</v>
      </c>
      <c r="E3648" s="3">
        <f t="shared" si="28"/>
        <v>0.85</v>
      </c>
      <c r="G3648" s="1" t="s">
        <v>24</v>
      </c>
      <c r="H3648" s="1">
        <v>658</v>
      </c>
      <c r="I3648" s="1">
        <v>1173</v>
      </c>
      <c r="J3648" s="7">
        <v>0.56100000000000005</v>
      </c>
      <c r="K3648" s="1" t="s">
        <v>29</v>
      </c>
      <c r="L3648" s="1" t="s">
        <v>21</v>
      </c>
      <c r="M3648" s="1" t="s">
        <v>29</v>
      </c>
      <c r="N3648" s="1" t="s">
        <v>555</v>
      </c>
      <c r="O3648" s="1" t="str">
        <f t="shared" ca="1" si="29"/>
        <v>Please solve the LeetCode problem '2823. Deep Object Filter'.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49" spans="1:15" x14ac:dyDescent="0.25">
      <c r="A3649" s="1">
        <v>3215</v>
      </c>
      <c r="B3649" s="2" t="str">
        <f>HYPERLINK("https://leetcode.com/problems/count-triplets-with-even-xor-set-bits-ii/", "Count Triplets with Even XOR Set Bits II")</f>
        <v>Count Triplets with Even XOR Set Bits II</v>
      </c>
      <c r="C3649" s="1">
        <v>17</v>
      </c>
      <c r="D3649" s="1">
        <v>3</v>
      </c>
      <c r="E3649" s="3">
        <f t="shared" si="28"/>
        <v>0.85</v>
      </c>
      <c r="F3649" s="1" t="s">
        <v>65</v>
      </c>
      <c r="G3649" s="1" t="s">
        <v>24</v>
      </c>
      <c r="H3649" s="1">
        <v>766</v>
      </c>
      <c r="I3649" s="1">
        <v>1259</v>
      </c>
      <c r="J3649" s="7">
        <v>0.60799999999999998</v>
      </c>
      <c r="K3649" s="1" t="s">
        <v>29</v>
      </c>
      <c r="L3649" s="1" t="s">
        <v>29</v>
      </c>
      <c r="M3649" s="1" t="s">
        <v>29</v>
      </c>
      <c r="N3649" s="1" t="s">
        <v>22</v>
      </c>
      <c r="O3649" s="1" t="str">
        <f t="shared" ca="1" si="29"/>
        <v>Please solve the LeetCode problem '3215. Count Triplets with Even XOR Set Bits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50" spans="1:15" x14ac:dyDescent="0.25">
      <c r="A3650" s="1">
        <v>3221</v>
      </c>
      <c r="B3650" s="2" t="str">
        <f>HYPERLINK("https://leetcode.com/problems/maximum-array-hopping-score-ii/", "Maximum Array Hopping Score II")</f>
        <v>Maximum Array Hopping Score II</v>
      </c>
      <c r="C3650" s="1">
        <v>17</v>
      </c>
      <c r="D3650" s="1">
        <v>2</v>
      </c>
      <c r="E3650" s="3">
        <f t="shared" si="28"/>
        <v>0.89473684210526316</v>
      </c>
      <c r="F3650" s="1" t="s">
        <v>473</v>
      </c>
      <c r="G3650" s="1" t="s">
        <v>24</v>
      </c>
      <c r="H3650" s="1">
        <v>1080</v>
      </c>
      <c r="I3650" s="1">
        <v>1828</v>
      </c>
      <c r="J3650" s="7">
        <v>0.59099999999999997</v>
      </c>
      <c r="K3650" s="1" t="s">
        <v>29</v>
      </c>
      <c r="L3650" s="1" t="s">
        <v>29</v>
      </c>
      <c r="M3650" s="1" t="s">
        <v>29</v>
      </c>
      <c r="N3650" s="1" t="s">
        <v>22</v>
      </c>
      <c r="O3650" s="1" t="str">
        <f t="shared" ca="1" si="29"/>
        <v>Please solve the LeetCode problem '3221. Maximum Array Hopping Score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51" spans="1:15" x14ac:dyDescent="0.25">
      <c r="A3651" s="1">
        <v>3323</v>
      </c>
      <c r="B3651" s="2" t="str">
        <f>HYPERLINK("https://leetcode.com/problems/minimize-connected-groups-by-inserting-interval/", "Minimize Connected Groups by Inserting Interval")</f>
        <v>Minimize Connected Groups by Inserting Interval</v>
      </c>
      <c r="C3651" s="1">
        <v>17</v>
      </c>
      <c r="D3651" s="1">
        <v>3</v>
      </c>
      <c r="E3651" s="3">
        <f t="shared" si="28"/>
        <v>0.85</v>
      </c>
      <c r="F3651" s="1" t="s">
        <v>644</v>
      </c>
      <c r="G3651" s="1" t="s">
        <v>24</v>
      </c>
      <c r="H3651" s="1">
        <v>1340</v>
      </c>
      <c r="I3651" s="1">
        <v>2681</v>
      </c>
      <c r="J3651" s="7">
        <v>0.5</v>
      </c>
      <c r="K3651" s="1" t="s">
        <v>29</v>
      </c>
      <c r="L3651" s="1" t="s">
        <v>29</v>
      </c>
      <c r="M3651" s="1" t="s">
        <v>29</v>
      </c>
      <c r="N3651" s="1" t="s">
        <v>22</v>
      </c>
      <c r="O3651" s="1" t="str">
        <f t="shared" ca="1" si="29"/>
        <v>Please solve the LeetCode problem '3323. Minimize Connected Groups by Inserting Interval'.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52" spans="1:15" x14ac:dyDescent="0.25">
      <c r="A3652" s="1">
        <v>2005</v>
      </c>
      <c r="B3652" s="2" t="str">
        <f>HYPERLINK("https://leetcode.com/problems/subtree-removal-game-with-fibonacci-tree/", "Subtree Removal Game with Fibonacci Tree")</f>
        <v>Subtree Removal Game with Fibonacci Tree</v>
      </c>
      <c r="C3652" s="1">
        <v>16</v>
      </c>
      <c r="D3652" s="1">
        <v>49</v>
      </c>
      <c r="E3652" s="3">
        <f t="shared" si="28"/>
        <v>0.24615384615384617</v>
      </c>
      <c r="F3652" s="1" t="s">
        <v>1321</v>
      </c>
      <c r="G3652" s="1" t="s">
        <v>28</v>
      </c>
      <c r="H3652" s="1">
        <v>891</v>
      </c>
      <c r="I3652" s="1">
        <v>1545</v>
      </c>
      <c r="J3652" s="7">
        <v>0.57699999999999996</v>
      </c>
      <c r="K3652" s="1" t="s">
        <v>29</v>
      </c>
      <c r="L3652" s="1" t="s">
        <v>29</v>
      </c>
      <c r="M3652" s="1" t="s">
        <v>29</v>
      </c>
      <c r="N3652" s="1" t="s">
        <v>22</v>
      </c>
      <c r="O3652" s="1" t="str">
        <f t="shared" ca="1" si="29"/>
        <v>Please solve the LeetCode problem '2005. Subtree Removal Game with Fibonacci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53" spans="1:15" x14ac:dyDescent="0.25">
      <c r="A3653" s="1">
        <v>2686</v>
      </c>
      <c r="B3653" s="2" t="str">
        <f>HYPERLINK("https://leetcode.com/problems/immediate-food-delivery-iii/", "Immediate Food Delivery III")</f>
        <v>Immediate Food Delivery III</v>
      </c>
      <c r="C3653" s="1">
        <v>16</v>
      </c>
      <c r="D3653" s="1">
        <v>1</v>
      </c>
      <c r="E3653" s="3">
        <f t="shared" si="28"/>
        <v>0.94117647058823528</v>
      </c>
      <c r="F3653" s="1" t="s">
        <v>297</v>
      </c>
      <c r="G3653" s="1" t="s">
        <v>24</v>
      </c>
      <c r="H3653" s="1">
        <v>5543</v>
      </c>
      <c r="I3653" s="1">
        <v>7885</v>
      </c>
      <c r="J3653" s="7">
        <v>0.70299999999999996</v>
      </c>
      <c r="K3653" s="1" t="s">
        <v>29</v>
      </c>
      <c r="L3653" s="1" t="s">
        <v>29</v>
      </c>
      <c r="M3653" s="1" t="s">
        <v>29</v>
      </c>
      <c r="N3653" s="1" t="s">
        <v>297</v>
      </c>
      <c r="O3653" s="1" t="str">
        <f t="shared" ca="1" si="29"/>
        <v>Please solve the LeetCode problem '2686. Immediate Food Delivery III'.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54" spans="1:15" x14ac:dyDescent="0.25">
      <c r="A3654" s="1">
        <v>2752</v>
      </c>
      <c r="B3654" s="2" t="str">
        <f>HYPERLINK("https://leetcode.com/problems/customers-with-maximum-number-of-transactions-on-consecutive-days/", "Customers with Maximum Number of Transactions on Consecutive Days")</f>
        <v>Customers with Maximum Number of Transactions on Consecutive Days</v>
      </c>
      <c r="C3654" s="1">
        <v>16</v>
      </c>
      <c r="D3654" s="1">
        <v>35</v>
      </c>
      <c r="E3654" s="3">
        <f t="shared" si="28"/>
        <v>0.31372549019607843</v>
      </c>
      <c r="F3654" s="1" t="s">
        <v>297</v>
      </c>
      <c r="G3654" s="1" t="s">
        <v>28</v>
      </c>
      <c r="H3654" s="1">
        <v>2968</v>
      </c>
      <c r="I3654" s="1">
        <v>7060</v>
      </c>
      <c r="J3654" s="7">
        <v>0.42</v>
      </c>
      <c r="K3654" s="1" t="s">
        <v>29</v>
      </c>
      <c r="L3654" s="1" t="s">
        <v>29</v>
      </c>
      <c r="M3654" s="1" t="s">
        <v>29</v>
      </c>
      <c r="N3654" s="1" t="s">
        <v>297</v>
      </c>
      <c r="O3654" s="1" t="str">
        <f t="shared" ca="1" si="29"/>
        <v>Please solve the LeetCode problem '2752. Customers with Maximum Number of Transactions on Consecutive Days'.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55" spans="1:15" x14ac:dyDescent="0.25">
      <c r="A3655" s="1">
        <v>2795</v>
      </c>
      <c r="B3655" s="2" t="str">
        <f>HYPERLINK("https://leetcode.com/problems/parallel-execution-of-promises-for-individual-results-retrieval/", "Parallel Execution of Promises for Individual Results Retrieval")</f>
        <v>Parallel Execution of Promises for Individual Results Retrieval</v>
      </c>
      <c r="C3655" s="1">
        <v>16</v>
      </c>
      <c r="D3655" s="1">
        <v>5</v>
      </c>
      <c r="E3655" s="3">
        <f t="shared" si="28"/>
        <v>0.76190476190476186</v>
      </c>
      <c r="G3655" s="1" t="s">
        <v>24</v>
      </c>
      <c r="H3655" s="1">
        <v>1015</v>
      </c>
      <c r="I3655" s="1">
        <v>1156</v>
      </c>
      <c r="J3655" s="7">
        <v>0.878</v>
      </c>
      <c r="K3655" s="1" t="s">
        <v>29</v>
      </c>
      <c r="L3655" s="1" t="s">
        <v>21</v>
      </c>
      <c r="M3655" s="1" t="s">
        <v>29</v>
      </c>
      <c r="N3655" s="1" t="s">
        <v>555</v>
      </c>
      <c r="O3655" s="1" t="str">
        <f t="shared" ca="1" si="29"/>
        <v>Please solve the LeetCode problem '2795. Parallel Execution of Promises for Individual Results Retrieval'.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56" spans="1:15" x14ac:dyDescent="0.25">
      <c r="A3656" s="1">
        <v>2941</v>
      </c>
      <c r="B3656" s="2" t="str">
        <f>HYPERLINK("https://leetcode.com/problems/maximum-gcd-sum-of-a-subarray/", "Maximum GCD-Sum of a Subarray")</f>
        <v>Maximum GCD-Sum of a Subarray</v>
      </c>
      <c r="C3656" s="1">
        <v>16</v>
      </c>
      <c r="D3656" s="1">
        <v>3</v>
      </c>
      <c r="E3656" s="3">
        <f t="shared" si="28"/>
        <v>0.84210526315789469</v>
      </c>
      <c r="F3656" s="1" t="s">
        <v>1320</v>
      </c>
      <c r="G3656" s="1" t="s">
        <v>28</v>
      </c>
      <c r="H3656" s="1">
        <v>654</v>
      </c>
      <c r="I3656" s="1">
        <v>1717</v>
      </c>
      <c r="J3656" s="7">
        <v>0.38100000000000001</v>
      </c>
      <c r="K3656" s="1" t="s">
        <v>29</v>
      </c>
      <c r="L3656" s="1" t="s">
        <v>29</v>
      </c>
      <c r="M3656" s="1" t="s">
        <v>29</v>
      </c>
      <c r="N3656" s="1" t="s">
        <v>22</v>
      </c>
      <c r="O3656" s="1" t="str">
        <f t="shared" ca="1" si="29"/>
        <v>Please solve the LeetCode problem '2941. Maximum GCD-Sum of a Subarray'.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57" spans="1:15" x14ac:dyDescent="0.25">
      <c r="A3657" s="1">
        <v>2986</v>
      </c>
      <c r="B3657" s="2" t="str">
        <f>HYPERLINK("https://leetcode.com/problems/find-third-transaction/", "Find Third Transaction")</f>
        <v>Find Third Transaction</v>
      </c>
      <c r="C3657" s="1">
        <v>16</v>
      </c>
      <c r="D3657" s="1">
        <v>9</v>
      </c>
      <c r="E3657" s="3">
        <f t="shared" si="28"/>
        <v>0.64</v>
      </c>
      <c r="F3657" s="1" t="s">
        <v>297</v>
      </c>
      <c r="G3657" s="1" t="s">
        <v>24</v>
      </c>
      <c r="H3657" s="1">
        <v>4125</v>
      </c>
      <c r="I3657" s="1">
        <v>7706</v>
      </c>
      <c r="J3657" s="7">
        <v>0.53500000000000003</v>
      </c>
      <c r="K3657" s="1" t="s">
        <v>29</v>
      </c>
      <c r="L3657" s="1" t="s">
        <v>29</v>
      </c>
      <c r="M3657" s="1" t="s">
        <v>29</v>
      </c>
      <c r="N3657" s="1" t="s">
        <v>297</v>
      </c>
      <c r="O3657" s="1" t="str">
        <f t="shared" ca="1" si="29"/>
        <v>Please solve the LeetCode problem '2986. Find Third Transaction'.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58" spans="1:15" x14ac:dyDescent="0.25">
      <c r="A3658" s="1">
        <v>3050</v>
      </c>
      <c r="B3658" s="2" t="str">
        <f>HYPERLINK("https://leetcode.com/problems/pizza-toppings-cost-analysis/", "Pizza Toppings Cost Analysis")</f>
        <v>Pizza Toppings Cost Analysis</v>
      </c>
      <c r="C3658" s="1">
        <v>16</v>
      </c>
      <c r="D3658" s="1">
        <v>1</v>
      </c>
      <c r="E3658" s="3">
        <f t="shared" si="28"/>
        <v>0.94117647058823528</v>
      </c>
      <c r="F3658" s="1" t="s">
        <v>297</v>
      </c>
      <c r="G3658" s="1" t="s">
        <v>24</v>
      </c>
      <c r="H3658" s="1">
        <v>3334</v>
      </c>
      <c r="I3658" s="1">
        <v>4909</v>
      </c>
      <c r="J3658" s="7">
        <v>0.67900000000000005</v>
      </c>
      <c r="K3658" s="1" t="s">
        <v>29</v>
      </c>
      <c r="L3658" s="1" t="s">
        <v>29</v>
      </c>
      <c r="M3658" s="1" t="s">
        <v>29</v>
      </c>
      <c r="N3658" s="1" t="s">
        <v>297</v>
      </c>
      <c r="O3658" s="1" t="str">
        <f t="shared" ca="1" si="29"/>
        <v>Please solve the LeetCode problem '3050. Pizza Toppings Cost Analysis'.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59" spans="1:15" x14ac:dyDescent="0.25">
      <c r="A3659" s="1">
        <v>3109</v>
      </c>
      <c r="B3659" s="2" t="str">
        <f>HYPERLINK("https://leetcode.com/problems/find-the-index-of-permutation/", "Find the Index of Permutation")</f>
        <v>Find the Index of Permutation</v>
      </c>
      <c r="C3659" s="1">
        <v>16</v>
      </c>
      <c r="D3659" s="1">
        <v>5</v>
      </c>
      <c r="E3659" s="3">
        <f t="shared" si="28"/>
        <v>0.76190476190476186</v>
      </c>
      <c r="F3659" s="1" t="s">
        <v>147</v>
      </c>
      <c r="G3659" s="1" t="s">
        <v>24</v>
      </c>
      <c r="H3659" s="1">
        <v>810</v>
      </c>
      <c r="I3659" s="1">
        <v>2274</v>
      </c>
      <c r="J3659" s="7">
        <v>0.35599999999999998</v>
      </c>
      <c r="K3659" s="1" t="s">
        <v>29</v>
      </c>
      <c r="L3659" s="1" t="s">
        <v>29</v>
      </c>
      <c r="M3659" s="1" t="s">
        <v>29</v>
      </c>
      <c r="N3659" s="1" t="s">
        <v>22</v>
      </c>
      <c r="O3659" s="1" t="str">
        <f t="shared" ca="1" si="29"/>
        <v>Please solve the LeetCode problem '3109. Find the Index of Permutation'.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60" spans="1:15" x14ac:dyDescent="0.25">
      <c r="A3660" s="1">
        <v>3437</v>
      </c>
      <c r="B3660" s="2" t="str">
        <f>HYPERLINK("https://leetcode.com/problems/permutations-iii/", "Permutations III")</f>
        <v>Permutations III</v>
      </c>
      <c r="C3660" s="1">
        <v>16</v>
      </c>
      <c r="D3660" s="1">
        <v>2</v>
      </c>
      <c r="E3660" s="3">
        <f t="shared" si="28"/>
        <v>0.88888888888888884</v>
      </c>
      <c r="F3660" s="1" t="s">
        <v>56</v>
      </c>
      <c r="G3660" s="1" t="s">
        <v>24</v>
      </c>
      <c r="H3660" s="1">
        <v>2896</v>
      </c>
      <c r="I3660" s="1">
        <v>3331</v>
      </c>
      <c r="J3660" s="7">
        <v>0.86899999999999999</v>
      </c>
      <c r="K3660" s="1" t="s">
        <v>29</v>
      </c>
      <c r="L3660" s="1" t="s">
        <v>29</v>
      </c>
      <c r="M3660" s="1" t="s">
        <v>29</v>
      </c>
      <c r="N3660" s="1" t="s">
        <v>22</v>
      </c>
      <c r="O3660" s="1" t="str">
        <f t="shared" ca="1" si="29"/>
        <v>Please solve the LeetCode problem '3437. Permutations III'.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61" spans="1:15" x14ac:dyDescent="0.25">
      <c r="A3661" s="1">
        <v>3466</v>
      </c>
      <c r="B3661" s="2" t="str">
        <f>HYPERLINK("https://leetcode.com/problems/maximum-coin-collection/", "Maximum Coin Collection ")</f>
        <v xml:space="preserve">Maximum Coin Collection </v>
      </c>
      <c r="C3661" s="1">
        <v>16</v>
      </c>
      <c r="D3661" s="1">
        <v>10</v>
      </c>
      <c r="E3661" s="3">
        <f t="shared" si="28"/>
        <v>0.61538461538461542</v>
      </c>
      <c r="F3661" s="1" t="s">
        <v>30</v>
      </c>
      <c r="G3661" s="1" t="s">
        <v>24</v>
      </c>
      <c r="H3661" s="1">
        <v>2537</v>
      </c>
      <c r="I3661" s="1">
        <v>4818</v>
      </c>
      <c r="J3661" s="7">
        <v>0.52700000000000002</v>
      </c>
      <c r="K3661" s="1" t="s">
        <v>29</v>
      </c>
      <c r="L3661" s="1" t="s">
        <v>29</v>
      </c>
      <c r="M3661" s="1" t="s">
        <v>29</v>
      </c>
      <c r="N3661" s="1" t="s">
        <v>22</v>
      </c>
      <c r="O3661" s="1" t="str">
        <f t="shared" ca="1" si="29"/>
        <v>Please solve the LeetCode problem '3466. Maximum Coin Collection 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62" spans="1:15" x14ac:dyDescent="0.25">
      <c r="A3662" s="1">
        <v>1924</v>
      </c>
      <c r="B3662" s="2" t="str">
        <f>HYPERLINK("https://leetcode.com/problems/erect-the-fence-ii/", "Erect the Fence II")</f>
        <v>Erect the Fence II</v>
      </c>
      <c r="C3662" s="1">
        <v>15</v>
      </c>
      <c r="D3662" s="1">
        <v>44</v>
      </c>
      <c r="E3662" s="3">
        <f t="shared" si="28"/>
        <v>0.25423728813559321</v>
      </c>
      <c r="F3662" s="1" t="s">
        <v>397</v>
      </c>
      <c r="G3662" s="1" t="s">
        <v>28</v>
      </c>
      <c r="H3662" s="1">
        <v>949</v>
      </c>
      <c r="I3662" s="1">
        <v>1862</v>
      </c>
      <c r="J3662" s="7">
        <v>0.51</v>
      </c>
      <c r="K3662" s="1" t="s">
        <v>29</v>
      </c>
      <c r="L3662" s="1" t="s">
        <v>29</v>
      </c>
      <c r="M3662" s="1" t="s">
        <v>29</v>
      </c>
      <c r="N3662" s="1" t="s">
        <v>22</v>
      </c>
      <c r="O3662" s="1" t="str">
        <f t="shared" ca="1" si="29"/>
        <v>Please solve the LeetCode problem '1924. Erect the Fence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63" spans="1:15" x14ac:dyDescent="0.25">
      <c r="A3663" s="1">
        <v>2755</v>
      </c>
      <c r="B3663" s="2" t="str">
        <f>HYPERLINK("https://leetcode.com/problems/deep-merge-of-two-objects/", "Deep Merge of Two Objects")</f>
        <v>Deep Merge of Two Objects</v>
      </c>
      <c r="C3663" s="1">
        <v>15</v>
      </c>
      <c r="D3663" s="1">
        <v>4</v>
      </c>
      <c r="E3663" s="3">
        <f t="shared" si="28"/>
        <v>0.78947368421052633</v>
      </c>
      <c r="G3663" s="1" t="s">
        <v>24</v>
      </c>
      <c r="H3663" s="1">
        <v>853</v>
      </c>
      <c r="I3663" s="1">
        <v>1331</v>
      </c>
      <c r="J3663" s="7">
        <v>0.64100000000000001</v>
      </c>
      <c r="K3663" s="1" t="s">
        <v>29</v>
      </c>
      <c r="L3663" s="1" t="s">
        <v>21</v>
      </c>
      <c r="M3663" s="1" t="s">
        <v>29</v>
      </c>
      <c r="N3663" s="1" t="s">
        <v>555</v>
      </c>
      <c r="O3663" s="1" t="str">
        <f t="shared" ca="1" si="29"/>
        <v>Please solve the LeetCode problem '2755. Deep Merge of Two Objects'.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64" spans="1:15" x14ac:dyDescent="0.25">
      <c r="A3664" s="1">
        <v>2756</v>
      </c>
      <c r="B3664" s="2" t="str">
        <f>HYPERLINK("https://leetcode.com/problems/query-batching/", "Query Batching")</f>
        <v>Query Batching</v>
      </c>
      <c r="C3664" s="1">
        <v>15</v>
      </c>
      <c r="D3664" s="1">
        <v>5</v>
      </c>
      <c r="E3664" s="3">
        <f t="shared" si="28"/>
        <v>0.75</v>
      </c>
      <c r="G3664" s="1" t="s">
        <v>28</v>
      </c>
      <c r="H3664" s="1">
        <v>510</v>
      </c>
      <c r="I3664" s="1">
        <v>754</v>
      </c>
      <c r="J3664" s="7">
        <v>0.67600000000000005</v>
      </c>
      <c r="K3664" s="1" t="s">
        <v>29</v>
      </c>
      <c r="L3664" s="1" t="s">
        <v>21</v>
      </c>
      <c r="M3664" s="1" t="s">
        <v>29</v>
      </c>
      <c r="N3664" s="1" t="s">
        <v>555</v>
      </c>
      <c r="O3664" s="1" t="str">
        <f t="shared" ca="1" si="29"/>
        <v>Please solve the LeetCode problem '2756. Query Batching'.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65" spans="1:15" x14ac:dyDescent="0.25">
      <c r="A3665" s="1">
        <v>2775</v>
      </c>
      <c r="B3665" s="2" t="str">
        <f>HYPERLINK("https://leetcode.com/problems/undefined-to-null/", "Undefined to Null")</f>
        <v>Undefined to Null</v>
      </c>
      <c r="C3665" s="1">
        <v>15</v>
      </c>
      <c r="D3665" s="1">
        <v>1</v>
      </c>
      <c r="E3665" s="3">
        <f t="shared" si="28"/>
        <v>0.9375</v>
      </c>
      <c r="G3665" s="1" t="s">
        <v>24</v>
      </c>
      <c r="H3665" s="1">
        <v>954</v>
      </c>
      <c r="I3665" s="1">
        <v>1333</v>
      </c>
      <c r="J3665" s="7">
        <v>0.71599999999999997</v>
      </c>
      <c r="K3665" s="1" t="s">
        <v>29</v>
      </c>
      <c r="L3665" s="1" t="s">
        <v>21</v>
      </c>
      <c r="M3665" s="1" t="s">
        <v>29</v>
      </c>
      <c r="N3665" s="1" t="s">
        <v>555</v>
      </c>
      <c r="O3665" s="1" t="str">
        <f t="shared" ca="1" si="29"/>
        <v>Please solve the LeetCode problem '2775. Undefined to Null'.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66" spans="1:15" x14ac:dyDescent="0.25">
      <c r="A3666" s="1">
        <v>2993</v>
      </c>
      <c r="B3666" s="2" t="str">
        <f>HYPERLINK("https://leetcode.com/problems/friday-purchases-i/", "Friday Purchases I")</f>
        <v>Friday Purchases I</v>
      </c>
      <c r="C3666" s="1">
        <v>15</v>
      </c>
      <c r="D3666" s="1">
        <v>4</v>
      </c>
      <c r="E3666" s="3">
        <f t="shared" si="28"/>
        <v>0.78947368421052633</v>
      </c>
      <c r="F3666" s="1" t="s">
        <v>297</v>
      </c>
      <c r="G3666" s="1" t="s">
        <v>24</v>
      </c>
      <c r="H3666" s="1">
        <v>3945</v>
      </c>
      <c r="I3666" s="1">
        <v>4901</v>
      </c>
      <c r="J3666" s="7">
        <v>0.80500000000000005</v>
      </c>
      <c r="K3666" s="1" t="s">
        <v>29</v>
      </c>
      <c r="L3666" s="1" t="s">
        <v>29</v>
      </c>
      <c r="M3666" s="1" t="s">
        <v>29</v>
      </c>
      <c r="N3666" s="1" t="s">
        <v>297</v>
      </c>
      <c r="O3666" s="1" t="str">
        <f t="shared" ca="1" si="29"/>
        <v>Please solve the LeetCode problem '2993. Friday Purchases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67" spans="1:15" x14ac:dyDescent="0.25">
      <c r="A3667" s="1">
        <v>3023</v>
      </c>
      <c r="B3667" s="2" t="str">
        <f>HYPERLINK("https://leetcode.com/problems/find-pattern-in-infinite-stream-i/", "Find Pattern in Infinite Stream I")</f>
        <v>Find Pattern in Infinite Stream I</v>
      </c>
      <c r="C3667" s="1">
        <v>15</v>
      </c>
      <c r="D3667" s="1">
        <v>2</v>
      </c>
      <c r="E3667" s="3">
        <f t="shared" si="28"/>
        <v>0.88235294117647056</v>
      </c>
      <c r="F3667" s="1" t="s">
        <v>1406</v>
      </c>
      <c r="G3667" s="1" t="s">
        <v>24</v>
      </c>
      <c r="H3667" s="1">
        <v>1806</v>
      </c>
      <c r="I3667" s="1">
        <v>3193</v>
      </c>
      <c r="J3667" s="7">
        <v>0.56599999999999995</v>
      </c>
      <c r="K3667" s="1" t="s">
        <v>29</v>
      </c>
      <c r="L3667" s="1" t="s">
        <v>29</v>
      </c>
      <c r="M3667" s="1" t="s">
        <v>29</v>
      </c>
      <c r="N3667" s="1" t="s">
        <v>22</v>
      </c>
      <c r="O3667" s="1" t="str">
        <f t="shared" ca="1" si="29"/>
        <v>Please solve the LeetCode problem '3023. Find Pattern in Infinite Stream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68" spans="1:15" x14ac:dyDescent="0.25">
      <c r="A3668" s="1">
        <v>3051</v>
      </c>
      <c r="B3668" s="2" t="str">
        <f>HYPERLINK("https://leetcode.com/problems/find-candidates-for-data-scientist-position/", "Find Candidates for Data Scientist Position")</f>
        <v>Find Candidates for Data Scientist Position</v>
      </c>
      <c r="C3668" s="1">
        <v>15</v>
      </c>
      <c r="D3668" s="1">
        <v>0</v>
      </c>
      <c r="E3668" s="3">
        <f t="shared" si="28"/>
        <v>1</v>
      </c>
      <c r="F3668" s="1" t="s">
        <v>297</v>
      </c>
      <c r="G3668" s="1" t="s">
        <v>20</v>
      </c>
      <c r="H3668" s="1">
        <v>5157</v>
      </c>
      <c r="I3668" s="1">
        <v>6851</v>
      </c>
      <c r="J3668" s="7">
        <v>0.753</v>
      </c>
      <c r="K3668" s="1" t="s">
        <v>29</v>
      </c>
      <c r="L3668" s="1" t="s">
        <v>29</v>
      </c>
      <c r="M3668" s="1" t="s">
        <v>29</v>
      </c>
      <c r="N3668" s="1" t="s">
        <v>297</v>
      </c>
      <c r="O3668" s="1" t="str">
        <f t="shared" ca="1" si="29"/>
        <v>Please solve the LeetCode problem '3051. Find Candidates for Data Scientist Position'.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69" spans="1:15" x14ac:dyDescent="0.25">
      <c r="A3669" s="1">
        <v>3094</v>
      </c>
      <c r="B3669" s="2" t="str">
        <f>HYPERLINK("https://leetcode.com/problems/guess-the-number-using-bitwise-questions-ii/", "Guess the Number Using Bitwise Questions II")</f>
        <v>Guess the Number Using Bitwise Questions II</v>
      </c>
      <c r="C3669" s="1">
        <v>15</v>
      </c>
      <c r="D3669" s="1">
        <v>3</v>
      </c>
      <c r="E3669" s="3">
        <f t="shared" si="28"/>
        <v>0.83333333333333337</v>
      </c>
      <c r="F3669" s="1" t="s">
        <v>1323</v>
      </c>
      <c r="G3669" s="1" t="s">
        <v>24</v>
      </c>
      <c r="H3669" s="1">
        <v>1014</v>
      </c>
      <c r="I3669" s="1">
        <v>1225</v>
      </c>
      <c r="J3669" s="7">
        <v>0.82799999999999996</v>
      </c>
      <c r="K3669" s="1" t="s">
        <v>29</v>
      </c>
      <c r="L3669" s="1" t="s">
        <v>29</v>
      </c>
      <c r="M3669" s="1" t="s">
        <v>29</v>
      </c>
      <c r="N3669" s="1" t="s">
        <v>22</v>
      </c>
      <c r="O3669" s="1" t="str">
        <f t="shared" ca="1" si="29"/>
        <v>Please solve the LeetCode problem '3094. Guess the Number Using Bitwise Questions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70" spans="1:15" x14ac:dyDescent="0.25">
      <c r="A3670" s="1">
        <v>3135</v>
      </c>
      <c r="B3670" s="2" t="str">
        <f>HYPERLINK("https://leetcode.com/problems/equalize-strings-by-adding-or-removing-characters-at-ends/", "Equalize Strings by Adding or Removing Characters at Ends")</f>
        <v>Equalize Strings by Adding or Removing Characters at Ends</v>
      </c>
      <c r="C3670" s="1">
        <v>15</v>
      </c>
      <c r="D3670" s="1">
        <v>2</v>
      </c>
      <c r="E3670" s="3">
        <f t="shared" si="28"/>
        <v>0.88235294117647056</v>
      </c>
      <c r="F3670" s="1" t="s">
        <v>1324</v>
      </c>
      <c r="G3670" s="1" t="s">
        <v>24</v>
      </c>
      <c r="H3670" s="1">
        <v>1363</v>
      </c>
      <c r="I3670" s="1">
        <v>2416</v>
      </c>
      <c r="J3670" s="7">
        <v>0.56399999999999995</v>
      </c>
      <c r="K3670" s="1" t="s">
        <v>29</v>
      </c>
      <c r="L3670" s="1" t="s">
        <v>29</v>
      </c>
      <c r="M3670" s="1" t="s">
        <v>29</v>
      </c>
      <c r="N3670" s="1" t="s">
        <v>22</v>
      </c>
      <c r="O3670" s="1" t="str">
        <f t="shared" ca="1" si="29"/>
        <v>Please solve the LeetCode problem '3135. Equalize Strings by Adding or Removing Characters at Ends'.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71" spans="1:15" x14ac:dyDescent="0.25">
      <c r="A3671" s="1">
        <v>3141</v>
      </c>
      <c r="B3671" s="2" t="str">
        <f>HYPERLINK("https://leetcode.com/problems/maximum-hamming-distances/", "Maximum Hamming Distances")</f>
        <v>Maximum Hamming Distances</v>
      </c>
      <c r="C3671" s="1">
        <v>15</v>
      </c>
      <c r="D3671" s="1">
        <v>2</v>
      </c>
      <c r="E3671" s="3">
        <f t="shared" si="28"/>
        <v>0.88235294117647056</v>
      </c>
      <c r="F3671" s="1" t="s">
        <v>1325</v>
      </c>
      <c r="G3671" s="1" t="s">
        <v>28</v>
      </c>
      <c r="H3671" s="1">
        <v>614</v>
      </c>
      <c r="I3671" s="1">
        <v>1258</v>
      </c>
      <c r="J3671" s="7">
        <v>0.48799999999999999</v>
      </c>
      <c r="K3671" s="1" t="s">
        <v>29</v>
      </c>
      <c r="L3671" s="1" t="s">
        <v>29</v>
      </c>
      <c r="M3671" s="1" t="s">
        <v>29</v>
      </c>
      <c r="N3671" s="1" t="s">
        <v>22</v>
      </c>
      <c r="O3671" s="1" t="str">
        <f t="shared" ca="1" si="29"/>
        <v>Please solve the LeetCode problem '3141. Maximum Hamming Distances'.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72" spans="1:15" x14ac:dyDescent="0.25">
      <c r="A3672" s="1">
        <v>3237</v>
      </c>
      <c r="B3672" s="2" t="str">
        <f>HYPERLINK("https://leetcode.com/problems/alt-and-tab-simulation/", "Alt and Tab Simulation")</f>
        <v>Alt and Tab Simulation</v>
      </c>
      <c r="C3672" s="1">
        <v>15</v>
      </c>
      <c r="D3672" s="1">
        <v>6</v>
      </c>
      <c r="E3672" s="3">
        <f t="shared" si="28"/>
        <v>0.7142857142857143</v>
      </c>
      <c r="F3672" s="1" t="s">
        <v>736</v>
      </c>
      <c r="G3672" s="1" t="s">
        <v>24</v>
      </c>
      <c r="H3672" s="1">
        <v>1152</v>
      </c>
      <c r="I3672" s="1">
        <v>2232</v>
      </c>
      <c r="J3672" s="7">
        <v>0.51600000000000001</v>
      </c>
      <c r="K3672" s="1" t="s">
        <v>29</v>
      </c>
      <c r="L3672" s="1" t="s">
        <v>29</v>
      </c>
      <c r="M3672" s="1" t="s">
        <v>29</v>
      </c>
      <c r="N3672" s="1" t="s">
        <v>22</v>
      </c>
      <c r="O3672" s="1" t="str">
        <f t="shared" ca="1" si="29"/>
        <v>Please solve the LeetCode problem '3237. Alt and Tab Simulation'.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73" spans="1:15" x14ac:dyDescent="0.25">
      <c r="A3673" s="1">
        <v>3369</v>
      </c>
      <c r="B3673" s="2" t="str">
        <f>HYPERLINK("https://leetcode.com/problems/design-an-array-statistics-tracker/", "Design an Array Statistics Tracker ")</f>
        <v xml:space="preserve">Design an Array Statistics Tracker </v>
      </c>
      <c r="C3673" s="1">
        <v>15</v>
      </c>
      <c r="D3673" s="1">
        <v>2</v>
      </c>
      <c r="E3673" s="3">
        <f t="shared" si="28"/>
        <v>0.88235294117647056</v>
      </c>
      <c r="F3673" s="1" t="s">
        <v>1326</v>
      </c>
      <c r="G3673" s="1" t="s">
        <v>28</v>
      </c>
      <c r="H3673" s="1">
        <v>1306</v>
      </c>
      <c r="I3673" s="1">
        <v>3706</v>
      </c>
      <c r="J3673" s="7">
        <v>0.35199999999999998</v>
      </c>
      <c r="K3673" s="1" t="s">
        <v>29</v>
      </c>
      <c r="L3673" s="1" t="s">
        <v>29</v>
      </c>
      <c r="M3673" s="1" t="s">
        <v>29</v>
      </c>
      <c r="N3673" s="1" t="s">
        <v>22</v>
      </c>
      <c r="O3673" s="1" t="str">
        <f t="shared" ca="1" si="29"/>
        <v>Please solve the LeetCode problem '3369. Design an Array Statistics Tracker 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74" spans="1:15" x14ac:dyDescent="0.25">
      <c r="A3674" s="1">
        <v>3400</v>
      </c>
      <c r="B3674" s="2" t="str">
        <f>HYPERLINK("https://leetcode.com/problems/maximum-number-of-matching-indices-after-right-shifts/", "Maximum Number of Matching Indices After Right Shifts")</f>
        <v>Maximum Number of Matching Indices After Right Shifts</v>
      </c>
      <c r="C3674" s="1">
        <v>15</v>
      </c>
      <c r="D3674" s="1">
        <v>1</v>
      </c>
      <c r="E3674" s="3">
        <f t="shared" si="28"/>
        <v>0.9375</v>
      </c>
      <c r="F3674" s="1" t="s">
        <v>303</v>
      </c>
      <c r="G3674" s="1" t="s">
        <v>24</v>
      </c>
      <c r="H3674" s="1">
        <v>1526</v>
      </c>
      <c r="I3674" s="1">
        <v>1811</v>
      </c>
      <c r="J3674" s="7">
        <v>0.84299999999999997</v>
      </c>
      <c r="K3674" s="1" t="s">
        <v>29</v>
      </c>
      <c r="L3674" s="1" t="s">
        <v>29</v>
      </c>
      <c r="M3674" s="1" t="s">
        <v>29</v>
      </c>
      <c r="N3674" s="1" t="s">
        <v>22</v>
      </c>
      <c r="O3674" s="1" t="str">
        <f t="shared" ca="1" si="29"/>
        <v>Please solve the LeetCode problem '3400. Maximum Number of Matching Indices After Right Shifts'.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75" spans="1:15" x14ac:dyDescent="0.25">
      <c r="A3675" s="1">
        <v>3610</v>
      </c>
      <c r="B3675" s="2" t="str">
        <f>HYPERLINK("https://leetcode.com/problems/minimum-number-of-primes-to-sum-to-target/", "Minimum Number of Primes to Sum to Target")</f>
        <v>Minimum Number of Primes to Sum to Target</v>
      </c>
      <c r="C3675" s="1">
        <v>15</v>
      </c>
      <c r="D3675" s="1">
        <v>1</v>
      </c>
      <c r="E3675" s="3">
        <f t="shared" si="28"/>
        <v>0.9375</v>
      </c>
      <c r="F3675" s="1" t="s">
        <v>1193</v>
      </c>
      <c r="G3675" s="1" t="s">
        <v>24</v>
      </c>
      <c r="H3675" s="1">
        <v>3258</v>
      </c>
      <c r="I3675" s="1">
        <v>5486</v>
      </c>
      <c r="J3675" s="7">
        <v>0.59399999999999997</v>
      </c>
      <c r="K3675" s="1" t="s">
        <v>29</v>
      </c>
      <c r="L3675" s="1" t="s">
        <v>29</v>
      </c>
      <c r="M3675" s="1" t="s">
        <v>29</v>
      </c>
      <c r="N3675" s="1" t="s">
        <v>22</v>
      </c>
      <c r="O3675" s="1" t="str">
        <f t="shared" ca="1" si="29"/>
        <v>Please solve the LeetCode problem '3610. Minimum Number of Primes to Sum to Target'.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76" spans="1:15" x14ac:dyDescent="0.25">
      <c r="A3676" s="1">
        <v>2720</v>
      </c>
      <c r="B3676" s="2" t="str">
        <f>HYPERLINK("https://leetcode.com/problems/popularity-percentage/", "Popularity Percentage")</f>
        <v>Popularity Percentage</v>
      </c>
      <c r="C3676" s="1">
        <v>14</v>
      </c>
      <c r="D3676" s="1">
        <v>9</v>
      </c>
      <c r="E3676" s="3">
        <f t="shared" si="28"/>
        <v>0.60869565217391308</v>
      </c>
      <c r="F3676" s="1" t="s">
        <v>297</v>
      </c>
      <c r="G3676" s="1" t="s">
        <v>28</v>
      </c>
      <c r="H3676" s="1">
        <v>3721</v>
      </c>
      <c r="I3676" s="1">
        <v>7035</v>
      </c>
      <c r="J3676" s="7">
        <v>0.52900000000000003</v>
      </c>
      <c r="K3676" s="1" t="s">
        <v>29</v>
      </c>
      <c r="L3676" s="1" t="s">
        <v>21</v>
      </c>
      <c r="M3676" s="1" t="s">
        <v>29</v>
      </c>
      <c r="N3676" s="1" t="s">
        <v>297</v>
      </c>
      <c r="O3676" s="1" t="str">
        <f t="shared" ca="1" si="29"/>
        <v>Please solve the LeetCode problem '2720. Popularity Percentage'.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77" spans="1:15" x14ac:dyDescent="0.25">
      <c r="A3677" s="1">
        <v>2978</v>
      </c>
      <c r="B3677" s="2" t="str">
        <f>HYPERLINK("https://leetcode.com/problems/symmetric-coordinates/", "Symmetric Coordinates")</f>
        <v>Symmetric Coordinates</v>
      </c>
      <c r="C3677" s="1">
        <v>14</v>
      </c>
      <c r="D3677" s="1">
        <v>3</v>
      </c>
      <c r="E3677" s="3">
        <f t="shared" si="28"/>
        <v>0.82352941176470584</v>
      </c>
      <c r="F3677" s="1" t="s">
        <v>297</v>
      </c>
      <c r="G3677" s="1" t="s">
        <v>24</v>
      </c>
      <c r="H3677" s="1">
        <v>2893</v>
      </c>
      <c r="I3677" s="1">
        <v>7137</v>
      </c>
      <c r="J3677" s="7">
        <v>0.40500000000000003</v>
      </c>
      <c r="K3677" s="1" t="s">
        <v>29</v>
      </c>
      <c r="L3677" s="1" t="s">
        <v>29</v>
      </c>
      <c r="M3677" s="1" t="s">
        <v>29</v>
      </c>
      <c r="N3677" s="1" t="s">
        <v>297</v>
      </c>
      <c r="O3677" s="1" t="str">
        <f t="shared" ca="1" si="29"/>
        <v>Please solve the LeetCode problem '2978. Symmetric Coordinates'.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78" spans="1:15" x14ac:dyDescent="0.25">
      <c r="A3678" s="1">
        <v>2985</v>
      </c>
      <c r="B3678" s="2" t="str">
        <f>HYPERLINK("https://leetcode.com/problems/calculate-compressed-mean/", "Calculate Compressed Mean")</f>
        <v>Calculate Compressed Mean</v>
      </c>
      <c r="C3678" s="1">
        <v>14</v>
      </c>
      <c r="D3678" s="1">
        <v>6</v>
      </c>
      <c r="E3678" s="3">
        <f t="shared" si="28"/>
        <v>0.7</v>
      </c>
      <c r="F3678" s="1" t="s">
        <v>297</v>
      </c>
      <c r="G3678" s="1" t="s">
        <v>20</v>
      </c>
      <c r="H3678" s="1">
        <v>5290</v>
      </c>
      <c r="I3678" s="1">
        <v>6092</v>
      </c>
      <c r="J3678" s="7">
        <v>0.86799999999999999</v>
      </c>
      <c r="K3678" s="1" t="s">
        <v>29</v>
      </c>
      <c r="L3678" s="1" t="s">
        <v>29</v>
      </c>
      <c r="M3678" s="1" t="s">
        <v>29</v>
      </c>
      <c r="N3678" s="1" t="s">
        <v>297</v>
      </c>
      <c r="O3678" s="1" t="str">
        <f t="shared" ca="1" si="29"/>
        <v>Please solve the LeetCode problem '2985. Calculate Compressed Mean'.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79" spans="1:15" x14ac:dyDescent="0.25">
      <c r="A3679" s="1">
        <v>2989</v>
      </c>
      <c r="B3679" s="2" t="str">
        <f>HYPERLINK("https://leetcode.com/problems/class-performance/", "Class Performance")</f>
        <v>Class Performance</v>
      </c>
      <c r="C3679" s="1">
        <v>14</v>
      </c>
      <c r="D3679" s="1">
        <v>3</v>
      </c>
      <c r="E3679" s="3">
        <f t="shared" si="28"/>
        <v>0.82352941176470584</v>
      </c>
      <c r="F3679" s="1" t="s">
        <v>297</v>
      </c>
      <c r="G3679" s="1" t="s">
        <v>24</v>
      </c>
      <c r="H3679" s="1">
        <v>5574</v>
      </c>
      <c r="I3679" s="1">
        <v>6278</v>
      </c>
      <c r="J3679" s="7">
        <v>0.88800000000000001</v>
      </c>
      <c r="K3679" s="1" t="s">
        <v>29</v>
      </c>
      <c r="L3679" s="1" t="s">
        <v>29</v>
      </c>
      <c r="M3679" s="1" t="s">
        <v>29</v>
      </c>
      <c r="N3679" s="1" t="s">
        <v>297</v>
      </c>
      <c r="O3679" s="1" t="str">
        <f t="shared" ca="1" si="29"/>
        <v>Please solve the LeetCode problem '2989. Class Performance'.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80" spans="1:15" x14ac:dyDescent="0.25">
      <c r="A3680" s="1">
        <v>2991</v>
      </c>
      <c r="B3680" s="2" t="str">
        <f>HYPERLINK("https://leetcode.com/problems/top-three-wineries/", "Top Three Wineries ")</f>
        <v xml:space="preserve">Top Three Wineries </v>
      </c>
      <c r="C3680" s="1">
        <v>14</v>
      </c>
      <c r="D3680" s="1">
        <v>7</v>
      </c>
      <c r="E3680" s="3">
        <f t="shared" si="28"/>
        <v>0.66666666666666663</v>
      </c>
      <c r="F3680" s="1" t="s">
        <v>297</v>
      </c>
      <c r="G3680" s="1" t="s">
        <v>28</v>
      </c>
      <c r="H3680" s="1">
        <v>3408</v>
      </c>
      <c r="I3680" s="1">
        <v>6292</v>
      </c>
      <c r="J3680" s="7">
        <v>0.54200000000000004</v>
      </c>
      <c r="K3680" s="1" t="s">
        <v>29</v>
      </c>
      <c r="L3680" s="1" t="s">
        <v>29</v>
      </c>
      <c r="M3680" s="1" t="s">
        <v>29</v>
      </c>
      <c r="N3680" s="1" t="s">
        <v>297</v>
      </c>
      <c r="O3680" s="1" t="str">
        <f t="shared" ca="1" si="29"/>
        <v>Please solve the LeetCode problem '2991. Top Three Wineries 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81" spans="1:15" x14ac:dyDescent="0.25">
      <c r="A3681" s="1">
        <v>3061</v>
      </c>
      <c r="B3681" s="2" t="str">
        <f>HYPERLINK("https://leetcode.com/problems/calculate-trapping-rain-water/", "Calculate Trapping Rain Water")</f>
        <v>Calculate Trapping Rain Water</v>
      </c>
      <c r="C3681" s="1">
        <v>14</v>
      </c>
      <c r="D3681" s="1">
        <v>6</v>
      </c>
      <c r="E3681" s="3">
        <f t="shared" si="28"/>
        <v>0.7</v>
      </c>
      <c r="F3681" s="1" t="s">
        <v>297</v>
      </c>
      <c r="G3681" s="1" t="s">
        <v>28</v>
      </c>
      <c r="H3681" s="1">
        <v>1613</v>
      </c>
      <c r="I3681" s="1">
        <v>1977</v>
      </c>
      <c r="J3681" s="7">
        <v>0.81599999999999995</v>
      </c>
      <c r="K3681" s="1" t="s">
        <v>29</v>
      </c>
      <c r="L3681" s="1" t="s">
        <v>29</v>
      </c>
      <c r="M3681" s="1" t="s">
        <v>29</v>
      </c>
      <c r="N3681" s="1" t="s">
        <v>297</v>
      </c>
      <c r="O3681" s="1" t="str">
        <f t="shared" ca="1" si="29"/>
        <v>Please solve the LeetCode problem '3061. Calculate Trapping Rain Water'.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82" spans="1:15" x14ac:dyDescent="0.25">
      <c r="A3682" s="1">
        <v>3182</v>
      </c>
      <c r="B3682" s="2" t="str">
        <f>HYPERLINK("https://leetcode.com/problems/find-top-scoring-students/", "Find Top Scoring Students")</f>
        <v>Find Top Scoring Students</v>
      </c>
      <c r="C3682" s="1">
        <v>14</v>
      </c>
      <c r="D3682" s="1">
        <v>3</v>
      </c>
      <c r="E3682" s="3">
        <f t="shared" si="28"/>
        <v>0.82352941176470584</v>
      </c>
      <c r="F3682" s="1" t="s">
        <v>297</v>
      </c>
      <c r="G3682" s="1" t="s">
        <v>24</v>
      </c>
      <c r="H3682" s="1">
        <v>2766</v>
      </c>
      <c r="I3682" s="1">
        <v>5630</v>
      </c>
      <c r="J3682" s="7">
        <v>0.49099999999999999</v>
      </c>
      <c r="K3682" s="1" t="s">
        <v>29</v>
      </c>
      <c r="L3682" s="1" t="s">
        <v>29</v>
      </c>
      <c r="M3682" s="1" t="s">
        <v>29</v>
      </c>
      <c r="N3682" s="1" t="s">
        <v>297</v>
      </c>
      <c r="O3682" s="1" t="str">
        <f t="shared" ca="1" si="29"/>
        <v>Please solve the LeetCode problem '3182. Find Top Scoring Students'.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83" spans="1:15" x14ac:dyDescent="0.25">
      <c r="A3683" s="1">
        <v>3353</v>
      </c>
      <c r="B3683" s="2" t="str">
        <f>HYPERLINK("https://leetcode.com/problems/minimum-total-operations/", "Minimum Total Operations")</f>
        <v>Minimum Total Operations</v>
      </c>
      <c r="C3683" s="1">
        <v>14</v>
      </c>
      <c r="D3683" s="1">
        <v>1</v>
      </c>
      <c r="E3683" s="3">
        <f t="shared" si="28"/>
        <v>0.93333333333333335</v>
      </c>
      <c r="F3683" s="1" t="s">
        <v>113</v>
      </c>
      <c r="G3683" s="1" t="s">
        <v>20</v>
      </c>
      <c r="H3683" s="1">
        <v>1247</v>
      </c>
      <c r="I3683" s="1">
        <v>1959</v>
      </c>
      <c r="J3683" s="7">
        <v>0.63700000000000001</v>
      </c>
      <c r="K3683" s="1" t="s">
        <v>29</v>
      </c>
      <c r="L3683" s="1" t="s">
        <v>29</v>
      </c>
      <c r="M3683" s="1" t="s">
        <v>29</v>
      </c>
      <c r="N3683" s="1" t="s">
        <v>22</v>
      </c>
      <c r="O3683" s="1" t="str">
        <f t="shared" ca="1" si="29"/>
        <v>Please solve the LeetCode problem '3353. Minimum Total Operations'.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84" spans="1:15" x14ac:dyDescent="0.25">
      <c r="A3684" s="1">
        <v>2758</v>
      </c>
      <c r="B3684" s="2" t="str">
        <f>HYPERLINK("https://leetcode.com/problems/next-day/", "Next Day")</f>
        <v>Next Day</v>
      </c>
      <c r="C3684" s="1">
        <v>13</v>
      </c>
      <c r="D3684" s="1">
        <v>1</v>
      </c>
      <c r="E3684" s="3">
        <f t="shared" si="28"/>
        <v>0.9285714285714286</v>
      </c>
      <c r="G3684" s="1" t="s">
        <v>20</v>
      </c>
      <c r="H3684" s="1">
        <v>1537</v>
      </c>
      <c r="I3684" s="1">
        <v>1795</v>
      </c>
      <c r="J3684" s="7">
        <v>0.85599999999999998</v>
      </c>
      <c r="K3684" s="1" t="s">
        <v>29</v>
      </c>
      <c r="L3684" s="1" t="s">
        <v>21</v>
      </c>
      <c r="M3684" s="1" t="s">
        <v>29</v>
      </c>
      <c r="N3684" s="1" t="s">
        <v>555</v>
      </c>
      <c r="O3684" s="1" t="str">
        <f t="shared" ca="1" si="29"/>
        <v>Please solve the LeetCode problem '2758. Next Day'.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85" spans="1:15" x14ac:dyDescent="0.25">
      <c r="A3685" s="1">
        <v>2793</v>
      </c>
      <c r="B3685" s="2" t="str">
        <f>HYPERLINK("https://leetcode.com/problems/status-of-flight-tickets/", "Status of Flight Tickets")</f>
        <v>Status of Flight Tickets</v>
      </c>
      <c r="C3685" s="1">
        <v>13</v>
      </c>
      <c r="D3685" s="1">
        <v>21</v>
      </c>
      <c r="E3685" s="3">
        <f t="shared" si="28"/>
        <v>0.38235294117647056</v>
      </c>
      <c r="G3685" s="1" t="s">
        <v>28</v>
      </c>
      <c r="H3685" s="1">
        <v>3306</v>
      </c>
      <c r="I3685" s="1">
        <v>4225</v>
      </c>
      <c r="J3685" s="7">
        <v>0.78200000000000003</v>
      </c>
      <c r="K3685" s="1" t="s">
        <v>29</v>
      </c>
      <c r="L3685" s="1" t="s">
        <v>29</v>
      </c>
      <c r="M3685" s="1" t="s">
        <v>29</v>
      </c>
      <c r="N3685" s="1" t="s">
        <v>297</v>
      </c>
      <c r="O3685" s="1" t="str">
        <f t="shared" ca="1" si="29"/>
        <v>Please solve the LeetCode problem '2793. Status of Flight Tickets'.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86" spans="1:15" x14ac:dyDescent="0.25">
      <c r="A3686" s="1">
        <v>2994</v>
      </c>
      <c r="B3686" s="2" t="str">
        <f>HYPERLINK("https://leetcode.com/problems/friday-purchases-ii/", "Friday Purchases II ")</f>
        <v xml:space="preserve">Friday Purchases II </v>
      </c>
      <c r="C3686" s="1">
        <v>13</v>
      </c>
      <c r="D3686" s="1">
        <v>4</v>
      </c>
      <c r="E3686" s="3">
        <f t="shared" si="28"/>
        <v>0.76470588235294112</v>
      </c>
      <c r="F3686" s="1" t="s">
        <v>297</v>
      </c>
      <c r="G3686" s="1" t="s">
        <v>28</v>
      </c>
      <c r="H3686" s="1">
        <v>2478</v>
      </c>
      <c r="I3686" s="1">
        <v>3343</v>
      </c>
      <c r="J3686" s="7">
        <v>0.74099999999999999</v>
      </c>
      <c r="K3686" s="1" t="s">
        <v>29</v>
      </c>
      <c r="L3686" s="1" t="s">
        <v>29</v>
      </c>
      <c r="M3686" s="1" t="s">
        <v>29</v>
      </c>
      <c r="N3686" s="1" t="s">
        <v>297</v>
      </c>
      <c r="O3686" s="1" t="str">
        <f t="shared" ca="1" si="29"/>
        <v>Please solve the LeetCode problem '2994. Friday Purchases II 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87" spans="1:15" x14ac:dyDescent="0.25">
      <c r="A3687" s="1">
        <v>3059</v>
      </c>
      <c r="B3687" s="2" t="str">
        <f>HYPERLINK("https://leetcode.com/problems/find-all-unique-email-domains/", "Find All Unique Email Domains")</f>
        <v>Find All Unique Email Domains</v>
      </c>
      <c r="C3687" s="1">
        <v>13</v>
      </c>
      <c r="D3687" s="1">
        <v>8</v>
      </c>
      <c r="E3687" s="3">
        <f t="shared" si="28"/>
        <v>0.61904761904761907</v>
      </c>
      <c r="F3687" s="1" t="s">
        <v>297</v>
      </c>
      <c r="G3687" s="1" t="s">
        <v>20</v>
      </c>
      <c r="H3687" s="1">
        <v>3981</v>
      </c>
      <c r="I3687" s="1">
        <v>5706</v>
      </c>
      <c r="J3687" s="7">
        <v>0.69799999999999995</v>
      </c>
      <c r="K3687" s="1" t="s">
        <v>29</v>
      </c>
      <c r="L3687" s="1" t="s">
        <v>21</v>
      </c>
      <c r="M3687" s="1" t="s">
        <v>29</v>
      </c>
      <c r="N3687" s="1" t="s">
        <v>297</v>
      </c>
      <c r="O3687" s="1" t="str">
        <f t="shared" ca="1" si="29"/>
        <v>Please solve the LeetCode problem '3059. Find All Unique Email Domains'.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88" spans="1:15" x14ac:dyDescent="0.25">
      <c r="A3688" s="1">
        <v>3166</v>
      </c>
      <c r="B3688" s="2" t="str">
        <f>HYPERLINK("https://leetcode.com/problems/calculate-parking-fees-and-duration/", "Calculate Parking Fees and Duration")</f>
        <v>Calculate Parking Fees and Duration</v>
      </c>
      <c r="C3688" s="1">
        <v>13</v>
      </c>
      <c r="D3688" s="1">
        <v>4</v>
      </c>
      <c r="E3688" s="3">
        <f t="shared" si="28"/>
        <v>0.76470588235294112</v>
      </c>
      <c r="F3688" s="1" t="s">
        <v>297</v>
      </c>
      <c r="G3688" s="1" t="s">
        <v>24</v>
      </c>
      <c r="H3688" s="1">
        <v>2499</v>
      </c>
      <c r="I3688" s="1">
        <v>4748</v>
      </c>
      <c r="J3688" s="7">
        <v>0.52600000000000002</v>
      </c>
      <c r="K3688" s="1" t="s">
        <v>29</v>
      </c>
      <c r="L3688" s="1" t="s">
        <v>29</v>
      </c>
      <c r="M3688" s="1" t="s">
        <v>29</v>
      </c>
      <c r="N3688" s="1" t="s">
        <v>297</v>
      </c>
      <c r="O3688" s="1" t="str">
        <f t="shared" ca="1" si="29"/>
        <v>Please solve the LeetCode problem '3166. Calculate Parking Fees and Duration'.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89" spans="1:15" x14ac:dyDescent="0.25">
      <c r="A3689" s="1">
        <v>3247</v>
      </c>
      <c r="B3689" s="2" t="str">
        <f>HYPERLINK("https://leetcode.com/problems/number-of-subsequences-with-odd-sum/", "Number of Subsequences with Odd Sum")</f>
        <v>Number of Subsequences with Odd Sum</v>
      </c>
      <c r="C3689" s="1">
        <v>13</v>
      </c>
      <c r="D3689" s="1">
        <v>2</v>
      </c>
      <c r="E3689" s="3">
        <f t="shared" si="28"/>
        <v>0.8666666666666667</v>
      </c>
      <c r="F3689" s="1" t="s">
        <v>867</v>
      </c>
      <c r="G3689" s="1" t="s">
        <v>24</v>
      </c>
      <c r="H3689" s="1">
        <v>1036</v>
      </c>
      <c r="I3689" s="1">
        <v>2178</v>
      </c>
      <c r="J3689" s="7">
        <v>0.47599999999999998</v>
      </c>
      <c r="K3689" s="1" t="s">
        <v>29</v>
      </c>
      <c r="L3689" s="1" t="s">
        <v>29</v>
      </c>
      <c r="M3689" s="1" t="s">
        <v>29</v>
      </c>
      <c r="N3689" s="1" t="s">
        <v>22</v>
      </c>
      <c r="O3689" s="1" t="str">
        <f t="shared" ca="1" si="29"/>
        <v>Please solve the LeetCode problem '3247. Number of Subsequences with Odd Sum'.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90" spans="1:15" x14ac:dyDescent="0.25">
      <c r="A3690" s="1">
        <v>3338</v>
      </c>
      <c r="B3690" s="2" t="str">
        <f>HYPERLINK("https://leetcode.com/problems/second-highest-salary-ii/", "Second Highest Salary II")</f>
        <v>Second Highest Salary II</v>
      </c>
      <c r="C3690" s="1">
        <v>13</v>
      </c>
      <c r="D3690" s="1">
        <v>0</v>
      </c>
      <c r="E3690" s="3">
        <f t="shared" si="28"/>
        <v>1</v>
      </c>
      <c r="F3690" s="1" t="s">
        <v>297</v>
      </c>
      <c r="G3690" s="1" t="s">
        <v>24</v>
      </c>
      <c r="H3690" s="1">
        <v>2709</v>
      </c>
      <c r="I3690" s="1">
        <v>3127</v>
      </c>
      <c r="J3690" s="7">
        <v>0.86599999999999999</v>
      </c>
      <c r="K3690" s="1" t="s">
        <v>29</v>
      </c>
      <c r="L3690" s="1" t="s">
        <v>29</v>
      </c>
      <c r="M3690" s="1" t="s">
        <v>29</v>
      </c>
      <c r="N3690" s="1" t="s">
        <v>297</v>
      </c>
      <c r="O3690" s="1" t="str">
        <f t="shared" ca="1" si="29"/>
        <v>Please solve the LeetCode problem '3338. Second Highest Salary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91" spans="1:15" x14ac:dyDescent="0.25">
      <c r="A3691" s="1">
        <v>3450</v>
      </c>
      <c r="B3691" s="2" t="str">
        <f>HYPERLINK("https://leetcode.com/problems/maximum-students-on-a-single-bench/", "Maximum Students on a Single Bench")</f>
        <v>Maximum Students on a Single Bench</v>
      </c>
      <c r="C3691" s="1">
        <v>13</v>
      </c>
      <c r="D3691" s="1">
        <v>1</v>
      </c>
      <c r="E3691" s="3">
        <f t="shared" si="28"/>
        <v>0.9285714285714286</v>
      </c>
      <c r="F3691" s="1" t="s">
        <v>19</v>
      </c>
      <c r="G3691" s="1" t="s">
        <v>20</v>
      </c>
      <c r="H3691" s="1">
        <v>2000</v>
      </c>
      <c r="I3691" s="1">
        <v>2283</v>
      </c>
      <c r="J3691" s="7">
        <v>0.876</v>
      </c>
      <c r="K3691" s="1" t="s">
        <v>29</v>
      </c>
      <c r="L3691" s="1" t="s">
        <v>29</v>
      </c>
      <c r="M3691" s="1" t="s">
        <v>29</v>
      </c>
      <c r="N3691" s="1" t="s">
        <v>22</v>
      </c>
      <c r="O3691" s="1" t="str">
        <f t="shared" ca="1" si="29"/>
        <v>Please solve the LeetCode problem '3450. Maximum Students on a Single Bench'.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92" spans="1:15" x14ac:dyDescent="0.25">
      <c r="A3692" s="1">
        <v>3064</v>
      </c>
      <c r="B3692" s="2" t="str">
        <f>HYPERLINK("https://leetcode.com/problems/guess-the-number-using-bitwise-questions-i/", "Guess the Number Using Bitwise Questions I")</f>
        <v>Guess the Number Using Bitwise Questions I</v>
      </c>
      <c r="C3692" s="1">
        <v>12</v>
      </c>
      <c r="D3692" s="1">
        <v>11</v>
      </c>
      <c r="E3692" s="3">
        <f t="shared" si="28"/>
        <v>0.52173913043478259</v>
      </c>
      <c r="F3692" s="1" t="s">
        <v>1323</v>
      </c>
      <c r="G3692" s="1" t="s">
        <v>24</v>
      </c>
      <c r="H3692" s="1">
        <v>2238</v>
      </c>
      <c r="I3692" s="1">
        <v>2521</v>
      </c>
      <c r="J3692" s="7">
        <v>0.88800000000000001</v>
      </c>
      <c r="K3692" s="1" t="s">
        <v>29</v>
      </c>
      <c r="L3692" s="1" t="s">
        <v>29</v>
      </c>
      <c r="M3692" s="1" t="s">
        <v>29</v>
      </c>
      <c r="N3692" s="1" t="s">
        <v>22</v>
      </c>
      <c r="O3692" s="1" t="str">
        <f t="shared" ca="1" si="29"/>
        <v>Please solve the LeetCode problem '3064. Guess the Number Using Bitwise Questions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93" spans="1:15" x14ac:dyDescent="0.25">
      <c r="A3693" s="1">
        <v>3125</v>
      </c>
      <c r="B3693" s="2" t="str">
        <f>HYPERLINK("https://leetcode.com/problems/maximum-number-that-makes-result-of-bitwise-and-zero/", "Maximum Number That Makes Result of Bitwise AND Zero")</f>
        <v>Maximum Number That Makes Result of Bitwise AND Zero</v>
      </c>
      <c r="C3693" s="1">
        <v>12</v>
      </c>
      <c r="D3693" s="1">
        <v>2</v>
      </c>
      <c r="E3693" s="3">
        <f t="shared" si="28"/>
        <v>0.8571428571428571</v>
      </c>
      <c r="F3693" s="1" t="s">
        <v>771</v>
      </c>
      <c r="G3693" s="1" t="s">
        <v>24</v>
      </c>
      <c r="H3693" s="1">
        <v>1276</v>
      </c>
      <c r="I3693" s="1">
        <v>1822</v>
      </c>
      <c r="J3693" s="7">
        <v>0.7</v>
      </c>
      <c r="K3693" s="1" t="s">
        <v>29</v>
      </c>
      <c r="L3693" s="1" t="s">
        <v>29</v>
      </c>
      <c r="M3693" s="1" t="s">
        <v>29</v>
      </c>
      <c r="N3693" s="1" t="s">
        <v>22</v>
      </c>
      <c r="O3693" s="1" t="str">
        <f t="shared" ca="1" si="29"/>
        <v>Please solve the LeetCode problem '3125. Maximum Number That Makes Result of Bitwise AND Zero'.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94" spans="1:15" x14ac:dyDescent="0.25">
      <c r="A3694" s="1">
        <v>3140</v>
      </c>
      <c r="B3694" s="2" t="str">
        <f>HYPERLINK("https://leetcode.com/problems/consecutive-available-seats-ii/", "Consecutive Available Seats II")</f>
        <v>Consecutive Available Seats II</v>
      </c>
      <c r="C3694" s="1">
        <v>12</v>
      </c>
      <c r="D3694" s="1">
        <v>2</v>
      </c>
      <c r="E3694" s="3">
        <f t="shared" si="28"/>
        <v>0.8571428571428571</v>
      </c>
      <c r="F3694" s="1" t="s">
        <v>297</v>
      </c>
      <c r="G3694" s="1" t="s">
        <v>24</v>
      </c>
      <c r="H3694" s="1">
        <v>2633</v>
      </c>
      <c r="I3694" s="1">
        <v>4790</v>
      </c>
      <c r="J3694" s="7">
        <v>0.55000000000000004</v>
      </c>
      <c r="K3694" s="1" t="s">
        <v>29</v>
      </c>
      <c r="L3694" s="1" t="s">
        <v>29</v>
      </c>
      <c r="M3694" s="1" t="s">
        <v>29</v>
      </c>
      <c r="N3694" s="1" t="s">
        <v>297</v>
      </c>
      <c r="O3694" s="1" t="str">
        <f t="shared" ca="1" si="29"/>
        <v>Please solve the LeetCode problem '3140. Consecutive Available Seats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95" spans="1:15" x14ac:dyDescent="0.25">
      <c r="A3695" s="1">
        <v>3156</v>
      </c>
      <c r="B3695" s="2" t="str">
        <f>HYPERLINK("https://leetcode.com/problems/employee-task-duration-and-concurrent-tasks/", "Employee Task Duration and Concurrent Tasks")</f>
        <v>Employee Task Duration and Concurrent Tasks</v>
      </c>
      <c r="C3695" s="1">
        <v>12</v>
      </c>
      <c r="D3695" s="1">
        <v>2</v>
      </c>
      <c r="E3695" s="3">
        <f t="shared" si="28"/>
        <v>0.8571428571428571</v>
      </c>
      <c r="F3695" s="1" t="s">
        <v>297</v>
      </c>
      <c r="G3695" s="1" t="s">
        <v>28</v>
      </c>
      <c r="H3695" s="1">
        <v>1431</v>
      </c>
      <c r="I3695" s="1">
        <v>3673</v>
      </c>
      <c r="J3695" s="7">
        <v>0.39</v>
      </c>
      <c r="K3695" s="1" t="s">
        <v>29</v>
      </c>
      <c r="L3695" s="1" t="s">
        <v>29</v>
      </c>
      <c r="M3695" s="1" t="s">
        <v>29</v>
      </c>
      <c r="N3695" s="1" t="s">
        <v>297</v>
      </c>
      <c r="O3695" s="1" t="str">
        <f t="shared" ca="1" si="29"/>
        <v>Please solve the LeetCode problem '3156. Employee Task Duration and Concurrent Tasks'.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96" spans="1:15" x14ac:dyDescent="0.25">
      <c r="A3696" s="1">
        <v>3278</v>
      </c>
      <c r="B3696" s="2" t="str">
        <f>HYPERLINK("https://leetcode.com/problems/find-candidates-for-data-scientist-position-ii/", "Find Candidates for Data Scientist Position II")</f>
        <v>Find Candidates for Data Scientist Position II</v>
      </c>
      <c r="C3696" s="1">
        <v>12</v>
      </c>
      <c r="D3696" s="1">
        <v>5</v>
      </c>
      <c r="E3696" s="3">
        <f t="shared" si="28"/>
        <v>0.70588235294117652</v>
      </c>
      <c r="F3696" s="1" t="s">
        <v>297</v>
      </c>
      <c r="G3696" s="1" t="s">
        <v>24</v>
      </c>
      <c r="H3696" s="1">
        <v>1989</v>
      </c>
      <c r="I3696" s="1">
        <v>4665</v>
      </c>
      <c r="J3696" s="7">
        <v>0.42599999999999999</v>
      </c>
      <c r="K3696" s="1" t="s">
        <v>29</v>
      </c>
      <c r="L3696" s="1" t="s">
        <v>29</v>
      </c>
      <c r="M3696" s="1" t="s">
        <v>29</v>
      </c>
      <c r="N3696" s="1" t="s">
        <v>297</v>
      </c>
      <c r="O3696" s="1" t="str">
        <f t="shared" ca="1" si="29"/>
        <v>Please solve the LeetCode problem '3278. Find Candidates for Data Scientist Position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97" spans="1:15" x14ac:dyDescent="0.25">
      <c r="A3697" s="1">
        <v>3284</v>
      </c>
      <c r="B3697" s="2" t="str">
        <f>HYPERLINK("https://leetcode.com/problems/sum-of-consecutive-subarrays/", "Sum of Consecutive Subarrays")</f>
        <v>Sum of Consecutive Subarrays</v>
      </c>
      <c r="C3697" s="1">
        <v>12</v>
      </c>
      <c r="D3697" s="1">
        <v>3</v>
      </c>
      <c r="E3697" s="3">
        <f t="shared" si="28"/>
        <v>0.8</v>
      </c>
      <c r="F3697" s="1" t="s">
        <v>1327</v>
      </c>
      <c r="G3697" s="1" t="s">
        <v>24</v>
      </c>
      <c r="H3697" s="1">
        <v>806</v>
      </c>
      <c r="I3697" s="1">
        <v>1897</v>
      </c>
      <c r="J3697" s="7">
        <v>0.42499999999999999</v>
      </c>
      <c r="K3697" s="1" t="s">
        <v>29</v>
      </c>
      <c r="L3697" s="1" t="s">
        <v>29</v>
      </c>
      <c r="M3697" s="1" t="s">
        <v>29</v>
      </c>
      <c r="N3697" s="1" t="s">
        <v>22</v>
      </c>
      <c r="O3697" s="1" t="str">
        <f t="shared" ca="1" si="29"/>
        <v>Please solve the LeetCode problem '3284. Sum of Consecutive Subarrays'.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98" spans="1:15" x14ac:dyDescent="0.25">
      <c r="A3698" s="1">
        <v>3808</v>
      </c>
      <c r="B3698" s="2" t="str">
        <f>HYPERLINK("https://leetcode.com/problems/find-emotionally-consistent-users/", "Find Emotionally Consistent Users")</f>
        <v>Find Emotionally Consistent Users</v>
      </c>
      <c r="C3698" s="1">
        <v>12</v>
      </c>
      <c r="D3698" s="1">
        <v>0</v>
      </c>
      <c r="E3698" s="3">
        <f t="shared" si="28"/>
        <v>1</v>
      </c>
      <c r="G3698" s="1" t="s">
        <v>24</v>
      </c>
      <c r="H3698" s="1">
        <v>387</v>
      </c>
      <c r="I3698" s="1">
        <v>606</v>
      </c>
      <c r="J3698" s="7">
        <v>0.63900000000000001</v>
      </c>
      <c r="K3698" s="1" t="s">
        <v>21</v>
      </c>
      <c r="L3698" s="1" t="s">
        <v>29</v>
      </c>
      <c r="M3698" s="1" t="s">
        <v>29</v>
      </c>
      <c r="N3698" s="1" t="s">
        <v>297</v>
      </c>
      <c r="O3698" s="1" t="str">
        <f t="shared" ca="1" si="29"/>
        <v>Please solve the LeetCode problem '3808. Find Emotionally Consistent Users'.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699" spans="1:15" x14ac:dyDescent="0.25">
      <c r="A3699" s="1">
        <v>2647</v>
      </c>
      <c r="B3699" s="2" t="str">
        <f>HYPERLINK("https://leetcode.com/problems/color-the-triangle-red/", "Color the Triangle Red")</f>
        <v>Color the Triangle Red</v>
      </c>
      <c r="C3699" s="1">
        <v>11</v>
      </c>
      <c r="D3699" s="1">
        <v>18</v>
      </c>
      <c r="E3699" s="3">
        <f t="shared" si="28"/>
        <v>0.37931034482758619</v>
      </c>
      <c r="F3699" s="1" t="s">
        <v>115</v>
      </c>
      <c r="G3699" s="1" t="s">
        <v>28</v>
      </c>
      <c r="H3699" s="1">
        <v>452</v>
      </c>
      <c r="I3699" s="1">
        <v>753</v>
      </c>
      <c r="J3699" s="7">
        <v>0.6</v>
      </c>
      <c r="K3699" s="1" t="s">
        <v>29</v>
      </c>
      <c r="L3699" s="1" t="s">
        <v>29</v>
      </c>
      <c r="M3699" s="1" t="s">
        <v>29</v>
      </c>
      <c r="N3699" s="1" t="s">
        <v>22</v>
      </c>
      <c r="O3699" s="1" t="str">
        <f t="shared" ca="1" si="29"/>
        <v>Please solve the LeetCode problem '2647. Color the Triangle Red'.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00" spans="1:15" x14ac:dyDescent="0.25">
      <c r="A3700" s="1">
        <v>2691</v>
      </c>
      <c r="B3700" s="2" t="str">
        <f>HYPERLINK("https://leetcode.com/problems/immutability-helper/", "Immutability Helper")</f>
        <v>Immutability Helper</v>
      </c>
      <c r="C3700" s="1">
        <v>11</v>
      </c>
      <c r="D3700" s="1">
        <v>8</v>
      </c>
      <c r="E3700" s="3">
        <f t="shared" si="28"/>
        <v>0.57894736842105265</v>
      </c>
      <c r="G3700" s="1" t="s">
        <v>28</v>
      </c>
      <c r="H3700" s="1">
        <v>363</v>
      </c>
      <c r="I3700" s="1">
        <v>894</v>
      </c>
      <c r="J3700" s="7">
        <v>0.40600000000000003</v>
      </c>
      <c r="K3700" s="1" t="s">
        <v>29</v>
      </c>
      <c r="L3700" s="1" t="s">
        <v>29</v>
      </c>
      <c r="M3700" s="1" t="s">
        <v>29</v>
      </c>
      <c r="N3700" s="1" t="s">
        <v>555</v>
      </c>
      <c r="O3700" s="1" t="str">
        <f t="shared" ca="1" si="29"/>
        <v>Please solve the LeetCode problem '2691. Immutability Helper'.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01" spans="1:15" x14ac:dyDescent="0.25">
      <c r="A3701" s="1">
        <v>2757</v>
      </c>
      <c r="B3701" s="2" t="str">
        <f>HYPERLINK("https://leetcode.com/problems/generate-circular-array-values/", "Generate Circular Array Values")</f>
        <v>Generate Circular Array Values</v>
      </c>
      <c r="C3701" s="1">
        <v>11</v>
      </c>
      <c r="D3701" s="1">
        <v>2</v>
      </c>
      <c r="E3701" s="3">
        <f t="shared" si="28"/>
        <v>0.84615384615384615</v>
      </c>
      <c r="G3701" s="1" t="s">
        <v>24</v>
      </c>
      <c r="H3701" s="1">
        <v>657</v>
      </c>
      <c r="I3701" s="1">
        <v>881</v>
      </c>
      <c r="J3701" s="7">
        <v>0.746</v>
      </c>
      <c r="K3701" s="1" t="s">
        <v>29</v>
      </c>
      <c r="L3701" s="1" t="s">
        <v>21</v>
      </c>
      <c r="M3701" s="1" t="s">
        <v>29</v>
      </c>
      <c r="N3701" s="1" t="s">
        <v>555</v>
      </c>
      <c r="O3701" s="1" t="str">
        <f t="shared" ca="1" si="29"/>
        <v>Please solve the LeetCode problem '2757. Generate Circular Array Values'.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02" spans="1:15" x14ac:dyDescent="0.25">
      <c r="A3702" s="1">
        <v>2777</v>
      </c>
      <c r="B3702" s="2" t="str">
        <f>HYPERLINK("https://leetcode.com/problems/date-range-generator/", "Date Range Generator")</f>
        <v>Date Range Generator</v>
      </c>
      <c r="C3702" s="1">
        <v>11</v>
      </c>
      <c r="D3702" s="1">
        <v>2</v>
      </c>
      <c r="E3702" s="3">
        <f t="shared" si="28"/>
        <v>0.84615384615384615</v>
      </c>
      <c r="G3702" s="1" t="s">
        <v>24</v>
      </c>
      <c r="H3702" s="1">
        <v>651</v>
      </c>
      <c r="I3702" s="1">
        <v>785</v>
      </c>
      <c r="J3702" s="7">
        <v>0.82899999999999996</v>
      </c>
      <c r="K3702" s="1" t="s">
        <v>29</v>
      </c>
      <c r="L3702" s="1" t="s">
        <v>21</v>
      </c>
      <c r="M3702" s="1" t="s">
        <v>29</v>
      </c>
      <c r="N3702" s="1" t="s">
        <v>555</v>
      </c>
      <c r="O3702" s="1" t="str">
        <f t="shared" ca="1" si="29"/>
        <v>Please solve the LeetCode problem '2777. Date Range Generator'.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03" spans="1:15" x14ac:dyDescent="0.25">
      <c r="A3703" s="1">
        <v>2794</v>
      </c>
      <c r="B3703" s="2" t="str">
        <f>HYPERLINK("https://leetcode.com/problems/create-object-from-two-arrays/", "Create Object from Two Arrays")</f>
        <v>Create Object from Two Arrays</v>
      </c>
      <c r="C3703" s="1">
        <v>11</v>
      </c>
      <c r="D3703" s="1">
        <v>3</v>
      </c>
      <c r="E3703" s="3">
        <f t="shared" si="28"/>
        <v>0.7857142857142857</v>
      </c>
      <c r="G3703" s="1" t="s">
        <v>20</v>
      </c>
      <c r="H3703" s="1">
        <v>1687</v>
      </c>
      <c r="I3703" s="1">
        <v>2645</v>
      </c>
      <c r="J3703" s="7">
        <v>0.63800000000000001</v>
      </c>
      <c r="K3703" s="1" t="s">
        <v>29</v>
      </c>
      <c r="L3703" s="1" t="s">
        <v>21</v>
      </c>
      <c r="M3703" s="1" t="s">
        <v>29</v>
      </c>
      <c r="N3703" s="1" t="s">
        <v>555</v>
      </c>
      <c r="O3703" s="1" t="str">
        <f t="shared" ca="1" si="29"/>
        <v>Please solve the LeetCode problem '2794. Create Object from Two Arrays'.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04" spans="1:15" x14ac:dyDescent="0.25">
      <c r="A3704" s="1">
        <v>2797</v>
      </c>
      <c r="B3704" s="2" t="str">
        <f>HYPERLINK("https://leetcode.com/problems/partial-function-with-placeholders/", "Partial Function with Placeholders")</f>
        <v>Partial Function with Placeholders</v>
      </c>
      <c r="C3704" s="1">
        <v>11</v>
      </c>
      <c r="D3704" s="1">
        <v>4</v>
      </c>
      <c r="E3704" s="3">
        <f t="shared" si="28"/>
        <v>0.73333333333333328</v>
      </c>
      <c r="G3704" s="1" t="s">
        <v>20</v>
      </c>
      <c r="H3704" s="1">
        <v>1576</v>
      </c>
      <c r="I3704" s="1">
        <v>1757</v>
      </c>
      <c r="J3704" s="7">
        <v>0.89700000000000002</v>
      </c>
      <c r="K3704" s="1" t="s">
        <v>29</v>
      </c>
      <c r="L3704" s="1" t="s">
        <v>29</v>
      </c>
      <c r="M3704" s="1" t="s">
        <v>29</v>
      </c>
      <c r="N3704" s="1" t="s">
        <v>555</v>
      </c>
      <c r="O3704" s="1" t="str">
        <f t="shared" ca="1" si="29"/>
        <v>Please solve the LeetCode problem '2797. Partial Function with Placeholders'.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05" spans="1:15" x14ac:dyDescent="0.25">
      <c r="A3705" s="1">
        <v>2984</v>
      </c>
      <c r="B3705" s="2" t="str">
        <f>HYPERLINK("https://leetcode.com/problems/find-peak-calling-hours-for-each-city/", "Find Peak Calling Hours for Each City")</f>
        <v>Find Peak Calling Hours for Each City</v>
      </c>
      <c r="C3705" s="1">
        <v>11</v>
      </c>
      <c r="D3705" s="1">
        <v>5</v>
      </c>
      <c r="E3705" s="3">
        <f t="shared" si="28"/>
        <v>0.6875</v>
      </c>
      <c r="F3705" s="1" t="s">
        <v>297</v>
      </c>
      <c r="G3705" s="1" t="s">
        <v>24</v>
      </c>
      <c r="H3705" s="1">
        <v>3709</v>
      </c>
      <c r="I3705" s="1">
        <v>6026</v>
      </c>
      <c r="J3705" s="7">
        <v>0.61499999999999999</v>
      </c>
      <c r="K3705" s="1" t="s">
        <v>29</v>
      </c>
      <c r="L3705" s="1" t="s">
        <v>29</v>
      </c>
      <c r="M3705" s="1" t="s">
        <v>29</v>
      </c>
      <c r="N3705" s="1" t="s">
        <v>297</v>
      </c>
      <c r="O3705" s="1" t="str">
        <f t="shared" ca="1" si="29"/>
        <v>Please solve the LeetCode problem '2984. Find Peak Calling Hours for Each City'.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06" spans="1:15" x14ac:dyDescent="0.25">
      <c r="A3706" s="1">
        <v>2987</v>
      </c>
      <c r="B3706" s="2" t="str">
        <f>HYPERLINK("https://leetcode.com/problems/find-expensive-cities/", "Find Expensive Cities")</f>
        <v>Find Expensive Cities</v>
      </c>
      <c r="C3706" s="1">
        <v>11</v>
      </c>
      <c r="D3706" s="1">
        <v>12</v>
      </c>
      <c r="E3706" s="3">
        <f t="shared" si="28"/>
        <v>0.47826086956521741</v>
      </c>
      <c r="F3706" s="1" t="s">
        <v>297</v>
      </c>
      <c r="G3706" s="1" t="s">
        <v>20</v>
      </c>
      <c r="H3706" s="1">
        <v>5434</v>
      </c>
      <c r="I3706" s="1">
        <v>7049</v>
      </c>
      <c r="J3706" s="7">
        <v>0.77100000000000002</v>
      </c>
      <c r="K3706" s="1" t="s">
        <v>29</v>
      </c>
      <c r="L3706" s="1" t="s">
        <v>29</v>
      </c>
      <c r="M3706" s="1" t="s">
        <v>29</v>
      </c>
      <c r="N3706" s="1" t="s">
        <v>297</v>
      </c>
      <c r="O3706" s="1" t="str">
        <f t="shared" ca="1" si="29"/>
        <v>Please solve the LeetCode problem '2987. Find Expensive Cities'.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07" spans="1:15" x14ac:dyDescent="0.25">
      <c r="A3707" s="1">
        <v>3078</v>
      </c>
      <c r="B3707" s="2" t="str">
        <f>HYPERLINK("https://leetcode.com/problems/match-alphanumerical-pattern-in-matrix-i/", "Match Alphanumerical Pattern in Matrix I")</f>
        <v>Match Alphanumerical Pattern in Matrix I</v>
      </c>
      <c r="C3707" s="1">
        <v>11</v>
      </c>
      <c r="D3707" s="1">
        <v>4</v>
      </c>
      <c r="E3707" s="3">
        <f t="shared" si="28"/>
        <v>0.73333333333333328</v>
      </c>
      <c r="F3707" s="1" t="s">
        <v>1328</v>
      </c>
      <c r="G3707" s="1" t="s">
        <v>24</v>
      </c>
      <c r="H3707" s="1">
        <v>1240</v>
      </c>
      <c r="I3707" s="1">
        <v>1931</v>
      </c>
      <c r="J3707" s="7">
        <v>0.64200000000000002</v>
      </c>
      <c r="K3707" s="1" t="s">
        <v>29</v>
      </c>
      <c r="L3707" s="1" t="s">
        <v>29</v>
      </c>
      <c r="M3707" s="1" t="s">
        <v>29</v>
      </c>
      <c r="N3707" s="1" t="s">
        <v>22</v>
      </c>
      <c r="O3707" s="1" t="str">
        <f t="shared" ca="1" si="29"/>
        <v>Please solve the LeetCode problem '3078. Match Alphanumerical Pattern in Matrix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08" spans="1:15" x14ac:dyDescent="0.25">
      <c r="A3708" s="1">
        <v>3089</v>
      </c>
      <c r="B3708" s="2" t="str">
        <f>HYPERLINK("https://leetcode.com/problems/find-bursty-behavior/", "Find Bursty Behavior")</f>
        <v>Find Bursty Behavior</v>
      </c>
      <c r="C3708" s="1">
        <v>11</v>
      </c>
      <c r="D3708" s="1">
        <v>21</v>
      </c>
      <c r="E3708" s="3">
        <f t="shared" si="28"/>
        <v>0.34375</v>
      </c>
      <c r="F3708" s="1" t="s">
        <v>297</v>
      </c>
      <c r="G3708" s="1" t="s">
        <v>24</v>
      </c>
      <c r="H3708" s="1">
        <v>2293</v>
      </c>
      <c r="I3708" s="1">
        <v>6114</v>
      </c>
      <c r="J3708" s="7">
        <v>0.375</v>
      </c>
      <c r="K3708" s="1" t="s">
        <v>29</v>
      </c>
      <c r="L3708" s="1" t="s">
        <v>29</v>
      </c>
      <c r="M3708" s="1" t="s">
        <v>29</v>
      </c>
      <c r="N3708" s="1" t="s">
        <v>297</v>
      </c>
      <c r="O3708" s="1" t="str">
        <f t="shared" ca="1" si="29"/>
        <v>Please solve the LeetCode problem '3089. Find Bursty Behavior'.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09" spans="1:15" x14ac:dyDescent="0.25">
      <c r="A3709" s="1">
        <v>3172</v>
      </c>
      <c r="B3709" s="2" t="str">
        <f>HYPERLINK("https://leetcode.com/problems/second-day-verification/", "Second Day Verification")</f>
        <v>Second Day Verification</v>
      </c>
      <c r="C3709" s="1">
        <v>11</v>
      </c>
      <c r="D3709" s="1">
        <v>1</v>
      </c>
      <c r="E3709" s="3">
        <f t="shared" si="28"/>
        <v>0.91666666666666663</v>
      </c>
      <c r="F3709" s="1" t="s">
        <v>297</v>
      </c>
      <c r="G3709" s="1" t="s">
        <v>20</v>
      </c>
      <c r="H3709" s="1">
        <v>3459</v>
      </c>
      <c r="I3709" s="1">
        <v>5199</v>
      </c>
      <c r="J3709" s="7">
        <v>0.66500000000000004</v>
      </c>
      <c r="K3709" s="1" t="s">
        <v>29</v>
      </c>
      <c r="L3709" s="1" t="s">
        <v>29</v>
      </c>
      <c r="M3709" s="1" t="s">
        <v>29</v>
      </c>
      <c r="N3709" s="1" t="s">
        <v>297</v>
      </c>
      <c r="O3709" s="1" t="str">
        <f t="shared" ca="1" si="29"/>
        <v>Please solve the LeetCode problem '3172. Second Day Verification'.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10" spans="1:15" x14ac:dyDescent="0.25">
      <c r="A3710" s="1">
        <v>3246</v>
      </c>
      <c r="B3710" s="2" t="str">
        <f>HYPERLINK("https://leetcode.com/problems/premier-league-table-ranking/", "Premier League Table Ranking")</f>
        <v>Premier League Table Ranking</v>
      </c>
      <c r="C3710" s="1">
        <v>11</v>
      </c>
      <c r="D3710" s="1">
        <v>0</v>
      </c>
      <c r="E3710" s="3">
        <f t="shared" si="28"/>
        <v>1</v>
      </c>
      <c r="F3710" s="1" t="s">
        <v>297</v>
      </c>
      <c r="G3710" s="1" t="s">
        <v>20</v>
      </c>
      <c r="H3710" s="1">
        <v>3391</v>
      </c>
      <c r="I3710" s="1">
        <v>4276</v>
      </c>
      <c r="J3710" s="7">
        <v>0.79300000000000004</v>
      </c>
      <c r="K3710" s="1" t="s">
        <v>29</v>
      </c>
      <c r="L3710" s="1" t="s">
        <v>29</v>
      </c>
      <c r="M3710" s="1" t="s">
        <v>29</v>
      </c>
      <c r="N3710" s="1" t="s">
        <v>297</v>
      </c>
      <c r="O3710" s="1" t="str">
        <f t="shared" ca="1" si="29"/>
        <v>Please solve the LeetCode problem '3246. Premier League Table Ranking'.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11" spans="1:15" x14ac:dyDescent="0.25">
      <c r="A3711" s="1">
        <v>3269</v>
      </c>
      <c r="B3711" s="2" t="str">
        <f>HYPERLINK("https://leetcode.com/problems/constructing-two-increasing-arrays/", "Constructing Two Increasing Arrays")</f>
        <v>Constructing Two Increasing Arrays</v>
      </c>
      <c r="C3711" s="1">
        <v>11</v>
      </c>
      <c r="D3711" s="1">
        <v>1</v>
      </c>
      <c r="E3711" s="3">
        <f t="shared" si="28"/>
        <v>0.91666666666666663</v>
      </c>
      <c r="F3711" s="1" t="s">
        <v>30</v>
      </c>
      <c r="G3711" s="1" t="s">
        <v>28</v>
      </c>
      <c r="H3711" s="1">
        <v>490</v>
      </c>
      <c r="I3711" s="1">
        <v>784</v>
      </c>
      <c r="J3711" s="7">
        <v>0.625</v>
      </c>
      <c r="K3711" s="1" t="s">
        <v>29</v>
      </c>
      <c r="L3711" s="1" t="s">
        <v>29</v>
      </c>
      <c r="M3711" s="1" t="s">
        <v>29</v>
      </c>
      <c r="N3711" s="1" t="s">
        <v>22</v>
      </c>
      <c r="O3711" s="1" t="str">
        <f t="shared" ca="1" si="29"/>
        <v>Please solve the LeetCode problem '3269. Constructing Two Increasing Arrays'.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12" spans="1:15" x14ac:dyDescent="0.25">
      <c r="A3712" s="1">
        <v>3328</v>
      </c>
      <c r="B3712" s="2" t="str">
        <f>HYPERLINK("https://leetcode.com/problems/find-cities-in-each-state-ii/", "Find Cities in Each State II")</f>
        <v>Find Cities in Each State II</v>
      </c>
      <c r="C3712" s="1">
        <v>11</v>
      </c>
      <c r="D3712" s="1">
        <v>2</v>
      </c>
      <c r="E3712" s="3">
        <f t="shared" si="28"/>
        <v>0.84615384615384615</v>
      </c>
      <c r="F3712" s="1" t="s">
        <v>297</v>
      </c>
      <c r="G3712" s="1" t="s">
        <v>24</v>
      </c>
      <c r="H3712" s="1">
        <v>1938</v>
      </c>
      <c r="I3712" s="1">
        <v>2830</v>
      </c>
      <c r="J3712" s="7">
        <v>0.68500000000000005</v>
      </c>
      <c r="K3712" s="1" t="s">
        <v>29</v>
      </c>
      <c r="L3712" s="1" t="s">
        <v>29</v>
      </c>
      <c r="M3712" s="1" t="s">
        <v>29</v>
      </c>
      <c r="N3712" s="1" t="s">
        <v>297</v>
      </c>
      <c r="O3712" s="1" t="str">
        <f t="shared" ca="1" si="29"/>
        <v>Please solve the LeetCode problem '3328. Find Cities in Each State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13" spans="1:15" x14ac:dyDescent="0.25">
      <c r="A3713" s="1">
        <v>3496</v>
      </c>
      <c r="B3713" s="2" t="str">
        <f>HYPERLINK("https://leetcode.com/problems/maximize-score-after-pair-deletions/", "Maximize Score After Pair Deletions")</f>
        <v>Maximize Score After Pair Deletions</v>
      </c>
      <c r="C3713" s="1">
        <v>11</v>
      </c>
      <c r="D3713" s="1">
        <v>3</v>
      </c>
      <c r="E3713" s="3">
        <f t="shared" si="28"/>
        <v>0.7857142857142857</v>
      </c>
      <c r="F3713" s="1" t="s">
        <v>96</v>
      </c>
      <c r="G3713" s="1" t="s">
        <v>24</v>
      </c>
      <c r="H3713" s="1">
        <v>1000</v>
      </c>
      <c r="I3713" s="1">
        <v>1905</v>
      </c>
      <c r="J3713" s="7">
        <v>0.52500000000000002</v>
      </c>
      <c r="K3713" s="1" t="s">
        <v>29</v>
      </c>
      <c r="L3713" s="1" t="s">
        <v>29</v>
      </c>
      <c r="M3713" s="1" t="s">
        <v>29</v>
      </c>
      <c r="N3713" s="1" t="s">
        <v>22</v>
      </c>
      <c r="O3713" s="1" t="str">
        <f t="shared" ca="1" si="29"/>
        <v>Please solve the LeetCode problem '3496. Maximize Score After Pair Deletions'.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14" spans="1:15" x14ac:dyDescent="0.25">
      <c r="A3714" s="1">
        <v>2868</v>
      </c>
      <c r="B3714" s="2" t="str">
        <f>HYPERLINK("https://leetcode.com/problems/the-wording-game/", "The Wording Game")</f>
        <v>The Wording Game</v>
      </c>
      <c r="C3714" s="1">
        <v>10</v>
      </c>
      <c r="D3714" s="1">
        <v>6</v>
      </c>
      <c r="E3714" s="3">
        <f t="shared" si="28"/>
        <v>0.625</v>
      </c>
      <c r="F3714" s="1" t="s">
        <v>1329</v>
      </c>
      <c r="G3714" s="1" t="s">
        <v>28</v>
      </c>
      <c r="H3714" s="1">
        <v>741</v>
      </c>
      <c r="I3714" s="1">
        <v>1336</v>
      </c>
      <c r="J3714" s="7">
        <v>0.55500000000000005</v>
      </c>
      <c r="K3714" s="1" t="s">
        <v>29</v>
      </c>
      <c r="L3714" s="1" t="s">
        <v>29</v>
      </c>
      <c r="M3714" s="1" t="s">
        <v>29</v>
      </c>
      <c r="N3714" s="1" t="s">
        <v>22</v>
      </c>
      <c r="O3714" s="1" t="str">
        <f t="shared" ca="1" si="29"/>
        <v>Please solve the LeetCode problem '2868. The Wording Game'.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15" spans="1:15" x14ac:dyDescent="0.25">
      <c r="A3715" s="1">
        <v>2995</v>
      </c>
      <c r="B3715" s="2" t="str">
        <f>HYPERLINK("https://leetcode.com/problems/viewers-turned-streamers/", "Viewers Turned Streamers")</f>
        <v>Viewers Turned Streamers</v>
      </c>
      <c r="C3715" s="1">
        <v>10</v>
      </c>
      <c r="D3715" s="1">
        <v>6</v>
      </c>
      <c r="E3715" s="3">
        <f t="shared" si="28"/>
        <v>0.625</v>
      </c>
      <c r="F3715" s="1" t="s">
        <v>297</v>
      </c>
      <c r="G3715" s="1" t="s">
        <v>28</v>
      </c>
      <c r="H3715" s="1">
        <v>4122</v>
      </c>
      <c r="I3715" s="1">
        <v>9661</v>
      </c>
      <c r="J3715" s="7">
        <v>0.42699999999999999</v>
      </c>
      <c r="K3715" s="1" t="s">
        <v>29</v>
      </c>
      <c r="L3715" s="1" t="s">
        <v>29</v>
      </c>
      <c r="M3715" s="1" t="s">
        <v>29</v>
      </c>
      <c r="N3715" s="1" t="s">
        <v>297</v>
      </c>
      <c r="O3715" s="1" t="str">
        <f t="shared" ca="1" si="29"/>
        <v>Please solve the LeetCode problem '2995. Viewers Turned Streamers'.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16" spans="1:15" x14ac:dyDescent="0.25">
      <c r="A3716" s="1">
        <v>3055</v>
      </c>
      <c r="B3716" s="2" t="str">
        <f>HYPERLINK("https://leetcode.com/problems/top-percentile-fraud/", "Top Percentile Fraud")</f>
        <v>Top Percentile Fraud</v>
      </c>
      <c r="C3716" s="1">
        <v>10</v>
      </c>
      <c r="D3716" s="1">
        <v>6</v>
      </c>
      <c r="E3716" s="3">
        <f t="shared" si="28"/>
        <v>0.625</v>
      </c>
      <c r="F3716" s="1" t="s">
        <v>297</v>
      </c>
      <c r="G3716" s="1" t="s">
        <v>24</v>
      </c>
      <c r="H3716" s="1">
        <v>3059</v>
      </c>
      <c r="I3716" s="1">
        <v>5289</v>
      </c>
      <c r="J3716" s="7">
        <v>0.57799999999999996</v>
      </c>
      <c r="K3716" s="1" t="s">
        <v>29</v>
      </c>
      <c r="L3716" s="1" t="s">
        <v>29</v>
      </c>
      <c r="M3716" s="1" t="s">
        <v>29</v>
      </c>
      <c r="N3716" s="1" t="s">
        <v>297</v>
      </c>
      <c r="O3716" s="1" t="str">
        <f t="shared" ca="1" si="29"/>
        <v>Please solve the LeetCode problem '3055. Top Percentile Fraud'.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17" spans="1:15" x14ac:dyDescent="0.25">
      <c r="A3717" s="1">
        <v>3103</v>
      </c>
      <c r="B3717" s="2" t="str">
        <f>HYPERLINK("https://leetcode.com/problems/find-trending-hashtags-ii/", "Find Trending Hashtags II ")</f>
        <v xml:space="preserve">Find Trending Hashtags II </v>
      </c>
      <c r="C3717" s="1">
        <v>10</v>
      </c>
      <c r="D3717" s="1">
        <v>2</v>
      </c>
      <c r="E3717" s="3">
        <f t="shared" si="28"/>
        <v>0.83333333333333337</v>
      </c>
      <c r="F3717" s="1" t="s">
        <v>297</v>
      </c>
      <c r="G3717" s="1" t="s">
        <v>28</v>
      </c>
      <c r="H3717" s="1">
        <v>1505</v>
      </c>
      <c r="I3717" s="1">
        <v>2253</v>
      </c>
      <c r="J3717" s="7">
        <v>0.66800000000000004</v>
      </c>
      <c r="K3717" s="1" t="s">
        <v>29</v>
      </c>
      <c r="L3717" s="1" t="s">
        <v>29</v>
      </c>
      <c r="M3717" s="1" t="s">
        <v>29</v>
      </c>
      <c r="N3717" s="1" t="s">
        <v>297</v>
      </c>
      <c r="O3717" s="1" t="str">
        <f t="shared" ca="1" si="29"/>
        <v>Please solve the LeetCode problem '3103. Find Trending Hashtags II 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18" spans="1:15" x14ac:dyDescent="0.25">
      <c r="A3718" s="1">
        <v>3252</v>
      </c>
      <c r="B3718" s="2" t="str">
        <f>HYPERLINK("https://leetcode.com/problems/premier-league-table-ranking-ii/", "Premier League Table Ranking II")</f>
        <v>Premier League Table Ranking II</v>
      </c>
      <c r="C3718" s="1">
        <v>10</v>
      </c>
      <c r="D3718" s="1">
        <v>10</v>
      </c>
      <c r="E3718" s="3">
        <f t="shared" si="28"/>
        <v>0.5</v>
      </c>
      <c r="F3718" s="1" t="s">
        <v>297</v>
      </c>
      <c r="G3718" s="1" t="s">
        <v>24</v>
      </c>
      <c r="H3718" s="1">
        <v>1870</v>
      </c>
      <c r="I3718" s="1">
        <v>3364</v>
      </c>
      <c r="J3718" s="7">
        <v>0.55600000000000005</v>
      </c>
      <c r="K3718" s="1" t="s">
        <v>29</v>
      </c>
      <c r="L3718" s="1" t="s">
        <v>29</v>
      </c>
      <c r="M3718" s="1" t="s">
        <v>29</v>
      </c>
      <c r="N3718" s="1" t="s">
        <v>297</v>
      </c>
      <c r="O3718" s="1" t="str">
        <f t="shared" ca="1" si="29"/>
        <v>Please solve the LeetCode problem '3252. Premier League Table Ranking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19" spans="1:15" x14ac:dyDescent="0.25">
      <c r="A3719" s="1">
        <v>3253</v>
      </c>
      <c r="B3719" s="2" t="str">
        <f>HYPERLINK("https://leetcode.com/problems/construct-string-with-minimum-cost-easy/", "Construct String with Minimum Cost (Easy)")</f>
        <v>Construct String with Minimum Cost (Easy)</v>
      </c>
      <c r="C3719" s="1">
        <v>10</v>
      </c>
      <c r="D3719" s="1">
        <v>2</v>
      </c>
      <c r="E3719" s="3">
        <f t="shared" si="28"/>
        <v>0.83333333333333337</v>
      </c>
      <c r="G3719" s="1" t="s">
        <v>24</v>
      </c>
      <c r="H3719" s="1">
        <v>774</v>
      </c>
      <c r="I3719" s="1">
        <v>1308</v>
      </c>
      <c r="J3719" s="7">
        <v>0.59199999999999997</v>
      </c>
      <c r="K3719" s="1" t="s">
        <v>29</v>
      </c>
      <c r="L3719" s="1" t="s">
        <v>29</v>
      </c>
      <c r="M3719" s="1" t="s">
        <v>29</v>
      </c>
      <c r="N3719" s="1" t="s">
        <v>22</v>
      </c>
      <c r="O3719" s="1" t="str">
        <f t="shared" ca="1" si="29"/>
        <v>Please solve the LeetCode problem '3253. Construct String with Minimum Cost (Easy)'.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20" spans="1:15" x14ac:dyDescent="0.25">
      <c r="A3720" s="1">
        <v>3262</v>
      </c>
      <c r="B3720" s="2" t="str">
        <f>HYPERLINK("https://leetcode.com/problems/find-overlapping-shifts/", "Find Overlapping Shifts")</f>
        <v>Find Overlapping Shifts</v>
      </c>
      <c r="C3720" s="1">
        <v>10</v>
      </c>
      <c r="D3720" s="1">
        <v>4</v>
      </c>
      <c r="E3720" s="3">
        <f t="shared" si="28"/>
        <v>0.7142857142857143</v>
      </c>
      <c r="F3720" s="1" t="s">
        <v>297</v>
      </c>
      <c r="G3720" s="1" t="s">
        <v>24</v>
      </c>
      <c r="H3720" s="1">
        <v>2240</v>
      </c>
      <c r="I3720" s="1">
        <v>3863</v>
      </c>
      <c r="J3720" s="7">
        <v>0.57999999999999996</v>
      </c>
      <c r="K3720" s="1" t="s">
        <v>29</v>
      </c>
      <c r="L3720" s="1" t="s">
        <v>29</v>
      </c>
      <c r="M3720" s="1" t="s">
        <v>29</v>
      </c>
      <c r="N3720" s="1" t="s">
        <v>297</v>
      </c>
      <c r="O3720" s="1" t="str">
        <f t="shared" ca="1" si="29"/>
        <v>Please solve the LeetCode problem '3262. Find Overlapping Shifts'.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21" spans="1:15" x14ac:dyDescent="0.25">
      <c r="A3721" s="1">
        <v>3293</v>
      </c>
      <c r="B3721" s="2" t="str">
        <f>HYPERLINK("https://leetcode.com/problems/calculate-product-final-price/", "Calculate Product Final Price")</f>
        <v>Calculate Product Final Price</v>
      </c>
      <c r="C3721" s="1">
        <v>10</v>
      </c>
      <c r="D3721" s="1">
        <v>1</v>
      </c>
      <c r="E3721" s="3">
        <f t="shared" si="28"/>
        <v>0.90909090909090906</v>
      </c>
      <c r="F3721" s="1" t="s">
        <v>297</v>
      </c>
      <c r="G3721" s="1" t="s">
        <v>24</v>
      </c>
      <c r="H3721" s="1">
        <v>2605</v>
      </c>
      <c r="I3721" s="1">
        <v>3294</v>
      </c>
      <c r="J3721" s="7">
        <v>0.79100000000000004</v>
      </c>
      <c r="K3721" s="1" t="s">
        <v>29</v>
      </c>
      <c r="L3721" s="1" t="s">
        <v>29</v>
      </c>
      <c r="M3721" s="1" t="s">
        <v>29</v>
      </c>
      <c r="N3721" s="1" t="s">
        <v>297</v>
      </c>
      <c r="O3721" s="1" t="str">
        <f t="shared" ca="1" si="29"/>
        <v>Please solve the LeetCode problem '3293. Calculate Product Final Price'.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22" spans="1:15" x14ac:dyDescent="0.25">
      <c r="A3722" s="1">
        <v>3476</v>
      </c>
      <c r="B3722" s="2" t="str">
        <f>HYPERLINK("https://leetcode.com/problems/maximize-profit-from-task-assignment/", "Maximize Profit from Task Assignment")</f>
        <v>Maximize Profit from Task Assignment</v>
      </c>
      <c r="C3722" s="1">
        <v>10</v>
      </c>
      <c r="D3722" s="1">
        <v>2</v>
      </c>
      <c r="E3722" s="3">
        <f t="shared" si="28"/>
        <v>0.83333333333333337</v>
      </c>
      <c r="F3722" s="1" t="s">
        <v>302</v>
      </c>
      <c r="G3722" s="1" t="s">
        <v>24</v>
      </c>
      <c r="H3722" s="1">
        <v>942</v>
      </c>
      <c r="I3722" s="1">
        <v>1434</v>
      </c>
      <c r="J3722" s="7">
        <v>0.65700000000000003</v>
      </c>
      <c r="K3722" s="1" t="s">
        <v>29</v>
      </c>
      <c r="L3722" s="1" t="s">
        <v>29</v>
      </c>
      <c r="M3722" s="1" t="s">
        <v>29</v>
      </c>
      <c r="N3722" s="1" t="s">
        <v>22</v>
      </c>
      <c r="O3722" s="1" t="str">
        <f t="shared" ca="1" si="29"/>
        <v>Please solve the LeetCode problem '3476. Maximize Profit from Task Assignment'.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23" spans="1:15" x14ac:dyDescent="0.25">
      <c r="A3723" s="1">
        <v>3491</v>
      </c>
      <c r="B3723" s="2" t="str">
        <f>HYPERLINK("https://leetcode.com/problems/phone-number-prefix/", "Phone Number Prefix")</f>
        <v>Phone Number Prefix</v>
      </c>
      <c r="C3723" s="1">
        <v>10</v>
      </c>
      <c r="D3723" s="1">
        <v>1</v>
      </c>
      <c r="E3723" s="3">
        <f t="shared" si="28"/>
        <v>0.90909090909090906</v>
      </c>
      <c r="F3723" s="1" t="s">
        <v>997</v>
      </c>
      <c r="G3723" s="1" t="s">
        <v>20</v>
      </c>
      <c r="H3723" s="1">
        <v>1705</v>
      </c>
      <c r="I3723" s="1">
        <v>2412</v>
      </c>
      <c r="J3723" s="7">
        <v>0.70699999999999996</v>
      </c>
      <c r="K3723" s="1" t="s">
        <v>29</v>
      </c>
      <c r="L3723" s="1" t="s">
        <v>29</v>
      </c>
      <c r="M3723" s="1" t="s">
        <v>29</v>
      </c>
      <c r="N3723" s="1" t="s">
        <v>22</v>
      </c>
      <c r="O3723" s="1" t="str">
        <f t="shared" ca="1" si="29"/>
        <v>Please solve the LeetCode problem '3491. Phone Number Prefix'.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24" spans="1:15" x14ac:dyDescent="0.25">
      <c r="A3724" s="1">
        <v>3596</v>
      </c>
      <c r="B3724" s="2" t="str">
        <f>HYPERLINK("https://leetcode.com/problems/minimum-cost-path-with-alternating-directions-i/", "Minimum Cost Path with Alternating Directions I")</f>
        <v>Minimum Cost Path with Alternating Directions I</v>
      </c>
      <c r="C3724" s="1">
        <v>10</v>
      </c>
      <c r="D3724" s="1">
        <v>7</v>
      </c>
      <c r="E3724" s="3">
        <f t="shared" si="28"/>
        <v>0.58823529411764708</v>
      </c>
      <c r="F3724" s="1" t="s">
        <v>381</v>
      </c>
      <c r="G3724" s="1" t="s">
        <v>24</v>
      </c>
      <c r="H3724" s="1">
        <v>406</v>
      </c>
      <c r="I3724" s="1">
        <v>569</v>
      </c>
      <c r="J3724" s="7">
        <v>0.71399999999999997</v>
      </c>
      <c r="K3724" s="1" t="s">
        <v>29</v>
      </c>
      <c r="L3724" s="1" t="s">
        <v>29</v>
      </c>
      <c r="M3724" s="1" t="s">
        <v>29</v>
      </c>
      <c r="N3724" s="1" t="s">
        <v>22</v>
      </c>
      <c r="O3724" s="1" t="str">
        <f t="shared" ca="1" si="29"/>
        <v>Please solve the LeetCode problem '3596. Minimum Cost Path with Alternating Directions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25" spans="1:15" x14ac:dyDescent="0.25">
      <c r="A3725" s="1">
        <v>3811</v>
      </c>
      <c r="B3725" s="2" t="str">
        <f>HYPERLINK("https://leetcode.com/problems/number-of-alternating-xor-partitions/", "Number of Alternating XOR Partitions")</f>
        <v>Number of Alternating XOR Partitions</v>
      </c>
      <c r="C3725" s="1">
        <v>10</v>
      </c>
      <c r="D3725" s="1">
        <v>1</v>
      </c>
      <c r="E3725" s="3">
        <f t="shared" si="28"/>
        <v>0.90909090909090906</v>
      </c>
      <c r="G3725" s="1" t="s">
        <v>24</v>
      </c>
      <c r="H3725" s="1">
        <v>4352</v>
      </c>
      <c r="I3725" s="1">
        <v>20110</v>
      </c>
      <c r="J3725" s="7">
        <v>0.216</v>
      </c>
      <c r="K3725" s="1" t="s">
        <v>21</v>
      </c>
      <c r="L3725" s="1" t="s">
        <v>29</v>
      </c>
      <c r="M3725" s="1" t="s">
        <v>29</v>
      </c>
      <c r="N3725" s="1" t="s">
        <v>22</v>
      </c>
      <c r="O3725" s="1" t="str">
        <f t="shared" ca="1" si="29"/>
        <v>Please solve the LeetCode problem '3811. Number of Alternating XOR Partitions'.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26" spans="1:15" x14ac:dyDescent="0.25">
      <c r="A3726" s="1">
        <v>2804</v>
      </c>
      <c r="B3726" s="2" t="str">
        <f>HYPERLINK("https://leetcode.com/problems/array-prototype-foreach/", "Array Prototype ForEach")</f>
        <v>Array Prototype ForEach</v>
      </c>
      <c r="C3726" s="1">
        <v>9</v>
      </c>
      <c r="D3726" s="1">
        <v>10</v>
      </c>
      <c r="E3726" s="3">
        <f t="shared" si="28"/>
        <v>0.47368421052631576</v>
      </c>
      <c r="G3726" s="1" t="s">
        <v>20</v>
      </c>
      <c r="H3726" s="1">
        <v>1500</v>
      </c>
      <c r="I3726" s="1">
        <v>1668</v>
      </c>
      <c r="J3726" s="7">
        <v>0.89900000000000002</v>
      </c>
      <c r="K3726" s="1" t="s">
        <v>29</v>
      </c>
      <c r="L3726" s="1" t="s">
        <v>21</v>
      </c>
      <c r="M3726" s="1" t="s">
        <v>29</v>
      </c>
      <c r="N3726" s="1" t="s">
        <v>555</v>
      </c>
      <c r="O3726" s="1" t="str">
        <f t="shared" ca="1" si="29"/>
        <v>Please solve the LeetCode problem '2804. Array Prototype ForEach'.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27" spans="1:15" x14ac:dyDescent="0.25">
      <c r="A3727" s="1">
        <v>3053</v>
      </c>
      <c r="B3727" s="2" t="str">
        <f>HYPERLINK("https://leetcode.com/problems/classifying-triangles-by-lengths/", "Classifying Triangles by Lengths")</f>
        <v>Classifying Triangles by Lengths</v>
      </c>
      <c r="C3727" s="1">
        <v>9</v>
      </c>
      <c r="D3727" s="1">
        <v>1</v>
      </c>
      <c r="E3727" s="3">
        <f t="shared" si="28"/>
        <v>0.9</v>
      </c>
      <c r="F3727" s="1" t="s">
        <v>297</v>
      </c>
      <c r="G3727" s="1" t="s">
        <v>20</v>
      </c>
      <c r="H3727" s="1">
        <v>3587</v>
      </c>
      <c r="I3727" s="1">
        <v>7125</v>
      </c>
      <c r="J3727" s="7">
        <v>0.503</v>
      </c>
      <c r="K3727" s="1" t="s">
        <v>29</v>
      </c>
      <c r="L3727" s="1" t="s">
        <v>21</v>
      </c>
      <c r="M3727" s="1" t="s">
        <v>29</v>
      </c>
      <c r="N3727" s="1" t="s">
        <v>297</v>
      </c>
      <c r="O3727" s="1" t="str">
        <f t="shared" ca="1" si="29"/>
        <v>Please solve the LeetCode problem '3053. Classifying Triangles by Lengths'.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28" spans="1:15" x14ac:dyDescent="0.25">
      <c r="A3728" s="1">
        <v>3126</v>
      </c>
      <c r="B3728" s="2" t="str">
        <f>HYPERLINK("https://leetcode.com/problems/server-utilization-time/", "Server Utilization Time")</f>
        <v>Server Utilization Time</v>
      </c>
      <c r="C3728" s="1">
        <v>9</v>
      </c>
      <c r="D3728" s="1">
        <v>14</v>
      </c>
      <c r="E3728" s="3">
        <f t="shared" si="28"/>
        <v>0.39130434782608697</v>
      </c>
      <c r="F3728" s="1" t="s">
        <v>297</v>
      </c>
      <c r="G3728" s="1" t="s">
        <v>24</v>
      </c>
      <c r="H3728" s="1">
        <v>2638</v>
      </c>
      <c r="I3728" s="1">
        <v>4289</v>
      </c>
      <c r="J3728" s="7">
        <v>0.61499999999999999</v>
      </c>
      <c r="K3728" s="1" t="s">
        <v>29</v>
      </c>
      <c r="L3728" s="1" t="s">
        <v>29</v>
      </c>
      <c r="M3728" s="1" t="s">
        <v>29</v>
      </c>
      <c r="N3728" s="1" t="s">
        <v>297</v>
      </c>
      <c r="O3728" s="1" t="str">
        <f t="shared" ca="1" si="29"/>
        <v>Please solve the LeetCode problem '3126. Server Utilization Time'.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29" spans="1:15" x14ac:dyDescent="0.25">
      <c r="A3729" s="1">
        <v>3198</v>
      </c>
      <c r="B3729" s="2" t="str">
        <f>HYPERLINK("https://leetcode.com/problems/find-cities-in-each-state/", "Find Cities in Each State")</f>
        <v>Find Cities in Each State</v>
      </c>
      <c r="C3729" s="1">
        <v>9</v>
      </c>
      <c r="D3729" s="1">
        <v>2</v>
      </c>
      <c r="E3729" s="3">
        <f t="shared" si="28"/>
        <v>0.81818181818181823</v>
      </c>
      <c r="F3729" s="1" t="s">
        <v>297</v>
      </c>
      <c r="G3729" s="1" t="s">
        <v>20</v>
      </c>
      <c r="H3729" s="1">
        <v>3549</v>
      </c>
      <c r="I3729" s="1">
        <v>4446</v>
      </c>
      <c r="J3729" s="7">
        <v>0.79800000000000004</v>
      </c>
      <c r="K3729" s="1" t="s">
        <v>29</v>
      </c>
      <c r="L3729" s="1" t="s">
        <v>29</v>
      </c>
      <c r="M3729" s="1" t="s">
        <v>29</v>
      </c>
      <c r="N3729" s="1" t="s">
        <v>297</v>
      </c>
      <c r="O3729" s="1" t="str">
        <f t="shared" ca="1" si="29"/>
        <v>Please solve the LeetCode problem '3198. Find Cities in Each State'.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30" spans="1:15" x14ac:dyDescent="0.25">
      <c r="A3730" s="1">
        <v>3199</v>
      </c>
      <c r="B3730" s="2" t="str">
        <f>HYPERLINK("https://leetcode.com/problems/count-triplets-with-even-xor-set-bits-i/", "Count Triplets with Even XOR Set Bits I")</f>
        <v>Count Triplets with Even XOR Set Bits I</v>
      </c>
      <c r="C3730" s="1">
        <v>9</v>
      </c>
      <c r="D3730" s="1">
        <v>4</v>
      </c>
      <c r="E3730" s="3">
        <f t="shared" si="28"/>
        <v>0.69230769230769229</v>
      </c>
      <c r="F3730" s="1" t="s">
        <v>65</v>
      </c>
      <c r="G3730" s="1" t="s">
        <v>20</v>
      </c>
      <c r="H3730" s="1">
        <v>1744</v>
      </c>
      <c r="I3730" s="1">
        <v>2106</v>
      </c>
      <c r="J3730" s="7">
        <v>0.82799999999999996</v>
      </c>
      <c r="K3730" s="1" t="s">
        <v>29</v>
      </c>
      <c r="L3730" s="1" t="s">
        <v>29</v>
      </c>
      <c r="M3730" s="1" t="s">
        <v>29</v>
      </c>
      <c r="N3730" s="1" t="s">
        <v>22</v>
      </c>
      <c r="O3730" s="1" t="str">
        <f t="shared" ca="1" si="29"/>
        <v>Please solve the LeetCode problem '3199. Count Triplets with Even XOR Set Bits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31" spans="1:15" x14ac:dyDescent="0.25">
      <c r="A3731" s="1">
        <v>3204</v>
      </c>
      <c r="B3731" s="2" t="str">
        <f>HYPERLINK("https://leetcode.com/problems/bitwise-user-permissions-analysis/", "Bitwise User Permissions Analysis")</f>
        <v>Bitwise User Permissions Analysis</v>
      </c>
      <c r="C3731" s="1">
        <v>9</v>
      </c>
      <c r="D3731" s="1">
        <v>3</v>
      </c>
      <c r="E3731" s="3">
        <f t="shared" si="28"/>
        <v>0.75</v>
      </c>
      <c r="F3731" s="1" t="s">
        <v>297</v>
      </c>
      <c r="G3731" s="1" t="s">
        <v>24</v>
      </c>
      <c r="H3731" s="1">
        <v>1911</v>
      </c>
      <c r="I3731" s="1">
        <v>2041</v>
      </c>
      <c r="J3731" s="7">
        <v>0.93600000000000005</v>
      </c>
      <c r="K3731" s="1" t="s">
        <v>29</v>
      </c>
      <c r="L3731" s="1" t="s">
        <v>29</v>
      </c>
      <c r="M3731" s="1" t="s">
        <v>29</v>
      </c>
      <c r="N3731" s="1" t="s">
        <v>297</v>
      </c>
      <c r="O3731" s="1" t="str">
        <f t="shared" ca="1" si="29"/>
        <v>Please solve the LeetCode problem '3204. Bitwise User Permissions Analysis'.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32" spans="1:15" x14ac:dyDescent="0.25">
      <c r="A3732" s="1">
        <v>3230</v>
      </c>
      <c r="B3732" s="2" t="str">
        <f>HYPERLINK("https://leetcode.com/problems/customer-purchasing-behavior-analysis/", "Customer Purchasing Behavior Analysis")</f>
        <v>Customer Purchasing Behavior Analysis</v>
      </c>
      <c r="C3732" s="1">
        <v>9</v>
      </c>
      <c r="D3732" s="1">
        <v>4</v>
      </c>
      <c r="E3732" s="3">
        <f t="shared" si="28"/>
        <v>0.69230769230769229</v>
      </c>
      <c r="F3732" s="1" t="s">
        <v>297</v>
      </c>
      <c r="G3732" s="1" t="s">
        <v>24</v>
      </c>
      <c r="H3732" s="1">
        <v>2684</v>
      </c>
      <c r="I3732" s="1">
        <v>7400</v>
      </c>
      <c r="J3732" s="7">
        <v>0.36299999999999999</v>
      </c>
      <c r="K3732" s="1" t="s">
        <v>29</v>
      </c>
      <c r="L3732" s="1" t="s">
        <v>29</v>
      </c>
      <c r="M3732" s="1" t="s">
        <v>29</v>
      </c>
      <c r="N3732" s="1" t="s">
        <v>297</v>
      </c>
      <c r="O3732" s="1" t="str">
        <f t="shared" ca="1" si="29"/>
        <v>Please solve the LeetCode problem '3230. Customer Purchasing Behavior Analysis'.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33" spans="1:15" x14ac:dyDescent="0.25">
      <c r="A3733" s="1">
        <v>3294</v>
      </c>
      <c r="B3733" s="2" t="str">
        <f>HYPERLINK("https://leetcode.com/problems/convert-doubly-linked-list-to-array-ii/", "Convert Doubly Linked List to Array II")</f>
        <v>Convert Doubly Linked List to Array II</v>
      </c>
      <c r="C3733" s="1">
        <v>9</v>
      </c>
      <c r="D3733" s="1">
        <v>5</v>
      </c>
      <c r="E3733" s="3">
        <f t="shared" si="28"/>
        <v>0.6428571428571429</v>
      </c>
      <c r="F3733" s="1" t="s">
        <v>1317</v>
      </c>
      <c r="G3733" s="1" t="s">
        <v>24</v>
      </c>
      <c r="H3733" s="1">
        <v>3091</v>
      </c>
      <c r="I3733" s="1">
        <v>3774</v>
      </c>
      <c r="J3733" s="7">
        <v>0.81899999999999995</v>
      </c>
      <c r="K3733" s="1" t="s">
        <v>29</v>
      </c>
      <c r="L3733" s="1" t="s">
        <v>29</v>
      </c>
      <c r="M3733" s="1" t="s">
        <v>29</v>
      </c>
      <c r="N3733" s="1" t="s">
        <v>22</v>
      </c>
      <c r="O3733" s="1" t="str">
        <f t="shared" ca="1" si="29"/>
        <v>Please solve the LeetCode problem '3294. Convert Doubly Linked List to Array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34" spans="1:15" x14ac:dyDescent="0.25">
      <c r="A3734" s="1">
        <v>3358</v>
      </c>
      <c r="B3734" s="2" t="str">
        <f>HYPERLINK("https://leetcode.com/problems/books-with-null-ratings/", "Books with NULL Ratings")</f>
        <v>Books with NULL Ratings</v>
      </c>
      <c r="C3734" s="1">
        <v>9</v>
      </c>
      <c r="D3734" s="1">
        <v>0</v>
      </c>
      <c r="E3734" s="3">
        <f t="shared" si="28"/>
        <v>1</v>
      </c>
      <c r="F3734" s="1" t="s">
        <v>297</v>
      </c>
      <c r="G3734" s="1" t="s">
        <v>20</v>
      </c>
      <c r="H3734" s="1">
        <v>3288</v>
      </c>
      <c r="I3734" s="1">
        <v>3946</v>
      </c>
      <c r="J3734" s="7">
        <v>0.83299999999999996</v>
      </c>
      <c r="K3734" s="1" t="s">
        <v>29</v>
      </c>
      <c r="L3734" s="1" t="s">
        <v>29</v>
      </c>
      <c r="M3734" s="1" t="s">
        <v>29</v>
      </c>
      <c r="N3734" s="1" t="s">
        <v>297</v>
      </c>
      <c r="O3734" s="1" t="str">
        <f t="shared" ca="1" si="29"/>
        <v>Please solve the LeetCode problem '3358. Books with NULL Ratings'.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35" spans="1:15" x14ac:dyDescent="0.25">
      <c r="A3735" s="1">
        <v>3383</v>
      </c>
      <c r="B3735" s="2" t="str">
        <f>HYPERLINK("https://leetcode.com/problems/minimum-runes-to-add-to-cast-spell/", "Minimum Runes to Add to Cast Spell")</f>
        <v>Minimum Runes to Add to Cast Spell</v>
      </c>
      <c r="C3735" s="1">
        <v>9</v>
      </c>
      <c r="D3735" s="1">
        <v>2</v>
      </c>
      <c r="E3735" s="3">
        <f t="shared" si="28"/>
        <v>0.81818181818181823</v>
      </c>
      <c r="F3735" s="1" t="s">
        <v>1330</v>
      </c>
      <c r="G3735" s="1" t="s">
        <v>28</v>
      </c>
      <c r="H3735" s="1">
        <v>721</v>
      </c>
      <c r="I3735" s="1">
        <v>1618</v>
      </c>
      <c r="J3735" s="7">
        <v>0.44600000000000001</v>
      </c>
      <c r="K3735" s="1" t="s">
        <v>29</v>
      </c>
      <c r="L3735" s="1" t="s">
        <v>29</v>
      </c>
      <c r="M3735" s="1" t="s">
        <v>29</v>
      </c>
      <c r="N3735" s="1" t="s">
        <v>22</v>
      </c>
      <c r="O3735" s="1" t="str">
        <f t="shared" ca="1" si="29"/>
        <v>Please solve the LeetCode problem '3383. Minimum Runes to Add to Cast Spell'.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36" spans="1:15" x14ac:dyDescent="0.25">
      <c r="A3736" s="1">
        <v>3391</v>
      </c>
      <c r="B3736" s="2" t="str">
        <f>HYPERLINK("https://leetcode.com/problems/design-a-3d-binary-matrix-with-efficient-layer-tracking/", "Design a 3D Binary Matrix with Efficient Layer Tracking")</f>
        <v>Design a 3D Binary Matrix with Efficient Layer Tracking</v>
      </c>
      <c r="C3736" s="1">
        <v>9</v>
      </c>
      <c r="D3736" s="1">
        <v>1</v>
      </c>
      <c r="E3736" s="3">
        <f t="shared" si="28"/>
        <v>0.9</v>
      </c>
      <c r="F3736" s="1" t="s">
        <v>1331</v>
      </c>
      <c r="G3736" s="1" t="s">
        <v>24</v>
      </c>
      <c r="H3736" s="1">
        <v>1032</v>
      </c>
      <c r="I3736" s="1">
        <v>1537</v>
      </c>
      <c r="J3736" s="7">
        <v>0.67100000000000004</v>
      </c>
      <c r="K3736" s="1" t="s">
        <v>29</v>
      </c>
      <c r="L3736" s="1" t="s">
        <v>29</v>
      </c>
      <c r="M3736" s="1" t="s">
        <v>29</v>
      </c>
      <c r="N3736" s="1" t="s">
        <v>22</v>
      </c>
      <c r="O3736" s="1" t="str">
        <f t="shared" ca="1" si="29"/>
        <v>Please solve the LeetCode problem '3391. Design a 3D Binary Matrix with Efficient Layer Tracking'.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37" spans="1:15" x14ac:dyDescent="0.25">
      <c r="A3737" s="1">
        <v>3422</v>
      </c>
      <c r="B3737" s="2" t="str">
        <f>HYPERLINK("https://leetcode.com/problems/minimum-operations-to-make-subarray-elements-equal/", "Minimum Operations to Make Subarray Elements Equal")</f>
        <v>Minimum Operations to Make Subarray Elements Equal</v>
      </c>
      <c r="C3737" s="1">
        <v>9</v>
      </c>
      <c r="D3737" s="1">
        <v>4</v>
      </c>
      <c r="E3737" s="3">
        <f t="shared" si="28"/>
        <v>0.69230769230769229</v>
      </c>
      <c r="F3737" s="1" t="s">
        <v>1332</v>
      </c>
      <c r="G3737" s="1" t="s">
        <v>24</v>
      </c>
      <c r="H3737" s="1">
        <v>668</v>
      </c>
      <c r="I3737" s="1">
        <v>1426</v>
      </c>
      <c r="J3737" s="7">
        <v>0.46800000000000003</v>
      </c>
      <c r="K3737" s="1" t="s">
        <v>29</v>
      </c>
      <c r="L3737" s="1" t="s">
        <v>29</v>
      </c>
      <c r="M3737" s="1" t="s">
        <v>29</v>
      </c>
      <c r="N3737" s="1" t="s">
        <v>22</v>
      </c>
      <c r="O3737" s="1" t="str">
        <f t="shared" ca="1" si="29"/>
        <v>Please solve the LeetCode problem '3422. Minimum Operations to Make Subarray Elements Equal'.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38" spans="1:15" x14ac:dyDescent="0.25">
      <c r="A3738" s="1">
        <v>2921</v>
      </c>
      <c r="B3738" s="2" t="str">
        <f>HYPERLINK("https://leetcode.com/problems/maximum-profitable-triplets-with-increasing-prices-ii/", "Maximum Profitable Triplets With Increasing Prices II")</f>
        <v>Maximum Profitable Triplets With Increasing Prices II</v>
      </c>
      <c r="C3738" s="1">
        <v>8</v>
      </c>
      <c r="D3738" s="1">
        <v>1</v>
      </c>
      <c r="E3738" s="3">
        <f t="shared" si="28"/>
        <v>0.88888888888888884</v>
      </c>
      <c r="F3738" s="1" t="s">
        <v>1145</v>
      </c>
      <c r="G3738" s="1" t="s">
        <v>28</v>
      </c>
      <c r="H3738" s="1">
        <v>742</v>
      </c>
      <c r="I3738" s="1">
        <v>1628</v>
      </c>
      <c r="J3738" s="7">
        <v>0.45600000000000002</v>
      </c>
      <c r="K3738" s="1" t="s">
        <v>29</v>
      </c>
      <c r="L3738" s="1" t="s">
        <v>29</v>
      </c>
      <c r="M3738" s="1" t="s">
        <v>29</v>
      </c>
      <c r="N3738" s="1" t="s">
        <v>22</v>
      </c>
      <c r="O3738" s="1" t="str">
        <f t="shared" ca="1" si="29"/>
        <v>Please solve the LeetCode problem '2921. Maximum Profitable Triplets With Increasing Prices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39" spans="1:15" x14ac:dyDescent="0.25">
      <c r="A3739" s="1">
        <v>2988</v>
      </c>
      <c r="B3739" s="2" t="str">
        <f>HYPERLINK("https://leetcode.com/problems/manager-of-the-largest-department/", "Manager of the Largest Department")</f>
        <v>Manager of the Largest Department</v>
      </c>
      <c r="C3739" s="1">
        <v>8</v>
      </c>
      <c r="D3739" s="1">
        <v>1</v>
      </c>
      <c r="E3739" s="3">
        <f t="shared" si="28"/>
        <v>0.88888888888888884</v>
      </c>
      <c r="F3739" s="1" t="s">
        <v>297</v>
      </c>
      <c r="G3739" s="1" t="s">
        <v>24</v>
      </c>
      <c r="H3739" s="1">
        <v>4336</v>
      </c>
      <c r="I3739" s="1">
        <v>5380</v>
      </c>
      <c r="J3739" s="7">
        <v>0.80600000000000005</v>
      </c>
      <c r="K3739" s="1" t="s">
        <v>29</v>
      </c>
      <c r="L3739" s="1" t="s">
        <v>29</v>
      </c>
      <c r="M3739" s="1" t="s">
        <v>29</v>
      </c>
      <c r="N3739" s="1" t="s">
        <v>297</v>
      </c>
      <c r="O3739" s="1" t="str">
        <f t="shared" ca="1" si="29"/>
        <v>Please solve the LeetCode problem '2988. Manager of the Largest Department'.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40" spans="1:15" x14ac:dyDescent="0.25">
      <c r="A3740" s="1">
        <v>3088</v>
      </c>
      <c r="B3740" s="2" t="str">
        <f>HYPERLINK("https://leetcode.com/problems/make-string-anti-palindrome/", "Make String Anti-palindrome")</f>
        <v>Make String Anti-palindrome</v>
      </c>
      <c r="C3740" s="1">
        <v>8</v>
      </c>
      <c r="D3740" s="1">
        <v>2</v>
      </c>
      <c r="E3740" s="3">
        <f t="shared" si="28"/>
        <v>0.8</v>
      </c>
      <c r="F3740" s="1" t="s">
        <v>1333</v>
      </c>
      <c r="G3740" s="1" t="s">
        <v>28</v>
      </c>
      <c r="H3740" s="1">
        <v>905</v>
      </c>
      <c r="I3740" s="1">
        <v>1946</v>
      </c>
      <c r="J3740" s="7">
        <v>0.46500000000000002</v>
      </c>
      <c r="K3740" s="1" t="s">
        <v>29</v>
      </c>
      <c r="L3740" s="1" t="s">
        <v>29</v>
      </c>
      <c r="M3740" s="1" t="s">
        <v>29</v>
      </c>
      <c r="N3740" s="1" t="s">
        <v>22</v>
      </c>
      <c r="O3740" s="1" t="str">
        <f t="shared" ca="1" si="29"/>
        <v>Please solve the LeetCode problem '3088. Make String Anti-palindrome'.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41" spans="1:15" x14ac:dyDescent="0.25">
      <c r="A3741" s="1">
        <v>3188</v>
      </c>
      <c r="B3741" s="2" t="str">
        <f>HYPERLINK("https://leetcode.com/problems/find-top-scoring-students-ii/", "Find Top Scoring Students II")</f>
        <v>Find Top Scoring Students II</v>
      </c>
      <c r="C3741" s="1">
        <v>8</v>
      </c>
      <c r="D3741" s="1">
        <v>8</v>
      </c>
      <c r="E3741" s="3">
        <f t="shared" si="28"/>
        <v>0.5</v>
      </c>
      <c r="F3741" s="1" t="s">
        <v>297</v>
      </c>
      <c r="G3741" s="1" t="s">
        <v>28</v>
      </c>
      <c r="H3741" s="1">
        <v>2132</v>
      </c>
      <c r="I3741" s="1">
        <v>5349</v>
      </c>
      <c r="J3741" s="7">
        <v>0.39900000000000002</v>
      </c>
      <c r="K3741" s="1" t="s">
        <v>29</v>
      </c>
      <c r="L3741" s="1" t="s">
        <v>29</v>
      </c>
      <c r="M3741" s="1" t="s">
        <v>29</v>
      </c>
      <c r="N3741" s="1" t="s">
        <v>297</v>
      </c>
      <c r="O3741" s="1" t="str">
        <f t="shared" ca="1" si="29"/>
        <v>Please solve the LeetCode problem '3188. Find Top Scoring Students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42" spans="1:15" x14ac:dyDescent="0.25">
      <c r="A3742" s="1">
        <v>3231</v>
      </c>
      <c r="B3742" s="2" t="str">
        <f>HYPERLINK("https://leetcode.com/problems/minimum-number-of-increasing-subsequence-to-be-removed/", "Minimum Number of Increasing Subsequence to Be Removed")</f>
        <v>Minimum Number of Increasing Subsequence to Be Removed</v>
      </c>
      <c r="C3742" s="1">
        <v>8</v>
      </c>
      <c r="D3742" s="1">
        <v>1</v>
      </c>
      <c r="E3742" s="3">
        <f t="shared" si="28"/>
        <v>0.88888888888888884</v>
      </c>
      <c r="F3742" s="1" t="s">
        <v>35</v>
      </c>
      <c r="G3742" s="1" t="s">
        <v>28</v>
      </c>
      <c r="H3742" s="1">
        <v>583</v>
      </c>
      <c r="I3742" s="1">
        <v>1261</v>
      </c>
      <c r="J3742" s="7">
        <v>0.46200000000000002</v>
      </c>
      <c r="K3742" s="1" t="s">
        <v>29</v>
      </c>
      <c r="L3742" s="1" t="s">
        <v>29</v>
      </c>
      <c r="M3742" s="1" t="s">
        <v>29</v>
      </c>
      <c r="N3742" s="1" t="s">
        <v>22</v>
      </c>
      <c r="O3742" s="1" t="str">
        <f t="shared" ca="1" si="29"/>
        <v>Please solve the LeetCode problem '3231. Minimum Number of Increasing Subsequence to Be Removed'.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43" spans="1:15" x14ac:dyDescent="0.25">
      <c r="A3743" s="1">
        <v>3329</v>
      </c>
      <c r="B3743" s="2" t="str">
        <f>HYPERLINK("https://leetcode.com/problems/count-substrings-with-k-frequency-characters-ii/", "Count Substrings With K-Frequency Characters II")</f>
        <v>Count Substrings With K-Frequency Characters II</v>
      </c>
      <c r="C3743" s="1">
        <v>8</v>
      </c>
      <c r="D3743" s="1">
        <v>1</v>
      </c>
      <c r="E3743" s="3">
        <f t="shared" si="28"/>
        <v>0.88888888888888884</v>
      </c>
      <c r="F3743" s="1" t="s">
        <v>23</v>
      </c>
      <c r="G3743" s="1" t="s">
        <v>28</v>
      </c>
      <c r="H3743" s="1">
        <v>913</v>
      </c>
      <c r="I3743" s="1">
        <v>1302</v>
      </c>
      <c r="J3743" s="7">
        <v>0.70099999999999996</v>
      </c>
      <c r="K3743" s="1" t="s">
        <v>29</v>
      </c>
      <c r="L3743" s="1" t="s">
        <v>29</v>
      </c>
      <c r="M3743" s="1" t="s">
        <v>29</v>
      </c>
      <c r="N3743" s="1" t="s">
        <v>22</v>
      </c>
      <c r="O3743" s="1" t="str">
        <f t="shared" ca="1" si="29"/>
        <v>Please solve the LeetCode problem '3329. Count Substrings With K-Frequency Characters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44" spans="1:15" x14ac:dyDescent="0.25">
      <c r="A3744" s="1">
        <v>3344</v>
      </c>
      <c r="B3744" s="2" t="str">
        <f>HYPERLINK("https://leetcode.com/problems/maximum-sized-array/", "Maximum Sized Array")</f>
        <v>Maximum Sized Array</v>
      </c>
      <c r="C3744" s="1">
        <v>8</v>
      </c>
      <c r="D3744" s="1">
        <v>3</v>
      </c>
      <c r="E3744" s="3">
        <f t="shared" si="28"/>
        <v>0.72727272727272729</v>
      </c>
      <c r="F3744" s="1" t="s">
        <v>1334</v>
      </c>
      <c r="G3744" s="1" t="s">
        <v>24</v>
      </c>
      <c r="H3744" s="1">
        <v>589</v>
      </c>
      <c r="I3744" s="1">
        <v>1161</v>
      </c>
      <c r="J3744" s="7">
        <v>0.50700000000000001</v>
      </c>
      <c r="K3744" s="1" t="s">
        <v>29</v>
      </c>
      <c r="L3744" s="1" t="s">
        <v>29</v>
      </c>
      <c r="M3744" s="1" t="s">
        <v>29</v>
      </c>
      <c r="N3744" s="1" t="s">
        <v>22</v>
      </c>
      <c r="O3744" s="1" t="str">
        <f t="shared" ca="1" si="29"/>
        <v>Please solve the LeetCode problem '3344. Maximum Sized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45" spans="1:15" x14ac:dyDescent="0.25">
      <c r="A3745" s="1">
        <v>3460</v>
      </c>
      <c r="B3745" s="2" t="str">
        <f>HYPERLINK("https://leetcode.com/problems/longest-common-prefix-after-at-most-one-removal/", "Longest Common Prefix After at Most One Removal")</f>
        <v>Longest Common Prefix After at Most One Removal</v>
      </c>
      <c r="C3745" s="1">
        <v>8</v>
      </c>
      <c r="D3745" s="1">
        <v>1</v>
      </c>
      <c r="E3745" s="3">
        <f t="shared" si="28"/>
        <v>0.88888888888888884</v>
      </c>
      <c r="F3745" s="1" t="s">
        <v>117</v>
      </c>
      <c r="G3745" s="1" t="s">
        <v>24</v>
      </c>
      <c r="H3745" s="1">
        <v>1080</v>
      </c>
      <c r="I3745" s="1">
        <v>1588</v>
      </c>
      <c r="J3745" s="7">
        <v>0.68</v>
      </c>
      <c r="K3745" s="1" t="s">
        <v>29</v>
      </c>
      <c r="L3745" s="1" t="s">
        <v>29</v>
      </c>
      <c r="M3745" s="1" t="s">
        <v>29</v>
      </c>
      <c r="N3745" s="1" t="s">
        <v>22</v>
      </c>
      <c r="O3745" s="1" t="str">
        <f t="shared" ca="1" si="29"/>
        <v>Please solve the LeetCode problem '3460. Longest Common Prefix After at Most One Removal'.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46" spans="1:15" x14ac:dyDescent="0.25">
      <c r="A3746" s="1">
        <v>3571</v>
      </c>
      <c r="B3746" s="2" t="str">
        <f>HYPERLINK("https://leetcode.com/problems/find-the-shortest-superstring-ii/", "Find the Shortest Superstring II")</f>
        <v>Find the Shortest Superstring II</v>
      </c>
      <c r="C3746" s="1">
        <v>8</v>
      </c>
      <c r="D3746" s="1">
        <v>2</v>
      </c>
      <c r="E3746" s="3">
        <f t="shared" si="28"/>
        <v>0.8</v>
      </c>
      <c r="F3746" s="1" t="s">
        <v>146</v>
      </c>
      <c r="G3746" s="1" t="s">
        <v>20</v>
      </c>
      <c r="H3746" s="1">
        <v>682</v>
      </c>
      <c r="I3746" s="1">
        <v>1368</v>
      </c>
      <c r="J3746" s="7">
        <v>0.499</v>
      </c>
      <c r="K3746" s="1" t="s">
        <v>29</v>
      </c>
      <c r="L3746" s="1" t="s">
        <v>29</v>
      </c>
      <c r="M3746" s="1" t="s">
        <v>29</v>
      </c>
      <c r="N3746" s="1" t="s">
        <v>22</v>
      </c>
      <c r="O3746" s="1" t="str">
        <f t="shared" ca="1" si="29"/>
        <v>Please solve the LeetCode problem '3571. Find the Shortest Superstring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47" spans="1:15" x14ac:dyDescent="0.25">
      <c r="A3747" s="1">
        <v>3581</v>
      </c>
      <c r="B3747" s="2" t="str">
        <f>HYPERLINK("https://leetcode.com/problems/count-odd-letters-from-number/", "Count Odd Letters from Number")</f>
        <v>Count Odd Letters from Number</v>
      </c>
      <c r="C3747" s="1">
        <v>8</v>
      </c>
      <c r="D3747" s="1">
        <v>2</v>
      </c>
      <c r="E3747" s="3">
        <f t="shared" si="28"/>
        <v>0.8</v>
      </c>
      <c r="F3747" s="1" t="s">
        <v>1335</v>
      </c>
      <c r="G3747" s="1" t="s">
        <v>20</v>
      </c>
      <c r="H3747" s="1">
        <v>1205</v>
      </c>
      <c r="I3747" s="1">
        <v>1413</v>
      </c>
      <c r="J3747" s="7">
        <v>0.85299999999999998</v>
      </c>
      <c r="K3747" s="1" t="s">
        <v>29</v>
      </c>
      <c r="L3747" s="1" t="s">
        <v>29</v>
      </c>
      <c r="M3747" s="1" t="s">
        <v>29</v>
      </c>
      <c r="N3747" s="1" t="s">
        <v>22</v>
      </c>
      <c r="O3747" s="1" t="str">
        <f t="shared" ca="1" si="29"/>
        <v>Please solve the LeetCode problem '3581. Count Odd Letters from Number'.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48" spans="1:15" x14ac:dyDescent="0.25">
      <c r="A3748" s="1">
        <v>3595</v>
      </c>
      <c r="B3748" s="2" t="str">
        <f>HYPERLINK("https://leetcode.com/problems/once-twice/", "Once Twice")</f>
        <v>Once Twice</v>
      </c>
      <c r="C3748" s="1">
        <v>8</v>
      </c>
      <c r="D3748" s="1">
        <v>2</v>
      </c>
      <c r="E3748" s="3">
        <f t="shared" si="28"/>
        <v>0.8</v>
      </c>
      <c r="F3748" s="1" t="s">
        <v>65</v>
      </c>
      <c r="G3748" s="1" t="s">
        <v>24</v>
      </c>
      <c r="H3748" s="1">
        <v>574</v>
      </c>
      <c r="I3748" s="1">
        <v>739</v>
      </c>
      <c r="J3748" s="7">
        <v>0.77700000000000002</v>
      </c>
      <c r="K3748" s="1" t="s">
        <v>29</v>
      </c>
      <c r="L3748" s="1" t="s">
        <v>29</v>
      </c>
      <c r="M3748" s="1" t="s">
        <v>29</v>
      </c>
      <c r="N3748" s="1" t="s">
        <v>22</v>
      </c>
      <c r="O3748" s="1" t="str">
        <f t="shared" ca="1" si="29"/>
        <v>Please solve the LeetCode problem '3595. Once Twice'.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49" spans="1:15" x14ac:dyDescent="0.25">
      <c r="A3749" s="1">
        <v>3763</v>
      </c>
      <c r="B3749" s="2" t="str">
        <f>HYPERLINK("https://leetcode.com/problems/maximum-total-sum-with-threshold-constraints/", "Maximum Total Sum with Threshold Constraints")</f>
        <v>Maximum Total Sum with Threshold Constraints</v>
      </c>
      <c r="C3749" s="1">
        <v>8</v>
      </c>
      <c r="D3749" s="1">
        <v>1</v>
      </c>
      <c r="E3749" s="3">
        <f t="shared" si="28"/>
        <v>0.88888888888888884</v>
      </c>
      <c r="F3749" s="1" t="s">
        <v>302</v>
      </c>
      <c r="G3749" s="1" t="s">
        <v>24</v>
      </c>
      <c r="H3749" s="1">
        <v>437</v>
      </c>
      <c r="I3749" s="1">
        <v>516</v>
      </c>
      <c r="J3749" s="7">
        <v>0.84699999999999998</v>
      </c>
      <c r="K3749" s="1" t="s">
        <v>29</v>
      </c>
      <c r="L3749" s="1" t="s">
        <v>29</v>
      </c>
      <c r="M3749" s="1" t="s">
        <v>29</v>
      </c>
      <c r="N3749" s="1" t="s">
        <v>22</v>
      </c>
      <c r="O3749" s="1" t="str">
        <f t="shared" ca="1" si="29"/>
        <v>Please solve the LeetCode problem '3763. Maximum Total Sum with Threshold Constraints'.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50" spans="1:15" x14ac:dyDescent="0.25">
      <c r="A3750" s="1">
        <v>3018</v>
      </c>
      <c r="B3750" s="2" t="str">
        <f>HYPERLINK("https://leetcode.com/problems/maximum-number-of-removal-queries-that-can-be-processed-i/", "Maximum Number of Removal Queries That Can Be Processed I")</f>
        <v>Maximum Number of Removal Queries That Can Be Processed I</v>
      </c>
      <c r="C3750" s="1">
        <v>7</v>
      </c>
      <c r="D3750" s="1">
        <v>3</v>
      </c>
      <c r="E3750" s="3">
        <f t="shared" si="28"/>
        <v>0.7</v>
      </c>
      <c r="F3750" s="1" t="s">
        <v>30</v>
      </c>
      <c r="G3750" s="1" t="s">
        <v>28</v>
      </c>
      <c r="H3750" s="1">
        <v>626</v>
      </c>
      <c r="I3750" s="1">
        <v>1430</v>
      </c>
      <c r="J3750" s="7">
        <v>0.438</v>
      </c>
      <c r="K3750" s="1" t="s">
        <v>29</v>
      </c>
      <c r="L3750" s="1" t="s">
        <v>29</v>
      </c>
      <c r="M3750" s="1" t="s">
        <v>29</v>
      </c>
      <c r="N3750" s="1" t="s">
        <v>22</v>
      </c>
      <c r="O3750" s="1" t="str">
        <f t="shared" ca="1" si="29"/>
        <v>Please solve the LeetCode problem '3018. Maximum Number of Removal Queries That Can Be Processed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51" spans="1:15" x14ac:dyDescent="0.25">
      <c r="A3751" s="1">
        <v>3037</v>
      </c>
      <c r="B3751" s="2" t="str">
        <f>HYPERLINK("https://leetcode.com/problems/find-pattern-in-infinite-stream-ii/", "Find Pattern in Infinite Stream II")</f>
        <v>Find Pattern in Infinite Stream II</v>
      </c>
      <c r="C3751" s="1">
        <v>7</v>
      </c>
      <c r="D3751" s="1">
        <v>3</v>
      </c>
      <c r="E3751" s="3">
        <f t="shared" si="28"/>
        <v>0.7</v>
      </c>
      <c r="F3751" s="1" t="s">
        <v>1406</v>
      </c>
      <c r="G3751" s="1" t="s">
        <v>28</v>
      </c>
      <c r="H3751" s="1">
        <v>1311</v>
      </c>
      <c r="I3751" s="1">
        <v>1955</v>
      </c>
      <c r="J3751" s="7">
        <v>0.67100000000000004</v>
      </c>
      <c r="K3751" s="1" t="s">
        <v>29</v>
      </c>
      <c r="L3751" s="1" t="s">
        <v>29</v>
      </c>
      <c r="M3751" s="1" t="s">
        <v>29</v>
      </c>
      <c r="N3751" s="1" t="s">
        <v>22</v>
      </c>
      <c r="O3751" s="1" t="str">
        <f t="shared" ca="1" si="29"/>
        <v>Please solve the LeetCode problem '3037. Find Pattern in Infinite Stream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52" spans="1:15" x14ac:dyDescent="0.25">
      <c r="A3752" s="1">
        <v>3052</v>
      </c>
      <c r="B3752" s="2" t="str">
        <f>HYPERLINK("https://leetcode.com/problems/maximize-items/", "Maximize Items")</f>
        <v>Maximize Items</v>
      </c>
      <c r="C3752" s="1">
        <v>7</v>
      </c>
      <c r="D3752" s="1">
        <v>12</v>
      </c>
      <c r="E3752" s="3">
        <f t="shared" si="28"/>
        <v>0.36842105263157893</v>
      </c>
      <c r="F3752" s="1" t="s">
        <v>297</v>
      </c>
      <c r="G3752" s="1" t="s">
        <v>28</v>
      </c>
      <c r="H3752" s="1">
        <v>1920</v>
      </c>
      <c r="I3752" s="1">
        <v>2605</v>
      </c>
      <c r="J3752" s="7">
        <v>0.73699999999999999</v>
      </c>
      <c r="K3752" s="1" t="s">
        <v>29</v>
      </c>
      <c r="L3752" s="1" t="s">
        <v>29</v>
      </c>
      <c r="M3752" s="1" t="s">
        <v>29</v>
      </c>
      <c r="N3752" s="1" t="s">
        <v>297</v>
      </c>
      <c r="O3752" s="1" t="str">
        <f t="shared" ca="1" si="29"/>
        <v>Please solve the LeetCode problem '3052. Maximize Items'.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53" spans="1:15" x14ac:dyDescent="0.25">
      <c r="A3753" s="1">
        <v>3087</v>
      </c>
      <c r="B3753" s="2" t="str">
        <f>HYPERLINK("https://leetcode.com/problems/find-trending-hashtags/", "Find Trending Hashtags")</f>
        <v>Find Trending Hashtags</v>
      </c>
      <c r="C3753" s="1">
        <v>7</v>
      </c>
      <c r="D3753" s="1">
        <v>6</v>
      </c>
      <c r="E3753" s="3">
        <f t="shared" si="28"/>
        <v>0.53846153846153844</v>
      </c>
      <c r="F3753" s="1" t="s">
        <v>297</v>
      </c>
      <c r="G3753" s="1" t="s">
        <v>24</v>
      </c>
      <c r="H3753" s="1">
        <v>2592</v>
      </c>
      <c r="I3753" s="1">
        <v>4260</v>
      </c>
      <c r="J3753" s="7">
        <v>0.60799999999999998</v>
      </c>
      <c r="K3753" s="1" t="s">
        <v>29</v>
      </c>
      <c r="L3753" s="1" t="s">
        <v>29</v>
      </c>
      <c r="M3753" s="1" t="s">
        <v>29</v>
      </c>
      <c r="N3753" s="1" t="s">
        <v>297</v>
      </c>
      <c r="O3753" s="1" t="str">
        <f t="shared" ca="1" si="29"/>
        <v>Please solve the LeetCode problem '3087. Find Trending Hashtags'.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54" spans="1:15" x14ac:dyDescent="0.25">
      <c r="A3754" s="1">
        <v>3124</v>
      </c>
      <c r="B3754" s="2" t="str">
        <f>HYPERLINK("https://leetcode.com/problems/find-longest-calls/", "Find Longest Calls")</f>
        <v>Find Longest Calls</v>
      </c>
      <c r="C3754" s="1">
        <v>7</v>
      </c>
      <c r="D3754" s="1">
        <v>5</v>
      </c>
      <c r="E3754" s="3">
        <f t="shared" si="28"/>
        <v>0.58333333333333337</v>
      </c>
      <c r="F3754" s="1" t="s">
        <v>297</v>
      </c>
      <c r="G3754" s="1" t="s">
        <v>24</v>
      </c>
      <c r="H3754" s="1">
        <v>2736</v>
      </c>
      <c r="I3754" s="1">
        <v>4360</v>
      </c>
      <c r="J3754" s="7">
        <v>0.628</v>
      </c>
      <c r="K3754" s="1" t="s">
        <v>29</v>
      </c>
      <c r="L3754" s="1" t="s">
        <v>29</v>
      </c>
      <c r="M3754" s="1" t="s">
        <v>29</v>
      </c>
      <c r="N3754" s="1" t="s">
        <v>297</v>
      </c>
      <c r="O3754" s="1" t="str">
        <f t="shared" ca="1" si="29"/>
        <v>Please solve the LeetCode problem '3124. Find Longest Calls'.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55" spans="1:15" x14ac:dyDescent="0.25">
      <c r="A3755" s="1">
        <v>3268</v>
      </c>
      <c r="B3755" s="2" t="str">
        <f>HYPERLINK("https://leetcode.com/problems/find-overlapping-shifts-ii/", "Find Overlapping Shifts II")</f>
        <v>Find Overlapping Shifts II</v>
      </c>
      <c r="C3755" s="1">
        <v>7</v>
      </c>
      <c r="D3755" s="1">
        <v>7</v>
      </c>
      <c r="E3755" s="3">
        <f t="shared" si="28"/>
        <v>0.5</v>
      </c>
      <c r="F3755" s="1" t="s">
        <v>297</v>
      </c>
      <c r="G3755" s="1" t="s">
        <v>28</v>
      </c>
      <c r="H3755" s="1">
        <v>1163</v>
      </c>
      <c r="I3755" s="1">
        <v>2080</v>
      </c>
      <c r="J3755" s="7">
        <v>0.55900000000000005</v>
      </c>
      <c r="K3755" s="1" t="s">
        <v>29</v>
      </c>
      <c r="L3755" s="1" t="s">
        <v>29</v>
      </c>
      <c r="M3755" s="1" t="s">
        <v>29</v>
      </c>
      <c r="N3755" s="1" t="s">
        <v>297</v>
      </c>
      <c r="O3755" s="1" t="str">
        <f t="shared" ca="1" si="29"/>
        <v>Please solve the LeetCode problem '3268. Find Overlapping Shifts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56" spans="1:15" x14ac:dyDescent="0.25">
      <c r="A3756" s="1">
        <v>3299</v>
      </c>
      <c r="B3756" s="2" t="str">
        <f>HYPERLINK("https://leetcode.com/problems/sum-of-consecutive-subsequences/", "Sum of Consecutive Subsequences")</f>
        <v>Sum of Consecutive Subsequences</v>
      </c>
      <c r="C3756" s="1">
        <v>7</v>
      </c>
      <c r="D3756" s="1">
        <v>1</v>
      </c>
      <c r="E3756" s="3">
        <f t="shared" si="28"/>
        <v>0.875</v>
      </c>
      <c r="F3756" s="1" t="s">
        <v>174</v>
      </c>
      <c r="G3756" s="1" t="s">
        <v>28</v>
      </c>
      <c r="H3756" s="1">
        <v>504</v>
      </c>
      <c r="I3756" s="1">
        <v>1183</v>
      </c>
      <c r="J3756" s="7">
        <v>0.42599999999999999</v>
      </c>
      <c r="K3756" s="1" t="s">
        <v>29</v>
      </c>
      <c r="L3756" s="1" t="s">
        <v>29</v>
      </c>
      <c r="M3756" s="1" t="s">
        <v>29</v>
      </c>
      <c r="N3756" s="1" t="s">
        <v>22</v>
      </c>
      <c r="O3756" s="1" t="str">
        <f t="shared" ca="1" si="29"/>
        <v>Please solve the LeetCode problem '3299. Sum of Consecutive Subsequences'.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57" spans="1:15" x14ac:dyDescent="0.25">
      <c r="A3757" s="1">
        <v>3308</v>
      </c>
      <c r="B3757" s="2" t="str">
        <f>HYPERLINK("https://leetcode.com/problems/find-top-performing-driver/", "Find Top Performing Driver")</f>
        <v>Find Top Performing Driver</v>
      </c>
      <c r="C3757" s="1">
        <v>7</v>
      </c>
      <c r="D3757" s="1">
        <v>2</v>
      </c>
      <c r="E3757" s="3">
        <f t="shared" si="28"/>
        <v>0.77777777777777779</v>
      </c>
      <c r="F3757" s="1" t="s">
        <v>297</v>
      </c>
      <c r="G3757" s="1" t="s">
        <v>24</v>
      </c>
      <c r="H3757" s="1">
        <v>2352</v>
      </c>
      <c r="I3757" s="1">
        <v>4787</v>
      </c>
      <c r="J3757" s="7">
        <v>0.49099999999999999</v>
      </c>
      <c r="K3757" s="1" t="s">
        <v>29</v>
      </c>
      <c r="L3757" s="1" t="s">
        <v>29</v>
      </c>
      <c r="M3757" s="1" t="s">
        <v>29</v>
      </c>
      <c r="N3757" s="1" t="s">
        <v>297</v>
      </c>
      <c r="O3757" s="1" t="str">
        <f t="shared" ca="1" si="29"/>
        <v>Please solve the LeetCode problem '3308. Find Top Performing Driver'.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58" spans="1:15" x14ac:dyDescent="0.25">
      <c r="A3758" s="1">
        <v>3313</v>
      </c>
      <c r="B3758" s="2" t="str">
        <f>HYPERLINK("https://leetcode.com/problems/find-the-last-marked-nodes-in-tree/", "Find the Last Marked Nodes in Tree")</f>
        <v>Find the Last Marked Nodes in Tree</v>
      </c>
      <c r="C3758" s="1">
        <v>7</v>
      </c>
      <c r="D3758" s="1">
        <v>1</v>
      </c>
      <c r="E3758" s="3">
        <f t="shared" si="28"/>
        <v>0.875</v>
      </c>
      <c r="F3758" s="1" t="s">
        <v>726</v>
      </c>
      <c r="G3758" s="1" t="s">
        <v>28</v>
      </c>
      <c r="H3758" s="1">
        <v>602</v>
      </c>
      <c r="I3758" s="1">
        <v>1088</v>
      </c>
      <c r="J3758" s="7">
        <v>0.55300000000000005</v>
      </c>
      <c r="K3758" s="1" t="s">
        <v>29</v>
      </c>
      <c r="L3758" s="1" t="s">
        <v>29</v>
      </c>
      <c r="M3758" s="1" t="s">
        <v>29</v>
      </c>
      <c r="N3758" s="1" t="s">
        <v>22</v>
      </c>
      <c r="O3758" s="1" t="str">
        <f t="shared" ca="1" si="29"/>
        <v>Please solve the LeetCode problem '3313. Find the Last Marked Nodes in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59" spans="1:15" x14ac:dyDescent="0.25">
      <c r="A3759" s="1">
        <v>3359</v>
      </c>
      <c r="B3759" s="2" t="str">
        <f>HYPERLINK("https://leetcode.com/problems/find-sorted-submatrices-with-maximum-element-at-most-k/", "Find Sorted Submatrices With Maximum Element at Most K")</f>
        <v>Find Sorted Submatrices With Maximum Element at Most K</v>
      </c>
      <c r="C3759" s="1">
        <v>7</v>
      </c>
      <c r="D3759" s="1">
        <v>3</v>
      </c>
      <c r="E3759" s="3">
        <f t="shared" si="28"/>
        <v>0.7</v>
      </c>
      <c r="F3759" s="1" t="s">
        <v>1230</v>
      </c>
      <c r="G3759" s="1" t="s">
        <v>28</v>
      </c>
      <c r="H3759" s="1">
        <v>400</v>
      </c>
      <c r="I3759" s="1">
        <v>789</v>
      </c>
      <c r="J3759" s="7">
        <v>0.50700000000000001</v>
      </c>
      <c r="K3759" s="1" t="s">
        <v>29</v>
      </c>
      <c r="L3759" s="1" t="s">
        <v>29</v>
      </c>
      <c r="M3759" s="1" t="s">
        <v>29</v>
      </c>
      <c r="N3759" s="1" t="s">
        <v>22</v>
      </c>
      <c r="O3759" s="1" t="str">
        <f t="shared" ca="1" si="29"/>
        <v>Please solve the LeetCode problem '3359. Find Sorted Submatrices With Maximum Element at Most K'.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60" spans="1:15" x14ac:dyDescent="0.25">
      <c r="A3760" s="1">
        <v>3511</v>
      </c>
      <c r="B3760" s="2" t="str">
        <f>HYPERLINK("https://leetcode.com/problems/make-a-positive-array/", "Make a Positive Array")</f>
        <v>Make a Positive Array</v>
      </c>
      <c r="C3760" s="1">
        <v>7</v>
      </c>
      <c r="D3760" s="1">
        <v>7</v>
      </c>
      <c r="E3760" s="3">
        <f t="shared" si="28"/>
        <v>0.5</v>
      </c>
      <c r="F3760" s="1" t="s">
        <v>1337</v>
      </c>
      <c r="G3760" s="1" t="s">
        <v>24</v>
      </c>
      <c r="H3760" s="1">
        <v>636</v>
      </c>
      <c r="I3760" s="1">
        <v>1820</v>
      </c>
      <c r="J3760" s="7">
        <v>0.34899999999999998</v>
      </c>
      <c r="K3760" s="1" t="s">
        <v>29</v>
      </c>
      <c r="L3760" s="1" t="s">
        <v>29</v>
      </c>
      <c r="M3760" s="1" t="s">
        <v>29</v>
      </c>
      <c r="N3760" s="1" t="s">
        <v>22</v>
      </c>
      <c r="O3760" s="1" t="str">
        <f t="shared" ca="1" si="29"/>
        <v>Please solve the LeetCode problem '3511. Make a Positive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61" spans="1:15" x14ac:dyDescent="0.25">
      <c r="A3761" s="1">
        <v>3540</v>
      </c>
      <c r="B3761" s="2" t="str">
        <f>HYPERLINK("https://leetcode.com/problems/minimum-time-to-visit-all-houses/", "Minimum Time to Visit All Houses")</f>
        <v>Minimum Time to Visit All Houses</v>
      </c>
      <c r="C3761" s="1">
        <v>7</v>
      </c>
      <c r="D3761" s="1">
        <v>2</v>
      </c>
      <c r="E3761" s="3">
        <f t="shared" si="28"/>
        <v>0.77777777777777779</v>
      </c>
      <c r="F3761" s="1" t="s">
        <v>37</v>
      </c>
      <c r="G3761" s="1" t="s">
        <v>24</v>
      </c>
      <c r="H3761" s="1">
        <v>1133</v>
      </c>
      <c r="I3761" s="1">
        <v>1635</v>
      </c>
      <c r="J3761" s="7">
        <v>0.69299999999999995</v>
      </c>
      <c r="K3761" s="1" t="s">
        <v>29</v>
      </c>
      <c r="L3761" s="1" t="s">
        <v>29</v>
      </c>
      <c r="M3761" s="1" t="s">
        <v>29</v>
      </c>
      <c r="N3761" s="1" t="s">
        <v>22</v>
      </c>
      <c r="O3761" s="1" t="str">
        <f t="shared" ca="1" si="29"/>
        <v>Please solve the LeetCode problem '3540. Minimum Time to Visit All Houses'.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62" spans="1:15" x14ac:dyDescent="0.25">
      <c r="A3762" s="1">
        <v>3555</v>
      </c>
      <c r="B3762" s="2" t="str">
        <f>HYPERLINK("https://leetcode.com/problems/smallest-subarray-to-sort-in-every-sliding-window/", "Smallest Subarray to Sort in Every Sliding Window")</f>
        <v>Smallest Subarray to Sort in Every Sliding Window</v>
      </c>
      <c r="C3762" s="1">
        <v>7</v>
      </c>
      <c r="D3762" s="1">
        <v>1</v>
      </c>
      <c r="E3762" s="3">
        <f t="shared" si="28"/>
        <v>0.875</v>
      </c>
      <c r="F3762" s="1" t="s">
        <v>170</v>
      </c>
      <c r="G3762" s="1" t="s">
        <v>24</v>
      </c>
      <c r="H3762" s="1">
        <v>662</v>
      </c>
      <c r="I3762" s="1">
        <v>1107</v>
      </c>
      <c r="J3762" s="7">
        <v>0.59799999999999998</v>
      </c>
      <c r="K3762" s="1" t="s">
        <v>29</v>
      </c>
      <c r="L3762" s="1" t="s">
        <v>29</v>
      </c>
      <c r="M3762" s="1" t="s">
        <v>29</v>
      </c>
      <c r="N3762" s="1" t="s">
        <v>22</v>
      </c>
      <c r="O3762" s="1" t="str">
        <f t="shared" ca="1" si="29"/>
        <v>Please solve the LeetCode problem '3555. Smallest Subarray to Sort in Every Sliding Window'.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63" spans="1:15" x14ac:dyDescent="0.25">
      <c r="A3763" s="1">
        <v>3656</v>
      </c>
      <c r="B3763" s="2" t="str">
        <f>HYPERLINK("https://leetcode.com/problems/determine-if-a-simple-graph-exists/", "Determine if a Simple Graph Exists")</f>
        <v>Determine if a Simple Graph Exists</v>
      </c>
      <c r="C3763" s="1">
        <v>7</v>
      </c>
      <c r="D3763" s="1">
        <v>4</v>
      </c>
      <c r="E3763" s="3">
        <f t="shared" si="28"/>
        <v>0.63636363636363635</v>
      </c>
      <c r="F3763" s="1" t="s">
        <v>1336</v>
      </c>
      <c r="G3763" s="1" t="s">
        <v>24</v>
      </c>
      <c r="H3763" s="1">
        <v>336</v>
      </c>
      <c r="I3763" s="1">
        <v>678</v>
      </c>
      <c r="J3763" s="7">
        <v>0.496</v>
      </c>
      <c r="K3763" s="1" t="s">
        <v>29</v>
      </c>
      <c r="L3763" s="1" t="s">
        <v>29</v>
      </c>
      <c r="M3763" s="1" t="s">
        <v>29</v>
      </c>
      <c r="N3763" s="1" t="s">
        <v>22</v>
      </c>
      <c r="O3763" s="1" t="str">
        <f t="shared" ca="1" si="29"/>
        <v>Please solve the LeetCode problem '3656. Determine if a Simple Graph Exists'.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64" spans="1:15" x14ac:dyDescent="0.25">
      <c r="A3764" s="1">
        <v>3662</v>
      </c>
      <c r="B3764" s="2" t="str">
        <f>HYPERLINK("https://leetcode.com/problems/filter-characters-by-frequency/", "Filter Characters by Frequency")</f>
        <v>Filter Characters by Frequency</v>
      </c>
      <c r="C3764" s="1">
        <v>7</v>
      </c>
      <c r="D3764" s="1">
        <v>0</v>
      </c>
      <c r="E3764" s="3">
        <f t="shared" si="28"/>
        <v>1</v>
      </c>
      <c r="F3764" s="1" t="s">
        <v>237</v>
      </c>
      <c r="G3764" s="1" t="s">
        <v>20</v>
      </c>
      <c r="H3764" s="1">
        <v>1181</v>
      </c>
      <c r="I3764" s="1">
        <v>1361</v>
      </c>
      <c r="J3764" s="7">
        <v>0.86799999999999999</v>
      </c>
      <c r="K3764" s="1" t="s">
        <v>29</v>
      </c>
      <c r="L3764" s="1" t="s">
        <v>29</v>
      </c>
      <c r="M3764" s="1" t="s">
        <v>29</v>
      </c>
      <c r="N3764" s="1" t="s">
        <v>22</v>
      </c>
      <c r="O3764" s="1" t="str">
        <f t="shared" ca="1" si="29"/>
        <v>Please solve the LeetCode problem '3662. Filter Characters by Frequency'.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65" spans="1:15" x14ac:dyDescent="0.25">
      <c r="A3765" s="1">
        <v>3672</v>
      </c>
      <c r="B3765" s="2" t="str">
        <f>HYPERLINK("https://leetcode.com/problems/sum-of-weighted-modes-in-subarrays/", "Sum of Weighted Modes in Subarrays")</f>
        <v>Sum of Weighted Modes in Subarrays</v>
      </c>
      <c r="C3765" s="1">
        <v>7</v>
      </c>
      <c r="D3765" s="1">
        <v>1</v>
      </c>
      <c r="E3765" s="3">
        <f t="shared" si="28"/>
        <v>0.875</v>
      </c>
      <c r="F3765" s="1" t="s">
        <v>1338</v>
      </c>
      <c r="G3765" s="1" t="s">
        <v>24</v>
      </c>
      <c r="H3765" s="1">
        <v>387</v>
      </c>
      <c r="I3765" s="1">
        <v>706</v>
      </c>
      <c r="J3765" s="7">
        <v>0.54800000000000004</v>
      </c>
      <c r="K3765" s="1" t="s">
        <v>29</v>
      </c>
      <c r="L3765" s="1" t="s">
        <v>29</v>
      </c>
      <c r="M3765" s="1" t="s">
        <v>29</v>
      </c>
      <c r="N3765" s="1" t="s">
        <v>22</v>
      </c>
      <c r="O3765" s="1" t="str">
        <f t="shared" ca="1" si="29"/>
        <v>Please solve the LeetCode problem '3672. Sum of Weighted Modes in Subarrays'.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66" spans="1:15" x14ac:dyDescent="0.25">
      <c r="A3766" s="1">
        <v>3717</v>
      </c>
      <c r="B3766" s="2" t="str">
        <f>HYPERLINK("https://leetcode.com/problems/minimum-operations-to-make-the-array-beautiful/", "Minimum Operations to Make the Array Beautiful")</f>
        <v>Minimum Operations to Make the Array Beautiful</v>
      </c>
      <c r="C3766" s="1">
        <v>7</v>
      </c>
      <c r="D3766" s="1">
        <v>2</v>
      </c>
      <c r="E3766" s="3">
        <f t="shared" si="28"/>
        <v>0.77777777777777779</v>
      </c>
      <c r="F3766" s="1" t="s">
        <v>30</v>
      </c>
      <c r="G3766" s="1" t="s">
        <v>24</v>
      </c>
      <c r="H3766" s="1">
        <v>279</v>
      </c>
      <c r="I3766" s="1">
        <v>701</v>
      </c>
      <c r="J3766" s="7">
        <v>0.39800000000000002</v>
      </c>
      <c r="K3766" s="1" t="s">
        <v>29</v>
      </c>
      <c r="L3766" s="1" t="s">
        <v>29</v>
      </c>
      <c r="M3766" s="1" t="s">
        <v>29</v>
      </c>
      <c r="N3766" s="1" t="s">
        <v>22</v>
      </c>
      <c r="O3766" s="1" t="str">
        <f t="shared" ca="1" si="29"/>
        <v>Please solve the LeetCode problem '3717. Minimum Operations to Make the Array Beautiful'.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67" spans="1:15" x14ac:dyDescent="0.25">
      <c r="A3767" s="1">
        <v>3236</v>
      </c>
      <c r="B3767" s="2" t="str">
        <f>HYPERLINK("https://leetcode.com/problems/ceo-subordinate-hierarchy/", "CEO Subordinate Hierarchy")</f>
        <v>CEO Subordinate Hierarchy</v>
      </c>
      <c r="C3767" s="1">
        <v>6</v>
      </c>
      <c r="D3767" s="1">
        <v>0</v>
      </c>
      <c r="E3767" s="3">
        <f t="shared" si="28"/>
        <v>1</v>
      </c>
      <c r="F3767" s="1" t="s">
        <v>297</v>
      </c>
      <c r="G3767" s="1" t="s">
        <v>28</v>
      </c>
      <c r="H3767" s="1">
        <v>1419</v>
      </c>
      <c r="I3767" s="1">
        <v>1969</v>
      </c>
      <c r="J3767" s="7">
        <v>0.72099999999999997</v>
      </c>
      <c r="K3767" s="1" t="s">
        <v>29</v>
      </c>
      <c r="L3767" s="1" t="s">
        <v>29</v>
      </c>
      <c r="M3767" s="1" t="s">
        <v>29</v>
      </c>
      <c r="N3767" s="1" t="s">
        <v>297</v>
      </c>
      <c r="O3767" s="1" t="str">
        <f t="shared" ca="1" si="29"/>
        <v>Please solve the LeetCode problem '3236. CEO Subordinate Hierarchy'.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68" spans="1:15" x14ac:dyDescent="0.25">
      <c r="A3768" s="1">
        <v>3339</v>
      </c>
      <c r="B3768" s="2" t="str">
        <f>HYPERLINK("https://leetcode.com/problems/find-the-number-of-k-even-arrays/", "Find the Number of K-Even Arrays")</f>
        <v>Find the Number of K-Even Arrays</v>
      </c>
      <c r="C3768" s="1">
        <v>6</v>
      </c>
      <c r="D3768" s="1">
        <v>3</v>
      </c>
      <c r="E3768" s="3">
        <f t="shared" si="28"/>
        <v>0.66666666666666663</v>
      </c>
      <c r="F3768" s="1" t="s">
        <v>251</v>
      </c>
      <c r="G3768" s="1" t="s">
        <v>24</v>
      </c>
      <c r="H3768" s="1">
        <v>567</v>
      </c>
      <c r="I3768" s="1">
        <v>941</v>
      </c>
      <c r="J3768" s="7">
        <v>0.60299999999999998</v>
      </c>
      <c r="K3768" s="1" t="s">
        <v>29</v>
      </c>
      <c r="L3768" s="1" t="s">
        <v>29</v>
      </c>
      <c r="M3768" s="1" t="s">
        <v>29</v>
      </c>
      <c r="N3768" s="1" t="s">
        <v>22</v>
      </c>
      <c r="O3768" s="1" t="str">
        <f t="shared" ca="1" si="29"/>
        <v>Please solve the LeetCode problem '3339. Find the Number of K-Even Arrays'.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69" spans="1:15" x14ac:dyDescent="0.25">
      <c r="A3769" s="1">
        <v>3406</v>
      </c>
      <c r="B3769" s="2" t="str">
        <f>HYPERLINK("https://leetcode.com/problems/find-the-lexicographically-largest-string-from-the-box-ii/", "Find the Lexicographically Largest String From the Box II")</f>
        <v>Find the Lexicographically Largest String From the Box II</v>
      </c>
      <c r="C3769" s="1">
        <v>6</v>
      </c>
      <c r="D3769" s="1">
        <v>1</v>
      </c>
      <c r="E3769" s="3">
        <f t="shared" si="28"/>
        <v>0.8571428571428571</v>
      </c>
      <c r="F3769" s="1" t="s">
        <v>117</v>
      </c>
      <c r="G3769" s="1" t="s">
        <v>28</v>
      </c>
      <c r="H3769" s="1">
        <v>599</v>
      </c>
      <c r="I3769" s="1">
        <v>1211</v>
      </c>
      <c r="J3769" s="7">
        <v>0.495</v>
      </c>
      <c r="K3769" s="1" t="s">
        <v>29</v>
      </c>
      <c r="L3769" s="1" t="s">
        <v>29</v>
      </c>
      <c r="M3769" s="1" t="s">
        <v>29</v>
      </c>
      <c r="N3769" s="1" t="s">
        <v>22</v>
      </c>
      <c r="O3769" s="1" t="str">
        <f t="shared" ca="1" si="29"/>
        <v>Please solve the LeetCode problem '3406. Find the Lexicographically Largest String From the Box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70" spans="1:15" x14ac:dyDescent="0.25">
      <c r="A3770" s="1">
        <v>3549</v>
      </c>
      <c r="B3770" s="2" t="str">
        <f>HYPERLINK("https://leetcode.com/problems/multiply-two-polynomials/", "Multiply Two Polynomials")</f>
        <v>Multiply Two Polynomials</v>
      </c>
      <c r="C3770" s="1">
        <v>6</v>
      </c>
      <c r="D3770" s="1">
        <v>1</v>
      </c>
      <c r="E3770" s="3">
        <f t="shared" si="28"/>
        <v>0.8571428571428571</v>
      </c>
      <c r="F3770" s="1" t="s">
        <v>115</v>
      </c>
      <c r="G3770" s="1" t="s">
        <v>28</v>
      </c>
      <c r="H3770" s="1">
        <v>323</v>
      </c>
      <c r="I3770" s="1">
        <v>524</v>
      </c>
      <c r="J3770" s="7">
        <v>0.61599999999999999</v>
      </c>
      <c r="K3770" s="1" t="s">
        <v>29</v>
      </c>
      <c r="L3770" s="1" t="s">
        <v>29</v>
      </c>
      <c r="M3770" s="1" t="s">
        <v>29</v>
      </c>
      <c r="N3770" s="1" t="s">
        <v>22</v>
      </c>
      <c r="O3770" s="1" t="str">
        <f t="shared" ca="1" si="29"/>
        <v>Please solve the LeetCode problem '3549. Multiply Two Polynomials'.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71" spans="1:15" x14ac:dyDescent="0.25">
      <c r="A3771" s="1">
        <v>3641</v>
      </c>
      <c r="B3771" s="2" t="str">
        <f>HYPERLINK("https://leetcode.com/problems/longest-semi-repeating-subarray/", "Longest Semi-Repeating Subarray")</f>
        <v>Longest Semi-Repeating Subarray</v>
      </c>
      <c r="C3771" s="1">
        <v>6</v>
      </c>
      <c r="D3771" s="1">
        <v>1</v>
      </c>
      <c r="E3771" s="3">
        <f t="shared" si="28"/>
        <v>0.8571428571428571</v>
      </c>
      <c r="F3771" s="1" t="s">
        <v>185</v>
      </c>
      <c r="G3771" s="1" t="s">
        <v>24</v>
      </c>
      <c r="H3771" s="1">
        <v>732</v>
      </c>
      <c r="I3771" s="1">
        <v>1117</v>
      </c>
      <c r="J3771" s="7">
        <v>0.65500000000000003</v>
      </c>
      <c r="K3771" s="1" t="s">
        <v>29</v>
      </c>
      <c r="L3771" s="1" t="s">
        <v>29</v>
      </c>
      <c r="M3771" s="1" t="s">
        <v>29</v>
      </c>
      <c r="N3771" s="1" t="s">
        <v>22</v>
      </c>
      <c r="O3771" s="1" t="str">
        <f t="shared" ca="1" si="29"/>
        <v>Please solve the LeetCode problem '3641. Longest Semi-Repeating Subarray'.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72" spans="1:15" x14ac:dyDescent="0.25">
      <c r="A3772" s="1">
        <v>3647</v>
      </c>
      <c r="B3772" s="2" t="str">
        <f>HYPERLINK("https://leetcode.com/problems/maximum-weight-in-two-bags/", "Maximum Weight in Two Bags")</f>
        <v>Maximum Weight in Two Bags</v>
      </c>
      <c r="C3772" s="1">
        <v>6</v>
      </c>
      <c r="D3772" s="1">
        <v>3</v>
      </c>
      <c r="E3772" s="3">
        <f t="shared" si="28"/>
        <v>0.66666666666666663</v>
      </c>
      <c r="F3772" s="1" t="s">
        <v>30</v>
      </c>
      <c r="G3772" s="1" t="s">
        <v>24</v>
      </c>
      <c r="H3772" s="1">
        <v>605</v>
      </c>
      <c r="I3772" s="1">
        <v>1003</v>
      </c>
      <c r="J3772" s="7">
        <v>0.60299999999999998</v>
      </c>
      <c r="K3772" s="1" t="s">
        <v>29</v>
      </c>
      <c r="L3772" s="1" t="s">
        <v>29</v>
      </c>
      <c r="M3772" s="1" t="s">
        <v>29</v>
      </c>
      <c r="N3772" s="1" t="s">
        <v>22</v>
      </c>
      <c r="O3772" s="1" t="str">
        <f t="shared" ca="1" si="29"/>
        <v>Please solve the LeetCode problem '3647. Maximum Weight in Two Bags'.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73" spans="1:15" x14ac:dyDescent="0.25">
      <c r="A3773" s="1">
        <v>3667</v>
      </c>
      <c r="B3773" s="2" t="str">
        <f>HYPERLINK("https://leetcode.com/problems/sort-array-by-absolute-value/", "Sort Array By Absolute Value")</f>
        <v>Sort Array By Absolute Value</v>
      </c>
      <c r="C3773" s="1">
        <v>6</v>
      </c>
      <c r="D3773" s="1">
        <v>0</v>
      </c>
      <c r="E3773" s="3">
        <f t="shared" si="28"/>
        <v>1</v>
      </c>
      <c r="F3773" s="1" t="s">
        <v>803</v>
      </c>
      <c r="G3773" s="1" t="s">
        <v>20</v>
      </c>
      <c r="H3773" s="1">
        <v>1235</v>
      </c>
      <c r="I3773" s="1">
        <v>1437</v>
      </c>
      <c r="J3773" s="7">
        <v>0.85899999999999999</v>
      </c>
      <c r="K3773" s="1" t="s">
        <v>29</v>
      </c>
      <c r="L3773" s="1" t="s">
        <v>29</v>
      </c>
      <c r="M3773" s="1" t="s">
        <v>29</v>
      </c>
      <c r="N3773" s="1" t="s">
        <v>22</v>
      </c>
      <c r="O3773" s="1" t="str">
        <f t="shared" ca="1" si="29"/>
        <v>Please solve the LeetCode problem '3667. Sort Array By Absolute Value'.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74" spans="1:15" x14ac:dyDescent="0.25">
      <c r="A3774" s="1">
        <v>3696</v>
      </c>
      <c r="B3774" s="2" t="str">
        <f>HYPERLINK("https://leetcode.com/problems/maximum-distance-between-unequal-words-in-array-i/", "Maximum Distance Between Unequal Words in Array I")</f>
        <v>Maximum Distance Between Unequal Words in Array I</v>
      </c>
      <c r="C3774" s="1">
        <v>6</v>
      </c>
      <c r="D3774" s="1">
        <v>0</v>
      </c>
      <c r="E3774" s="3">
        <f t="shared" si="28"/>
        <v>1</v>
      </c>
      <c r="F3774" s="1" t="s">
        <v>369</v>
      </c>
      <c r="G3774" s="1" t="s">
        <v>20</v>
      </c>
      <c r="H3774" s="1">
        <v>829</v>
      </c>
      <c r="I3774" s="1">
        <v>988</v>
      </c>
      <c r="J3774" s="7">
        <v>0.83899999999999997</v>
      </c>
      <c r="K3774" s="1" t="s">
        <v>29</v>
      </c>
      <c r="L3774" s="1" t="s">
        <v>29</v>
      </c>
      <c r="M3774" s="1" t="s">
        <v>29</v>
      </c>
      <c r="N3774" s="1" t="s">
        <v>22</v>
      </c>
      <c r="O3774" s="1" t="str">
        <f t="shared" ca="1" si="29"/>
        <v>Please solve the LeetCode problem '3696. Maximum Distance Between Unequal Words in Array 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75" spans="1:15" x14ac:dyDescent="0.25">
      <c r="A3775" s="1">
        <v>3809</v>
      </c>
      <c r="B3775" s="2" t="str">
        <f>HYPERLINK("https://leetcode.com/problems/best-reachable-tower/", "Best Reachable Tower")</f>
        <v>Best Reachable Tower</v>
      </c>
      <c r="C3775" s="1">
        <v>6</v>
      </c>
      <c r="D3775" s="1">
        <v>0</v>
      </c>
      <c r="E3775" s="3">
        <f t="shared" si="28"/>
        <v>1</v>
      </c>
      <c r="G3775" s="1" t="s">
        <v>24</v>
      </c>
      <c r="H3775" s="1">
        <v>22523</v>
      </c>
      <c r="I3775" s="1">
        <v>42082</v>
      </c>
      <c r="J3775" s="7">
        <v>0.53500000000000003</v>
      </c>
      <c r="K3775" s="1" t="s">
        <v>21</v>
      </c>
      <c r="L3775" s="1" t="s">
        <v>29</v>
      </c>
      <c r="M3775" s="1" t="s">
        <v>29</v>
      </c>
      <c r="N3775" s="1" t="s">
        <v>22</v>
      </c>
      <c r="O3775" s="1" t="str">
        <f t="shared" ca="1" si="29"/>
        <v>Please solve the LeetCode problem '3809. Best Reachable Tower'.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76" spans="1:15" x14ac:dyDescent="0.25">
      <c r="A3776" s="1">
        <v>3810</v>
      </c>
      <c r="B3776" s="2" t="str">
        <f>HYPERLINK("https://leetcode.com/problems/minimum-operations-to-reach-target-array/", "Minimum Operations to Reach Target Array")</f>
        <v>Minimum Operations to Reach Target Array</v>
      </c>
      <c r="C3776" s="1">
        <v>6</v>
      </c>
      <c r="D3776" s="1">
        <v>2</v>
      </c>
      <c r="E3776" s="3">
        <f t="shared" si="28"/>
        <v>0.75</v>
      </c>
      <c r="G3776" s="1" t="s">
        <v>24</v>
      </c>
      <c r="H3776" s="1">
        <v>17141</v>
      </c>
      <c r="I3776" s="1">
        <v>29662</v>
      </c>
      <c r="J3776" s="7">
        <v>0.57799999999999996</v>
      </c>
      <c r="K3776" s="1" t="s">
        <v>21</v>
      </c>
      <c r="L3776" s="1" t="s">
        <v>29</v>
      </c>
      <c r="M3776" s="1" t="s">
        <v>29</v>
      </c>
      <c r="N3776" s="1" t="s">
        <v>22</v>
      </c>
      <c r="O3776" s="1" t="str">
        <f t="shared" ca="1" si="29"/>
        <v>Please solve the LeetCode problem '3810. Minimum Operations to Reach Target Array'.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77" spans="1:15" x14ac:dyDescent="0.25">
      <c r="A3777" s="1">
        <v>3057</v>
      </c>
      <c r="B3777" s="2" t="str">
        <f>HYPERLINK("https://leetcode.com/problems/employees-project-allocation/", "Employees Project Allocation")</f>
        <v>Employees Project Allocation</v>
      </c>
      <c r="C3777" s="1">
        <v>5</v>
      </c>
      <c r="D3777" s="1">
        <v>4</v>
      </c>
      <c r="E3777" s="3">
        <f t="shared" si="28"/>
        <v>0.55555555555555558</v>
      </c>
      <c r="F3777" s="1" t="s">
        <v>297</v>
      </c>
      <c r="G3777" s="1" t="s">
        <v>28</v>
      </c>
      <c r="H3777" s="1">
        <v>2321</v>
      </c>
      <c r="I3777" s="1">
        <v>3453</v>
      </c>
      <c r="J3777" s="7">
        <v>0.67200000000000004</v>
      </c>
      <c r="K3777" s="1" t="s">
        <v>29</v>
      </c>
      <c r="L3777" s="1" t="s">
        <v>29</v>
      </c>
      <c r="M3777" s="1" t="s">
        <v>29</v>
      </c>
      <c r="N3777" s="1" t="s">
        <v>297</v>
      </c>
      <c r="O3777" s="1" t="str">
        <f t="shared" ca="1" si="29"/>
        <v>Please solve the LeetCode problem '3057. Employees Project Allocation'.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78" spans="1:15" x14ac:dyDescent="0.25">
      <c r="A3778" s="1">
        <v>3060</v>
      </c>
      <c r="B3778" s="2" t="str">
        <f>HYPERLINK("https://leetcode.com/problems/user-activities-within-time-bounds/", "User Activities within Time Bounds")</f>
        <v>User Activities within Time Bounds</v>
      </c>
      <c r="C3778" s="1">
        <v>5</v>
      </c>
      <c r="D3778" s="1">
        <v>20</v>
      </c>
      <c r="E3778" s="3">
        <f t="shared" si="28"/>
        <v>0.2</v>
      </c>
      <c r="F3778" s="1" t="s">
        <v>297</v>
      </c>
      <c r="G3778" s="1" t="s">
        <v>28</v>
      </c>
      <c r="H3778" s="1">
        <v>2224</v>
      </c>
      <c r="I3778" s="1">
        <v>5461</v>
      </c>
      <c r="J3778" s="7">
        <v>0.40699999999999997</v>
      </c>
      <c r="K3778" s="1" t="s">
        <v>29</v>
      </c>
      <c r="L3778" s="1" t="s">
        <v>21</v>
      </c>
      <c r="M3778" s="1" t="s">
        <v>29</v>
      </c>
      <c r="N3778" s="1" t="s">
        <v>297</v>
      </c>
      <c r="O3778" s="1" t="str">
        <f t="shared" ca="1" si="29"/>
        <v>Please solve the LeetCode problem '3060. User Activities within Time Bounds'.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79" spans="1:15" x14ac:dyDescent="0.25">
      <c r="A3779" s="1">
        <v>3214</v>
      </c>
      <c r="B3779" s="2" t="str">
        <f>HYPERLINK("https://leetcode.com/problems/year-on-year-growth-rate/", "Year on Year Growth Rate")</f>
        <v>Year on Year Growth Rate</v>
      </c>
      <c r="C3779" s="1">
        <v>5</v>
      </c>
      <c r="D3779" s="1">
        <v>1</v>
      </c>
      <c r="E3779" s="3">
        <f t="shared" si="28"/>
        <v>0.83333333333333337</v>
      </c>
      <c r="F3779" s="1" t="s">
        <v>297</v>
      </c>
      <c r="G3779" s="1" t="s">
        <v>28</v>
      </c>
      <c r="H3779" s="1">
        <v>3338</v>
      </c>
      <c r="I3779" s="1">
        <v>6578</v>
      </c>
      <c r="J3779" s="7">
        <v>0.50700000000000001</v>
      </c>
      <c r="K3779" s="1" t="s">
        <v>29</v>
      </c>
      <c r="L3779" s="1" t="s">
        <v>29</v>
      </c>
      <c r="M3779" s="1" t="s">
        <v>29</v>
      </c>
      <c r="N3779" s="1" t="s">
        <v>297</v>
      </c>
      <c r="O3779" s="1" t="str">
        <f t="shared" ca="1" si="29"/>
        <v>Please solve the LeetCode problem '3214. Year on Year Growth Rate'.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80" spans="1:15" x14ac:dyDescent="0.25">
      <c r="A3780" s="1">
        <v>3279</v>
      </c>
      <c r="B3780" s="2" t="str">
        <f>HYPERLINK("https://leetcode.com/problems/maximum-total-area-occupied-by-pistons/", "Maximum Total Area Occupied by Pistons")</f>
        <v>Maximum Total Area Occupied by Pistons</v>
      </c>
      <c r="C3780" s="1">
        <v>5</v>
      </c>
      <c r="D3780" s="1">
        <v>3</v>
      </c>
      <c r="E3780" s="3">
        <f t="shared" si="28"/>
        <v>0.625</v>
      </c>
      <c r="F3780" s="1" t="s">
        <v>1339</v>
      </c>
      <c r="G3780" s="1" t="s">
        <v>28</v>
      </c>
      <c r="H3780" s="1">
        <v>469</v>
      </c>
      <c r="I3780" s="1">
        <v>1187</v>
      </c>
      <c r="J3780" s="7">
        <v>0.39500000000000002</v>
      </c>
      <c r="K3780" s="1" t="s">
        <v>29</v>
      </c>
      <c r="L3780" s="1" t="s">
        <v>29</v>
      </c>
      <c r="M3780" s="1" t="s">
        <v>29</v>
      </c>
      <c r="N3780" s="1" t="s">
        <v>22</v>
      </c>
      <c r="O3780" s="1" t="str">
        <f t="shared" ca="1" si="29"/>
        <v>Please solve the LeetCode problem '3279. Maximum Total Area Occupied by Pistons'.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81" spans="1:15" x14ac:dyDescent="0.25">
      <c r="A3781" s="1">
        <v>3385</v>
      </c>
      <c r="B3781" s="2" t="str">
        <f>HYPERLINK("https://leetcode.com/problems/minimum-time-to-break-locks-ii/", "Minimum Time to Break Locks II")</f>
        <v>Minimum Time to Break Locks II</v>
      </c>
      <c r="C3781" s="1">
        <v>5</v>
      </c>
      <c r="D3781" s="1">
        <v>1</v>
      </c>
      <c r="E3781" s="3">
        <f t="shared" si="28"/>
        <v>0.83333333333333337</v>
      </c>
      <c r="F3781" s="1" t="s">
        <v>1340</v>
      </c>
      <c r="G3781" s="1" t="s">
        <v>28</v>
      </c>
      <c r="H3781" s="1">
        <v>314</v>
      </c>
      <c r="I3781" s="1">
        <v>717</v>
      </c>
      <c r="J3781" s="7">
        <v>0.438</v>
      </c>
      <c r="K3781" s="1" t="s">
        <v>29</v>
      </c>
      <c r="L3781" s="1" t="s">
        <v>29</v>
      </c>
      <c r="M3781" s="1" t="s">
        <v>29</v>
      </c>
      <c r="N3781" s="1" t="s">
        <v>22</v>
      </c>
      <c r="O3781" s="1" t="str">
        <f t="shared" ca="1" si="29"/>
        <v>Please solve the LeetCode problem '3385. Minimum Time to Break Locks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82" spans="1:15" x14ac:dyDescent="0.25">
      <c r="A3782" s="1">
        <v>3431</v>
      </c>
      <c r="B3782" s="2" t="str">
        <f>HYPERLINK("https://leetcode.com/problems/minimum-unlocked-indices-to-sort-nums/", "Minimum Unlocked Indices to Sort Nums")</f>
        <v>Minimum Unlocked Indices to Sort Nums</v>
      </c>
      <c r="C3782" s="1">
        <v>5</v>
      </c>
      <c r="D3782" s="1">
        <v>3</v>
      </c>
      <c r="E3782" s="3">
        <f t="shared" si="28"/>
        <v>0.625</v>
      </c>
      <c r="F3782" s="1" t="s">
        <v>19</v>
      </c>
      <c r="G3782" s="1" t="s">
        <v>24</v>
      </c>
      <c r="H3782" s="1">
        <v>516</v>
      </c>
      <c r="I3782" s="1">
        <v>865</v>
      </c>
      <c r="J3782" s="7">
        <v>0.59699999999999998</v>
      </c>
      <c r="K3782" s="1" t="s">
        <v>29</v>
      </c>
      <c r="L3782" s="1" t="s">
        <v>29</v>
      </c>
      <c r="M3782" s="1" t="s">
        <v>29</v>
      </c>
      <c r="N3782" s="1" t="s">
        <v>22</v>
      </c>
      <c r="O3782" s="1" t="str">
        <f t="shared" ca="1" si="29"/>
        <v>Please solve the LeetCode problem '3431. Minimum Unlocked Indices to Sort Nums'.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83" spans="1:15" x14ac:dyDescent="0.25">
      <c r="A3783" s="1">
        <v>3535</v>
      </c>
      <c r="B3783" s="2" t="str">
        <f>HYPERLINK("https://leetcode.com/problems/unit-conversion-ii/", "Unit Conversion II")</f>
        <v>Unit Conversion II</v>
      </c>
      <c r="C3783" s="1">
        <v>5</v>
      </c>
      <c r="D3783" s="1">
        <v>7</v>
      </c>
      <c r="E3783" s="3">
        <f t="shared" si="28"/>
        <v>0.41666666666666669</v>
      </c>
      <c r="F3783" s="1" t="s">
        <v>1341</v>
      </c>
      <c r="G3783" s="1" t="s">
        <v>24</v>
      </c>
      <c r="H3783" s="1">
        <v>546</v>
      </c>
      <c r="I3783" s="1">
        <v>774</v>
      </c>
      <c r="J3783" s="7">
        <v>0.70499999999999996</v>
      </c>
      <c r="K3783" s="1" t="s">
        <v>29</v>
      </c>
      <c r="L3783" s="1" t="s">
        <v>29</v>
      </c>
      <c r="M3783" s="1" t="s">
        <v>29</v>
      </c>
      <c r="N3783" s="1" t="s">
        <v>22</v>
      </c>
      <c r="O3783" s="1" t="str">
        <f t="shared" ca="1" si="29"/>
        <v>Please solve the LeetCode problem '3535. Unit Conversion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84" spans="1:15" x14ac:dyDescent="0.25">
      <c r="A3784" s="1">
        <v>3565</v>
      </c>
      <c r="B3784" s="2" t="str">
        <f>HYPERLINK("https://leetcode.com/problems/sequential-grid-path-cover/", "Sequential Grid Path Cover")</f>
        <v>Sequential Grid Path Cover</v>
      </c>
      <c r="C3784" s="1">
        <v>5</v>
      </c>
      <c r="D3784" s="1">
        <v>1</v>
      </c>
      <c r="E3784" s="3">
        <f t="shared" si="28"/>
        <v>0.83333333333333337</v>
      </c>
      <c r="F3784" s="1" t="s">
        <v>1342</v>
      </c>
      <c r="G3784" s="1" t="s">
        <v>24</v>
      </c>
      <c r="H3784" s="1">
        <v>570</v>
      </c>
      <c r="I3784" s="1">
        <v>949</v>
      </c>
      <c r="J3784" s="7">
        <v>0.60099999999999998</v>
      </c>
      <c r="K3784" s="1" t="s">
        <v>29</v>
      </c>
      <c r="L3784" s="1" t="s">
        <v>29</v>
      </c>
      <c r="M3784" s="1" t="s">
        <v>29</v>
      </c>
      <c r="N3784" s="1" t="s">
        <v>22</v>
      </c>
      <c r="O3784" s="1" t="str">
        <f t="shared" ca="1" si="29"/>
        <v>Please solve the LeetCode problem '3565. Sequential Grid Path Cover'.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85" spans="1:15" x14ac:dyDescent="0.25">
      <c r="A3785" s="1">
        <v>3616</v>
      </c>
      <c r="B3785" s="2" t="str">
        <f>HYPERLINK("https://leetcode.com/problems/number-of-student-replacements/", "Number of Student Replacements")</f>
        <v>Number of Student Replacements</v>
      </c>
      <c r="C3785" s="1">
        <v>5</v>
      </c>
      <c r="D3785" s="1">
        <v>3</v>
      </c>
      <c r="E3785" s="3">
        <f t="shared" si="28"/>
        <v>0.625</v>
      </c>
      <c r="F3785" s="1" t="s">
        <v>306</v>
      </c>
      <c r="G3785" s="1" t="s">
        <v>24</v>
      </c>
      <c r="H3785" s="1">
        <v>849</v>
      </c>
      <c r="I3785" s="1">
        <v>985</v>
      </c>
      <c r="J3785" s="7">
        <v>0.86199999999999999</v>
      </c>
      <c r="K3785" s="1" t="s">
        <v>29</v>
      </c>
      <c r="L3785" s="1" t="s">
        <v>29</v>
      </c>
      <c r="M3785" s="1" t="s">
        <v>29</v>
      </c>
      <c r="N3785" s="1" t="s">
        <v>22</v>
      </c>
      <c r="O3785" s="1" t="str">
        <f t="shared" ca="1" si="29"/>
        <v>Please solve the LeetCode problem '3616. Number of Student Replacements'.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86" spans="1:15" x14ac:dyDescent="0.25">
      <c r="A3786" s="1">
        <v>3631</v>
      </c>
      <c r="B3786" s="2" t="str">
        <f>HYPERLINK("https://leetcode.com/problems/sort-threats-by-severity-and-exploitability/", "Sort Threats by Severity and Exploitability")</f>
        <v>Sort Threats by Severity and Exploitability</v>
      </c>
      <c r="C3786" s="1">
        <v>5</v>
      </c>
      <c r="D3786" s="1">
        <v>1</v>
      </c>
      <c r="E3786" s="3">
        <f t="shared" si="28"/>
        <v>0.83333333333333337</v>
      </c>
      <c r="F3786" s="1" t="s">
        <v>42</v>
      </c>
      <c r="G3786" s="1" t="s">
        <v>24</v>
      </c>
      <c r="H3786" s="1">
        <v>506</v>
      </c>
      <c r="I3786" s="1">
        <v>716</v>
      </c>
      <c r="J3786" s="7">
        <v>0.70699999999999996</v>
      </c>
      <c r="K3786" s="1" t="s">
        <v>29</v>
      </c>
      <c r="L3786" s="1" t="s">
        <v>29</v>
      </c>
      <c r="M3786" s="1" t="s">
        <v>29</v>
      </c>
      <c r="N3786" s="1" t="s">
        <v>22</v>
      </c>
      <c r="O3786" s="1" t="str">
        <f t="shared" ca="1" si="29"/>
        <v>Please solve the LeetCode problem '3631. Sort Threats by Severity and Exploitability'.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87" spans="1:15" x14ac:dyDescent="0.25">
      <c r="A3787" s="1">
        <v>3682</v>
      </c>
      <c r="B3787" s="2" t="str">
        <f>HYPERLINK("https://leetcode.com/problems/minimum-index-sum-of-common-elements/", "Minimum Index Sum of Common Elements")</f>
        <v>Minimum Index Sum of Common Elements</v>
      </c>
      <c r="C3787" s="1">
        <v>5</v>
      </c>
      <c r="D3787" s="1">
        <v>1</v>
      </c>
      <c r="E3787" s="3">
        <f t="shared" si="28"/>
        <v>0.83333333333333337</v>
      </c>
      <c r="F3787" s="1" t="s">
        <v>19</v>
      </c>
      <c r="G3787" s="1" t="s">
        <v>24</v>
      </c>
      <c r="H3787" s="1">
        <v>606</v>
      </c>
      <c r="I3787" s="1">
        <v>766</v>
      </c>
      <c r="J3787" s="7">
        <v>0.79100000000000004</v>
      </c>
      <c r="K3787" s="1" t="s">
        <v>29</v>
      </c>
      <c r="L3787" s="1" t="s">
        <v>29</v>
      </c>
      <c r="M3787" s="1" t="s">
        <v>29</v>
      </c>
      <c r="N3787" s="1" t="s">
        <v>22</v>
      </c>
      <c r="O3787" s="1" t="str">
        <f t="shared" ca="1" si="29"/>
        <v>Please solve the LeetCode problem '3682. Minimum Index Sum of Common Elements'.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88" spans="1:15" x14ac:dyDescent="0.25">
      <c r="A3788" s="1">
        <v>3687</v>
      </c>
      <c r="B3788" s="2" t="str">
        <f>HYPERLINK("https://leetcode.com/problems/library-late-fee-calculator/", "Library Late Fee Calculator")</f>
        <v>Library Late Fee Calculator</v>
      </c>
      <c r="C3788" s="1">
        <v>5</v>
      </c>
      <c r="D3788" s="1">
        <v>2</v>
      </c>
      <c r="E3788" s="3">
        <f t="shared" si="28"/>
        <v>0.7142857142857143</v>
      </c>
      <c r="F3788" s="1" t="s">
        <v>306</v>
      </c>
      <c r="G3788" s="1" t="s">
        <v>20</v>
      </c>
      <c r="H3788" s="1">
        <v>1558</v>
      </c>
      <c r="I3788" s="1">
        <v>1654</v>
      </c>
      <c r="J3788" s="7">
        <v>0.94199999999999995</v>
      </c>
      <c r="K3788" s="1" t="s">
        <v>29</v>
      </c>
      <c r="L3788" s="1" t="s">
        <v>29</v>
      </c>
      <c r="M3788" s="1" t="s">
        <v>29</v>
      </c>
      <c r="N3788" s="1" t="s">
        <v>22</v>
      </c>
      <c r="O3788" s="1" t="str">
        <f t="shared" ca="1" si="29"/>
        <v>Please solve the LeetCode problem '3687. Library Late Fee Calculator'.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89" spans="1:15" x14ac:dyDescent="0.25">
      <c r="A3789" s="1">
        <v>3706</v>
      </c>
      <c r="B3789" s="2" t="str">
        <f>HYPERLINK("https://leetcode.com/problems/maximum-distance-between-unequal-words-in-array-ii/", "Maximum Distance Between Unequal Words in Array II")</f>
        <v>Maximum Distance Between Unequal Words in Array II</v>
      </c>
      <c r="C3789" s="1">
        <v>5</v>
      </c>
      <c r="D3789" s="1">
        <v>2</v>
      </c>
      <c r="E3789" s="3">
        <f t="shared" si="28"/>
        <v>0.7142857142857143</v>
      </c>
      <c r="F3789" s="1" t="s">
        <v>369</v>
      </c>
      <c r="G3789" s="1" t="s">
        <v>24</v>
      </c>
      <c r="H3789" s="1">
        <v>486</v>
      </c>
      <c r="I3789" s="1">
        <v>677</v>
      </c>
      <c r="J3789" s="7">
        <v>0.71799999999999997</v>
      </c>
      <c r="K3789" s="1" t="s">
        <v>29</v>
      </c>
      <c r="L3789" s="1" t="s">
        <v>29</v>
      </c>
      <c r="M3789" s="1" t="s">
        <v>29</v>
      </c>
      <c r="N3789" s="1" t="s">
        <v>22</v>
      </c>
      <c r="O3789" s="1" t="str">
        <f t="shared" ca="1" si="29"/>
        <v>Please solve the LeetCode problem '3706. Maximum Distance Between Unequal Words in Array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90" spans="1:15" x14ac:dyDescent="0.25">
      <c r="A3790" s="1">
        <v>3711</v>
      </c>
      <c r="B3790" s="2" t="str">
        <f>HYPERLINK("https://leetcode.com/problems/maximum-transactions-without-negative-balance/", "Maximum Transactions Without Negative Balance")</f>
        <v>Maximum Transactions Without Negative Balance</v>
      </c>
      <c r="C3790" s="1">
        <v>5</v>
      </c>
      <c r="D3790" s="1">
        <v>1</v>
      </c>
      <c r="E3790" s="3">
        <f t="shared" si="28"/>
        <v>0.83333333333333337</v>
      </c>
      <c r="F3790" s="1" t="s">
        <v>221</v>
      </c>
      <c r="G3790" s="1" t="s">
        <v>24</v>
      </c>
      <c r="H3790" s="1">
        <v>497</v>
      </c>
      <c r="I3790" s="1">
        <v>995</v>
      </c>
      <c r="J3790" s="7">
        <v>0.499</v>
      </c>
      <c r="K3790" s="1" t="s">
        <v>29</v>
      </c>
      <c r="L3790" s="1" t="s">
        <v>29</v>
      </c>
      <c r="M3790" s="1" t="s">
        <v>29</v>
      </c>
      <c r="N3790" s="1" t="s">
        <v>22</v>
      </c>
      <c r="O3790" s="1" t="str">
        <f t="shared" ca="1" si="29"/>
        <v>Please solve the LeetCode problem '3711. Maximum Transactions Without Negative Balance'.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91" spans="1:15" x14ac:dyDescent="0.25">
      <c r="A3791" s="1">
        <v>3730</v>
      </c>
      <c r="B3791" s="2" t="str">
        <f>HYPERLINK("https://leetcode.com/problems/maximum-calories-burnt-from-jumps/", "Maximum Calories Burnt from Jumps")</f>
        <v>Maximum Calories Burnt from Jumps</v>
      </c>
      <c r="C3791" s="1">
        <v>5</v>
      </c>
      <c r="D3791" s="1">
        <v>1</v>
      </c>
      <c r="E3791" s="3">
        <f t="shared" si="28"/>
        <v>0.83333333333333337</v>
      </c>
      <c r="F3791" s="1" t="s">
        <v>203</v>
      </c>
      <c r="G3791" s="1" t="s">
        <v>24</v>
      </c>
      <c r="H3791" s="1">
        <v>561</v>
      </c>
      <c r="I3791" s="1">
        <v>755</v>
      </c>
      <c r="J3791" s="7">
        <v>0.74299999999999999</v>
      </c>
      <c r="K3791" s="1" t="s">
        <v>29</v>
      </c>
      <c r="L3791" s="1" t="s">
        <v>29</v>
      </c>
      <c r="M3791" s="1" t="s">
        <v>29</v>
      </c>
      <c r="N3791" s="1" t="s">
        <v>22</v>
      </c>
      <c r="O3791" s="1" t="str">
        <f t="shared" ca="1" si="29"/>
        <v>Please solve the LeetCode problem '3730. Maximum Calories Burnt from Jumps'.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92" spans="1:15" x14ac:dyDescent="0.25">
      <c r="A3792" s="1">
        <v>3744</v>
      </c>
      <c r="B3792" s="2" t="str">
        <f>HYPERLINK("https://leetcode.com/problems/find-kth-character-in-expanded-string/", "Find Kth Character in Expanded String")</f>
        <v>Find Kth Character in Expanded String</v>
      </c>
      <c r="C3792" s="1">
        <v>5</v>
      </c>
      <c r="D3792" s="1">
        <v>2</v>
      </c>
      <c r="E3792" s="3">
        <f t="shared" si="28"/>
        <v>0.7142857142857143</v>
      </c>
      <c r="F3792" s="1" t="s">
        <v>146</v>
      </c>
      <c r="G3792" s="1" t="s">
        <v>24</v>
      </c>
      <c r="H3792" s="1">
        <v>436</v>
      </c>
      <c r="I3792" s="1">
        <v>740</v>
      </c>
      <c r="J3792" s="7">
        <v>0.58899999999999997</v>
      </c>
      <c r="K3792" s="1" t="s">
        <v>29</v>
      </c>
      <c r="L3792" s="1" t="s">
        <v>29</v>
      </c>
      <c r="M3792" s="1" t="s">
        <v>29</v>
      </c>
      <c r="N3792" s="1" t="s">
        <v>22</v>
      </c>
      <c r="O3792" s="1" t="str">
        <f t="shared" ca="1" si="29"/>
        <v>Please solve the LeetCode problem '3744. Find Kth Character in Expanded String'.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93" spans="1:15" x14ac:dyDescent="0.25">
      <c r="A3793" s="1">
        <v>3056</v>
      </c>
      <c r="B3793" s="2" t="str">
        <f>HYPERLINK("https://leetcode.com/problems/snaps-analysis/", "Snaps Analysis")</f>
        <v>Snaps Analysis</v>
      </c>
      <c r="C3793" s="1">
        <v>4</v>
      </c>
      <c r="D3793" s="1">
        <v>2</v>
      </c>
      <c r="E3793" s="3">
        <f t="shared" si="28"/>
        <v>0.66666666666666663</v>
      </c>
      <c r="F3793" s="1" t="s">
        <v>297</v>
      </c>
      <c r="G3793" s="1" t="s">
        <v>24</v>
      </c>
      <c r="H3793" s="1">
        <v>3263</v>
      </c>
      <c r="I3793" s="1">
        <v>5588</v>
      </c>
      <c r="J3793" s="7">
        <v>0.58399999999999996</v>
      </c>
      <c r="K3793" s="1" t="s">
        <v>29</v>
      </c>
      <c r="L3793" s="1" t="s">
        <v>29</v>
      </c>
      <c r="M3793" s="1" t="s">
        <v>29</v>
      </c>
      <c r="N3793" s="1" t="s">
        <v>297</v>
      </c>
      <c r="O3793" s="1" t="str">
        <f t="shared" ca="1" si="29"/>
        <v>Please solve the LeetCode problem '3056. Snaps Analysis'.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94" spans="1:15" x14ac:dyDescent="0.25">
      <c r="A3794" s="1">
        <v>3118</v>
      </c>
      <c r="B3794" s="2" t="str">
        <f>HYPERLINK("https://leetcode.com/problems/friday-purchase-iii/", "Friday Purchase III ")</f>
        <v xml:space="preserve">Friday Purchase III </v>
      </c>
      <c r="C3794" s="1">
        <v>4</v>
      </c>
      <c r="D3794" s="1">
        <v>7</v>
      </c>
      <c r="E3794" s="3">
        <f t="shared" si="28"/>
        <v>0.36363636363636365</v>
      </c>
      <c r="F3794" s="1" t="s">
        <v>297</v>
      </c>
      <c r="G3794" s="1" t="s">
        <v>24</v>
      </c>
      <c r="H3794" s="1">
        <v>2246</v>
      </c>
      <c r="I3794" s="1">
        <v>4100</v>
      </c>
      <c r="J3794" s="7">
        <v>0.54800000000000004</v>
      </c>
      <c r="K3794" s="1" t="s">
        <v>29</v>
      </c>
      <c r="L3794" s="1" t="s">
        <v>29</v>
      </c>
      <c r="M3794" s="1" t="s">
        <v>29</v>
      </c>
      <c r="N3794" s="1" t="s">
        <v>297</v>
      </c>
      <c r="O3794" s="1" t="str">
        <f t="shared" ca="1" si="29"/>
        <v>Please solve the LeetCode problem '3118. Friday Purchase III 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95" spans="1:15" x14ac:dyDescent="0.25">
      <c r="A3795" s="1">
        <v>3322</v>
      </c>
      <c r="B3795" s="2" t="str">
        <f>HYPERLINK("https://leetcode.com/problems/premier-league-table-ranking-iii/", "Premier League Table Ranking III")</f>
        <v>Premier League Table Ranking III</v>
      </c>
      <c r="C3795" s="1">
        <v>4</v>
      </c>
      <c r="D3795" s="1">
        <v>0</v>
      </c>
      <c r="E3795" s="3">
        <f t="shared" si="28"/>
        <v>1</v>
      </c>
      <c r="F3795" s="1" t="s">
        <v>297</v>
      </c>
      <c r="G3795" s="1" t="s">
        <v>24</v>
      </c>
      <c r="H3795" s="1">
        <v>1881</v>
      </c>
      <c r="I3795" s="1">
        <v>2673</v>
      </c>
      <c r="J3795" s="7">
        <v>0.70399999999999996</v>
      </c>
      <c r="K3795" s="1" t="s">
        <v>29</v>
      </c>
      <c r="L3795" s="1" t="s">
        <v>29</v>
      </c>
      <c r="M3795" s="1" t="s">
        <v>29</v>
      </c>
      <c r="N3795" s="1" t="s">
        <v>297</v>
      </c>
      <c r="O3795" s="1" t="str">
        <f t="shared" ca="1" si="29"/>
        <v>Please solve the LeetCode problem '3322. Premier League Table Ranking III'.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96" spans="1:15" x14ac:dyDescent="0.25">
      <c r="A3796" s="1">
        <v>3368</v>
      </c>
      <c r="B3796" s="2" t="str">
        <f>HYPERLINK("https://leetcode.com/problems/first-letter-capitalization/", "First Letter Capitalization")</f>
        <v>First Letter Capitalization</v>
      </c>
      <c r="C3796" s="1">
        <v>4</v>
      </c>
      <c r="D3796" s="1">
        <v>1</v>
      </c>
      <c r="E3796" s="3">
        <f t="shared" si="28"/>
        <v>0.8</v>
      </c>
      <c r="F3796" s="1" t="s">
        <v>297</v>
      </c>
      <c r="G3796" s="1" t="s">
        <v>28</v>
      </c>
      <c r="H3796" s="1">
        <v>1134</v>
      </c>
      <c r="I3796" s="1">
        <v>1312</v>
      </c>
      <c r="J3796" s="7">
        <v>0.86399999999999999</v>
      </c>
      <c r="K3796" s="1" t="s">
        <v>29</v>
      </c>
      <c r="L3796" s="1" t="s">
        <v>29</v>
      </c>
      <c r="M3796" s="1" t="s">
        <v>29</v>
      </c>
      <c r="N3796" s="1" t="s">
        <v>297</v>
      </c>
      <c r="O3796" s="1" t="str">
        <f t="shared" ca="1" si="29"/>
        <v>Please solve the LeetCode problem '3368. First Letter Capitalization'.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97" spans="1:15" x14ac:dyDescent="0.25">
      <c r="A3797" s="1">
        <v>3384</v>
      </c>
      <c r="B3797" s="2" t="str">
        <f>HYPERLINK("https://leetcode.com/problems/team-dominance-by-pass-success/", "Team Dominance by Pass Success")</f>
        <v>Team Dominance by Pass Success</v>
      </c>
      <c r="C3797" s="1">
        <v>4</v>
      </c>
      <c r="D3797" s="1">
        <v>0</v>
      </c>
      <c r="E3797" s="3">
        <f t="shared" si="28"/>
        <v>1</v>
      </c>
      <c r="F3797" s="1" t="s">
        <v>297</v>
      </c>
      <c r="G3797" s="1" t="s">
        <v>28</v>
      </c>
      <c r="H3797" s="1">
        <v>1338</v>
      </c>
      <c r="I3797" s="1">
        <v>1848</v>
      </c>
      <c r="J3797" s="7">
        <v>0.72399999999999998</v>
      </c>
      <c r="K3797" s="1" t="s">
        <v>29</v>
      </c>
      <c r="L3797" s="1" t="s">
        <v>29</v>
      </c>
      <c r="M3797" s="1" t="s">
        <v>29</v>
      </c>
      <c r="N3797" s="1" t="s">
        <v>297</v>
      </c>
      <c r="O3797" s="1" t="str">
        <f t="shared" ca="1" si="29"/>
        <v>Please solve the LeetCode problem '3384. Team Dominance by Pass Success'.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98" spans="1:15" x14ac:dyDescent="0.25">
      <c r="A3798" s="1">
        <v>3415</v>
      </c>
      <c r="B3798" s="2" t="str">
        <f>HYPERLINK("https://leetcode.com/problems/find-products-with-three-consecutive-digits/", "Find Products with Three Consecutive Digits ")</f>
        <v xml:space="preserve">Find Products with Three Consecutive Digits </v>
      </c>
      <c r="C3798" s="1">
        <v>4</v>
      </c>
      <c r="D3798" s="1">
        <v>3</v>
      </c>
      <c r="E3798" s="3">
        <f t="shared" si="28"/>
        <v>0.5714285714285714</v>
      </c>
      <c r="F3798" s="1" t="s">
        <v>297</v>
      </c>
      <c r="G3798" s="1" t="s">
        <v>20</v>
      </c>
      <c r="H3798" s="1">
        <v>1818</v>
      </c>
      <c r="I3798" s="1">
        <v>2222</v>
      </c>
      <c r="J3798" s="7">
        <v>0.81799999999999995</v>
      </c>
      <c r="K3798" s="1" t="s">
        <v>29</v>
      </c>
      <c r="L3798" s="1" t="s">
        <v>29</v>
      </c>
      <c r="M3798" s="1" t="s">
        <v>29</v>
      </c>
      <c r="N3798" s="1" t="s">
        <v>297</v>
      </c>
      <c r="O3798" s="1" t="str">
        <f t="shared" ca="1" si="29"/>
        <v>Please solve the LeetCode problem '3415. Find Products with Three Consecutive Digits 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799" spans="1:15" x14ac:dyDescent="0.25">
      <c r="A3799" s="1">
        <v>3506</v>
      </c>
      <c r="B3799" s="2" t="str">
        <f>HYPERLINK("https://leetcode.com/problems/find-time-required-to-eliminate-bacterial-strains/", "Find Time Required to Eliminate Bacterial Strains")</f>
        <v>Find Time Required to Eliminate Bacterial Strains</v>
      </c>
      <c r="C3799" s="1">
        <v>4</v>
      </c>
      <c r="D3799" s="1">
        <v>1</v>
      </c>
      <c r="E3799" s="3">
        <f t="shared" si="28"/>
        <v>0.8</v>
      </c>
      <c r="F3799" s="1" t="s">
        <v>1070</v>
      </c>
      <c r="G3799" s="1" t="s">
        <v>28</v>
      </c>
      <c r="H3799" s="1">
        <v>487</v>
      </c>
      <c r="I3799" s="1">
        <v>785</v>
      </c>
      <c r="J3799" s="7">
        <v>0.62</v>
      </c>
      <c r="K3799" s="1" t="s">
        <v>29</v>
      </c>
      <c r="L3799" s="1" t="s">
        <v>29</v>
      </c>
      <c r="M3799" s="1" t="s">
        <v>29</v>
      </c>
      <c r="N3799" s="1" t="s">
        <v>22</v>
      </c>
      <c r="O3799" s="1" t="str">
        <f t="shared" ca="1" si="29"/>
        <v>Please solve the LeetCode problem '3506. Find Time Required to Eliminate Bacterial Strains'.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800" spans="1:15" x14ac:dyDescent="0.25">
      <c r="A3800" s="1">
        <v>3632</v>
      </c>
      <c r="B3800" s="2" t="str">
        <f>HYPERLINK("https://leetcode.com/problems/subarrays-with-xor-at-least-k/", "Subarrays with XOR at Least K")</f>
        <v>Subarrays with XOR at Least K</v>
      </c>
      <c r="C3800" s="1">
        <v>4</v>
      </c>
      <c r="D3800" s="1">
        <v>2</v>
      </c>
      <c r="E3800" s="3">
        <f t="shared" si="28"/>
        <v>0.66666666666666663</v>
      </c>
      <c r="F3800" s="1" t="s">
        <v>1343</v>
      </c>
      <c r="G3800" s="1" t="s">
        <v>28</v>
      </c>
      <c r="H3800" s="1">
        <v>217</v>
      </c>
      <c r="I3800" s="1">
        <v>475</v>
      </c>
      <c r="J3800" s="7">
        <v>0.45700000000000002</v>
      </c>
      <c r="K3800" s="1" t="s">
        <v>29</v>
      </c>
      <c r="L3800" s="1" t="s">
        <v>29</v>
      </c>
      <c r="M3800" s="1" t="s">
        <v>29</v>
      </c>
      <c r="N3800" s="1" t="s">
        <v>22</v>
      </c>
      <c r="O3800" s="1" t="str">
        <f t="shared" ca="1" si="29"/>
        <v>Please solve the LeetCode problem '3632. Subarrays with XOR at Least K'.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801" spans="1:15" x14ac:dyDescent="0.25">
      <c r="A3801" s="1">
        <v>3758</v>
      </c>
      <c r="B3801" s="2" t="str">
        <f>HYPERLINK("https://leetcode.com/problems/convert-number-words-to-digits/", "Convert Number Words to Digits")</f>
        <v>Convert Number Words to Digits</v>
      </c>
      <c r="C3801" s="1">
        <v>4</v>
      </c>
      <c r="D3801" s="1">
        <v>1</v>
      </c>
      <c r="E3801" s="3">
        <f t="shared" si="28"/>
        <v>0.8</v>
      </c>
      <c r="F3801" s="1" t="s">
        <v>1344</v>
      </c>
      <c r="G3801" s="1" t="s">
        <v>24</v>
      </c>
      <c r="H3801" s="1">
        <v>422</v>
      </c>
      <c r="I3801" s="1">
        <v>598</v>
      </c>
      <c r="J3801" s="7">
        <v>0.70599999999999996</v>
      </c>
      <c r="K3801" s="1" t="s">
        <v>29</v>
      </c>
      <c r="L3801" s="1" t="s">
        <v>29</v>
      </c>
      <c r="M3801" s="1" t="s">
        <v>29</v>
      </c>
      <c r="N3801" s="1" t="s">
        <v>22</v>
      </c>
      <c r="O3801" s="1" t="str">
        <f t="shared" ca="1" si="29"/>
        <v>Please solve the LeetCode problem '3758. Convert Number Words to Digits'.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802" spans="1:15" x14ac:dyDescent="0.25">
      <c r="A3802" s="1">
        <v>3792</v>
      </c>
      <c r="B3802" s="2" t="str">
        <f>HYPERLINK("https://leetcode.com/problems/sum-of-increasing-product-blocks/", "Sum of Increasing Product Blocks")</f>
        <v>Sum of Increasing Product Blocks</v>
      </c>
      <c r="C3802" s="1">
        <v>4</v>
      </c>
      <c r="D3802" s="1">
        <v>1</v>
      </c>
      <c r="E3802" s="3">
        <f t="shared" si="28"/>
        <v>0.8</v>
      </c>
      <c r="F3802" s="1" t="s">
        <v>465</v>
      </c>
      <c r="G3802" s="1" t="s">
        <v>24</v>
      </c>
      <c r="H3802" s="1">
        <v>353</v>
      </c>
      <c r="I3802" s="1">
        <v>481</v>
      </c>
      <c r="J3802" s="7">
        <v>0.73399999999999999</v>
      </c>
      <c r="K3802" s="1" t="s">
        <v>29</v>
      </c>
      <c r="L3802" s="1" t="s">
        <v>29</v>
      </c>
      <c r="M3802" s="1" t="s">
        <v>29</v>
      </c>
      <c r="N3802" s="1" t="s">
        <v>22</v>
      </c>
      <c r="O3802" s="1" t="str">
        <f t="shared" ca="1" si="29"/>
        <v>Please solve the LeetCode problem '3792. Sum of Increasing Product Blocks'.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803" spans="1:15" x14ac:dyDescent="0.25">
      <c r="A3803" s="1">
        <v>3802</v>
      </c>
      <c r="B3803" s="2" t="str">
        <f>HYPERLINK("https://leetcode.com/problems/number-of-ways-to-paint-sheets/", "Number of Ways to Paint Sheets")</f>
        <v>Number of Ways to Paint Sheets</v>
      </c>
      <c r="C3803" s="1">
        <v>4</v>
      </c>
      <c r="D3803" s="1">
        <v>2</v>
      </c>
      <c r="E3803" s="3">
        <f t="shared" si="28"/>
        <v>0.66666666666666663</v>
      </c>
      <c r="G3803" s="1" t="s">
        <v>28</v>
      </c>
      <c r="H3803" s="1">
        <v>361</v>
      </c>
      <c r="I3803" s="1">
        <v>516</v>
      </c>
      <c r="J3803" s="7">
        <v>0.7</v>
      </c>
      <c r="K3803" s="1" t="s">
        <v>29</v>
      </c>
      <c r="L3803" s="1" t="s">
        <v>29</v>
      </c>
      <c r="M3803" s="1" t="s">
        <v>29</v>
      </c>
      <c r="N3803" s="1" t="s">
        <v>22</v>
      </c>
      <c r="O3803" s="1" t="str">
        <f t="shared" ca="1" si="29"/>
        <v>Please solve the LeetCode problem '3802. Number of Ways to Paint Sheets'.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804" spans="1:15" x14ac:dyDescent="0.25">
      <c r="A3804" s="1">
        <v>3812</v>
      </c>
      <c r="B3804" s="2" t="str">
        <f>HYPERLINK("https://leetcode.com/problems/minimum-edge-toggles-on-a-tree/", "Minimum Edge Toggles on a Tree")</f>
        <v>Minimum Edge Toggles on a Tree</v>
      </c>
      <c r="C3804" s="1">
        <v>4</v>
      </c>
      <c r="D3804" s="1">
        <v>1</v>
      </c>
      <c r="E3804" s="3">
        <f t="shared" si="28"/>
        <v>0.8</v>
      </c>
      <c r="G3804" s="1" t="s">
        <v>28</v>
      </c>
      <c r="H3804" s="1">
        <v>2584</v>
      </c>
      <c r="I3804" s="1">
        <v>3903</v>
      </c>
      <c r="J3804" s="7">
        <v>0.66200000000000003</v>
      </c>
      <c r="K3804" s="1" t="s">
        <v>21</v>
      </c>
      <c r="L3804" s="1" t="s">
        <v>29</v>
      </c>
      <c r="M3804" s="1" t="s">
        <v>29</v>
      </c>
      <c r="N3804" s="1" t="s">
        <v>22</v>
      </c>
      <c r="O3804" s="1" t="str">
        <f t="shared" ca="1" si="29"/>
        <v>Please solve the LeetCode problem '3812. Minimum Edge Toggles on a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805" spans="1:15" x14ac:dyDescent="0.25">
      <c r="A3805" s="1">
        <v>3390</v>
      </c>
      <c r="B3805" s="2" t="str">
        <f>HYPERLINK("https://leetcode.com/problems/longest-team-pass-streak/", "Longest Team Pass Streak")</f>
        <v>Longest Team Pass Streak</v>
      </c>
      <c r="C3805" s="1">
        <v>3</v>
      </c>
      <c r="D3805" s="1">
        <v>8</v>
      </c>
      <c r="E3805" s="3">
        <f t="shared" si="28"/>
        <v>0.27272727272727271</v>
      </c>
      <c r="F3805" s="1" t="s">
        <v>297</v>
      </c>
      <c r="G3805" s="1" t="s">
        <v>28</v>
      </c>
      <c r="H3805" s="1">
        <v>868</v>
      </c>
      <c r="I3805" s="1">
        <v>2166</v>
      </c>
      <c r="J3805" s="7">
        <v>0.40100000000000002</v>
      </c>
      <c r="K3805" s="1" t="s">
        <v>29</v>
      </c>
      <c r="L3805" s="1" t="s">
        <v>29</v>
      </c>
      <c r="M3805" s="1" t="s">
        <v>29</v>
      </c>
      <c r="N3805" s="1" t="s">
        <v>297</v>
      </c>
      <c r="O3805" s="1" t="str">
        <f t="shared" ca="1" si="29"/>
        <v>Please solve the LeetCode problem '3390. Longest Team Pass Streak'.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806" spans="1:15" x14ac:dyDescent="0.25">
      <c r="A3806" s="1">
        <v>3401</v>
      </c>
      <c r="B3806" s="2" t="str">
        <f>HYPERLINK("https://leetcode.com/problems/find-circular-gift-exchange-chains/", "Find Circular Gift Exchange Chains")</f>
        <v>Find Circular Gift Exchange Chains</v>
      </c>
      <c r="C3806" s="1">
        <v>3</v>
      </c>
      <c r="D3806" s="1">
        <v>1</v>
      </c>
      <c r="E3806" s="3">
        <f t="shared" si="28"/>
        <v>0.75</v>
      </c>
      <c r="F3806" s="1" t="s">
        <v>297</v>
      </c>
      <c r="G3806" s="1" t="s">
        <v>28</v>
      </c>
      <c r="H3806" s="1">
        <v>759</v>
      </c>
      <c r="I3806" s="1">
        <v>1481</v>
      </c>
      <c r="J3806" s="7">
        <v>0.51200000000000001</v>
      </c>
      <c r="K3806" s="1" t="s">
        <v>29</v>
      </c>
      <c r="L3806" s="1" t="s">
        <v>29</v>
      </c>
      <c r="M3806" s="1" t="s">
        <v>29</v>
      </c>
      <c r="N3806" s="1" t="s">
        <v>297</v>
      </c>
      <c r="O3806" s="1" t="str">
        <f t="shared" ca="1" si="29"/>
        <v>Please solve the LeetCode problem '3401. Find Circular Gift Exchange Chains'.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807" spans="1:15" x14ac:dyDescent="0.25">
      <c r="A3807" s="1">
        <v>3520</v>
      </c>
      <c r="B3807" s="2" t="str">
        <f>HYPERLINK("https://leetcode.com/problems/minimum-threshold-for-inversion-pairs-count/", "Minimum Threshold for Inversion Pairs Count")</f>
        <v>Minimum Threshold for Inversion Pairs Count</v>
      </c>
      <c r="C3807" s="1">
        <v>3</v>
      </c>
      <c r="D3807" s="1">
        <v>1</v>
      </c>
      <c r="E3807" s="3">
        <f t="shared" si="28"/>
        <v>0.75</v>
      </c>
      <c r="F3807" s="1" t="s">
        <v>1140</v>
      </c>
      <c r="G3807" s="1" t="s">
        <v>24</v>
      </c>
      <c r="H3807" s="1">
        <v>601</v>
      </c>
      <c r="I3807" s="1">
        <v>1084</v>
      </c>
      <c r="J3807" s="7">
        <v>0.55400000000000005</v>
      </c>
      <c r="K3807" s="1" t="s">
        <v>29</v>
      </c>
      <c r="L3807" s="1" t="s">
        <v>29</v>
      </c>
      <c r="M3807" s="1" t="s">
        <v>29</v>
      </c>
      <c r="N3807" s="1" t="s">
        <v>22</v>
      </c>
      <c r="O3807" s="1" t="str">
        <f t="shared" ca="1" si="29"/>
        <v>Please solve the LeetCode problem '3520. Minimum Threshold for Inversion Pairs Count'.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808" spans="1:15" x14ac:dyDescent="0.25">
      <c r="A3808" s="1">
        <v>3526</v>
      </c>
      <c r="B3808" s="2" t="str">
        <f>HYPERLINK("https://leetcode.com/problems/range-xor-queries-with-subarray-reversals/", "Range XOR Queries with Subarray Reversals")</f>
        <v>Range XOR Queries with Subarray Reversals</v>
      </c>
      <c r="C3808" s="1">
        <v>3</v>
      </c>
      <c r="D3808" s="1">
        <v>2</v>
      </c>
      <c r="E3808" s="3">
        <f t="shared" si="28"/>
        <v>0.6</v>
      </c>
      <c r="F3808" s="1" t="s">
        <v>990</v>
      </c>
      <c r="G3808" s="1" t="s">
        <v>28</v>
      </c>
      <c r="H3808" s="1">
        <v>368</v>
      </c>
      <c r="I3808" s="1">
        <v>577</v>
      </c>
      <c r="J3808" s="7">
        <v>0.63800000000000001</v>
      </c>
      <c r="K3808" s="1" t="s">
        <v>29</v>
      </c>
      <c r="L3808" s="1" t="s">
        <v>29</v>
      </c>
      <c r="M3808" s="1" t="s">
        <v>29</v>
      </c>
      <c r="N3808" s="1" t="s">
        <v>22</v>
      </c>
      <c r="O3808" s="1" t="str">
        <f t="shared" ca="1" si="29"/>
        <v>Please solve the LeetCode problem '3526. Range XOR Queries with Subarray Reversals'.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809" spans="1:15" x14ac:dyDescent="0.25">
      <c r="A3809" s="1">
        <v>3749</v>
      </c>
      <c r="B3809" s="2" t="str">
        <f>HYPERLINK("https://leetcode.com/problems/evaluate-valid-expressions/", "Evaluate Valid Expressions")</f>
        <v>Evaluate Valid Expressions</v>
      </c>
      <c r="C3809" s="1">
        <v>3</v>
      </c>
      <c r="D3809" s="1">
        <v>1</v>
      </c>
      <c r="E3809" s="3">
        <f t="shared" si="28"/>
        <v>0.75</v>
      </c>
      <c r="F3809" s="1" t="s">
        <v>1347</v>
      </c>
      <c r="G3809" s="1" t="s">
        <v>28</v>
      </c>
      <c r="H3809" s="1">
        <v>346</v>
      </c>
      <c r="I3809" s="1">
        <v>454</v>
      </c>
      <c r="J3809" s="7">
        <v>0.76200000000000001</v>
      </c>
      <c r="K3809" s="1" t="s">
        <v>29</v>
      </c>
      <c r="L3809" s="1" t="s">
        <v>29</v>
      </c>
      <c r="M3809" s="1" t="s">
        <v>29</v>
      </c>
      <c r="N3809" s="1" t="s">
        <v>22</v>
      </c>
      <c r="O3809" s="1" t="str">
        <f t="shared" ca="1" si="29"/>
        <v>Please solve the LeetCode problem '3749. Evaluate Valid Expressions'.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810" spans="1:15" x14ac:dyDescent="0.25">
      <c r="A3810" s="1">
        <v>3773</v>
      </c>
      <c r="B3810" s="2" t="str">
        <f>HYPERLINK("https://leetcode.com/problems/maximum-number-of-equal-length-runs/", "Maximum Number of Equal Length Runs")</f>
        <v>Maximum Number of Equal Length Runs</v>
      </c>
      <c r="C3810" s="1">
        <v>3</v>
      </c>
      <c r="D3810" s="1">
        <v>3</v>
      </c>
      <c r="E3810" s="3">
        <f t="shared" si="28"/>
        <v>0.5</v>
      </c>
      <c r="F3810" s="1" t="s">
        <v>237</v>
      </c>
      <c r="G3810" s="1" t="s">
        <v>24</v>
      </c>
      <c r="H3810" s="1">
        <v>490</v>
      </c>
      <c r="I3810" s="1">
        <v>579</v>
      </c>
      <c r="J3810" s="7">
        <v>0.84599999999999997</v>
      </c>
      <c r="K3810" s="1" t="s">
        <v>29</v>
      </c>
      <c r="L3810" s="1" t="s">
        <v>29</v>
      </c>
      <c r="M3810" s="1" t="s">
        <v>29</v>
      </c>
      <c r="N3810" s="1" t="s">
        <v>22</v>
      </c>
      <c r="O3810" s="1" t="str">
        <f t="shared" ca="1" si="29"/>
        <v>Please solve the LeetCode problem '3773. Maximum Number of Equal Length Runs'.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811" spans="1:15" x14ac:dyDescent="0.25">
      <c r="A3811" s="1">
        <v>3778</v>
      </c>
      <c r="B3811" s="2" t="str">
        <f>HYPERLINK("https://leetcode.com/problems/minimum-distance-excluding-one-maximum-weighted-edge/", "Minimum Distance Excluding One Maximum Weighted Edge")</f>
        <v>Minimum Distance Excluding One Maximum Weighted Edge</v>
      </c>
      <c r="C3811" s="1">
        <v>3</v>
      </c>
      <c r="D3811" s="1">
        <v>3</v>
      </c>
      <c r="E3811" s="3">
        <f t="shared" si="28"/>
        <v>0.5</v>
      </c>
      <c r="G3811" s="1" t="s">
        <v>24</v>
      </c>
      <c r="H3811" s="1">
        <v>254</v>
      </c>
      <c r="I3811" s="1">
        <v>503</v>
      </c>
      <c r="J3811" s="7">
        <v>0.505</v>
      </c>
      <c r="K3811" s="1" t="s">
        <v>29</v>
      </c>
      <c r="L3811" s="1" t="s">
        <v>29</v>
      </c>
      <c r="M3811" s="1" t="s">
        <v>29</v>
      </c>
      <c r="N3811" s="1" t="s">
        <v>22</v>
      </c>
      <c r="O3811" s="1" t="str">
        <f t="shared" ca="1" si="29"/>
        <v>Please solve the LeetCode problem '3778. Minimum Distance Excluding One Maximum Weighted Edge'.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812" spans="1:15" x14ac:dyDescent="0.25">
      <c r="A3812" s="1">
        <v>3787</v>
      </c>
      <c r="B3812" s="2" t="str">
        <f>HYPERLINK("https://leetcode.com/problems/find-diameter-endpoints-of-a-tree/", "Find Diameter Endpoints of a Tree")</f>
        <v>Find Diameter Endpoints of a Tree</v>
      </c>
      <c r="C3812" s="1">
        <v>3</v>
      </c>
      <c r="D3812" s="1">
        <v>2</v>
      </c>
      <c r="E3812" s="3">
        <f t="shared" si="28"/>
        <v>0.6</v>
      </c>
      <c r="F3812" s="1" t="s">
        <v>1345</v>
      </c>
      <c r="G3812" s="1" t="s">
        <v>24</v>
      </c>
      <c r="H3812" s="1">
        <v>442</v>
      </c>
      <c r="I3812" s="1">
        <v>612</v>
      </c>
      <c r="J3812" s="7">
        <v>0.72199999999999998</v>
      </c>
      <c r="K3812" s="1" t="s">
        <v>29</v>
      </c>
      <c r="L3812" s="1" t="s">
        <v>29</v>
      </c>
      <c r="M3812" s="1" t="s">
        <v>29</v>
      </c>
      <c r="N3812" s="1" t="s">
        <v>22</v>
      </c>
      <c r="O3812" s="1" t="str">
        <f t="shared" ca="1" si="29"/>
        <v>Please solve the LeetCode problem '3787. Find Diameter Endpoints of a Tree'.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813" spans="1:15" x14ac:dyDescent="0.25">
      <c r="A3813" s="1">
        <v>3807</v>
      </c>
      <c r="B3813" s="2" t="str">
        <f>HYPERLINK("https://leetcode.com/problems/minimum-cost-to-repair-edges-to-traverse-a-graph/", "Minimum Cost to Repair Edges to Traverse a Graph")</f>
        <v>Minimum Cost to Repair Edges to Traverse a Graph</v>
      </c>
      <c r="C3813" s="1">
        <v>3</v>
      </c>
      <c r="D3813" s="1">
        <v>1</v>
      </c>
      <c r="E3813" s="3">
        <f t="shared" si="28"/>
        <v>0.75</v>
      </c>
      <c r="F3813" s="1" t="s">
        <v>1346</v>
      </c>
      <c r="G3813" s="1" t="s">
        <v>24</v>
      </c>
      <c r="H3813" s="1">
        <v>249</v>
      </c>
      <c r="I3813" s="1">
        <v>375</v>
      </c>
      <c r="J3813" s="7">
        <v>0.66400000000000003</v>
      </c>
      <c r="K3813" s="1" t="s">
        <v>29</v>
      </c>
      <c r="L3813" s="1" t="s">
        <v>29</v>
      </c>
      <c r="M3813" s="1" t="s">
        <v>29</v>
      </c>
      <c r="N3813" s="1" t="s">
        <v>22</v>
      </c>
      <c r="O3813" s="1" t="str">
        <f t="shared" ca="1" si="29"/>
        <v>Please solve the LeetCode problem '3807. Minimum Cost to Repair Edges to Traverse a Graph'.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814" spans="1:15" x14ac:dyDescent="0.25">
      <c r="A3814" s="1">
        <v>3416</v>
      </c>
      <c r="B3814" s="2" t="str">
        <f>HYPERLINK("https://leetcode.com/problems/subsequences-with-a-unique-middle-mode-ii/", "Subsequences with a Unique Middle Mode II")</f>
        <v>Subsequences with a Unique Middle Mode II</v>
      </c>
      <c r="C3814" s="1">
        <v>2</v>
      </c>
      <c r="D3814" s="1">
        <v>2</v>
      </c>
      <c r="E3814" s="3">
        <f t="shared" si="28"/>
        <v>0.5</v>
      </c>
      <c r="F3814" s="1" t="s">
        <v>1041</v>
      </c>
      <c r="G3814" s="1" t="s">
        <v>28</v>
      </c>
      <c r="H3814" s="1">
        <v>213</v>
      </c>
      <c r="I3814" s="1">
        <v>1646</v>
      </c>
      <c r="J3814" s="7">
        <v>0.129</v>
      </c>
      <c r="K3814" s="1" t="s">
        <v>29</v>
      </c>
      <c r="L3814" s="1" t="s">
        <v>29</v>
      </c>
      <c r="M3814" s="1" t="s">
        <v>29</v>
      </c>
      <c r="N3814" s="1" t="s">
        <v>22</v>
      </c>
      <c r="O3814" s="1" t="str">
        <f t="shared" ca="1" si="29"/>
        <v>Please solve the LeetCode problem '3416. Subsequences with a Unique Middle Mode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  <row r="3815" spans="1:15" x14ac:dyDescent="0.25">
      <c r="A3815" s="1">
        <v>3735</v>
      </c>
      <c r="B3815" s="2" t="str">
        <f>HYPERLINK("https://leetcode.com/problems/lexicographically-smallest-string-after-reverse-ii/", "Lexicographically Smallest String After Reverse II")</f>
        <v>Lexicographically Smallest String After Reverse II</v>
      </c>
      <c r="C3815" s="1">
        <v>2</v>
      </c>
      <c r="D3815" s="1">
        <v>1</v>
      </c>
      <c r="E3815" s="3">
        <f t="shared" si="28"/>
        <v>0.66666666666666663</v>
      </c>
      <c r="F3815" s="1" t="s">
        <v>1348</v>
      </c>
      <c r="G3815" s="1" t="s">
        <v>28</v>
      </c>
      <c r="H3815" s="1">
        <v>253</v>
      </c>
      <c r="I3815" s="1">
        <v>553</v>
      </c>
      <c r="J3815" s="7">
        <v>0.45800000000000002</v>
      </c>
      <c r="K3815" s="1" t="s">
        <v>29</v>
      </c>
      <c r="L3815" s="1" t="s">
        <v>29</v>
      </c>
      <c r="M3815" s="1" t="s">
        <v>29</v>
      </c>
      <c r="N3815" s="1" t="s">
        <v>22</v>
      </c>
      <c r="O3815" s="1" t="str">
        <f t="shared" ca="1" si="29"/>
        <v>Please solve the LeetCode problem '3735. Lexicographically Smallest String After Reverse II'. Follow these steps: 1. First Intuition: Provide a high-level explanation of your approach. 2. Problem-Solving Approach: Break down the solution into clear, logical steps. 3. Code Implementation: Provide the solution in Python code. 4. Complexity Analysis: Analyze the time and space complexity of your solution. Answer in English.</v>
      </c>
    </row>
  </sheetData>
  <autoFilter ref="A3:O3815" xr:uid="{00000000-0009-0000-0000-000001000000}"/>
  <conditionalFormatting sqref="D1:D2 F1:O4 A2">
    <cfRule type="cellIs" dxfId="729" priority="200" stopIfTrue="1" operator="equal">
      <formula>"Medium"</formula>
    </cfRule>
    <cfRule type="cellIs" dxfId="728" priority="201" stopIfTrue="1" operator="equal">
      <formula>"Easy"</formula>
    </cfRule>
    <cfRule type="cellIs" dxfId="727" priority="209" stopIfTrue="1" operator="equal">
      <formula>"Medium"</formula>
    </cfRule>
    <cfRule type="cellIs" dxfId="726" priority="210" stopIfTrue="1" operator="equal">
      <formula>"Easy"</formula>
    </cfRule>
    <cfRule type="cellIs" dxfId="725" priority="218" stopIfTrue="1" operator="equal">
      <formula>"Medium"</formula>
    </cfRule>
    <cfRule type="cellIs" dxfId="724" priority="219" stopIfTrue="1" operator="equal">
      <formula>"Easy"</formula>
    </cfRule>
    <cfRule type="cellIs" dxfId="723" priority="226" stopIfTrue="1" operator="equal">
      <formula>"Hard"</formula>
    </cfRule>
    <cfRule type="cellIs" dxfId="722" priority="227" stopIfTrue="1" operator="equal">
      <formula>"Medium"</formula>
    </cfRule>
    <cfRule type="cellIs" dxfId="721" priority="228" stopIfTrue="1" operator="equal">
      <formula>"Easy"</formula>
    </cfRule>
    <cfRule type="cellIs" dxfId="720" priority="235" stopIfTrue="1" operator="equal">
      <formula>"Hard"</formula>
    </cfRule>
    <cfRule type="cellIs" dxfId="719" priority="236" stopIfTrue="1" operator="equal">
      <formula>"Medium"</formula>
    </cfRule>
    <cfRule type="cellIs" dxfId="718" priority="237" stopIfTrue="1" operator="equal">
      <formula>"Easy"</formula>
    </cfRule>
    <cfRule type="cellIs" dxfId="717" priority="244" stopIfTrue="1" operator="equal">
      <formula>"Hard"</formula>
    </cfRule>
    <cfRule type="cellIs" dxfId="716" priority="245" stopIfTrue="1" operator="equal">
      <formula>"Medium"</formula>
    </cfRule>
    <cfRule type="cellIs" dxfId="715" priority="246" stopIfTrue="1" operator="equal">
      <formula>"Easy"</formula>
    </cfRule>
    <cfRule type="cellIs" dxfId="714" priority="253" stopIfTrue="1" operator="equal">
      <formula>"Hard"</formula>
    </cfRule>
    <cfRule type="cellIs" dxfId="713" priority="254" stopIfTrue="1" operator="equal">
      <formula>"Medium"</formula>
    </cfRule>
    <cfRule type="cellIs" dxfId="712" priority="255" stopIfTrue="1" operator="equal">
      <formula>"Easy"</formula>
    </cfRule>
    <cfRule type="cellIs" dxfId="711" priority="262" stopIfTrue="1" operator="equal">
      <formula>"Hard"</formula>
    </cfRule>
    <cfRule type="cellIs" dxfId="710" priority="263" stopIfTrue="1" operator="equal">
      <formula>"Medium"</formula>
    </cfRule>
    <cfRule type="cellIs" dxfId="709" priority="264" stopIfTrue="1" operator="equal">
      <formula>"Easy"</formula>
    </cfRule>
    <cfRule type="cellIs" dxfId="708" priority="271" stopIfTrue="1" operator="equal">
      <formula>"Hard"</formula>
    </cfRule>
    <cfRule type="cellIs" dxfId="707" priority="272" stopIfTrue="1" operator="equal">
      <formula>"Medium"</formula>
    </cfRule>
    <cfRule type="cellIs" dxfId="706" priority="273" stopIfTrue="1" operator="equal">
      <formula>"Easy"</formula>
    </cfRule>
    <cfRule type="cellIs" dxfId="705" priority="280" stopIfTrue="1" operator="equal">
      <formula>"Hard"</formula>
    </cfRule>
    <cfRule type="cellIs" dxfId="704" priority="281" stopIfTrue="1" operator="equal">
      <formula>"Medium"</formula>
    </cfRule>
    <cfRule type="cellIs" dxfId="703" priority="282" stopIfTrue="1" operator="equal">
      <formula>"Easy"</formula>
    </cfRule>
    <cfRule type="cellIs" dxfId="702" priority="289" stopIfTrue="1" operator="equal">
      <formula>"Hard"</formula>
    </cfRule>
    <cfRule type="cellIs" dxfId="701" priority="290" stopIfTrue="1" operator="equal">
      <formula>"Medium"</formula>
    </cfRule>
    <cfRule type="cellIs" dxfId="700" priority="291" stopIfTrue="1" operator="equal">
      <formula>"Easy"</formula>
    </cfRule>
    <cfRule type="cellIs" dxfId="699" priority="298" stopIfTrue="1" operator="equal">
      <formula>"Hard"</formula>
    </cfRule>
    <cfRule type="cellIs" dxfId="698" priority="299" stopIfTrue="1" operator="equal">
      <formula>"Medium"</formula>
    </cfRule>
    <cfRule type="cellIs" dxfId="697" priority="300" stopIfTrue="1" operator="equal">
      <formula>"Easy"</formula>
    </cfRule>
    <cfRule type="cellIs" dxfId="696" priority="307" stopIfTrue="1" operator="equal">
      <formula>"Hard"</formula>
    </cfRule>
    <cfRule type="cellIs" dxfId="695" priority="308" stopIfTrue="1" operator="equal">
      <formula>"Medium"</formula>
    </cfRule>
    <cfRule type="cellIs" dxfId="694" priority="309" stopIfTrue="1" operator="equal">
      <formula>"Easy"</formula>
    </cfRule>
    <cfRule type="cellIs" dxfId="693" priority="316" stopIfTrue="1" operator="equal">
      <formula>"Hard"</formula>
    </cfRule>
    <cfRule type="cellIs" dxfId="692" priority="317" stopIfTrue="1" operator="equal">
      <formula>"Medium"</formula>
    </cfRule>
    <cfRule type="cellIs" dxfId="691" priority="318" stopIfTrue="1" operator="equal">
      <formula>"Easy"</formula>
    </cfRule>
    <cfRule type="cellIs" dxfId="690" priority="325" stopIfTrue="1" operator="equal">
      <formula>"Hard"</formula>
    </cfRule>
    <cfRule type="cellIs" dxfId="689" priority="326" stopIfTrue="1" operator="equal">
      <formula>"Medium"</formula>
    </cfRule>
    <cfRule type="cellIs" dxfId="688" priority="327" stopIfTrue="1" operator="equal">
      <formula>"Easy"</formula>
    </cfRule>
    <cfRule type="cellIs" dxfId="687" priority="334" stopIfTrue="1" operator="equal">
      <formula>"Hard"</formula>
    </cfRule>
    <cfRule type="cellIs" dxfId="686" priority="335" stopIfTrue="1" operator="equal">
      <formula>"Medium"</formula>
    </cfRule>
    <cfRule type="cellIs" dxfId="685" priority="336" stopIfTrue="1" operator="equal">
      <formula>"Easy"</formula>
    </cfRule>
    <cfRule type="cellIs" dxfId="684" priority="343" stopIfTrue="1" operator="equal">
      <formula>"Hard"</formula>
    </cfRule>
    <cfRule type="cellIs" dxfId="683" priority="344" stopIfTrue="1" operator="equal">
      <formula>"Medium"</formula>
    </cfRule>
    <cfRule type="cellIs" dxfId="682" priority="345" stopIfTrue="1" operator="equal">
      <formula>"Easy"</formula>
    </cfRule>
  </conditionalFormatting>
  <conditionalFormatting sqref="D1:D2 F1:O3815 A2">
    <cfRule type="cellIs" dxfId="681" priority="146" stopIfTrue="1" operator="equal">
      <formula>"Medium"</formula>
    </cfRule>
    <cfRule type="cellIs" dxfId="680" priority="147" stopIfTrue="1" operator="equal">
      <formula>"Easy"</formula>
    </cfRule>
    <cfRule type="cellIs" dxfId="679" priority="155" stopIfTrue="1" operator="equal">
      <formula>"Medium"</formula>
    </cfRule>
    <cfRule type="cellIs" dxfId="678" priority="156" stopIfTrue="1" operator="equal">
      <formula>"Easy"</formula>
    </cfRule>
    <cfRule type="cellIs" dxfId="677" priority="164" stopIfTrue="1" operator="equal">
      <formula>"Medium"</formula>
    </cfRule>
    <cfRule type="cellIs" dxfId="676" priority="165" stopIfTrue="1" operator="equal">
      <formula>"Easy"</formula>
    </cfRule>
    <cfRule type="cellIs" dxfId="675" priority="173" stopIfTrue="1" operator="equal">
      <formula>"Medium"</formula>
    </cfRule>
    <cfRule type="cellIs" dxfId="674" priority="174" stopIfTrue="1" operator="equal">
      <formula>"Easy"</formula>
    </cfRule>
    <cfRule type="cellIs" dxfId="673" priority="182" stopIfTrue="1" operator="equal">
      <formula>"Medium"</formula>
    </cfRule>
    <cfRule type="cellIs" dxfId="672" priority="183" stopIfTrue="1" operator="equal">
      <formula>"Easy"</formula>
    </cfRule>
    <cfRule type="cellIs" dxfId="671" priority="191" stopIfTrue="1" operator="equal">
      <formula>"Medium"</formula>
    </cfRule>
    <cfRule type="cellIs" dxfId="670" priority="192" stopIfTrue="1" operator="equal">
      <formula>"Easy"</formula>
    </cfRule>
  </conditionalFormatting>
  <conditionalFormatting sqref="D1:D2 G1:O4 A2 F2:F4">
    <cfRule type="cellIs" dxfId="669" priority="352" stopIfTrue="1" operator="equal">
      <formula>"Hard"</formula>
    </cfRule>
    <cfRule type="cellIs" dxfId="668" priority="353" stopIfTrue="1" operator="equal">
      <formula>"Medium"</formula>
    </cfRule>
    <cfRule type="cellIs" dxfId="667" priority="354" stopIfTrue="1" operator="equal">
      <formula>"Easy"</formula>
    </cfRule>
    <cfRule type="cellIs" dxfId="666" priority="361" stopIfTrue="1" operator="equal">
      <formula>"Hard"</formula>
    </cfRule>
    <cfRule type="cellIs" dxfId="665" priority="362" stopIfTrue="1" operator="equal">
      <formula>"Medium"</formula>
    </cfRule>
    <cfRule type="cellIs" dxfId="664" priority="363" stopIfTrue="1" operator="equal">
      <formula>"Easy"</formula>
    </cfRule>
    <cfRule type="cellIs" dxfId="663" priority="370" stopIfTrue="1" operator="equal">
      <formula>"Hard"</formula>
    </cfRule>
    <cfRule type="cellIs" dxfId="662" priority="371" stopIfTrue="1" operator="equal">
      <formula>"Medium"</formula>
    </cfRule>
    <cfRule type="cellIs" dxfId="661" priority="372" stopIfTrue="1" operator="equal">
      <formula>"Easy"</formula>
    </cfRule>
    <cfRule type="cellIs" dxfId="660" priority="379" stopIfTrue="1" operator="equal">
      <formula>"Hard"</formula>
    </cfRule>
    <cfRule type="cellIs" dxfId="659" priority="380" stopIfTrue="1" operator="equal">
      <formula>"Medium"</formula>
    </cfRule>
    <cfRule type="cellIs" dxfId="658" priority="381" stopIfTrue="1" operator="equal">
      <formula>"Easy"</formula>
    </cfRule>
    <cfRule type="cellIs" dxfId="657" priority="388" stopIfTrue="1" operator="equal">
      <formula>"Hard"</formula>
    </cfRule>
    <cfRule type="cellIs" dxfId="656" priority="389" stopIfTrue="1" operator="equal">
      <formula>"Medium"</formula>
    </cfRule>
    <cfRule type="cellIs" dxfId="655" priority="390" stopIfTrue="1" operator="equal">
      <formula>"Easy"</formula>
    </cfRule>
    <cfRule type="cellIs" dxfId="654" priority="397" stopIfTrue="1" operator="equal">
      <formula>"Hard"</formula>
    </cfRule>
    <cfRule type="cellIs" dxfId="653" priority="398" stopIfTrue="1" operator="equal">
      <formula>"Medium"</formula>
    </cfRule>
    <cfRule type="cellIs" dxfId="652" priority="399" stopIfTrue="1" operator="equal">
      <formula>"Easy"</formula>
    </cfRule>
    <cfRule type="cellIs" dxfId="651" priority="406" stopIfTrue="1" operator="equal">
      <formula>"Hard"</formula>
    </cfRule>
    <cfRule type="cellIs" dxfId="650" priority="407" stopIfTrue="1" operator="equal">
      <formula>"Medium"</formula>
    </cfRule>
    <cfRule type="cellIs" dxfId="649" priority="408" stopIfTrue="1" operator="equal">
      <formula>"Easy"</formula>
    </cfRule>
    <cfRule type="cellIs" dxfId="648" priority="415" stopIfTrue="1" operator="equal">
      <formula>"Hard"</formula>
    </cfRule>
    <cfRule type="cellIs" dxfId="647" priority="416" stopIfTrue="1" operator="equal">
      <formula>"Medium"</formula>
    </cfRule>
    <cfRule type="cellIs" dxfId="646" priority="417" stopIfTrue="1" operator="equal">
      <formula>"Easy"</formula>
    </cfRule>
    <cfRule type="cellIs" dxfId="645" priority="424" stopIfTrue="1" operator="equal">
      <formula>"Hard"</formula>
    </cfRule>
    <cfRule type="cellIs" dxfId="644" priority="425" stopIfTrue="1" operator="equal">
      <formula>"Medium"</formula>
    </cfRule>
    <cfRule type="cellIs" dxfId="643" priority="426" stopIfTrue="1" operator="equal">
      <formula>"Easy"</formula>
    </cfRule>
    <cfRule type="cellIs" dxfId="642" priority="433" stopIfTrue="1" operator="equal">
      <formula>"Hard"</formula>
    </cfRule>
    <cfRule type="cellIs" dxfId="641" priority="434" stopIfTrue="1" operator="equal">
      <formula>"Medium"</formula>
    </cfRule>
    <cfRule type="cellIs" dxfId="640" priority="435" stopIfTrue="1" operator="equal">
      <formula>"Easy"</formula>
    </cfRule>
    <cfRule type="cellIs" dxfId="639" priority="442" stopIfTrue="1" operator="equal">
      <formula>"Hard"</formula>
    </cfRule>
    <cfRule type="cellIs" dxfId="638" priority="443" stopIfTrue="1" operator="equal">
      <formula>"Medium"</formula>
    </cfRule>
    <cfRule type="cellIs" dxfId="637" priority="444" stopIfTrue="1" operator="equal">
      <formula>"Easy"</formula>
    </cfRule>
    <cfRule type="cellIs" dxfId="636" priority="451" stopIfTrue="1" operator="equal">
      <formula>"Hard"</formula>
    </cfRule>
    <cfRule type="cellIs" dxfId="635" priority="452" stopIfTrue="1" operator="equal">
      <formula>"Medium"</formula>
    </cfRule>
    <cfRule type="cellIs" dxfId="634" priority="453" stopIfTrue="1" operator="equal">
      <formula>"Easy"</formula>
    </cfRule>
    <cfRule type="cellIs" dxfId="633" priority="460" stopIfTrue="1" operator="equal">
      <formula>"Hard"</formula>
    </cfRule>
    <cfRule type="cellIs" dxfId="632" priority="461" stopIfTrue="1" operator="equal">
      <formula>"Medium"</formula>
    </cfRule>
    <cfRule type="cellIs" dxfId="631" priority="462" stopIfTrue="1" operator="equal">
      <formula>"Easy"</formula>
    </cfRule>
    <cfRule type="cellIs" dxfId="630" priority="469" stopIfTrue="1" operator="equal">
      <formula>"Hard"</formula>
    </cfRule>
    <cfRule type="cellIs" dxfId="629" priority="470" stopIfTrue="1" operator="equal">
      <formula>"Medium"</formula>
    </cfRule>
    <cfRule type="cellIs" dxfId="628" priority="471" stopIfTrue="1" operator="equal">
      <formula>"Easy"</formula>
    </cfRule>
    <cfRule type="cellIs" dxfId="627" priority="478" stopIfTrue="1" operator="equal">
      <formula>"Hard"</formula>
    </cfRule>
    <cfRule type="cellIs" dxfId="626" priority="479" stopIfTrue="1" operator="equal">
      <formula>"Medium"</formula>
    </cfRule>
    <cfRule type="cellIs" dxfId="625" priority="480" stopIfTrue="1" operator="equal">
      <formula>"Easy"</formula>
    </cfRule>
    <cfRule type="cellIs" dxfId="624" priority="487" stopIfTrue="1" operator="equal">
      <formula>"Hard"</formula>
    </cfRule>
    <cfRule type="cellIs" dxfId="623" priority="488" stopIfTrue="1" operator="equal">
      <formula>"Medium"</formula>
    </cfRule>
    <cfRule type="cellIs" dxfId="622" priority="489" stopIfTrue="1" operator="equal">
      <formula>"Easy"</formula>
    </cfRule>
    <cfRule type="cellIs" dxfId="621" priority="496" stopIfTrue="1" operator="equal">
      <formula>"Hard"</formula>
    </cfRule>
    <cfRule type="cellIs" dxfId="620" priority="497" stopIfTrue="1" operator="equal">
      <formula>"Medium"</formula>
    </cfRule>
    <cfRule type="cellIs" dxfId="619" priority="498" stopIfTrue="1" operator="equal">
      <formula>"Easy"</formula>
    </cfRule>
  </conditionalFormatting>
  <conditionalFormatting sqref="D1:D2 H1:O4 A2">
    <cfRule type="cellIs" dxfId="618" priority="296" stopIfTrue="1" operator="equal">
      <formula>"No"</formula>
    </cfRule>
    <cfRule type="cellIs" dxfId="617" priority="297" stopIfTrue="1" operator="equal">
      <formula>"Yes"</formula>
    </cfRule>
    <cfRule type="cellIs" dxfId="616" priority="305" stopIfTrue="1" operator="equal">
      <formula>"No"</formula>
    </cfRule>
    <cfRule type="cellIs" dxfId="615" priority="306" stopIfTrue="1" operator="equal">
      <formula>"Yes"</formula>
    </cfRule>
    <cfRule type="cellIs" dxfId="614" priority="314" stopIfTrue="1" operator="equal">
      <formula>"No"</formula>
    </cfRule>
    <cfRule type="cellIs" dxfId="613" priority="315" stopIfTrue="1" operator="equal">
      <formula>"Yes"</formula>
    </cfRule>
    <cfRule type="cellIs" dxfId="612" priority="323" stopIfTrue="1" operator="equal">
      <formula>"No"</formula>
    </cfRule>
    <cfRule type="cellIs" dxfId="611" priority="324" stopIfTrue="1" operator="equal">
      <formula>"Yes"</formula>
    </cfRule>
    <cfRule type="cellIs" dxfId="610" priority="332" stopIfTrue="1" operator="equal">
      <formula>"No"</formula>
    </cfRule>
    <cfRule type="cellIs" dxfId="609" priority="333" stopIfTrue="1" operator="equal">
      <formula>"Yes"</formula>
    </cfRule>
    <cfRule type="cellIs" dxfId="608" priority="341" stopIfTrue="1" operator="equal">
      <formula>"No"</formula>
    </cfRule>
    <cfRule type="cellIs" dxfId="607" priority="342" stopIfTrue="1" operator="equal">
      <formula>"Yes"</formula>
    </cfRule>
    <cfRule type="cellIs" dxfId="606" priority="350" stopIfTrue="1" operator="equal">
      <formula>"No"</formula>
    </cfRule>
    <cfRule type="cellIs" dxfId="605" priority="351" stopIfTrue="1" operator="equal">
      <formula>"Yes"</formula>
    </cfRule>
    <cfRule type="cellIs" dxfId="604" priority="359" stopIfTrue="1" operator="equal">
      <formula>"No"</formula>
    </cfRule>
    <cfRule type="cellIs" dxfId="603" priority="360" stopIfTrue="1" operator="equal">
      <formula>"Yes"</formula>
    </cfRule>
    <cfRule type="cellIs" dxfId="602" priority="368" stopIfTrue="1" operator="equal">
      <formula>"No"</formula>
    </cfRule>
    <cfRule type="cellIs" dxfId="601" priority="369" stopIfTrue="1" operator="equal">
      <formula>"Yes"</formula>
    </cfRule>
    <cfRule type="cellIs" dxfId="600" priority="377" stopIfTrue="1" operator="equal">
      <formula>"No"</formula>
    </cfRule>
    <cfRule type="cellIs" dxfId="599" priority="378" stopIfTrue="1" operator="equal">
      <formula>"Yes"</formula>
    </cfRule>
    <cfRule type="cellIs" dxfId="598" priority="386" stopIfTrue="1" operator="equal">
      <formula>"No"</formula>
    </cfRule>
    <cfRule type="cellIs" dxfId="597" priority="387" stopIfTrue="1" operator="equal">
      <formula>"Yes"</formula>
    </cfRule>
    <cfRule type="cellIs" dxfId="596" priority="395" stopIfTrue="1" operator="equal">
      <formula>"No"</formula>
    </cfRule>
    <cfRule type="cellIs" dxfId="595" priority="396" stopIfTrue="1" operator="equal">
      <formula>"Yes"</formula>
    </cfRule>
    <cfRule type="cellIs" dxfId="594" priority="404" stopIfTrue="1" operator="equal">
      <formula>"No"</formula>
    </cfRule>
    <cfRule type="cellIs" dxfId="593" priority="405" stopIfTrue="1" operator="equal">
      <formula>"Yes"</formula>
    </cfRule>
    <cfRule type="cellIs" dxfId="592" priority="413" stopIfTrue="1" operator="equal">
      <formula>"No"</formula>
    </cfRule>
    <cfRule type="cellIs" dxfId="591" priority="414" stopIfTrue="1" operator="equal">
      <formula>"Yes"</formula>
    </cfRule>
    <cfRule type="cellIs" dxfId="590" priority="422" stopIfTrue="1" operator="equal">
      <formula>"No"</formula>
    </cfRule>
    <cfRule type="cellIs" dxfId="589" priority="423" stopIfTrue="1" operator="equal">
      <formula>"Yes"</formula>
    </cfRule>
    <cfRule type="cellIs" dxfId="588" priority="431" stopIfTrue="1" operator="equal">
      <formula>"No"</formula>
    </cfRule>
    <cfRule type="cellIs" dxfId="587" priority="432" stopIfTrue="1" operator="equal">
      <formula>"Yes"</formula>
    </cfRule>
    <cfRule type="cellIs" dxfId="586" priority="440" stopIfTrue="1" operator="equal">
      <formula>"No"</formula>
    </cfRule>
    <cfRule type="cellIs" dxfId="585" priority="441" stopIfTrue="1" operator="equal">
      <formula>"Yes"</formula>
    </cfRule>
    <cfRule type="cellIs" dxfId="584" priority="449" stopIfTrue="1" operator="equal">
      <formula>"No"</formula>
    </cfRule>
    <cfRule type="cellIs" dxfId="583" priority="450" stopIfTrue="1" operator="equal">
      <formula>"Yes"</formula>
    </cfRule>
    <cfRule type="cellIs" dxfId="582" priority="458" stopIfTrue="1" operator="equal">
      <formula>"No"</formula>
    </cfRule>
    <cfRule type="cellIs" dxfId="581" priority="459" stopIfTrue="1" operator="equal">
      <formula>"Yes"</formula>
    </cfRule>
    <cfRule type="cellIs" dxfId="580" priority="467" stopIfTrue="1" operator="equal">
      <formula>"No"</formula>
    </cfRule>
    <cfRule type="cellIs" dxfId="579" priority="468" stopIfTrue="1" operator="equal">
      <formula>"Yes"</formula>
    </cfRule>
    <cfRule type="cellIs" dxfId="578" priority="476" stopIfTrue="1" operator="equal">
      <formula>"No"</formula>
    </cfRule>
    <cfRule type="cellIs" dxfId="577" priority="477" stopIfTrue="1" operator="equal">
      <formula>"Yes"</formula>
    </cfRule>
    <cfRule type="cellIs" dxfId="576" priority="485" stopIfTrue="1" operator="equal">
      <formula>"No"</formula>
    </cfRule>
    <cfRule type="cellIs" dxfId="575" priority="486" stopIfTrue="1" operator="equal">
      <formula>"Yes"</formula>
    </cfRule>
    <cfRule type="cellIs" dxfId="574" priority="494" stopIfTrue="1" operator="equal">
      <formula>"No"</formula>
    </cfRule>
    <cfRule type="cellIs" dxfId="573" priority="495" stopIfTrue="1" operator="equal">
      <formula>"Yes"</formula>
    </cfRule>
    <cfRule type="cellIs" dxfId="572" priority="503" stopIfTrue="1" operator="equal">
      <formula>"No"</formula>
    </cfRule>
    <cfRule type="cellIs" dxfId="571" priority="504" stopIfTrue="1" operator="equal">
      <formula>"Yes"</formula>
    </cfRule>
  </conditionalFormatting>
  <conditionalFormatting sqref="D1:D2 I1:O4 A2">
    <cfRule type="cellIs" dxfId="570" priority="294" stopIfTrue="1" operator="equal">
      <formula>"No"</formula>
    </cfRule>
    <cfRule type="cellIs" dxfId="569" priority="295" stopIfTrue="1" operator="equal">
      <formula>"Yes"</formula>
    </cfRule>
    <cfRule type="cellIs" dxfId="568" priority="303" stopIfTrue="1" operator="equal">
      <formula>"No"</formula>
    </cfRule>
    <cfRule type="cellIs" dxfId="567" priority="304" stopIfTrue="1" operator="equal">
      <formula>"Yes"</formula>
    </cfRule>
    <cfRule type="cellIs" dxfId="566" priority="312" stopIfTrue="1" operator="equal">
      <formula>"No"</formula>
    </cfRule>
    <cfRule type="cellIs" dxfId="565" priority="313" stopIfTrue="1" operator="equal">
      <formula>"Yes"</formula>
    </cfRule>
    <cfRule type="cellIs" dxfId="564" priority="321" stopIfTrue="1" operator="equal">
      <formula>"No"</formula>
    </cfRule>
    <cfRule type="cellIs" dxfId="563" priority="322" stopIfTrue="1" operator="equal">
      <formula>"Yes"</formula>
    </cfRule>
    <cfRule type="cellIs" dxfId="562" priority="330" stopIfTrue="1" operator="equal">
      <formula>"No"</formula>
    </cfRule>
    <cfRule type="cellIs" dxfId="561" priority="331" stopIfTrue="1" operator="equal">
      <formula>"Yes"</formula>
    </cfRule>
    <cfRule type="cellIs" dxfId="560" priority="339" stopIfTrue="1" operator="equal">
      <formula>"No"</formula>
    </cfRule>
    <cfRule type="cellIs" dxfId="559" priority="340" stopIfTrue="1" operator="equal">
      <formula>"Yes"</formula>
    </cfRule>
    <cfRule type="cellIs" dxfId="558" priority="348" stopIfTrue="1" operator="equal">
      <formula>"No"</formula>
    </cfRule>
    <cfRule type="cellIs" dxfId="557" priority="349" stopIfTrue="1" operator="equal">
      <formula>"Yes"</formula>
    </cfRule>
    <cfRule type="cellIs" dxfId="556" priority="357" stopIfTrue="1" operator="equal">
      <formula>"No"</formula>
    </cfRule>
    <cfRule type="cellIs" dxfId="555" priority="358" stopIfTrue="1" operator="equal">
      <formula>"Yes"</formula>
    </cfRule>
    <cfRule type="cellIs" dxfId="554" priority="366" stopIfTrue="1" operator="equal">
      <formula>"No"</formula>
    </cfRule>
    <cfRule type="cellIs" dxfId="553" priority="367" stopIfTrue="1" operator="equal">
      <formula>"Yes"</formula>
    </cfRule>
    <cfRule type="cellIs" dxfId="552" priority="375" stopIfTrue="1" operator="equal">
      <formula>"No"</formula>
    </cfRule>
    <cfRule type="cellIs" dxfId="551" priority="376" stopIfTrue="1" operator="equal">
      <formula>"Yes"</formula>
    </cfRule>
    <cfRule type="cellIs" dxfId="550" priority="384" stopIfTrue="1" operator="equal">
      <formula>"No"</formula>
    </cfRule>
    <cfRule type="cellIs" dxfId="549" priority="385" stopIfTrue="1" operator="equal">
      <formula>"Yes"</formula>
    </cfRule>
    <cfRule type="cellIs" dxfId="548" priority="393" stopIfTrue="1" operator="equal">
      <formula>"No"</formula>
    </cfRule>
    <cfRule type="cellIs" dxfId="547" priority="394" stopIfTrue="1" operator="equal">
      <formula>"Yes"</formula>
    </cfRule>
    <cfRule type="cellIs" dxfId="546" priority="402" stopIfTrue="1" operator="equal">
      <formula>"No"</formula>
    </cfRule>
    <cfRule type="cellIs" dxfId="545" priority="403" stopIfTrue="1" operator="equal">
      <formula>"Yes"</formula>
    </cfRule>
    <cfRule type="cellIs" dxfId="544" priority="411" stopIfTrue="1" operator="equal">
      <formula>"No"</formula>
    </cfRule>
    <cfRule type="cellIs" dxfId="543" priority="412" stopIfTrue="1" operator="equal">
      <formula>"Yes"</formula>
    </cfRule>
    <cfRule type="cellIs" dxfId="542" priority="420" stopIfTrue="1" operator="equal">
      <formula>"No"</formula>
    </cfRule>
    <cfRule type="cellIs" dxfId="541" priority="421" stopIfTrue="1" operator="equal">
      <formula>"Yes"</formula>
    </cfRule>
    <cfRule type="cellIs" dxfId="540" priority="429" stopIfTrue="1" operator="equal">
      <formula>"No"</formula>
    </cfRule>
    <cfRule type="cellIs" dxfId="539" priority="430" stopIfTrue="1" operator="equal">
      <formula>"Yes"</formula>
    </cfRule>
    <cfRule type="cellIs" dxfId="538" priority="438" stopIfTrue="1" operator="equal">
      <formula>"No"</formula>
    </cfRule>
    <cfRule type="cellIs" dxfId="537" priority="439" stopIfTrue="1" operator="equal">
      <formula>"Yes"</formula>
    </cfRule>
    <cfRule type="cellIs" dxfId="536" priority="447" stopIfTrue="1" operator="equal">
      <formula>"No"</formula>
    </cfRule>
    <cfRule type="cellIs" dxfId="535" priority="448" stopIfTrue="1" operator="equal">
      <formula>"Yes"</formula>
    </cfRule>
    <cfRule type="cellIs" dxfId="534" priority="456" stopIfTrue="1" operator="equal">
      <formula>"No"</formula>
    </cfRule>
    <cfRule type="cellIs" dxfId="533" priority="457" stopIfTrue="1" operator="equal">
      <formula>"Yes"</formula>
    </cfRule>
    <cfRule type="cellIs" dxfId="532" priority="465" stopIfTrue="1" operator="equal">
      <formula>"No"</formula>
    </cfRule>
    <cfRule type="cellIs" dxfId="531" priority="466" stopIfTrue="1" operator="equal">
      <formula>"Yes"</formula>
    </cfRule>
    <cfRule type="cellIs" dxfId="530" priority="474" stopIfTrue="1" operator="equal">
      <formula>"No"</formula>
    </cfRule>
    <cfRule type="cellIs" dxfId="529" priority="475" stopIfTrue="1" operator="equal">
      <formula>"Yes"</formula>
    </cfRule>
    <cfRule type="cellIs" dxfId="528" priority="483" stopIfTrue="1" operator="equal">
      <formula>"No"</formula>
    </cfRule>
    <cfRule type="cellIs" dxfId="527" priority="484" stopIfTrue="1" operator="equal">
      <formula>"Yes"</formula>
    </cfRule>
    <cfRule type="cellIs" dxfId="526" priority="492" stopIfTrue="1" operator="equal">
      <formula>"No"</formula>
    </cfRule>
    <cfRule type="cellIs" dxfId="525" priority="493" stopIfTrue="1" operator="equal">
      <formula>"Yes"</formula>
    </cfRule>
    <cfRule type="cellIs" dxfId="524" priority="501" stopIfTrue="1" operator="equal">
      <formula>"No"</formula>
    </cfRule>
    <cfRule type="cellIs" dxfId="523" priority="502" stopIfTrue="1" operator="equal">
      <formula>"Yes"</formula>
    </cfRule>
  </conditionalFormatting>
  <conditionalFormatting sqref="D1:E2 G1:O4 A2 F2:F4">
    <cfRule type="cellIs" dxfId="522" priority="505" stopIfTrue="1" operator="equal">
      <formula>"Hard"</formula>
    </cfRule>
    <cfRule type="cellIs" dxfId="521" priority="506" stopIfTrue="1" operator="equal">
      <formula>"Medium"</formula>
    </cfRule>
    <cfRule type="cellIs" dxfId="520" priority="507" stopIfTrue="1" operator="equal">
      <formula>"Easy"</formula>
    </cfRule>
    <cfRule type="cellIs" dxfId="519" priority="514" stopIfTrue="1" operator="equal">
      <formula>"Hard"</formula>
    </cfRule>
    <cfRule type="cellIs" dxfId="518" priority="515" stopIfTrue="1" operator="equal">
      <formula>"Medium"</formula>
    </cfRule>
    <cfRule type="cellIs" dxfId="517" priority="516" stopIfTrue="1" operator="equal">
      <formula>"Easy"</formula>
    </cfRule>
    <cfRule type="cellIs" dxfId="516" priority="523" stopIfTrue="1" operator="equal">
      <formula>"Hard"</formula>
    </cfRule>
    <cfRule type="cellIs" dxfId="515" priority="524" stopIfTrue="1" operator="equal">
      <formula>"Medium"</formula>
    </cfRule>
    <cfRule type="cellIs" dxfId="514" priority="525" stopIfTrue="1" operator="equal">
      <formula>"Easy"</formula>
    </cfRule>
    <cfRule type="cellIs" dxfId="513" priority="532" stopIfTrue="1" operator="equal">
      <formula>"Hard"</formula>
    </cfRule>
    <cfRule type="cellIs" dxfId="512" priority="533" stopIfTrue="1" operator="equal">
      <formula>"Medium"</formula>
    </cfRule>
    <cfRule type="cellIs" dxfId="511" priority="534" stopIfTrue="1" operator="equal">
      <formula>"Easy"</formula>
    </cfRule>
    <cfRule type="cellIs" dxfId="510" priority="541" stopIfTrue="1" operator="equal">
      <formula>"Hard"</formula>
    </cfRule>
    <cfRule type="cellIs" dxfId="509" priority="542" stopIfTrue="1" operator="equal">
      <formula>"Medium"</formula>
    </cfRule>
    <cfRule type="cellIs" dxfId="508" priority="543" stopIfTrue="1" operator="equal">
      <formula>"Easy"</formula>
    </cfRule>
    <cfRule type="cellIs" dxfId="507" priority="550" stopIfTrue="1" operator="equal">
      <formula>"Hard"</formula>
    </cfRule>
    <cfRule type="cellIs" dxfId="506" priority="551" stopIfTrue="1" operator="equal">
      <formula>"Medium"</formula>
    </cfRule>
    <cfRule type="cellIs" dxfId="505" priority="552" stopIfTrue="1" operator="equal">
      <formula>"Easy"</formula>
    </cfRule>
    <cfRule type="cellIs" dxfId="504" priority="559" stopIfTrue="1" operator="equal">
      <formula>"Hard"</formula>
    </cfRule>
    <cfRule type="cellIs" dxfId="503" priority="560" stopIfTrue="1" operator="equal">
      <formula>"Medium"</formula>
    </cfRule>
    <cfRule type="cellIs" dxfId="502" priority="561" stopIfTrue="1" operator="equal">
      <formula>"Easy"</formula>
    </cfRule>
    <cfRule type="cellIs" dxfId="501" priority="568" stopIfTrue="1" operator="equal">
      <formula>"Hard"</formula>
    </cfRule>
    <cfRule type="cellIs" dxfId="500" priority="569" stopIfTrue="1" operator="equal">
      <formula>"Medium"</formula>
    </cfRule>
    <cfRule type="cellIs" dxfId="499" priority="570" stopIfTrue="1" operator="equal">
      <formula>"Easy"</formula>
    </cfRule>
    <cfRule type="cellIs" dxfId="498" priority="577" stopIfTrue="1" operator="equal">
      <formula>"Hard"</formula>
    </cfRule>
    <cfRule type="cellIs" dxfId="497" priority="578" stopIfTrue="1" operator="equal">
      <formula>"Medium"</formula>
    </cfRule>
    <cfRule type="cellIs" dxfId="496" priority="579" stopIfTrue="1" operator="equal">
      <formula>"Easy"</formula>
    </cfRule>
    <cfRule type="cellIs" dxfId="495" priority="586" stopIfTrue="1" operator="equal">
      <formula>"Hard"</formula>
    </cfRule>
    <cfRule type="cellIs" dxfId="494" priority="587" stopIfTrue="1" operator="equal">
      <formula>"Medium"</formula>
    </cfRule>
    <cfRule type="cellIs" dxfId="493" priority="588" stopIfTrue="1" operator="equal">
      <formula>"Easy"</formula>
    </cfRule>
    <cfRule type="cellIs" dxfId="492" priority="595" stopIfTrue="1" operator="equal">
      <formula>"Hard"</formula>
    </cfRule>
    <cfRule type="cellIs" dxfId="491" priority="596" stopIfTrue="1" operator="equal">
      <formula>"Medium"</formula>
    </cfRule>
    <cfRule type="cellIs" dxfId="490" priority="597" stopIfTrue="1" operator="equal">
      <formula>"Easy"</formula>
    </cfRule>
    <cfRule type="cellIs" dxfId="489" priority="604" stopIfTrue="1" operator="equal">
      <formula>"Hard"</formula>
    </cfRule>
    <cfRule type="cellIs" dxfId="488" priority="605" stopIfTrue="1" operator="equal">
      <formula>"Medium"</formula>
    </cfRule>
    <cfRule type="cellIs" dxfId="487" priority="606" stopIfTrue="1" operator="equal">
      <formula>"Easy"</formula>
    </cfRule>
    <cfRule type="cellIs" dxfId="486" priority="613" stopIfTrue="1" operator="equal">
      <formula>"Hard"</formula>
    </cfRule>
    <cfRule type="cellIs" dxfId="485" priority="614" stopIfTrue="1" operator="equal">
      <formula>"Medium"</formula>
    </cfRule>
    <cfRule type="cellIs" dxfId="484" priority="615" stopIfTrue="1" operator="equal">
      <formula>"Easy"</formula>
    </cfRule>
    <cfRule type="cellIs" dxfId="483" priority="622" stopIfTrue="1" operator="equal">
      <formula>"Hard"</formula>
    </cfRule>
    <cfRule type="cellIs" dxfId="482" priority="623" stopIfTrue="1" operator="equal">
      <formula>"Medium"</formula>
    </cfRule>
    <cfRule type="cellIs" dxfId="481" priority="624" stopIfTrue="1" operator="equal">
      <formula>"Easy"</formula>
    </cfRule>
    <cfRule type="cellIs" dxfId="480" priority="631" stopIfTrue="1" operator="equal">
      <formula>"Hard"</formula>
    </cfRule>
    <cfRule type="cellIs" dxfId="479" priority="632" stopIfTrue="1" operator="equal">
      <formula>"Medium"</formula>
    </cfRule>
    <cfRule type="cellIs" dxfId="478" priority="633" stopIfTrue="1" operator="equal">
      <formula>"Easy"</formula>
    </cfRule>
    <cfRule type="cellIs" dxfId="477" priority="640" stopIfTrue="1" operator="equal">
      <formula>"Hard"</formula>
    </cfRule>
    <cfRule type="cellIs" dxfId="476" priority="641" stopIfTrue="1" operator="equal">
      <formula>"Medium"</formula>
    </cfRule>
    <cfRule type="cellIs" dxfId="475" priority="642" stopIfTrue="1" operator="equal">
      <formula>"Easy"</formula>
    </cfRule>
    <cfRule type="cellIs" dxfId="474" priority="649" stopIfTrue="1" operator="equal">
      <formula>"Hard"</formula>
    </cfRule>
    <cfRule type="cellIs" dxfId="473" priority="650" stopIfTrue="1" operator="equal">
      <formula>"Medium"</formula>
    </cfRule>
    <cfRule type="cellIs" dxfId="472" priority="651" stopIfTrue="1" operator="equal">
      <formula>"Easy"</formula>
    </cfRule>
    <cfRule type="cellIs" dxfId="471" priority="658" stopIfTrue="1" operator="equal">
      <formula>"Hard"</formula>
    </cfRule>
    <cfRule type="cellIs" dxfId="470" priority="659" stopIfTrue="1" operator="equal">
      <formula>"Medium"</formula>
    </cfRule>
    <cfRule type="cellIs" dxfId="469" priority="660" stopIfTrue="1" operator="equal">
      <formula>"Easy"</formula>
    </cfRule>
    <cfRule type="cellIs" dxfId="468" priority="667" stopIfTrue="1" operator="equal">
      <formula>"Hard"</formula>
    </cfRule>
    <cfRule type="cellIs" dxfId="467" priority="668" stopIfTrue="1" operator="equal">
      <formula>"Medium"</formula>
    </cfRule>
    <cfRule type="cellIs" dxfId="466" priority="669" stopIfTrue="1" operator="equal">
      <formula>"Easy"</formula>
    </cfRule>
    <cfRule type="cellIs" dxfId="465" priority="676" stopIfTrue="1" operator="equal">
      <formula>"Hard"</formula>
    </cfRule>
    <cfRule type="cellIs" dxfId="464" priority="677" stopIfTrue="1" operator="equal">
      <formula>"Medium"</formula>
    </cfRule>
    <cfRule type="cellIs" dxfId="463" priority="678" stopIfTrue="1" operator="equal">
      <formula>"Easy"</formula>
    </cfRule>
    <cfRule type="cellIs" dxfId="462" priority="685" stopIfTrue="1" operator="equal">
      <formula>"Hard"</formula>
    </cfRule>
    <cfRule type="cellIs" dxfId="461" priority="686" stopIfTrue="1" operator="equal">
      <formula>"Medium"</formula>
    </cfRule>
    <cfRule type="cellIs" dxfId="460" priority="687" stopIfTrue="1" operator="equal">
      <formula>"Easy"</formula>
    </cfRule>
    <cfRule type="cellIs" dxfId="459" priority="694" stopIfTrue="1" operator="equal">
      <formula>"Hard"</formula>
    </cfRule>
    <cfRule type="cellIs" dxfId="458" priority="695" stopIfTrue="1" operator="equal">
      <formula>"Medium"</formula>
    </cfRule>
    <cfRule type="cellIs" dxfId="457" priority="696" stopIfTrue="1" operator="equal">
      <formula>"Easy"</formula>
    </cfRule>
    <cfRule type="cellIs" dxfId="456" priority="703" stopIfTrue="1" operator="equal">
      <formula>"Hard"</formula>
    </cfRule>
    <cfRule type="cellIs" dxfId="455" priority="704" stopIfTrue="1" operator="equal">
      <formula>"Medium"</formula>
    </cfRule>
    <cfRule type="cellIs" dxfId="454" priority="705" stopIfTrue="1" operator="equal">
      <formula>"Easy"</formula>
    </cfRule>
    <cfRule type="cellIs" dxfId="453" priority="712" stopIfTrue="1" operator="equal">
      <formula>"Hard"</formula>
    </cfRule>
    <cfRule type="cellIs" dxfId="452" priority="713" stopIfTrue="1" operator="equal">
      <formula>"Medium"</formula>
    </cfRule>
    <cfRule type="cellIs" dxfId="451" priority="714" stopIfTrue="1" operator="equal">
      <formula>"Easy"</formula>
    </cfRule>
    <cfRule type="cellIs" dxfId="450" priority="721" stopIfTrue="1" operator="equal">
      <formula>"Hard"</formula>
    </cfRule>
    <cfRule type="cellIs" dxfId="449" priority="722" stopIfTrue="1" operator="equal">
      <formula>"Medium"</formula>
    </cfRule>
    <cfRule type="cellIs" dxfId="448" priority="723" stopIfTrue="1" operator="equal">
      <formula>"Easy"</formula>
    </cfRule>
    <cfRule type="cellIs" dxfId="447" priority="730" stopIfTrue="1" operator="equal">
      <formula>"Hard"</formula>
    </cfRule>
    <cfRule type="cellIs" dxfId="446" priority="731" stopIfTrue="1" operator="equal">
      <formula>"Medium"</formula>
    </cfRule>
    <cfRule type="cellIs" dxfId="445" priority="732" stopIfTrue="1" operator="equal">
      <formula>"Easy"</formula>
    </cfRule>
  </conditionalFormatting>
  <conditionalFormatting sqref="E1:E2 I1:I4 K1:O4 A2 D2 F2:G2 H2:H4 J2:J4">
    <cfRule type="cellIs" dxfId="444" priority="512" stopIfTrue="1" operator="equal">
      <formula>"No"</formula>
    </cfRule>
    <cfRule type="cellIs" dxfId="443" priority="513" stopIfTrue="1" operator="equal">
      <formula>"Yes"</formula>
    </cfRule>
    <cfRule type="cellIs" dxfId="442" priority="521" stopIfTrue="1" operator="equal">
      <formula>"No"</formula>
    </cfRule>
    <cfRule type="cellIs" dxfId="441" priority="522" stopIfTrue="1" operator="equal">
      <formula>"Yes"</formula>
    </cfRule>
    <cfRule type="cellIs" dxfId="440" priority="530" stopIfTrue="1" operator="equal">
      <formula>"No"</formula>
    </cfRule>
    <cfRule type="cellIs" dxfId="439" priority="531" stopIfTrue="1" operator="equal">
      <formula>"Yes"</formula>
    </cfRule>
    <cfRule type="cellIs" dxfId="438" priority="539" stopIfTrue="1" operator="equal">
      <formula>"No"</formula>
    </cfRule>
    <cfRule type="cellIs" dxfId="437" priority="540" stopIfTrue="1" operator="equal">
      <formula>"Yes"</formula>
    </cfRule>
    <cfRule type="cellIs" dxfId="436" priority="548" stopIfTrue="1" operator="equal">
      <formula>"No"</formula>
    </cfRule>
    <cfRule type="cellIs" dxfId="435" priority="549" stopIfTrue="1" operator="equal">
      <formula>"Yes"</formula>
    </cfRule>
    <cfRule type="cellIs" dxfId="434" priority="557" stopIfTrue="1" operator="equal">
      <formula>"No"</formula>
    </cfRule>
    <cfRule type="cellIs" dxfId="433" priority="558" stopIfTrue="1" operator="equal">
      <formula>"Yes"</formula>
    </cfRule>
    <cfRule type="cellIs" dxfId="432" priority="566" stopIfTrue="1" operator="equal">
      <formula>"No"</formula>
    </cfRule>
    <cfRule type="cellIs" dxfId="431" priority="567" stopIfTrue="1" operator="equal">
      <formula>"Yes"</formula>
    </cfRule>
    <cfRule type="cellIs" dxfId="430" priority="575" stopIfTrue="1" operator="equal">
      <formula>"No"</formula>
    </cfRule>
    <cfRule type="cellIs" dxfId="429" priority="576" stopIfTrue="1" operator="equal">
      <formula>"Yes"</formula>
    </cfRule>
    <cfRule type="cellIs" dxfId="428" priority="584" stopIfTrue="1" operator="equal">
      <formula>"No"</formula>
    </cfRule>
    <cfRule type="cellIs" dxfId="427" priority="585" stopIfTrue="1" operator="equal">
      <formula>"Yes"</formula>
    </cfRule>
    <cfRule type="cellIs" dxfId="426" priority="593" stopIfTrue="1" operator="equal">
      <formula>"No"</formula>
    </cfRule>
    <cfRule type="cellIs" dxfId="425" priority="594" stopIfTrue="1" operator="equal">
      <formula>"Yes"</formula>
    </cfRule>
    <cfRule type="cellIs" dxfId="424" priority="602" stopIfTrue="1" operator="equal">
      <formula>"No"</formula>
    </cfRule>
    <cfRule type="cellIs" dxfId="423" priority="603" stopIfTrue="1" operator="equal">
      <formula>"Yes"</formula>
    </cfRule>
    <cfRule type="cellIs" dxfId="422" priority="611" stopIfTrue="1" operator="equal">
      <formula>"No"</formula>
    </cfRule>
    <cfRule type="cellIs" dxfId="421" priority="612" stopIfTrue="1" operator="equal">
      <formula>"Yes"</formula>
    </cfRule>
    <cfRule type="cellIs" dxfId="420" priority="620" stopIfTrue="1" operator="equal">
      <formula>"No"</formula>
    </cfRule>
    <cfRule type="cellIs" dxfId="419" priority="621" stopIfTrue="1" operator="equal">
      <formula>"Yes"</formula>
    </cfRule>
    <cfRule type="cellIs" dxfId="418" priority="629" stopIfTrue="1" operator="equal">
      <formula>"No"</formula>
    </cfRule>
    <cfRule type="cellIs" dxfId="417" priority="630" stopIfTrue="1" operator="equal">
      <formula>"Yes"</formula>
    </cfRule>
    <cfRule type="cellIs" dxfId="416" priority="638" stopIfTrue="1" operator="equal">
      <formula>"No"</formula>
    </cfRule>
    <cfRule type="cellIs" dxfId="415" priority="639" stopIfTrue="1" operator="equal">
      <formula>"Yes"</formula>
    </cfRule>
    <cfRule type="cellIs" dxfId="414" priority="647" stopIfTrue="1" operator="equal">
      <formula>"No"</formula>
    </cfRule>
    <cfRule type="cellIs" dxfId="413" priority="648" stopIfTrue="1" operator="equal">
      <formula>"Yes"</formula>
    </cfRule>
    <cfRule type="cellIs" dxfId="412" priority="656" stopIfTrue="1" operator="equal">
      <formula>"No"</formula>
    </cfRule>
    <cfRule type="cellIs" dxfId="411" priority="657" stopIfTrue="1" operator="equal">
      <formula>"Yes"</formula>
    </cfRule>
    <cfRule type="cellIs" dxfId="410" priority="665" stopIfTrue="1" operator="equal">
      <formula>"No"</formula>
    </cfRule>
    <cfRule type="cellIs" dxfId="409" priority="666" stopIfTrue="1" operator="equal">
      <formula>"Yes"</formula>
    </cfRule>
    <cfRule type="cellIs" dxfId="408" priority="674" stopIfTrue="1" operator="equal">
      <formula>"No"</formula>
    </cfRule>
    <cfRule type="cellIs" dxfId="407" priority="675" stopIfTrue="1" operator="equal">
      <formula>"Yes"</formula>
    </cfRule>
    <cfRule type="cellIs" dxfId="406" priority="683" stopIfTrue="1" operator="equal">
      <formula>"No"</formula>
    </cfRule>
    <cfRule type="cellIs" dxfId="405" priority="684" stopIfTrue="1" operator="equal">
      <formula>"Yes"</formula>
    </cfRule>
    <cfRule type="cellIs" dxfId="404" priority="692" stopIfTrue="1" operator="equal">
      <formula>"No"</formula>
    </cfRule>
    <cfRule type="cellIs" dxfId="403" priority="693" stopIfTrue="1" operator="equal">
      <formula>"Yes"</formula>
    </cfRule>
    <cfRule type="cellIs" dxfId="402" priority="701" stopIfTrue="1" operator="equal">
      <formula>"No"</formula>
    </cfRule>
    <cfRule type="cellIs" dxfId="401" priority="702" stopIfTrue="1" operator="equal">
      <formula>"Yes"</formula>
    </cfRule>
    <cfRule type="cellIs" dxfId="400" priority="710" stopIfTrue="1" operator="equal">
      <formula>"No"</formula>
    </cfRule>
    <cfRule type="cellIs" dxfId="399" priority="711" stopIfTrue="1" operator="equal">
      <formula>"Yes"</formula>
    </cfRule>
    <cfRule type="cellIs" dxfId="398" priority="719" stopIfTrue="1" operator="equal">
      <formula>"No"</formula>
    </cfRule>
    <cfRule type="cellIs" dxfId="397" priority="720" stopIfTrue="1" operator="equal">
      <formula>"Yes"</formula>
    </cfRule>
    <cfRule type="cellIs" dxfId="396" priority="728" stopIfTrue="1" operator="equal">
      <formula>"No"</formula>
    </cfRule>
    <cfRule type="cellIs" dxfId="395" priority="729" stopIfTrue="1" operator="equal">
      <formula>"Yes"</formula>
    </cfRule>
    <cfRule type="cellIs" dxfId="394" priority="737" stopIfTrue="1" operator="equal">
      <formula>"No"</formula>
    </cfRule>
    <cfRule type="cellIs" dxfId="393" priority="738" stopIfTrue="1" operator="equal">
      <formula>"Yes"</formula>
    </cfRule>
  </conditionalFormatting>
  <conditionalFormatting sqref="F1:O4 A2 D1:D2">
    <cfRule type="cellIs" dxfId="392" priority="199" stopIfTrue="1" operator="equal">
      <formula>"Hard"</formula>
    </cfRule>
    <cfRule type="cellIs" dxfId="391" priority="208" stopIfTrue="1" operator="equal">
      <formula>"Hard"</formula>
    </cfRule>
    <cfRule type="cellIs" dxfId="390" priority="217" stopIfTrue="1" operator="equal">
      <formula>"Hard"</formula>
    </cfRule>
  </conditionalFormatting>
  <conditionalFormatting sqref="F1:O3815 A2 D1:D2">
    <cfRule type="cellIs" dxfId="389" priority="154" stopIfTrue="1" operator="equal">
      <formula>"Hard"</formula>
    </cfRule>
    <cfRule type="cellIs" dxfId="388" priority="163" stopIfTrue="1" operator="equal">
      <formula>"Hard"</formula>
    </cfRule>
    <cfRule type="cellIs" dxfId="387" priority="172" stopIfTrue="1" operator="equal">
      <formula>"Hard"</formula>
    </cfRule>
    <cfRule type="cellIs" dxfId="386" priority="181" stopIfTrue="1" operator="equal">
      <formula>"Hard"</formula>
    </cfRule>
    <cfRule type="cellIs" dxfId="385" priority="190" stopIfTrue="1" operator="equal">
      <formula>"Hard"</formula>
    </cfRule>
  </conditionalFormatting>
  <conditionalFormatting sqref="F1:O3815 D1:D2 A2">
    <cfRule type="cellIs" dxfId="384" priority="145" stopIfTrue="1" operator="equal">
      <formula>"Hard"</formula>
    </cfRule>
  </conditionalFormatting>
  <conditionalFormatting sqref="F1:O3815">
    <cfRule type="cellIs" dxfId="383" priority="1" stopIfTrue="1" operator="equal">
      <formula>"Hard"</formula>
    </cfRule>
    <cfRule type="cellIs" dxfId="382" priority="2" stopIfTrue="1" operator="equal">
      <formula>"Medium"</formula>
    </cfRule>
    <cfRule type="cellIs" dxfId="381" priority="3" stopIfTrue="1" operator="equal">
      <formula>"Easy"</formula>
    </cfRule>
    <cfRule type="cellIs" dxfId="380" priority="10" stopIfTrue="1" operator="equal">
      <formula>"Hard"</formula>
    </cfRule>
    <cfRule type="cellIs" dxfId="379" priority="11" stopIfTrue="1" operator="equal">
      <formula>"Medium"</formula>
    </cfRule>
    <cfRule type="cellIs" dxfId="378" priority="12" stopIfTrue="1" operator="equal">
      <formula>"Easy"</formula>
    </cfRule>
    <cfRule type="cellIs" dxfId="377" priority="37" stopIfTrue="1" operator="equal">
      <formula>"Hard"</formula>
    </cfRule>
    <cfRule type="cellIs" dxfId="376" priority="38" stopIfTrue="1" operator="equal">
      <formula>"Medium"</formula>
    </cfRule>
    <cfRule type="cellIs" dxfId="375" priority="39" stopIfTrue="1" operator="equal">
      <formula>"Easy"</formula>
    </cfRule>
    <cfRule type="cellIs" dxfId="374" priority="46" stopIfTrue="1" operator="equal">
      <formula>"Hard"</formula>
    </cfRule>
    <cfRule type="cellIs" dxfId="373" priority="47" stopIfTrue="1" operator="equal">
      <formula>"Medium"</formula>
    </cfRule>
    <cfRule type="cellIs" dxfId="372" priority="48" stopIfTrue="1" operator="equal">
      <formula>"Easy"</formula>
    </cfRule>
    <cfRule type="cellIs" dxfId="371" priority="55" stopIfTrue="1" operator="equal">
      <formula>"Hard"</formula>
    </cfRule>
    <cfRule type="cellIs" dxfId="370" priority="56" stopIfTrue="1" operator="equal">
      <formula>"Medium"</formula>
    </cfRule>
    <cfRule type="cellIs" dxfId="369" priority="57" stopIfTrue="1" operator="equal">
      <formula>"Easy"</formula>
    </cfRule>
    <cfRule type="cellIs" dxfId="368" priority="64" stopIfTrue="1" operator="equal">
      <formula>"Hard"</formula>
    </cfRule>
    <cfRule type="cellIs" dxfId="367" priority="65" stopIfTrue="1" operator="equal">
      <formula>"Medium"</formula>
    </cfRule>
    <cfRule type="cellIs" dxfId="366" priority="66" stopIfTrue="1" operator="equal">
      <formula>"Easy"</formula>
    </cfRule>
    <cfRule type="cellIs" dxfId="365" priority="73" stopIfTrue="1" operator="equal">
      <formula>"Hard"</formula>
    </cfRule>
    <cfRule type="cellIs" dxfId="364" priority="74" stopIfTrue="1" operator="equal">
      <formula>"Medium"</formula>
    </cfRule>
    <cfRule type="cellIs" dxfId="363" priority="75" stopIfTrue="1" operator="equal">
      <formula>"Easy"</formula>
    </cfRule>
    <cfRule type="cellIs" dxfId="362" priority="82" stopIfTrue="1" operator="equal">
      <formula>"Hard"</formula>
    </cfRule>
    <cfRule type="cellIs" dxfId="361" priority="83" stopIfTrue="1" operator="equal">
      <formula>"Medium"</formula>
    </cfRule>
    <cfRule type="cellIs" dxfId="360" priority="84" stopIfTrue="1" operator="equal">
      <formula>"Easy"</formula>
    </cfRule>
    <cfRule type="cellIs" dxfId="359" priority="91" stopIfTrue="1" operator="equal">
      <formula>"Hard"</formula>
    </cfRule>
    <cfRule type="cellIs" dxfId="358" priority="92" stopIfTrue="1" operator="equal">
      <formula>"Medium"</formula>
    </cfRule>
    <cfRule type="cellIs" dxfId="357" priority="93" stopIfTrue="1" operator="equal">
      <formula>"Easy"</formula>
    </cfRule>
    <cfRule type="cellIs" dxfId="356" priority="100" stopIfTrue="1" operator="equal">
      <formula>"Hard"</formula>
    </cfRule>
    <cfRule type="cellIs" dxfId="355" priority="101" stopIfTrue="1" operator="equal">
      <formula>"Medium"</formula>
    </cfRule>
    <cfRule type="cellIs" dxfId="354" priority="102" stopIfTrue="1" operator="equal">
      <formula>"Easy"</formula>
    </cfRule>
    <cfRule type="cellIs" dxfId="353" priority="109" stopIfTrue="1" operator="equal">
      <formula>"Hard"</formula>
    </cfRule>
    <cfRule type="cellIs" dxfId="352" priority="110" stopIfTrue="1" operator="equal">
      <formula>"Medium"</formula>
    </cfRule>
    <cfRule type="cellIs" dxfId="351" priority="111" stopIfTrue="1" operator="equal">
      <formula>"Easy"</formula>
    </cfRule>
    <cfRule type="cellIs" dxfId="350" priority="118" stopIfTrue="1" operator="equal">
      <formula>"Hard"</formula>
    </cfRule>
    <cfRule type="cellIs" dxfId="349" priority="119" stopIfTrue="1" operator="equal">
      <formula>"Medium"</formula>
    </cfRule>
    <cfRule type="cellIs" dxfId="348" priority="120" stopIfTrue="1" operator="equal">
      <formula>"Easy"</formula>
    </cfRule>
    <cfRule type="cellIs" dxfId="347" priority="127" stopIfTrue="1" operator="equal">
      <formula>"Hard"</formula>
    </cfRule>
    <cfRule type="cellIs" dxfId="346" priority="128" stopIfTrue="1" operator="equal">
      <formula>"Medium"</formula>
    </cfRule>
    <cfRule type="cellIs" dxfId="345" priority="129" stopIfTrue="1" operator="equal">
      <formula>"Easy"</formula>
    </cfRule>
    <cfRule type="cellIs" dxfId="344" priority="136" stopIfTrue="1" operator="equal">
      <formula>"Hard"</formula>
    </cfRule>
    <cfRule type="cellIs" dxfId="343" priority="137" stopIfTrue="1" operator="equal">
      <formula>"Medium"</formula>
    </cfRule>
    <cfRule type="cellIs" dxfId="342" priority="138" stopIfTrue="1" operator="equal">
      <formula>"Easy"</formula>
    </cfRule>
  </conditionalFormatting>
  <conditionalFormatting sqref="G4:G3815">
    <cfRule type="cellIs" dxfId="341" priority="19" stopIfTrue="1" operator="equal">
      <formula>"Hard"</formula>
    </cfRule>
    <cfRule type="cellIs" dxfId="340" priority="20" stopIfTrue="1" operator="equal">
      <formula>"Medium"</formula>
    </cfRule>
    <cfRule type="cellIs" dxfId="339" priority="21" stopIfTrue="1" operator="equal">
      <formula>"Easy"</formula>
    </cfRule>
    <cfRule type="cellIs" dxfId="338" priority="28" stopIfTrue="1" operator="equal">
      <formula>"Hard"</formula>
    </cfRule>
    <cfRule type="cellIs" dxfId="337" priority="29" stopIfTrue="1" operator="equal">
      <formula>"Medium"</formula>
    </cfRule>
    <cfRule type="cellIs" dxfId="336" priority="30" stopIfTrue="1" operator="equal">
      <formula>"Easy"</formula>
    </cfRule>
  </conditionalFormatting>
  <conditionalFormatting sqref="H1:I1 K1:O4 A2 D2 J2:J4">
    <cfRule type="cellIs" dxfId="335" priority="292" stopIfTrue="1" operator="equal">
      <formula>"No"</formula>
    </cfRule>
    <cfRule type="cellIs" dxfId="334" priority="293" stopIfTrue="1" operator="equal">
      <formula>"Yes"</formula>
    </cfRule>
    <cfRule type="cellIs" dxfId="333" priority="301" stopIfTrue="1" operator="equal">
      <formula>"No"</formula>
    </cfRule>
    <cfRule type="cellIs" dxfId="332" priority="302" stopIfTrue="1" operator="equal">
      <formula>"Yes"</formula>
    </cfRule>
    <cfRule type="cellIs" dxfId="331" priority="310" stopIfTrue="1" operator="equal">
      <formula>"No"</formula>
    </cfRule>
    <cfRule type="cellIs" dxfId="330" priority="311" stopIfTrue="1" operator="equal">
      <formula>"Yes"</formula>
    </cfRule>
    <cfRule type="cellIs" dxfId="329" priority="319" stopIfTrue="1" operator="equal">
      <formula>"No"</formula>
    </cfRule>
    <cfRule type="cellIs" dxfId="328" priority="320" stopIfTrue="1" operator="equal">
      <formula>"Yes"</formula>
    </cfRule>
    <cfRule type="cellIs" dxfId="327" priority="328" stopIfTrue="1" operator="equal">
      <formula>"No"</formula>
    </cfRule>
    <cfRule type="cellIs" dxfId="326" priority="329" stopIfTrue="1" operator="equal">
      <formula>"Yes"</formula>
    </cfRule>
    <cfRule type="cellIs" dxfId="325" priority="337" stopIfTrue="1" operator="equal">
      <formula>"No"</formula>
    </cfRule>
    <cfRule type="cellIs" dxfId="324" priority="338" stopIfTrue="1" operator="equal">
      <formula>"Yes"</formula>
    </cfRule>
    <cfRule type="cellIs" dxfId="323" priority="346" stopIfTrue="1" operator="equal">
      <formula>"No"</formula>
    </cfRule>
    <cfRule type="cellIs" dxfId="322" priority="347" stopIfTrue="1" operator="equal">
      <formula>"Yes"</formula>
    </cfRule>
    <cfRule type="cellIs" dxfId="321" priority="355" stopIfTrue="1" operator="equal">
      <formula>"No"</formula>
    </cfRule>
    <cfRule type="cellIs" dxfId="320" priority="356" stopIfTrue="1" operator="equal">
      <formula>"Yes"</formula>
    </cfRule>
    <cfRule type="cellIs" dxfId="319" priority="364" stopIfTrue="1" operator="equal">
      <formula>"No"</formula>
    </cfRule>
    <cfRule type="cellIs" dxfId="318" priority="365" stopIfTrue="1" operator="equal">
      <formula>"Yes"</formula>
    </cfRule>
    <cfRule type="cellIs" dxfId="317" priority="373" stopIfTrue="1" operator="equal">
      <formula>"No"</formula>
    </cfRule>
    <cfRule type="cellIs" dxfId="316" priority="374" stopIfTrue="1" operator="equal">
      <formula>"Yes"</formula>
    </cfRule>
    <cfRule type="cellIs" dxfId="315" priority="382" stopIfTrue="1" operator="equal">
      <formula>"No"</formula>
    </cfRule>
    <cfRule type="cellIs" dxfId="314" priority="383" stopIfTrue="1" operator="equal">
      <formula>"Yes"</formula>
    </cfRule>
    <cfRule type="cellIs" dxfId="313" priority="391" stopIfTrue="1" operator="equal">
      <formula>"No"</formula>
    </cfRule>
    <cfRule type="cellIs" dxfId="312" priority="392" stopIfTrue="1" operator="equal">
      <formula>"Yes"</formula>
    </cfRule>
    <cfRule type="cellIs" dxfId="311" priority="400" stopIfTrue="1" operator="equal">
      <formula>"No"</formula>
    </cfRule>
    <cfRule type="cellIs" dxfId="310" priority="401" stopIfTrue="1" operator="equal">
      <formula>"Yes"</formula>
    </cfRule>
    <cfRule type="cellIs" dxfId="309" priority="409" stopIfTrue="1" operator="equal">
      <formula>"No"</formula>
    </cfRule>
    <cfRule type="cellIs" dxfId="308" priority="410" stopIfTrue="1" operator="equal">
      <formula>"Yes"</formula>
    </cfRule>
    <cfRule type="cellIs" dxfId="307" priority="418" stopIfTrue="1" operator="equal">
      <formula>"No"</formula>
    </cfRule>
    <cfRule type="cellIs" dxfId="306" priority="419" stopIfTrue="1" operator="equal">
      <formula>"Yes"</formula>
    </cfRule>
    <cfRule type="cellIs" dxfId="305" priority="427" stopIfTrue="1" operator="equal">
      <formula>"No"</formula>
    </cfRule>
    <cfRule type="cellIs" dxfId="304" priority="428" stopIfTrue="1" operator="equal">
      <formula>"Yes"</formula>
    </cfRule>
    <cfRule type="cellIs" dxfId="303" priority="436" stopIfTrue="1" operator="equal">
      <formula>"No"</formula>
    </cfRule>
    <cfRule type="cellIs" dxfId="302" priority="437" stopIfTrue="1" operator="equal">
      <formula>"Yes"</formula>
    </cfRule>
    <cfRule type="cellIs" dxfId="301" priority="445" stopIfTrue="1" operator="equal">
      <formula>"No"</formula>
    </cfRule>
    <cfRule type="cellIs" dxfId="300" priority="446" stopIfTrue="1" operator="equal">
      <formula>"Yes"</formula>
    </cfRule>
    <cfRule type="cellIs" dxfId="299" priority="454" stopIfTrue="1" operator="equal">
      <formula>"No"</formula>
    </cfRule>
    <cfRule type="cellIs" dxfId="298" priority="455" stopIfTrue="1" operator="equal">
      <formula>"Yes"</formula>
    </cfRule>
    <cfRule type="cellIs" dxfId="297" priority="463" stopIfTrue="1" operator="equal">
      <formula>"No"</formula>
    </cfRule>
    <cfRule type="cellIs" dxfId="296" priority="464" stopIfTrue="1" operator="equal">
      <formula>"Yes"</formula>
    </cfRule>
    <cfRule type="cellIs" dxfId="295" priority="472" stopIfTrue="1" operator="equal">
      <formula>"No"</formula>
    </cfRule>
    <cfRule type="cellIs" dxfId="294" priority="473" stopIfTrue="1" operator="equal">
      <formula>"Yes"</formula>
    </cfRule>
    <cfRule type="cellIs" dxfId="293" priority="481" stopIfTrue="1" operator="equal">
      <formula>"No"</formula>
    </cfRule>
    <cfRule type="cellIs" dxfId="292" priority="482" stopIfTrue="1" operator="equal">
      <formula>"Yes"</formula>
    </cfRule>
    <cfRule type="cellIs" dxfId="291" priority="490" stopIfTrue="1" operator="equal">
      <formula>"No"</formula>
    </cfRule>
    <cfRule type="cellIs" dxfId="290" priority="491" stopIfTrue="1" operator="equal">
      <formula>"Yes"</formula>
    </cfRule>
    <cfRule type="cellIs" dxfId="289" priority="499" stopIfTrue="1" operator="equal">
      <formula>"No"</formula>
    </cfRule>
    <cfRule type="cellIs" dxfId="288" priority="500" stopIfTrue="1" operator="equal">
      <formula>"Yes"</formula>
    </cfRule>
  </conditionalFormatting>
  <conditionalFormatting sqref="I1 K1:O4 A2 D2 J2:J4">
    <cfRule type="cellIs" dxfId="287" priority="225" stopIfTrue="1" operator="equal">
      <formula>"Yes"</formula>
    </cfRule>
    <cfRule type="cellIs" dxfId="286" priority="234" stopIfTrue="1" operator="equal">
      <formula>"Yes"</formula>
    </cfRule>
    <cfRule type="cellIs" dxfId="285" priority="243" stopIfTrue="1" operator="equal">
      <formula>"Yes"</formula>
    </cfRule>
    <cfRule type="cellIs" dxfId="284" priority="252" stopIfTrue="1" operator="equal">
      <formula>"Yes"</formula>
    </cfRule>
    <cfRule type="cellIs" dxfId="283" priority="261" stopIfTrue="1" operator="equal">
      <formula>"Yes"</formula>
    </cfRule>
    <cfRule type="cellIs" dxfId="282" priority="270" stopIfTrue="1" operator="equal">
      <formula>"Yes"</formula>
    </cfRule>
    <cfRule type="cellIs" dxfId="281" priority="279" stopIfTrue="1" operator="equal">
      <formula>"Yes"</formula>
    </cfRule>
    <cfRule type="cellIs" dxfId="280" priority="288" stopIfTrue="1" operator="equal">
      <formula>"Yes"</formula>
    </cfRule>
  </conditionalFormatting>
  <conditionalFormatting sqref="I1:I2 K1:O4 A2 D2 J2:J4">
    <cfRule type="cellIs" dxfId="279" priority="508" stopIfTrue="1" operator="equal">
      <formula>"No"</formula>
    </cfRule>
    <cfRule type="cellIs" dxfId="278" priority="509" stopIfTrue="1" operator="equal">
      <formula>"Yes"</formula>
    </cfRule>
    <cfRule type="cellIs" dxfId="277" priority="517" stopIfTrue="1" operator="equal">
      <formula>"No"</formula>
    </cfRule>
    <cfRule type="cellIs" dxfId="276" priority="518" stopIfTrue="1" operator="equal">
      <formula>"Yes"</formula>
    </cfRule>
    <cfRule type="cellIs" dxfId="275" priority="526" stopIfTrue="1" operator="equal">
      <formula>"No"</formula>
    </cfRule>
    <cfRule type="cellIs" dxfId="274" priority="527" stopIfTrue="1" operator="equal">
      <formula>"Yes"</formula>
    </cfRule>
    <cfRule type="cellIs" dxfId="273" priority="535" stopIfTrue="1" operator="equal">
      <formula>"No"</formula>
    </cfRule>
    <cfRule type="cellIs" dxfId="272" priority="536" stopIfTrue="1" operator="equal">
      <formula>"Yes"</formula>
    </cfRule>
    <cfRule type="cellIs" dxfId="271" priority="544" stopIfTrue="1" operator="equal">
      <formula>"No"</formula>
    </cfRule>
    <cfRule type="cellIs" dxfId="270" priority="545" stopIfTrue="1" operator="equal">
      <formula>"Yes"</formula>
    </cfRule>
    <cfRule type="cellIs" dxfId="269" priority="553" stopIfTrue="1" operator="equal">
      <formula>"No"</formula>
    </cfRule>
    <cfRule type="cellIs" dxfId="268" priority="554" stopIfTrue="1" operator="equal">
      <formula>"Yes"</formula>
    </cfRule>
    <cfRule type="cellIs" dxfId="267" priority="562" stopIfTrue="1" operator="equal">
      <formula>"No"</formula>
    </cfRule>
    <cfRule type="cellIs" dxfId="266" priority="563" stopIfTrue="1" operator="equal">
      <formula>"Yes"</formula>
    </cfRule>
    <cfRule type="cellIs" dxfId="265" priority="571" stopIfTrue="1" operator="equal">
      <formula>"No"</formula>
    </cfRule>
    <cfRule type="cellIs" dxfId="264" priority="572" stopIfTrue="1" operator="equal">
      <formula>"Yes"</formula>
    </cfRule>
    <cfRule type="cellIs" dxfId="263" priority="580" stopIfTrue="1" operator="equal">
      <formula>"No"</formula>
    </cfRule>
    <cfRule type="cellIs" dxfId="262" priority="581" stopIfTrue="1" operator="equal">
      <formula>"Yes"</formula>
    </cfRule>
    <cfRule type="cellIs" dxfId="261" priority="589" stopIfTrue="1" operator="equal">
      <formula>"No"</formula>
    </cfRule>
    <cfRule type="cellIs" dxfId="260" priority="590" stopIfTrue="1" operator="equal">
      <formula>"Yes"</formula>
    </cfRule>
    <cfRule type="cellIs" dxfId="259" priority="598" stopIfTrue="1" operator="equal">
      <formula>"No"</formula>
    </cfRule>
    <cfRule type="cellIs" dxfId="258" priority="599" stopIfTrue="1" operator="equal">
      <formula>"Yes"</formula>
    </cfRule>
    <cfRule type="cellIs" dxfId="257" priority="607" stopIfTrue="1" operator="equal">
      <formula>"No"</formula>
    </cfRule>
    <cfRule type="cellIs" dxfId="256" priority="608" stopIfTrue="1" operator="equal">
      <formula>"Yes"</formula>
    </cfRule>
    <cfRule type="cellIs" dxfId="255" priority="616" stopIfTrue="1" operator="equal">
      <formula>"No"</formula>
    </cfRule>
    <cfRule type="cellIs" dxfId="254" priority="617" stopIfTrue="1" operator="equal">
      <formula>"Yes"</formula>
    </cfRule>
    <cfRule type="cellIs" dxfId="253" priority="625" stopIfTrue="1" operator="equal">
      <formula>"No"</formula>
    </cfRule>
    <cfRule type="cellIs" dxfId="252" priority="626" stopIfTrue="1" operator="equal">
      <formula>"Yes"</formula>
    </cfRule>
    <cfRule type="cellIs" dxfId="251" priority="634" stopIfTrue="1" operator="equal">
      <formula>"No"</formula>
    </cfRule>
    <cfRule type="cellIs" dxfId="250" priority="635" stopIfTrue="1" operator="equal">
      <formula>"Yes"</formula>
    </cfRule>
    <cfRule type="cellIs" dxfId="249" priority="643" stopIfTrue="1" operator="equal">
      <formula>"No"</formula>
    </cfRule>
    <cfRule type="cellIs" dxfId="248" priority="644" stopIfTrue="1" operator="equal">
      <formula>"Yes"</formula>
    </cfRule>
    <cfRule type="cellIs" dxfId="247" priority="652" stopIfTrue="1" operator="equal">
      <formula>"No"</formula>
    </cfRule>
    <cfRule type="cellIs" dxfId="246" priority="653" stopIfTrue="1" operator="equal">
      <formula>"Yes"</formula>
    </cfRule>
    <cfRule type="cellIs" dxfId="245" priority="661" stopIfTrue="1" operator="equal">
      <formula>"No"</formula>
    </cfRule>
    <cfRule type="cellIs" dxfId="244" priority="662" stopIfTrue="1" operator="equal">
      <formula>"Yes"</formula>
    </cfRule>
    <cfRule type="cellIs" dxfId="243" priority="670" stopIfTrue="1" operator="equal">
      <formula>"No"</formula>
    </cfRule>
    <cfRule type="cellIs" dxfId="242" priority="671" stopIfTrue="1" operator="equal">
      <formula>"Yes"</formula>
    </cfRule>
    <cfRule type="cellIs" dxfId="241" priority="679" stopIfTrue="1" operator="equal">
      <formula>"No"</formula>
    </cfRule>
    <cfRule type="cellIs" dxfId="240" priority="680" stopIfTrue="1" operator="equal">
      <formula>"Yes"</formula>
    </cfRule>
    <cfRule type="cellIs" dxfId="239" priority="688" stopIfTrue="1" operator="equal">
      <formula>"No"</formula>
    </cfRule>
    <cfRule type="cellIs" dxfId="238" priority="689" stopIfTrue="1" operator="equal">
      <formula>"Yes"</formula>
    </cfRule>
    <cfRule type="cellIs" dxfId="237" priority="697" stopIfTrue="1" operator="equal">
      <formula>"No"</formula>
    </cfRule>
    <cfRule type="cellIs" dxfId="236" priority="698" stopIfTrue="1" operator="equal">
      <formula>"Yes"</formula>
    </cfRule>
    <cfRule type="cellIs" dxfId="235" priority="706" stopIfTrue="1" operator="equal">
      <formula>"No"</formula>
    </cfRule>
    <cfRule type="cellIs" dxfId="234" priority="707" stopIfTrue="1" operator="equal">
      <formula>"Yes"</formula>
    </cfRule>
    <cfRule type="cellIs" dxfId="233" priority="715" stopIfTrue="1" operator="equal">
      <formula>"No"</formula>
    </cfRule>
    <cfRule type="cellIs" dxfId="232" priority="716" stopIfTrue="1" operator="equal">
      <formula>"Yes"</formula>
    </cfRule>
    <cfRule type="cellIs" dxfId="231" priority="724" stopIfTrue="1" operator="equal">
      <formula>"No"</formula>
    </cfRule>
    <cfRule type="cellIs" dxfId="230" priority="725" stopIfTrue="1" operator="equal">
      <formula>"Yes"</formula>
    </cfRule>
    <cfRule type="cellIs" dxfId="229" priority="733" stopIfTrue="1" operator="equal">
      <formula>"No"</formula>
    </cfRule>
    <cfRule type="cellIs" dxfId="228" priority="734" stopIfTrue="1" operator="equal">
      <formula>"Yes"</formula>
    </cfRule>
  </conditionalFormatting>
  <conditionalFormatting sqref="I1:I4 K1:O4 A2 D2:E2 G2:H2 J2:J4">
    <cfRule type="cellIs" dxfId="227" priority="511" stopIfTrue="1" operator="equal">
      <formula>"Yes"</formula>
    </cfRule>
    <cfRule type="cellIs" dxfId="226" priority="520" stopIfTrue="1" operator="equal">
      <formula>"Yes"</formula>
    </cfRule>
    <cfRule type="cellIs" dxfId="225" priority="529" stopIfTrue="1" operator="equal">
      <formula>"Yes"</formula>
    </cfRule>
    <cfRule type="cellIs" dxfId="224" priority="538" stopIfTrue="1" operator="equal">
      <formula>"Yes"</formula>
    </cfRule>
    <cfRule type="cellIs" dxfId="223" priority="547" stopIfTrue="1" operator="equal">
      <formula>"Yes"</formula>
    </cfRule>
    <cfRule type="cellIs" dxfId="222" priority="556" stopIfTrue="1" operator="equal">
      <formula>"Yes"</formula>
    </cfRule>
    <cfRule type="cellIs" dxfId="221" priority="565" stopIfTrue="1" operator="equal">
      <formula>"Yes"</formula>
    </cfRule>
    <cfRule type="cellIs" dxfId="220" priority="574" stopIfTrue="1" operator="equal">
      <formula>"Yes"</formula>
    </cfRule>
    <cfRule type="cellIs" dxfId="219" priority="583" stopIfTrue="1" operator="equal">
      <formula>"Yes"</formula>
    </cfRule>
    <cfRule type="cellIs" dxfId="218" priority="592" stopIfTrue="1" operator="equal">
      <formula>"Yes"</formula>
    </cfRule>
    <cfRule type="cellIs" dxfId="217" priority="601" stopIfTrue="1" operator="equal">
      <formula>"Yes"</formula>
    </cfRule>
    <cfRule type="cellIs" dxfId="216" priority="610" stopIfTrue="1" operator="equal">
      <formula>"Yes"</formula>
    </cfRule>
    <cfRule type="cellIs" dxfId="215" priority="619" stopIfTrue="1" operator="equal">
      <formula>"Yes"</formula>
    </cfRule>
    <cfRule type="cellIs" dxfId="214" priority="628" stopIfTrue="1" operator="equal">
      <formula>"Yes"</formula>
    </cfRule>
    <cfRule type="cellIs" dxfId="213" priority="637" stopIfTrue="1" operator="equal">
      <formula>"Yes"</formula>
    </cfRule>
    <cfRule type="cellIs" dxfId="212" priority="646" stopIfTrue="1" operator="equal">
      <formula>"Yes"</formula>
    </cfRule>
    <cfRule type="cellIs" dxfId="211" priority="655" stopIfTrue="1" operator="equal">
      <formula>"Yes"</formula>
    </cfRule>
    <cfRule type="cellIs" dxfId="210" priority="664" stopIfTrue="1" operator="equal">
      <formula>"Yes"</formula>
    </cfRule>
    <cfRule type="cellIs" dxfId="209" priority="673" stopIfTrue="1" operator="equal">
      <formula>"Yes"</formula>
    </cfRule>
    <cfRule type="cellIs" dxfId="208" priority="682" stopIfTrue="1" operator="equal">
      <formula>"Yes"</formula>
    </cfRule>
    <cfRule type="cellIs" dxfId="207" priority="691" stopIfTrue="1" operator="equal">
      <formula>"Yes"</formula>
    </cfRule>
    <cfRule type="cellIs" dxfId="206" priority="700" stopIfTrue="1" operator="equal">
      <formula>"Yes"</formula>
    </cfRule>
    <cfRule type="cellIs" dxfId="205" priority="709" stopIfTrue="1" operator="equal">
      <formula>"Yes"</formula>
    </cfRule>
    <cfRule type="cellIs" dxfId="204" priority="718" stopIfTrue="1" operator="equal">
      <formula>"Yes"</formula>
    </cfRule>
    <cfRule type="cellIs" dxfId="203" priority="727" stopIfTrue="1" operator="equal">
      <formula>"Yes"</formula>
    </cfRule>
    <cfRule type="cellIs" dxfId="202" priority="736" stopIfTrue="1" operator="equal">
      <formula>"Yes"</formula>
    </cfRule>
  </conditionalFormatting>
  <conditionalFormatting sqref="I1:I4 K1:O4 A2 D2:E2 J2:J4 G2:H2">
    <cfRule type="cellIs" dxfId="201" priority="510" stopIfTrue="1" operator="equal">
      <formula>"No"</formula>
    </cfRule>
    <cfRule type="cellIs" dxfId="200" priority="519" stopIfTrue="1" operator="equal">
      <formula>"No"</formula>
    </cfRule>
    <cfRule type="cellIs" dxfId="199" priority="528" stopIfTrue="1" operator="equal">
      <formula>"No"</formula>
    </cfRule>
    <cfRule type="cellIs" dxfId="198" priority="537" stopIfTrue="1" operator="equal">
      <formula>"No"</formula>
    </cfRule>
    <cfRule type="cellIs" dxfId="197" priority="546" stopIfTrue="1" operator="equal">
      <formula>"No"</formula>
    </cfRule>
    <cfRule type="cellIs" dxfId="196" priority="555" stopIfTrue="1" operator="equal">
      <formula>"No"</formula>
    </cfRule>
    <cfRule type="cellIs" dxfId="195" priority="564" stopIfTrue="1" operator="equal">
      <formula>"No"</formula>
    </cfRule>
    <cfRule type="cellIs" dxfId="194" priority="573" stopIfTrue="1" operator="equal">
      <formula>"No"</formula>
    </cfRule>
    <cfRule type="cellIs" dxfId="193" priority="582" stopIfTrue="1" operator="equal">
      <formula>"No"</formula>
    </cfRule>
    <cfRule type="cellIs" dxfId="192" priority="591" stopIfTrue="1" operator="equal">
      <formula>"No"</formula>
    </cfRule>
    <cfRule type="cellIs" dxfId="191" priority="600" stopIfTrue="1" operator="equal">
      <formula>"No"</formula>
    </cfRule>
    <cfRule type="cellIs" dxfId="190" priority="609" stopIfTrue="1" operator="equal">
      <formula>"No"</formula>
    </cfRule>
    <cfRule type="cellIs" dxfId="189" priority="618" stopIfTrue="1" operator="equal">
      <formula>"No"</formula>
    </cfRule>
    <cfRule type="cellIs" dxfId="188" priority="627" stopIfTrue="1" operator="equal">
      <formula>"No"</formula>
    </cfRule>
    <cfRule type="cellIs" dxfId="187" priority="636" stopIfTrue="1" operator="equal">
      <formula>"No"</formula>
    </cfRule>
    <cfRule type="cellIs" dxfId="186" priority="645" stopIfTrue="1" operator="equal">
      <formula>"No"</formula>
    </cfRule>
    <cfRule type="cellIs" dxfId="185" priority="654" stopIfTrue="1" operator="equal">
      <formula>"No"</formula>
    </cfRule>
    <cfRule type="cellIs" dxfId="184" priority="663" stopIfTrue="1" operator="equal">
      <formula>"No"</formula>
    </cfRule>
    <cfRule type="cellIs" dxfId="183" priority="672" stopIfTrue="1" operator="equal">
      <formula>"No"</formula>
    </cfRule>
    <cfRule type="cellIs" dxfId="182" priority="681" stopIfTrue="1" operator="equal">
      <formula>"No"</formula>
    </cfRule>
    <cfRule type="cellIs" dxfId="181" priority="690" stopIfTrue="1" operator="equal">
      <formula>"No"</formula>
    </cfRule>
    <cfRule type="cellIs" dxfId="180" priority="699" stopIfTrue="1" operator="equal">
      <formula>"No"</formula>
    </cfRule>
    <cfRule type="cellIs" dxfId="179" priority="708" stopIfTrue="1" operator="equal">
      <formula>"No"</formula>
    </cfRule>
    <cfRule type="cellIs" dxfId="178" priority="717" stopIfTrue="1" operator="equal">
      <formula>"No"</formula>
    </cfRule>
    <cfRule type="cellIs" dxfId="177" priority="726" stopIfTrue="1" operator="equal">
      <formula>"No"</formula>
    </cfRule>
    <cfRule type="cellIs" dxfId="176" priority="735" stopIfTrue="1" operator="equal">
      <formula>"No"</formula>
    </cfRule>
  </conditionalFormatting>
  <conditionalFormatting sqref="J4:L3815">
    <cfRule type="cellIs" dxfId="175" priority="22" stopIfTrue="1" operator="equal">
      <formula>"No"</formula>
    </cfRule>
    <cfRule type="cellIs" dxfId="174" priority="23" stopIfTrue="1" operator="equal">
      <formula>"Yes"</formula>
    </cfRule>
    <cfRule type="cellIs" dxfId="173" priority="31" stopIfTrue="1" operator="equal">
      <formula>"No"</formula>
    </cfRule>
    <cfRule type="cellIs" dxfId="172" priority="32" stopIfTrue="1" operator="equal">
      <formula>"Yes"</formula>
    </cfRule>
  </conditionalFormatting>
  <conditionalFormatting sqref="J1:O4 A2">
    <cfRule type="cellIs" dxfId="171" priority="206" stopIfTrue="1" operator="equal">
      <formula>"No"</formula>
    </cfRule>
    <cfRule type="cellIs" dxfId="170" priority="207" stopIfTrue="1" operator="equal">
      <formula>"Yes"</formula>
    </cfRule>
    <cfRule type="cellIs" dxfId="169" priority="215" stopIfTrue="1" operator="equal">
      <formula>"No"</formula>
    </cfRule>
    <cfRule type="cellIs" dxfId="168" priority="216" stopIfTrue="1" operator="equal">
      <formula>"Yes"</formula>
    </cfRule>
  </conditionalFormatting>
  <conditionalFormatting sqref="J1:O3815 A2">
    <cfRule type="cellIs" dxfId="167" priority="152" stopIfTrue="1" operator="equal">
      <formula>"No"</formula>
    </cfRule>
    <cfRule type="cellIs" dxfId="166" priority="153" stopIfTrue="1" operator="equal">
      <formula>"Yes"</formula>
    </cfRule>
    <cfRule type="cellIs" dxfId="165" priority="161" stopIfTrue="1" operator="equal">
      <formula>"No"</formula>
    </cfRule>
    <cfRule type="cellIs" dxfId="164" priority="162" stopIfTrue="1" operator="equal">
      <formula>"Yes"</formula>
    </cfRule>
    <cfRule type="cellIs" dxfId="163" priority="170" stopIfTrue="1" operator="equal">
      <formula>"No"</formula>
    </cfRule>
    <cfRule type="cellIs" dxfId="162" priority="171" stopIfTrue="1" operator="equal">
      <formula>"Yes"</formula>
    </cfRule>
    <cfRule type="cellIs" dxfId="161" priority="179" stopIfTrue="1" operator="equal">
      <formula>"No"</formula>
    </cfRule>
    <cfRule type="cellIs" dxfId="160" priority="180" stopIfTrue="1" operator="equal">
      <formula>"Yes"</formula>
    </cfRule>
    <cfRule type="cellIs" dxfId="159" priority="188" stopIfTrue="1" operator="equal">
      <formula>"No"</formula>
    </cfRule>
    <cfRule type="cellIs" dxfId="158" priority="189" stopIfTrue="1" operator="equal">
      <formula>"Yes"</formula>
    </cfRule>
    <cfRule type="cellIs" dxfId="157" priority="197" stopIfTrue="1" operator="equal">
      <formula>"No"</formula>
    </cfRule>
    <cfRule type="cellIs" dxfId="156" priority="198" stopIfTrue="1" operator="equal">
      <formula>"Yes"</formula>
    </cfRule>
  </conditionalFormatting>
  <conditionalFormatting sqref="J1:O3815">
    <cfRule type="cellIs" dxfId="155" priority="8" stopIfTrue="1" operator="equal">
      <formula>"No"</formula>
    </cfRule>
    <cfRule type="cellIs" dxfId="154" priority="9" stopIfTrue="1" operator="equal">
      <formula>"Yes"</formula>
    </cfRule>
    <cfRule type="cellIs" dxfId="153" priority="17" stopIfTrue="1" operator="equal">
      <formula>"No"</formula>
    </cfRule>
    <cfRule type="cellIs" dxfId="152" priority="18" stopIfTrue="1" operator="equal">
      <formula>"Yes"</formula>
    </cfRule>
    <cfRule type="cellIs" dxfId="151" priority="44" stopIfTrue="1" operator="equal">
      <formula>"No"</formula>
    </cfRule>
    <cfRule type="cellIs" dxfId="150" priority="45" stopIfTrue="1" operator="equal">
      <formula>"Yes"</formula>
    </cfRule>
    <cfRule type="cellIs" dxfId="149" priority="53" stopIfTrue="1" operator="equal">
      <formula>"No"</formula>
    </cfRule>
    <cfRule type="cellIs" dxfId="148" priority="54" stopIfTrue="1" operator="equal">
      <formula>"Yes"</formula>
    </cfRule>
    <cfRule type="cellIs" dxfId="147" priority="62" stopIfTrue="1" operator="equal">
      <formula>"No"</formula>
    </cfRule>
    <cfRule type="cellIs" dxfId="146" priority="63" stopIfTrue="1" operator="equal">
      <formula>"Yes"</formula>
    </cfRule>
    <cfRule type="cellIs" dxfId="145" priority="71" stopIfTrue="1" operator="equal">
      <formula>"No"</formula>
    </cfRule>
    <cfRule type="cellIs" dxfId="144" priority="72" stopIfTrue="1" operator="equal">
      <formula>"Yes"</formula>
    </cfRule>
    <cfRule type="cellIs" dxfId="143" priority="80" stopIfTrue="1" operator="equal">
      <formula>"No"</formula>
    </cfRule>
    <cfRule type="cellIs" dxfId="142" priority="81" stopIfTrue="1" operator="equal">
      <formula>"Yes"</formula>
    </cfRule>
    <cfRule type="cellIs" dxfId="141" priority="89" stopIfTrue="1" operator="equal">
      <formula>"No"</formula>
    </cfRule>
    <cfRule type="cellIs" dxfId="140" priority="90" stopIfTrue="1" operator="equal">
      <formula>"Yes"</formula>
    </cfRule>
    <cfRule type="cellIs" dxfId="139" priority="98" stopIfTrue="1" operator="equal">
      <formula>"No"</formula>
    </cfRule>
    <cfRule type="cellIs" dxfId="138" priority="99" stopIfTrue="1" operator="equal">
      <formula>"Yes"</formula>
    </cfRule>
    <cfRule type="cellIs" dxfId="137" priority="107" stopIfTrue="1" operator="equal">
      <formula>"No"</formula>
    </cfRule>
    <cfRule type="cellIs" dxfId="136" priority="108" stopIfTrue="1" operator="equal">
      <formula>"Yes"</formula>
    </cfRule>
    <cfRule type="cellIs" dxfId="135" priority="116" stopIfTrue="1" operator="equal">
      <formula>"No"</formula>
    </cfRule>
    <cfRule type="cellIs" dxfId="134" priority="117" stopIfTrue="1" operator="equal">
      <formula>"Yes"</formula>
    </cfRule>
    <cfRule type="cellIs" dxfId="133" priority="125" stopIfTrue="1" operator="equal">
      <formula>"No"</formula>
    </cfRule>
    <cfRule type="cellIs" dxfId="132" priority="126" stopIfTrue="1" operator="equal">
      <formula>"Yes"</formula>
    </cfRule>
    <cfRule type="cellIs" dxfId="131" priority="134" stopIfTrue="1" operator="equal">
      <formula>"No"</formula>
    </cfRule>
    <cfRule type="cellIs" dxfId="130" priority="135" stopIfTrue="1" operator="equal">
      <formula>"Yes"</formula>
    </cfRule>
    <cfRule type="cellIs" dxfId="129" priority="143" stopIfTrue="1" operator="equal">
      <formula>"No"</formula>
    </cfRule>
    <cfRule type="cellIs" dxfId="128" priority="144" stopIfTrue="1" operator="equal">
      <formula>"Yes"</formula>
    </cfRule>
  </conditionalFormatting>
  <conditionalFormatting sqref="K1:O4 A2 I1 D2 J2:J4">
    <cfRule type="cellIs" dxfId="127" priority="224" stopIfTrue="1" operator="equal">
      <formula>"No"</formula>
    </cfRule>
    <cfRule type="cellIs" dxfId="126" priority="233" stopIfTrue="1" operator="equal">
      <formula>"No"</formula>
    </cfRule>
    <cfRule type="cellIs" dxfId="125" priority="242" stopIfTrue="1" operator="equal">
      <formula>"No"</formula>
    </cfRule>
    <cfRule type="cellIs" dxfId="124" priority="251" stopIfTrue="1" operator="equal">
      <formula>"No"</formula>
    </cfRule>
    <cfRule type="cellIs" dxfId="123" priority="260" stopIfTrue="1" operator="equal">
      <formula>"No"</formula>
    </cfRule>
    <cfRule type="cellIs" dxfId="122" priority="269" stopIfTrue="1" operator="equal">
      <formula>"No"</formula>
    </cfRule>
    <cfRule type="cellIs" dxfId="121" priority="278" stopIfTrue="1" operator="equal">
      <formula>"No"</formula>
    </cfRule>
    <cfRule type="cellIs" dxfId="120" priority="287" stopIfTrue="1" operator="equal">
      <formula>"No"</formula>
    </cfRule>
  </conditionalFormatting>
  <conditionalFormatting sqref="K1:O4 A2">
    <cfRule type="cellIs" dxfId="119" priority="204" stopIfTrue="1" operator="equal">
      <formula>"No"</formula>
    </cfRule>
    <cfRule type="cellIs" dxfId="118" priority="205" stopIfTrue="1" operator="equal">
      <formula>"Yes"</formula>
    </cfRule>
    <cfRule type="cellIs" dxfId="117" priority="213" stopIfTrue="1" operator="equal">
      <formula>"No"</formula>
    </cfRule>
    <cfRule type="cellIs" dxfId="116" priority="214" stopIfTrue="1" operator="equal">
      <formula>"Yes"</formula>
    </cfRule>
    <cfRule type="cellIs" dxfId="115" priority="222" stopIfTrue="1" operator="equal">
      <formula>"No"</formula>
    </cfRule>
    <cfRule type="cellIs" dxfId="114" priority="223" stopIfTrue="1" operator="equal">
      <formula>"Yes"</formula>
    </cfRule>
    <cfRule type="cellIs" dxfId="113" priority="231" stopIfTrue="1" operator="equal">
      <formula>"No"</formula>
    </cfRule>
    <cfRule type="cellIs" dxfId="112" priority="232" stopIfTrue="1" operator="equal">
      <formula>"Yes"</formula>
    </cfRule>
    <cfRule type="cellIs" dxfId="111" priority="240" stopIfTrue="1" operator="equal">
      <formula>"No"</formula>
    </cfRule>
    <cfRule type="cellIs" dxfId="110" priority="241" stopIfTrue="1" operator="equal">
      <formula>"Yes"</formula>
    </cfRule>
    <cfRule type="cellIs" dxfId="109" priority="249" stopIfTrue="1" operator="equal">
      <formula>"No"</formula>
    </cfRule>
    <cfRule type="cellIs" dxfId="108" priority="250" stopIfTrue="1" operator="equal">
      <formula>"Yes"</formula>
    </cfRule>
    <cfRule type="cellIs" dxfId="107" priority="258" stopIfTrue="1" operator="equal">
      <formula>"No"</formula>
    </cfRule>
    <cfRule type="cellIs" dxfId="106" priority="259" stopIfTrue="1" operator="equal">
      <formula>"Yes"</formula>
    </cfRule>
    <cfRule type="cellIs" dxfId="105" priority="267" stopIfTrue="1" operator="equal">
      <formula>"No"</formula>
    </cfRule>
    <cfRule type="cellIs" dxfId="104" priority="268" stopIfTrue="1" operator="equal">
      <formula>"Yes"</formula>
    </cfRule>
    <cfRule type="cellIs" dxfId="103" priority="276" stopIfTrue="1" operator="equal">
      <formula>"No"</formula>
    </cfRule>
    <cfRule type="cellIs" dxfId="102" priority="277" stopIfTrue="1" operator="equal">
      <formula>"Yes"</formula>
    </cfRule>
    <cfRule type="cellIs" dxfId="101" priority="285" stopIfTrue="1" operator="equal">
      <formula>"No"</formula>
    </cfRule>
    <cfRule type="cellIs" dxfId="100" priority="286" stopIfTrue="1" operator="equal">
      <formula>"Yes"</formula>
    </cfRule>
  </conditionalFormatting>
  <conditionalFormatting sqref="K1:O3815 A2">
    <cfRule type="cellIs" dxfId="99" priority="150" stopIfTrue="1" operator="equal">
      <formula>"No"</formula>
    </cfRule>
    <cfRule type="cellIs" dxfId="98" priority="151" stopIfTrue="1" operator="equal">
      <formula>"Yes"</formula>
    </cfRule>
    <cfRule type="cellIs" dxfId="97" priority="159" stopIfTrue="1" operator="equal">
      <formula>"No"</formula>
    </cfRule>
    <cfRule type="cellIs" dxfId="96" priority="160" stopIfTrue="1" operator="equal">
      <formula>"Yes"</formula>
    </cfRule>
    <cfRule type="cellIs" dxfId="95" priority="168" stopIfTrue="1" operator="equal">
      <formula>"No"</formula>
    </cfRule>
    <cfRule type="cellIs" dxfId="94" priority="169" stopIfTrue="1" operator="equal">
      <formula>"Yes"</formula>
    </cfRule>
    <cfRule type="cellIs" dxfId="93" priority="177" stopIfTrue="1" operator="equal">
      <formula>"No"</formula>
    </cfRule>
    <cfRule type="cellIs" dxfId="92" priority="178" stopIfTrue="1" operator="equal">
      <formula>"Yes"</formula>
    </cfRule>
    <cfRule type="cellIs" dxfId="91" priority="186" stopIfTrue="1" operator="equal">
      <formula>"No"</formula>
    </cfRule>
    <cfRule type="cellIs" dxfId="90" priority="187" stopIfTrue="1" operator="equal">
      <formula>"Yes"</formula>
    </cfRule>
    <cfRule type="cellIs" dxfId="89" priority="195" stopIfTrue="1" operator="equal">
      <formula>"No"</formula>
    </cfRule>
    <cfRule type="cellIs" dxfId="88" priority="196" stopIfTrue="1" operator="equal">
      <formula>"Yes"</formula>
    </cfRule>
  </conditionalFormatting>
  <conditionalFormatting sqref="K1:O3815">
    <cfRule type="cellIs" dxfId="87" priority="6" stopIfTrue="1" operator="equal">
      <formula>"No"</formula>
    </cfRule>
    <cfRule type="cellIs" dxfId="86" priority="7" stopIfTrue="1" operator="equal">
      <formula>"Yes"</formula>
    </cfRule>
    <cfRule type="cellIs" dxfId="85" priority="15" stopIfTrue="1" operator="equal">
      <formula>"No"</formula>
    </cfRule>
    <cfRule type="cellIs" dxfId="84" priority="16" stopIfTrue="1" operator="equal">
      <formula>"Yes"</formula>
    </cfRule>
    <cfRule type="cellIs" dxfId="83" priority="42" stopIfTrue="1" operator="equal">
      <formula>"No"</formula>
    </cfRule>
    <cfRule type="cellIs" dxfId="82" priority="43" stopIfTrue="1" operator="equal">
      <formula>"Yes"</formula>
    </cfRule>
    <cfRule type="cellIs" dxfId="81" priority="51" stopIfTrue="1" operator="equal">
      <formula>"No"</formula>
    </cfRule>
    <cfRule type="cellIs" dxfId="80" priority="52" stopIfTrue="1" operator="equal">
      <formula>"Yes"</formula>
    </cfRule>
    <cfRule type="cellIs" dxfId="79" priority="60" stopIfTrue="1" operator="equal">
      <formula>"No"</formula>
    </cfRule>
    <cfRule type="cellIs" dxfId="78" priority="61" stopIfTrue="1" operator="equal">
      <formula>"Yes"</formula>
    </cfRule>
    <cfRule type="cellIs" dxfId="77" priority="69" stopIfTrue="1" operator="equal">
      <formula>"No"</formula>
    </cfRule>
    <cfRule type="cellIs" dxfId="76" priority="70" stopIfTrue="1" operator="equal">
      <formula>"Yes"</formula>
    </cfRule>
    <cfRule type="cellIs" dxfId="75" priority="78" stopIfTrue="1" operator="equal">
      <formula>"No"</formula>
    </cfRule>
    <cfRule type="cellIs" dxfId="74" priority="79" stopIfTrue="1" operator="equal">
      <formula>"Yes"</formula>
    </cfRule>
    <cfRule type="cellIs" dxfId="73" priority="87" stopIfTrue="1" operator="equal">
      <formula>"No"</formula>
    </cfRule>
    <cfRule type="cellIs" dxfId="72" priority="88" stopIfTrue="1" operator="equal">
      <formula>"Yes"</formula>
    </cfRule>
    <cfRule type="cellIs" dxfId="71" priority="96" stopIfTrue="1" operator="equal">
      <formula>"No"</formula>
    </cfRule>
    <cfRule type="cellIs" dxfId="70" priority="97" stopIfTrue="1" operator="equal">
      <formula>"Yes"</formula>
    </cfRule>
    <cfRule type="cellIs" dxfId="69" priority="105" stopIfTrue="1" operator="equal">
      <formula>"No"</formula>
    </cfRule>
    <cfRule type="cellIs" dxfId="68" priority="106" stopIfTrue="1" operator="equal">
      <formula>"Yes"</formula>
    </cfRule>
    <cfRule type="cellIs" dxfId="67" priority="114" stopIfTrue="1" operator="equal">
      <formula>"No"</formula>
    </cfRule>
    <cfRule type="cellIs" dxfId="66" priority="115" stopIfTrue="1" operator="equal">
      <formula>"Yes"</formula>
    </cfRule>
    <cfRule type="cellIs" dxfId="65" priority="123" stopIfTrue="1" operator="equal">
      <formula>"No"</formula>
    </cfRule>
    <cfRule type="cellIs" dxfId="64" priority="124" stopIfTrue="1" operator="equal">
      <formula>"Yes"</formula>
    </cfRule>
    <cfRule type="cellIs" dxfId="63" priority="132" stopIfTrue="1" operator="equal">
      <formula>"No"</formula>
    </cfRule>
    <cfRule type="cellIs" dxfId="62" priority="133" stopIfTrue="1" operator="equal">
      <formula>"Yes"</formula>
    </cfRule>
    <cfRule type="cellIs" dxfId="61" priority="141" stopIfTrue="1" operator="equal">
      <formula>"No"</formula>
    </cfRule>
    <cfRule type="cellIs" dxfId="60" priority="142" stopIfTrue="1" operator="equal">
      <formula>"Yes"</formula>
    </cfRule>
  </conditionalFormatting>
  <conditionalFormatting sqref="L1:O4 A2">
    <cfRule type="cellIs" dxfId="59" priority="202" stopIfTrue="1" operator="equal">
      <formula>"No"</formula>
    </cfRule>
    <cfRule type="cellIs" dxfId="58" priority="203" stopIfTrue="1" operator="equal">
      <formula>"Yes"</formula>
    </cfRule>
    <cfRule type="cellIs" dxfId="57" priority="211" stopIfTrue="1" operator="equal">
      <formula>"No"</formula>
    </cfRule>
    <cfRule type="cellIs" dxfId="56" priority="212" stopIfTrue="1" operator="equal">
      <formula>"Yes"</formula>
    </cfRule>
    <cfRule type="cellIs" dxfId="55" priority="220" stopIfTrue="1" operator="equal">
      <formula>"No"</formula>
    </cfRule>
    <cfRule type="cellIs" dxfId="54" priority="221" stopIfTrue="1" operator="equal">
      <formula>"Yes"</formula>
    </cfRule>
    <cfRule type="cellIs" dxfId="53" priority="229" stopIfTrue="1" operator="equal">
      <formula>"No"</formula>
    </cfRule>
    <cfRule type="cellIs" dxfId="52" priority="230" stopIfTrue="1" operator="equal">
      <formula>"Yes"</formula>
    </cfRule>
    <cfRule type="cellIs" dxfId="51" priority="238" stopIfTrue="1" operator="equal">
      <formula>"No"</formula>
    </cfRule>
    <cfRule type="cellIs" dxfId="50" priority="239" stopIfTrue="1" operator="equal">
      <formula>"Yes"</formula>
    </cfRule>
    <cfRule type="cellIs" dxfId="49" priority="247" stopIfTrue="1" operator="equal">
      <formula>"No"</formula>
    </cfRule>
    <cfRule type="cellIs" dxfId="48" priority="248" stopIfTrue="1" operator="equal">
      <formula>"Yes"</formula>
    </cfRule>
    <cfRule type="cellIs" dxfId="47" priority="256" stopIfTrue="1" operator="equal">
      <formula>"No"</formula>
    </cfRule>
    <cfRule type="cellIs" dxfId="46" priority="257" stopIfTrue="1" operator="equal">
      <formula>"Yes"</formula>
    </cfRule>
    <cfRule type="cellIs" dxfId="45" priority="265" stopIfTrue="1" operator="equal">
      <formula>"No"</formula>
    </cfRule>
    <cfRule type="cellIs" dxfId="44" priority="266" stopIfTrue="1" operator="equal">
      <formula>"Yes"</formula>
    </cfRule>
    <cfRule type="cellIs" dxfId="43" priority="274" stopIfTrue="1" operator="equal">
      <formula>"No"</formula>
    </cfRule>
    <cfRule type="cellIs" dxfId="42" priority="275" stopIfTrue="1" operator="equal">
      <formula>"Yes"</formula>
    </cfRule>
    <cfRule type="cellIs" dxfId="41" priority="283" stopIfTrue="1" operator="equal">
      <formula>"No"</formula>
    </cfRule>
    <cfRule type="cellIs" dxfId="40" priority="284" stopIfTrue="1" operator="equal">
      <formula>"Yes"</formula>
    </cfRule>
  </conditionalFormatting>
  <conditionalFormatting sqref="L1:O3815 A2">
    <cfRule type="cellIs" dxfId="39" priority="148" stopIfTrue="1" operator="equal">
      <formula>"No"</formula>
    </cfRule>
    <cfRule type="cellIs" dxfId="38" priority="149" stopIfTrue="1" operator="equal">
      <formula>"Yes"</formula>
    </cfRule>
    <cfRule type="cellIs" dxfId="37" priority="157" stopIfTrue="1" operator="equal">
      <formula>"No"</formula>
    </cfRule>
    <cfRule type="cellIs" dxfId="36" priority="158" stopIfTrue="1" operator="equal">
      <formula>"Yes"</formula>
    </cfRule>
    <cfRule type="cellIs" dxfId="35" priority="166" stopIfTrue="1" operator="equal">
      <formula>"No"</formula>
    </cfRule>
    <cfRule type="cellIs" dxfId="34" priority="167" stopIfTrue="1" operator="equal">
      <formula>"Yes"</formula>
    </cfRule>
    <cfRule type="cellIs" dxfId="33" priority="175" stopIfTrue="1" operator="equal">
      <formula>"No"</formula>
    </cfRule>
    <cfRule type="cellIs" dxfId="32" priority="176" stopIfTrue="1" operator="equal">
      <formula>"Yes"</formula>
    </cfRule>
    <cfRule type="cellIs" dxfId="31" priority="184" stopIfTrue="1" operator="equal">
      <formula>"No"</formula>
    </cfRule>
    <cfRule type="cellIs" dxfId="30" priority="185" stopIfTrue="1" operator="equal">
      <formula>"Yes"</formula>
    </cfRule>
    <cfRule type="cellIs" dxfId="29" priority="193" stopIfTrue="1" operator="equal">
      <formula>"No"</formula>
    </cfRule>
    <cfRule type="cellIs" dxfId="28" priority="194" stopIfTrue="1" operator="equal">
      <formula>"Yes"</formula>
    </cfRule>
  </conditionalFormatting>
  <conditionalFormatting sqref="L1:O3815">
    <cfRule type="cellIs" dxfId="27" priority="4" stopIfTrue="1" operator="equal">
      <formula>"No"</formula>
    </cfRule>
    <cfRule type="cellIs" dxfId="26" priority="5" stopIfTrue="1" operator="equal">
      <formula>"Yes"</formula>
    </cfRule>
    <cfRule type="cellIs" dxfId="25" priority="13" stopIfTrue="1" operator="equal">
      <formula>"No"</formula>
    </cfRule>
    <cfRule type="cellIs" dxfId="24" priority="14" stopIfTrue="1" operator="equal">
      <formula>"Yes"</formula>
    </cfRule>
    <cfRule type="cellIs" dxfId="23" priority="40" stopIfTrue="1" operator="equal">
      <formula>"No"</formula>
    </cfRule>
    <cfRule type="cellIs" dxfId="22" priority="41" stopIfTrue="1" operator="equal">
      <formula>"Yes"</formula>
    </cfRule>
    <cfRule type="cellIs" dxfId="21" priority="49" stopIfTrue="1" operator="equal">
      <formula>"No"</formula>
    </cfRule>
    <cfRule type="cellIs" dxfId="20" priority="50" stopIfTrue="1" operator="equal">
      <formula>"Yes"</formula>
    </cfRule>
    <cfRule type="cellIs" dxfId="19" priority="58" stopIfTrue="1" operator="equal">
      <formula>"No"</formula>
    </cfRule>
    <cfRule type="cellIs" dxfId="18" priority="59" stopIfTrue="1" operator="equal">
      <formula>"Yes"</formula>
    </cfRule>
    <cfRule type="cellIs" dxfId="17" priority="67" stopIfTrue="1" operator="equal">
      <formula>"No"</formula>
    </cfRule>
    <cfRule type="cellIs" dxfId="16" priority="68" stopIfTrue="1" operator="equal">
      <formula>"Yes"</formula>
    </cfRule>
    <cfRule type="cellIs" dxfId="15" priority="76" stopIfTrue="1" operator="equal">
      <formula>"No"</formula>
    </cfRule>
    <cfRule type="cellIs" dxfId="14" priority="77" stopIfTrue="1" operator="equal">
      <formula>"Yes"</formula>
    </cfRule>
    <cfRule type="cellIs" dxfId="13" priority="85" stopIfTrue="1" operator="equal">
      <formula>"No"</formula>
    </cfRule>
    <cfRule type="cellIs" dxfId="12" priority="86" stopIfTrue="1" operator="equal">
      <formula>"Yes"</formula>
    </cfRule>
    <cfRule type="cellIs" dxfId="11" priority="94" stopIfTrue="1" operator="equal">
      <formula>"No"</formula>
    </cfRule>
    <cfRule type="cellIs" dxfId="10" priority="95" stopIfTrue="1" operator="equal">
      <formula>"Yes"</formula>
    </cfRule>
    <cfRule type="cellIs" dxfId="9" priority="103" stopIfTrue="1" operator="equal">
      <formula>"No"</formula>
    </cfRule>
    <cfRule type="cellIs" dxfId="8" priority="104" stopIfTrue="1" operator="equal">
      <formula>"Yes"</formula>
    </cfRule>
    <cfRule type="cellIs" dxfId="7" priority="112" stopIfTrue="1" operator="equal">
      <formula>"No"</formula>
    </cfRule>
    <cfRule type="cellIs" dxfId="6" priority="113" stopIfTrue="1" operator="equal">
      <formula>"Yes"</formula>
    </cfRule>
    <cfRule type="cellIs" dxfId="5" priority="121" stopIfTrue="1" operator="equal">
      <formula>"No"</formula>
    </cfRule>
    <cfRule type="cellIs" dxfId="4" priority="122" stopIfTrue="1" operator="equal">
      <formula>"Yes"</formula>
    </cfRule>
    <cfRule type="cellIs" dxfId="3" priority="130" stopIfTrue="1" operator="equal">
      <formula>"No"</formula>
    </cfRule>
    <cfRule type="cellIs" dxfId="2" priority="131" stopIfTrue="1" operator="equal">
      <formula>"Yes"</formula>
    </cfRule>
    <cfRule type="cellIs" dxfId="1" priority="139" stopIfTrue="1" operator="equal">
      <formula>"No"</formula>
    </cfRule>
    <cfRule type="cellIs" dxfId="0" priority="140" stopIfTrue="1" operator="equal">
      <formula>"Yes"</formula>
    </cfRule>
  </conditionalFormatting>
  <dataValidations count="2">
    <dataValidation type="list" allowBlank="1" showErrorMessage="1" sqref="O2" xr:uid="{00000000-0002-0000-0100-000000000000}">
      <formula1>"English,Traditional Chinese,Simplified Chinese,Hindi,Spanish,Arabic,Bengali,Portuguese,Russian,Japanese,German,French,Italian,Korean,Vietnamese,Turkish,Persian,Polish,Dutch,Thai,Swedish,Norwegian,Finnish,Danish,Hebrew,Indonesian,Malay,Greek,Czech,Romanian"&amp;",Hungarian,Slovak,Ukrainian"</formula1>
    </dataValidation>
    <dataValidation type="list" allowBlank="1" showErrorMessage="1" sqref="O1" xr:uid="{00000000-0002-0000-0100-000001000000}">
      <formula1>"Python,JavaScript,Java,C++,C#,Go,Ruby,Swift,Kotlin,Rust,PHP,TypeScript,Scala,Haskell,Objective-C,Perl,Lua,R,Dart"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LeetCode Questions</vt:lpstr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Vinay Kamble</cp:lastModifiedBy>
  <dcterms:modified xsi:type="dcterms:W3CDTF">2026-02-24T09:34:21Z</dcterms:modified>
</cp:coreProperties>
</file>